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sep\PycharmProjects\CapstoneProject\Dictionaries\"/>
    </mc:Choice>
  </mc:AlternateContent>
  <xr:revisionPtr revIDLastSave="0" documentId="13_ncr:1_{80975863-0E65-4937-9996-29EA1D552C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gDict1a.tab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AFpl+lS9ZKbHvpl9l1Y/O/f4xPA=="/>
    </ext>
  </extLst>
</workbook>
</file>

<file path=xl/calcChain.xml><?xml version="1.0" encoding="utf-8"?>
<calcChain xmlns="http://schemas.openxmlformats.org/spreadsheetml/2006/main">
  <c r="B11789" i="1" l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<sst xmlns="http://schemas.openxmlformats.org/spreadsheetml/2006/main" count="93041" uniqueCount="16614">
  <si>
    <t>Entry</t>
  </si>
  <si>
    <t>Source</t>
  </si>
  <si>
    <t>Pstv</t>
  </si>
  <si>
    <t>Affil</t>
  </si>
  <si>
    <t>Ngtv</t>
  </si>
  <si>
    <t>Hostile</t>
  </si>
  <si>
    <t>Strong</t>
  </si>
  <si>
    <t>Power</t>
  </si>
  <si>
    <t>Weak</t>
  </si>
  <si>
    <t>Submit</t>
  </si>
  <si>
    <t>Active</t>
  </si>
  <si>
    <t>Passive</t>
  </si>
  <si>
    <t>Pleasur</t>
  </si>
  <si>
    <t>Pain</t>
  </si>
  <si>
    <t>Feel</t>
  </si>
  <si>
    <t>Arousal</t>
  </si>
  <si>
    <t>EMOT</t>
  </si>
  <si>
    <t>Virtue</t>
  </si>
  <si>
    <t>Vice</t>
  </si>
  <si>
    <t>Ovrst</t>
  </si>
  <si>
    <t>Undrst</t>
  </si>
  <si>
    <t>Academ</t>
  </si>
  <si>
    <t>Doctrin</t>
  </si>
  <si>
    <t>Econ@</t>
  </si>
  <si>
    <t>Exch</t>
  </si>
  <si>
    <t>ECON</t>
  </si>
  <si>
    <t>Exprsv</t>
  </si>
  <si>
    <t>Legal</t>
  </si>
  <si>
    <t>Milit</t>
  </si>
  <si>
    <t>Polit@</t>
  </si>
  <si>
    <t>POLIT</t>
  </si>
  <si>
    <t>Relig</t>
  </si>
  <si>
    <t>Role</t>
  </si>
  <si>
    <t>COLL</t>
  </si>
  <si>
    <t>Work</t>
  </si>
  <si>
    <t>Ritual</t>
  </si>
  <si>
    <t>SocRel</t>
  </si>
  <si>
    <t>Race</t>
  </si>
  <si>
    <t>Kin@</t>
  </si>
  <si>
    <t>MALE</t>
  </si>
  <si>
    <t>Female</t>
  </si>
  <si>
    <t>Nonadlt</t>
  </si>
  <si>
    <t>HU</t>
  </si>
  <si>
    <t>ANI</t>
  </si>
  <si>
    <t>PLACE</t>
  </si>
  <si>
    <t>Social</t>
  </si>
  <si>
    <t>Region</t>
  </si>
  <si>
    <t>Route</t>
  </si>
  <si>
    <t>Aquatic</t>
  </si>
  <si>
    <t>Land</t>
  </si>
  <si>
    <t>Sky</t>
  </si>
  <si>
    <t>Object</t>
  </si>
  <si>
    <t>Tool</t>
  </si>
  <si>
    <t>Food</t>
  </si>
  <si>
    <t>Vehicle</t>
  </si>
  <si>
    <t>BldgPt</t>
  </si>
  <si>
    <t>ComnObj</t>
  </si>
  <si>
    <t>NatObj</t>
  </si>
  <si>
    <t>BodyPt</t>
  </si>
  <si>
    <t>ComForm</t>
  </si>
  <si>
    <t>COM</t>
  </si>
  <si>
    <t>Say</t>
  </si>
  <si>
    <t>Need</t>
  </si>
  <si>
    <t>Goal</t>
  </si>
  <si>
    <t>Try</t>
  </si>
  <si>
    <t>Means</t>
  </si>
  <si>
    <t>Persist</t>
  </si>
  <si>
    <t>Complet</t>
  </si>
  <si>
    <t>Fail</t>
  </si>
  <si>
    <t>NatrPro</t>
  </si>
  <si>
    <t>Begin</t>
  </si>
  <si>
    <t>Vary</t>
  </si>
  <si>
    <t>Increas</t>
  </si>
  <si>
    <t>Decreas</t>
  </si>
  <si>
    <t>Finish</t>
  </si>
  <si>
    <t>Stay</t>
  </si>
  <si>
    <t>Rise</t>
  </si>
  <si>
    <t>Exert</t>
  </si>
  <si>
    <t>Fetch</t>
  </si>
  <si>
    <t>Travel</t>
  </si>
  <si>
    <t>Fall</t>
  </si>
  <si>
    <t>Think</t>
  </si>
  <si>
    <t>Know</t>
  </si>
  <si>
    <t>Causal</t>
  </si>
  <si>
    <t>Ought</t>
  </si>
  <si>
    <t>Perceiv</t>
  </si>
  <si>
    <t>Compare</t>
  </si>
  <si>
    <t>Eval@</t>
  </si>
  <si>
    <t>EVAL</t>
  </si>
  <si>
    <t>Solve</t>
  </si>
  <si>
    <t>Abs@</t>
  </si>
  <si>
    <t>ABS</t>
  </si>
  <si>
    <t>Quality</t>
  </si>
  <si>
    <t>Quan</t>
  </si>
  <si>
    <t>NUMB</t>
  </si>
  <si>
    <t>ORD</t>
  </si>
  <si>
    <t>CARD</t>
  </si>
  <si>
    <t>FREQ</t>
  </si>
  <si>
    <t>DIST</t>
  </si>
  <si>
    <t>Time@</t>
  </si>
  <si>
    <t>TIME</t>
  </si>
  <si>
    <t>Space</t>
  </si>
  <si>
    <t>POS</t>
  </si>
  <si>
    <t>DIM</t>
  </si>
  <si>
    <t>Rel</t>
  </si>
  <si>
    <t>COLOR</t>
  </si>
  <si>
    <t>Self</t>
  </si>
  <si>
    <t>Our</t>
  </si>
  <si>
    <t>You</t>
  </si>
  <si>
    <t>Name</t>
  </si>
  <si>
    <t>Yes</t>
  </si>
  <si>
    <t>No</t>
  </si>
  <si>
    <t>Negate</t>
  </si>
  <si>
    <t>Intrj</t>
  </si>
  <si>
    <t>IAV</t>
  </si>
  <si>
    <t>DAV</t>
  </si>
  <si>
    <t>SV</t>
  </si>
  <si>
    <t>IPadj</t>
  </si>
  <si>
    <t>IndAdj</t>
  </si>
  <si>
    <t>PowGain</t>
  </si>
  <si>
    <t>PowLoss</t>
  </si>
  <si>
    <t>PowEnds</t>
  </si>
  <si>
    <t>PowAren</t>
  </si>
  <si>
    <t>PowCon</t>
  </si>
  <si>
    <t>PowCoop</t>
  </si>
  <si>
    <t>PowAuPt</t>
  </si>
  <si>
    <t>PowPt</t>
  </si>
  <si>
    <t>PowDoct</t>
  </si>
  <si>
    <t>PowAuth</t>
  </si>
  <si>
    <t>PowOth</t>
  </si>
  <si>
    <t>PowTot</t>
  </si>
  <si>
    <t>RcEthic</t>
  </si>
  <si>
    <t>RcRelig</t>
  </si>
  <si>
    <t>RcGain</t>
  </si>
  <si>
    <t>RcLoss</t>
  </si>
  <si>
    <t>RcEnds</t>
  </si>
  <si>
    <t>RcTot</t>
  </si>
  <si>
    <t>RspGain</t>
  </si>
  <si>
    <t>RspLoss</t>
  </si>
  <si>
    <t>RspOth</t>
  </si>
  <si>
    <t>RspTot</t>
  </si>
  <si>
    <t>AffGain</t>
  </si>
  <si>
    <t>AffLoss</t>
  </si>
  <si>
    <t>AffPt</t>
  </si>
  <si>
    <t>AffOth</t>
  </si>
  <si>
    <t>AffTot</t>
  </si>
  <si>
    <t>WltPt</t>
  </si>
  <si>
    <t>WltTran</t>
  </si>
  <si>
    <t>WltOth</t>
  </si>
  <si>
    <t>WltTot</t>
  </si>
  <si>
    <t>WlbGain</t>
  </si>
  <si>
    <t>WlbLoss</t>
  </si>
  <si>
    <t>WlbPhys</t>
  </si>
  <si>
    <t>WlbPsyc</t>
  </si>
  <si>
    <t>WlbPt</t>
  </si>
  <si>
    <t>WlbTot</t>
  </si>
  <si>
    <t>EnlGain</t>
  </si>
  <si>
    <t>EnlLoss</t>
  </si>
  <si>
    <t>EnlEnds</t>
  </si>
  <si>
    <t>EnlPt</t>
  </si>
  <si>
    <t>EnlOth</t>
  </si>
  <si>
    <t>EnlTot</t>
  </si>
  <si>
    <t>SklAsth</t>
  </si>
  <si>
    <t>SklPt</t>
  </si>
  <si>
    <t>SklOth</t>
  </si>
  <si>
    <t>SklTot</t>
  </si>
  <si>
    <t>TrnGain</t>
  </si>
  <si>
    <t>TrnLoss</t>
  </si>
  <si>
    <t>TranLw</t>
  </si>
  <si>
    <t>MeansLw</t>
  </si>
  <si>
    <t>EndsLw</t>
  </si>
  <si>
    <t>ArenaLw</t>
  </si>
  <si>
    <t>PtLw</t>
  </si>
  <si>
    <t>Nation</t>
  </si>
  <si>
    <t>Anomie</t>
  </si>
  <si>
    <t>NegAff</t>
  </si>
  <si>
    <t>PosAff</t>
  </si>
  <si>
    <t>SureLw</t>
  </si>
  <si>
    <t>If</t>
  </si>
  <si>
    <t>NotLw</t>
  </si>
  <si>
    <t>TimeSpc</t>
  </si>
  <si>
    <t>FormLw</t>
  </si>
  <si>
    <t>Othtags</t>
  </si>
  <si>
    <t>Defined</t>
  </si>
  <si>
    <t>A</t>
  </si>
  <si>
    <t>H4Lvd</t>
  </si>
  <si>
    <t>DET ART</t>
  </si>
  <si>
    <t>| article: Indefinite singular article--some or any one</t>
  </si>
  <si>
    <t>ABANDON</t>
  </si>
  <si>
    <t>SUPV</t>
  </si>
  <si>
    <t>|</t>
  </si>
  <si>
    <t>ABANDONMENT</t>
  </si>
  <si>
    <t>H4</t>
  </si>
  <si>
    <t>Noun</t>
  </si>
  <si>
    <t>ABATE</t>
  </si>
  <si>
    <t>ABATEMENT</t>
  </si>
  <si>
    <t>Lvd</t>
  </si>
  <si>
    <t>ABDICATE</t>
  </si>
  <si>
    <t>ABHOR</t>
  </si>
  <si>
    <t>ABIDE</t>
  </si>
  <si>
    <t>ABILITY</t>
  </si>
  <si>
    <t>ABJECT</t>
  </si>
  <si>
    <t>Modif</t>
  </si>
  <si>
    <t>ABLE</t>
  </si>
  <si>
    <t>| adjective: Having necessary power, skill, resources, etc.</t>
  </si>
  <si>
    <t>ABNORMAL</t>
  </si>
  <si>
    <t>ABOARD</t>
  </si>
  <si>
    <t>PREP LY</t>
  </si>
  <si>
    <t>ABOLISH</t>
  </si>
  <si>
    <t>ABOLITION</t>
  </si>
  <si>
    <t>ABOMINABLE</t>
  </si>
  <si>
    <t>ABORTIVE</t>
  </si>
  <si>
    <t>Modif POLIT</t>
  </si>
  <si>
    <t>ABOUND</t>
  </si>
  <si>
    <t>ABOUT#1</t>
  </si>
  <si>
    <t>PREP</t>
  </si>
  <si>
    <t>| 69% prep: Concerning, in reference to</t>
  </si>
  <si>
    <t>ABOUT#2</t>
  </si>
  <si>
    <t>| 11% prep-adv: Almost, approximately</t>
  </si>
  <si>
    <t>ABOUT#3</t>
  </si>
  <si>
    <t>| 6% prep-adv: Around --'walk about',</t>
  </si>
  <si>
    <t>ABOUT#4</t>
  </si>
  <si>
    <t>SUPV VERB MOD</t>
  </si>
  <si>
    <t>| 2% verb-modal: "About to"--just going to</t>
  </si>
  <si>
    <t>ABOUT#5</t>
  </si>
  <si>
    <t>Handels</t>
  </si>
  <si>
    <t>| 8% idiom-verb: "Bring (brought) about"--handled by "bring"</t>
  </si>
  <si>
    <t>ABOUT#6</t>
  </si>
  <si>
    <t>| 1% idiom: "About time"--handled by "time"</t>
  </si>
  <si>
    <t>ABOUT#7</t>
  </si>
  <si>
    <t>| 1% idiom-verb: "Come about"--occur; change direction (nautical)--handled by "come"</t>
  </si>
  <si>
    <t>ABOVE#1</t>
  </si>
  <si>
    <t>| 59% prep-adv: Higher than, superior to</t>
  </si>
  <si>
    <t>ABOVE#2</t>
  </si>
  <si>
    <t>| 21% noun-adj-adv: Previously stated</t>
  </si>
  <si>
    <t>ABOVE#3</t>
  </si>
  <si>
    <t>LY</t>
  </si>
  <si>
    <t>| 19% idiom-adv: "Above all"</t>
  </si>
  <si>
    <t>ABOVE#4</t>
  </si>
  <si>
    <t>| 1% idiom-adj: "Above board"--honest, open--handled by "board"</t>
  </si>
  <si>
    <t>ABRASIVE</t>
  </si>
  <si>
    <t>ABROAD</t>
  </si>
  <si>
    <t>ABRUPT</t>
  </si>
  <si>
    <t>ABSCOND</t>
  </si>
  <si>
    <t>ABSENCE</t>
  </si>
  <si>
    <t>ABSENT#1</t>
  </si>
  <si>
    <t>ABSENT#2</t>
  </si>
  <si>
    <t>ABSENT-MINDED</t>
  </si>
  <si>
    <t>ABSENTEE</t>
  </si>
  <si>
    <t>ABSOLUTE#1</t>
  </si>
  <si>
    <t>| 27% adj: Perfect, without limitation or qualification</t>
  </si>
  <si>
    <t>ABSOLUTE#2</t>
  </si>
  <si>
    <t>| 73% adv: "Absolutely"--without qualification, certainly, totally</t>
  </si>
  <si>
    <t>ABSOLVE</t>
  </si>
  <si>
    <t>ABSORB#1</t>
  </si>
  <si>
    <t>ABSORB#2</t>
  </si>
  <si>
    <t>ABSORBENT</t>
  </si>
  <si>
    <t>ABSORPTION</t>
  </si>
  <si>
    <t>ABSTAIN</t>
  </si>
  <si>
    <t>ABSTRACT</t>
  </si>
  <si>
    <t>ABSTRACTION</t>
  </si>
  <si>
    <t>ABSURD</t>
  </si>
  <si>
    <t>ABSURDITY</t>
  </si>
  <si>
    <t>ABUNDANCE</t>
  </si>
  <si>
    <t>ABUNDANT</t>
  </si>
  <si>
    <t>ABUSE#1</t>
  </si>
  <si>
    <t>ABUSE#2</t>
  </si>
  <si>
    <t>ABYSS</t>
  </si>
  <si>
    <t>ABYSSINIA</t>
  </si>
  <si>
    <t>Noun POLIT PLACE ECON</t>
  </si>
  <si>
    <t>ACADEMIC</t>
  </si>
  <si>
    <t>| adjective: Of or pertaining to a college or other educational institution</t>
  </si>
  <si>
    <t>ACADEMY</t>
  </si>
  <si>
    <t>ACCEDE</t>
  </si>
  <si>
    <t>ACCELERATE</t>
  </si>
  <si>
    <t>ACCELERATION</t>
  </si>
  <si>
    <t>ACCENTUATE</t>
  </si>
  <si>
    <t>ACCEPT</t>
  </si>
  <si>
    <t>| verb: To take, receive or accede to something</t>
  </si>
  <si>
    <t>ACCEPTABLE</t>
  </si>
  <si>
    <t>ACCEPTANCE</t>
  </si>
  <si>
    <t>ACCESS</t>
  </si>
  <si>
    <t>ACCESSIBLE</t>
  </si>
  <si>
    <t>ACCESSION</t>
  </si>
  <si>
    <t>ACCIDENT</t>
  </si>
  <si>
    <t>| noun: An unfortunate happening, unintentionally caused and unexpected</t>
  </si>
  <si>
    <t>ACCIDENTAL</t>
  </si>
  <si>
    <t>ACCLAIM</t>
  </si>
  <si>
    <t>ACCLAMATION</t>
  </si>
  <si>
    <t>ACCOLADE</t>
  </si>
  <si>
    <t>ACCOMMODATE</t>
  </si>
  <si>
    <t>ACCOMMODATION</t>
  </si>
  <si>
    <t>ACCOMPANIMENT</t>
  </si>
  <si>
    <t>ACCOMPANY#1</t>
  </si>
  <si>
    <t>| 59% verb-adj: To go along in company with, to escort; "accompanying"--  attendant (no adjective occurrences this sample)</t>
  </si>
  <si>
    <t>ACCOMPANY#2</t>
  </si>
  <si>
    <t>| 41% verb-adj: To be or exist in company with something; "accompanying"--  concomitant (one adjectiv</t>
  </si>
  <si>
    <t>ACCOMPLISH</t>
  </si>
  <si>
    <t>| verb: To bring to its goal or conclusion</t>
  </si>
  <si>
    <t>ACCOMPLISHMENT</t>
  </si>
  <si>
    <t>ACCORD#1</t>
  </si>
  <si>
    <t>| 63% prep: "According to" or "in accord with"--consistent with, on the  authority of, in proportion to</t>
  </si>
  <si>
    <t>ACCORD#2</t>
  </si>
  <si>
    <t>| 3% verb: "Accord with" to be consistent with</t>
  </si>
  <si>
    <t>ACCORD#3</t>
  </si>
  <si>
    <t>| 8% verb: To grant, bestow</t>
  </si>
  <si>
    <t>ACCORD#4</t>
  </si>
  <si>
    <t>| 25% adv: "Accordingly"--correspondingly</t>
  </si>
  <si>
    <t>ACCORD#5</t>
  </si>
  <si>
    <t>| 3% adv: "Of one's own accord"--voluntarily</t>
  </si>
  <si>
    <t>ACCORDANCE</t>
  </si>
  <si>
    <t>ACCOST</t>
  </si>
  <si>
    <t>ACCOUNT#1</t>
  </si>
  <si>
    <t>| 29% prep: "On account of"--because of</t>
  </si>
  <si>
    <t>ACCOUNT#2</t>
  </si>
  <si>
    <t>| 26% noun: A bank account, charge account, etc.--a business relation; a  record of business transactions</t>
  </si>
  <si>
    <t>ACCOUNT#3</t>
  </si>
  <si>
    <t>| 16% noun: A narration, explanation</t>
  </si>
  <si>
    <t>ACCOUNT#4</t>
  </si>
  <si>
    <t>| 8% noun: "On that (this) account"--in that regard</t>
  </si>
  <si>
    <t>ACCOUNT#5</t>
  </si>
  <si>
    <t>| 11% verb: To explain, dispose of (usually with "for")</t>
  </si>
  <si>
    <t>ACCOUNT#6</t>
  </si>
  <si>
    <t>| 5% noun: To "take into account," "take account of"--to take into consideration</t>
  </si>
  <si>
    <t>ACCOUNT#7</t>
  </si>
  <si>
    <t>| 3% noun-adj: "Accounting"--keeping, analyzing or settling commercial accounts</t>
  </si>
  <si>
    <t>ACCOUNT#8</t>
  </si>
  <si>
    <t>| 3% adv: "On no account"--under no circumstances</t>
  </si>
  <si>
    <t>ACCOUNTABLE</t>
  </si>
  <si>
    <t>ACCRUE</t>
  </si>
  <si>
    <t>ACCUMULATE</t>
  </si>
  <si>
    <t>ACCUMULATION</t>
  </si>
  <si>
    <t>ACCURACY</t>
  </si>
  <si>
    <t>ACCURATE</t>
  </si>
  <si>
    <t>ACCURATENESS</t>
  </si>
  <si>
    <t>ACCURSED</t>
  </si>
  <si>
    <t>ACCUSATION</t>
  </si>
  <si>
    <t>ACCUSE#1</t>
  </si>
  <si>
    <t>ACCUSE#2</t>
  </si>
  <si>
    <t>ACCUSTOM#1</t>
  </si>
  <si>
    <t>ACCUSTOM#2</t>
  </si>
  <si>
    <t>ACHE</t>
  </si>
  <si>
    <t>ACHIEVE</t>
  </si>
  <si>
    <t>| verb: To accomplish or carry through</t>
  </si>
  <si>
    <t>ACHIEVEMENT</t>
  </si>
  <si>
    <t>ACKNOWLEDGE</t>
  </si>
  <si>
    <t>ACKNOWLEDGEMENT</t>
  </si>
  <si>
    <t>ACKNOWLEDGMENT</t>
  </si>
  <si>
    <t>ACQUAINT</t>
  </si>
  <si>
    <t>ACQUAINTANCE</t>
  </si>
  <si>
    <t>ACQUIRE#1</t>
  </si>
  <si>
    <t>ACQUIRE#2</t>
  </si>
  <si>
    <t>ACQUISITION</t>
  </si>
  <si>
    <t>ACQUIT</t>
  </si>
  <si>
    <t>ACQUITTAL</t>
  </si>
  <si>
    <t>ACRE</t>
  </si>
  <si>
    <t>ACRIMONIOUS</t>
  </si>
  <si>
    <t>ACRIMONY</t>
  </si>
  <si>
    <t>ACROSS#1</t>
  </si>
  <si>
    <t>| 63% prep: From one point to another, on, over, athwart</t>
  </si>
  <si>
    <t>ACROSS#2</t>
  </si>
  <si>
    <t>| 25% adv: From one point to another, over, transversely so as to be understood  (usually with "get" or "put"--8 occurrences)</t>
  </si>
  <si>
    <t>ACROSS#3</t>
  </si>
  <si>
    <t>| 8% idiom-verb: "Come across"--discover, encounter</t>
  </si>
  <si>
    <t>ACROSS#4</t>
  </si>
  <si>
    <t>| 2% idiom-prep: "Across from"--opposite</t>
  </si>
  <si>
    <t>ACROSS#5</t>
  </si>
  <si>
    <t>| 1% idiom-adv: "Across the board"--without exception--handled by "board"</t>
  </si>
  <si>
    <t>ACT#1</t>
  </si>
  <si>
    <t>| 52% verb: To do something, to operate, perform a function; to feign (2),  to perform in the theatre (0)</t>
  </si>
  <si>
    <t>ACT#2</t>
  </si>
  <si>
    <t>| 8% idiom-verb: 'act as'--to replace in function.</t>
  </si>
  <si>
    <t>ACT#3</t>
  </si>
  <si>
    <t>| 25% noun: A deed, performance, anything done; a law--"the mills act" (7)</t>
  </si>
  <si>
    <t>ACT#4</t>
  </si>
  <si>
    <t>| 2% verb: 'act up'--to misbehave, malfunction.</t>
  </si>
  <si>
    <t>ACTION</t>
  </si>
  <si>
    <t>| noun: The doing or performance of something; an act or thing done</t>
  </si>
  <si>
    <t>ACTIVE#1</t>
  </si>
  <si>
    <t>| 86% adjective: In a state of action, in actual progress or motion, busy.</t>
  </si>
  <si>
    <t>ACTIVE#2</t>
  </si>
  <si>
    <t>| 14% adverb: "Actively"--busily, energetically</t>
  </si>
  <si>
    <t>ACTIVITY</t>
  </si>
  <si>
    <t>| noun: The state of being active, a specific action or pursuit</t>
  </si>
  <si>
    <t>ACTOR</t>
  </si>
  <si>
    <t>ACTUAL#1</t>
  </si>
  <si>
    <t>| 27% adjective: Existing in act or fact, real.</t>
  </si>
  <si>
    <t>ACTUAL#2</t>
  </si>
  <si>
    <t>| 73% adverb: "Actually"--really</t>
  </si>
  <si>
    <t>ACTUALITY</t>
  </si>
  <si>
    <t>ACUTE</t>
  </si>
  <si>
    <t>ADAMANT</t>
  </si>
  <si>
    <t>ADAPT</t>
  </si>
  <si>
    <t>ADAPTABILITY</t>
  </si>
  <si>
    <t>ADAPTABLE</t>
  </si>
  <si>
    <t>ADAPTATION</t>
  </si>
  <si>
    <t>ADAPTIVE</t>
  </si>
  <si>
    <t>ADD#1</t>
  </si>
  <si>
    <t>| 13% adj: "Added," extra, further,increased--"the added expense"</t>
  </si>
  <si>
    <t>ADD#2</t>
  </si>
  <si>
    <t>SUPV PFREQ</t>
  </si>
  <si>
    <t>| 87% verb: To combine with so as to increase number, size, importance, completeness</t>
  </si>
  <si>
    <t>ADDICT</t>
  </si>
  <si>
    <t>ADDICTION</t>
  </si>
  <si>
    <t>ADDITION#1</t>
  </si>
  <si>
    <t>| 18% noun: The process or result of adding or uniting</t>
  </si>
  <si>
    <t>ADDITION#2</t>
  </si>
  <si>
    <t>| 82% idiom-adv: 'in addition,' besides, additionally</t>
  </si>
  <si>
    <t>ADDITIONAL</t>
  </si>
  <si>
    <t>ADDRESS#1</t>
  </si>
  <si>
    <t>| 41% verb: To direct spoken or written communication to</t>
  </si>
  <si>
    <t>ADDRESS#2</t>
  </si>
  <si>
    <t>| 48% noun: A speech (7), the place where mail can be sent (6)</t>
  </si>
  <si>
    <t>ADDRESS#3</t>
  </si>
  <si>
    <t>| 11% verb: To apply oneself to</t>
  </si>
  <si>
    <t>ADEN</t>
  </si>
  <si>
    <t>Noun ECON POLIT PLACE</t>
  </si>
  <si>
    <t>ADEPT</t>
  </si>
  <si>
    <t>SklTOT</t>
  </si>
  <si>
    <t>ADEPTNESS</t>
  </si>
  <si>
    <t>ADEQUATE</t>
  </si>
  <si>
    <t>Modif PFREQ</t>
  </si>
  <si>
    <t>| adjective: Sufficient.</t>
  </si>
  <si>
    <t>ADHERE</t>
  </si>
  <si>
    <t>ADHERENCE</t>
  </si>
  <si>
    <t>ADHERENT</t>
  </si>
  <si>
    <t>ADHESION</t>
  </si>
  <si>
    <t>ADHESIVE</t>
  </si>
  <si>
    <t>ADJACENT</t>
  </si>
  <si>
    <t>ADJOIN</t>
  </si>
  <si>
    <t>ADJOURNMENT</t>
  </si>
  <si>
    <t>ADJUDICATION</t>
  </si>
  <si>
    <t>ADJUNCT</t>
  </si>
  <si>
    <t>ADJUST#1</t>
  </si>
  <si>
    <t>| 77% verb: To adapt</t>
  </si>
  <si>
    <t>ADJUST#2</t>
  </si>
  <si>
    <t>| 23% adj: "Adjusted"--adapted</t>
  </si>
  <si>
    <t>ADJUSTABLE</t>
  </si>
  <si>
    <t>ADJUSTMENT</t>
  </si>
  <si>
    <t>ADMINISTER</t>
  </si>
  <si>
    <t>ADMINISTRATION#1</t>
  </si>
  <si>
    <t>| 69% noun-adj: A body entrusted with executive or administrative powers,  the time span over which such power is exercised (2)</t>
  </si>
  <si>
    <t>ADMINISTRATION#2</t>
  </si>
  <si>
    <t>| 31% noun: Direction or management of institutional activity</t>
  </si>
  <si>
    <t>ADMINISTRATIVE</t>
  </si>
  <si>
    <t>ADMINISTRATOR</t>
  </si>
  <si>
    <t>ADMIRABLE</t>
  </si>
  <si>
    <t>ADMIRAL#1</t>
  </si>
  <si>
    <t>Noun HU</t>
  </si>
  <si>
    <t>ADMIRAL#2</t>
  </si>
  <si>
    <t>ADMIRATION</t>
  </si>
  <si>
    <t>ADMIRE</t>
  </si>
  <si>
    <t>ADMIRER</t>
  </si>
  <si>
    <t>ADMISSIBLE</t>
  </si>
  <si>
    <t>ADMISSION</t>
  </si>
  <si>
    <t>ADMIT#1</t>
  </si>
  <si>
    <t>| 63% verb: To acknowledge, confess, agree</t>
  </si>
  <si>
    <t>ADMIT#2</t>
  </si>
  <si>
    <t>| 33% verb: To grant entry, membership or access to something</t>
  </si>
  <si>
    <t>ADMIT#3</t>
  </si>
  <si>
    <t>| 3% adv: "Admittedly"--adverbial form of sense 1</t>
  </si>
  <si>
    <t>ADMITTANCE</t>
  </si>
  <si>
    <t>ADMONISH</t>
  </si>
  <si>
    <t>ADMONITION</t>
  </si>
  <si>
    <t>ADOLESCENT</t>
  </si>
  <si>
    <t>ADOPT#1</t>
  </si>
  <si>
    <t>| 4% adj: "Adopted"--chosen, accepted</t>
  </si>
  <si>
    <t>ADOPT#2</t>
  </si>
  <si>
    <t>| 96% verb: To choose or accept, take as one's own child (2)</t>
  </si>
  <si>
    <t>ADOPTION</t>
  </si>
  <si>
    <t>Noun POLIT</t>
  </si>
  <si>
    <t>ADORABLE</t>
  </si>
  <si>
    <t>ADORE</t>
  </si>
  <si>
    <t>ADORN</t>
  </si>
  <si>
    <t>ADORNMENT</t>
  </si>
  <si>
    <t>ADROIT</t>
  </si>
  <si>
    <t>ADROITLY</t>
  </si>
  <si>
    <t>ADULATION</t>
  </si>
  <si>
    <t>ADULT#1</t>
  </si>
  <si>
    <t>| 70% noun: A mature organism, almost always human</t>
  </si>
  <si>
    <t>ADULT#2</t>
  </si>
  <si>
    <t>| 30% adj: Mature, of or pertaining to adults</t>
  </si>
  <si>
    <t>ADULTERATE</t>
  </si>
  <si>
    <t>ADULTERATION</t>
  </si>
  <si>
    <t>ADULTERY</t>
  </si>
  <si>
    <t>ADVANCE#1</t>
  </si>
  <si>
    <t>| 47% verb: To move or bring forward, improve, promote</t>
  </si>
  <si>
    <t>ADVANCE#2</t>
  </si>
  <si>
    <t>| 20% noun-adj: A moving forward, improvement, approach, in front, prior</t>
  </si>
  <si>
    <t>ADVANCE#3</t>
  </si>
  <si>
    <t>| 20% adj: "Advanced"--forward, in front, progressive</t>
  </si>
  <si>
    <t>ADVANCE#4</t>
  </si>
  <si>
    <t>| 13% idiom-adv: "In advance"--before, beforehand</t>
  </si>
  <si>
    <t>ADVANCEMENT</t>
  </si>
  <si>
    <t>ADVANTAGE</t>
  </si>
  <si>
    <t>| noun: Any state or opportunity favorable to success, benefit, gain, position  of superiority.</t>
  </si>
  <si>
    <t>ADVANTAGEOUS</t>
  </si>
  <si>
    <t>ADVENT</t>
  </si>
  <si>
    <t>ADVENTURE</t>
  </si>
  <si>
    <t>ADVENTURESOME</t>
  </si>
  <si>
    <t>ADVENTUROUS</t>
  </si>
  <si>
    <t>ADVERSARY</t>
  </si>
  <si>
    <t>ADVERSE</t>
  </si>
  <si>
    <t>ADVERSITY</t>
  </si>
  <si>
    <t>ADVICE</t>
  </si>
  <si>
    <t>| noun: An opinion recommended, or offered, as worthy to be followed.</t>
  </si>
  <si>
    <t>ADVISABLE</t>
  </si>
  <si>
    <t>ADVISE</t>
  </si>
  <si>
    <t>ADVISER</t>
  </si>
  <si>
    <t>ADVISOR</t>
  </si>
  <si>
    <t>ADVISORY</t>
  </si>
  <si>
    <t>ADVOCACY</t>
  </si>
  <si>
    <t>ADVOCATE#1</t>
  </si>
  <si>
    <t>ADVOCATE#2</t>
  </si>
  <si>
    <t>AESTHETIC</t>
  </si>
  <si>
    <t>AFFABILITY</t>
  </si>
  <si>
    <t>AFFABLE</t>
  </si>
  <si>
    <t>AFFAIR#1</t>
  </si>
  <si>
    <t>| 71% noun: Anything requiring action or attention, business, social event,  any matter, occurrence or thing</t>
  </si>
  <si>
    <t>AFFAIR#2</t>
  </si>
  <si>
    <t>| 21% noun: A love affair</t>
  </si>
  <si>
    <t>AFFAIR#3</t>
  </si>
  <si>
    <t>| 7% idiom-noun: "State (of) affairs"--situation, handled by state</t>
  </si>
  <si>
    <t>AFFECT</t>
  </si>
  <si>
    <t>| verb: To produce a change in</t>
  </si>
  <si>
    <t>AFFECTATION</t>
  </si>
  <si>
    <t>AFFECTION</t>
  </si>
  <si>
    <t>AFFECTIONATE</t>
  </si>
  <si>
    <t>AFFILIATE</t>
  </si>
  <si>
    <t>AFFILIATION</t>
  </si>
  <si>
    <t>AFFINITY</t>
  </si>
  <si>
    <t>AFFIRM</t>
  </si>
  <si>
    <t>AFFIRMANCE</t>
  </si>
  <si>
    <t>AFFIRMATION</t>
  </si>
  <si>
    <t>AFFIRMATIVE</t>
  </si>
  <si>
    <t>AFFIX</t>
  </si>
  <si>
    <t>AFFLICT</t>
  </si>
  <si>
    <t>AFFLICTION</t>
  </si>
  <si>
    <t>AFFLUENCE</t>
  </si>
  <si>
    <t>AFFLUENT</t>
  </si>
  <si>
    <t>AFFORD#1</t>
  </si>
  <si>
    <t>| 74% verb: To bear or meet the expense of</t>
  </si>
  <si>
    <t>AFFORD#2</t>
  </si>
  <si>
    <t>| 26% verb: To furnish, confer upon or be capable of providing</t>
  </si>
  <si>
    <t>AFGHANISTAN</t>
  </si>
  <si>
    <t>Noun POLIT ECON PLACE</t>
  </si>
  <si>
    <t>AFLOAT</t>
  </si>
  <si>
    <t>AFRAID#1</t>
  </si>
  <si>
    <t>| adjective: Feeling fear, filled with apprehension</t>
  </si>
  <si>
    <t>AFRAID#2</t>
  </si>
  <si>
    <t>| 1% idiom: "Afraid not"</t>
  </si>
  <si>
    <t>AFRICA</t>
  </si>
  <si>
    <t>AFRICAN</t>
  </si>
  <si>
    <t>AFTER#1</t>
  </si>
  <si>
    <t>PREP LY PFREQ</t>
  </si>
  <si>
    <t>| 92% prep-adv: Later in time than, following, in pursuit or search of.</t>
  </si>
  <si>
    <t>AFTER#2</t>
  </si>
  <si>
    <t>| 3% idiom: "After all"</t>
  </si>
  <si>
    <t>AFTER#3</t>
  </si>
  <si>
    <t>| 3% idiom-verb: "Look after"--to care for or supervise (handled by 'look')</t>
  </si>
  <si>
    <t>AFTERNOON</t>
  </si>
  <si>
    <t>| noun-adj: The time from noon until evening--part of day.</t>
  </si>
  <si>
    <t>AFTERWARD</t>
  </si>
  <si>
    <t>Modif LY</t>
  </si>
  <si>
    <t>| adverb: In later or subsequent time, subsequently.</t>
  </si>
  <si>
    <t>AGAIN#1</t>
  </si>
  <si>
    <t>| adverb: Once more, anew, another time</t>
  </si>
  <si>
    <t>AGAIN#2</t>
  </si>
  <si>
    <t>| 1% idiom-adv: 'again and again'--repeatedly</t>
  </si>
  <si>
    <t>AGAIN#3</t>
  </si>
  <si>
    <t>| 0% idiom-adv: "Time and (time) again"--handled by "time"</t>
  </si>
  <si>
    <t>AGAINST</t>
  </si>
  <si>
    <t>| prep: In opposition to, adverse or hostile to</t>
  </si>
  <si>
    <t>AGE#1</t>
  </si>
  <si>
    <t>| 79% noun-adj: Time period measured by length of existence, era; possessing  a certain age (3)</t>
  </si>
  <si>
    <t>AGE#2</t>
  </si>
  <si>
    <t>Noun S</t>
  </si>
  <si>
    <t>| 21% noun-adj: "Aged"--the old, old</t>
  </si>
  <si>
    <t>AGE#3</t>
  </si>
  <si>
    <t>| 0% verb: To grow old</t>
  </si>
  <si>
    <t>AGE#4</t>
  </si>
  <si>
    <t>| 0% noun-adj: "Aging"--growing old</t>
  </si>
  <si>
    <t>AGENCY</t>
  </si>
  <si>
    <t>| noun: A commercial or other bureau furnishing some form of service for  the public, the office of an agent.</t>
  </si>
  <si>
    <t>AGENT</t>
  </si>
  <si>
    <t>AGGRAVATE</t>
  </si>
  <si>
    <t>AGGRAVATION</t>
  </si>
  <si>
    <t>AGGREGATE</t>
  </si>
  <si>
    <t>AGGREGATION</t>
  </si>
  <si>
    <t>AGGRESSION</t>
  </si>
  <si>
    <t>AGGRESSIVE</t>
  </si>
  <si>
    <t>| adjective: Characterized by aggression, tending to aggress, making the  first attack, energetic, vigorous.</t>
  </si>
  <si>
    <t>AGGRESSIVENESS</t>
  </si>
  <si>
    <t>AGGRESSOR</t>
  </si>
  <si>
    <t>AGGRIEVE</t>
  </si>
  <si>
    <t>AGHAST</t>
  </si>
  <si>
    <t>AGILE</t>
  </si>
  <si>
    <t>AGILITY</t>
  </si>
  <si>
    <t>AGITATE</t>
  </si>
  <si>
    <t>AGITATION</t>
  </si>
  <si>
    <t>AGITATOR</t>
  </si>
  <si>
    <t>AGO</t>
  </si>
  <si>
    <t>| adj-adv: Gone, past (following nouns), in past time</t>
  </si>
  <si>
    <t>AGONIZE</t>
  </si>
  <si>
    <t>AGONY</t>
  </si>
  <si>
    <t>AGRARIAN</t>
  </si>
  <si>
    <t>AGREE#1</t>
  </si>
  <si>
    <t>| 96% verb: To be of one mind, harmonize in opinion or feeling, give consent, assent</t>
  </si>
  <si>
    <t>AGREE#2</t>
  </si>
  <si>
    <t>| 4% adj: "Agreed"--settled or determined by mutual consent, as "the agreed  price"; of the same opinion, as "we are agreed"</t>
  </si>
  <si>
    <t>AGREEABLE</t>
  </si>
  <si>
    <t>AGREEMENT</t>
  </si>
  <si>
    <t>| noun: Unanimity of opinion, state of accord, mutual arrangement.</t>
  </si>
  <si>
    <t>AGRICULTURAL</t>
  </si>
  <si>
    <t>| adjective: Having to do with agriculture.</t>
  </si>
  <si>
    <t>AGRICULTURE</t>
  </si>
  <si>
    <t>AHEAD</t>
  </si>
  <si>
    <t>| adverb: Forward or in front in time, distance, etc.</t>
  </si>
  <si>
    <t>AID#1</t>
  </si>
  <si>
    <t>| 16% verb: To give help</t>
  </si>
  <si>
    <t>AID#2</t>
  </si>
  <si>
    <t>| 81% noun: Help, a helper</t>
  </si>
  <si>
    <t>AID#3</t>
  </si>
  <si>
    <t>| 3% idiom-noun: "Hearing aid"--handled by "hear"</t>
  </si>
  <si>
    <t>AIDE</t>
  </si>
  <si>
    <t>AIL</t>
  </si>
  <si>
    <t>AILMENT</t>
  </si>
  <si>
    <t>AIM#1</t>
  </si>
  <si>
    <t>| 76% noun: Something intended or desired to be attained by one's efforts-  goal, purpose.</t>
  </si>
  <si>
    <t>AIM#2</t>
  </si>
  <si>
    <t>| 24% verb: To direct at or to, to try for, to direct one's efforts towards;  rarely in sense of weapons (3)</t>
  </si>
  <si>
    <t>AIMLESS</t>
  </si>
  <si>
    <t>AIN'T</t>
  </si>
  <si>
    <t>SUPV VERB BE NEG</t>
  </si>
  <si>
    <t>AIR#1</t>
  </si>
  <si>
    <t>| 67% noun-adj: Gaseous elements surrounding the earth, atmosphere; transported  by airplane (e.g. "air mail") (1)</t>
  </si>
  <si>
    <t>AIR#2</t>
  </si>
  <si>
    <t>| 12% adj: "Air force," "air defense"--referring to airborne military divisions,  and operations</t>
  </si>
  <si>
    <t>AIR#3</t>
  </si>
  <si>
    <t>| 5% noun: A characteristic quality, or trait; affectation (1)</t>
  </si>
  <si>
    <t>AIR#4</t>
  </si>
  <si>
    <t>| 1% verb: To expose to air (0), to make known, publicize (1)</t>
  </si>
  <si>
    <t>AIR#5</t>
  </si>
  <si>
    <t>| 3% idiom-noun: "Air conditioner"</t>
  </si>
  <si>
    <t>AIR#6</t>
  </si>
  <si>
    <t>| 0% noun: Broadcast medium</t>
  </si>
  <si>
    <t>AIR#7</t>
  </si>
  <si>
    <t>| 1% idiom-noun: "Air conditioning"--handled by "condition"</t>
  </si>
  <si>
    <t>AIRCRAFT</t>
  </si>
  <si>
    <t>AIRPLANE</t>
  </si>
  <si>
    <t>AIRPORT</t>
  </si>
  <si>
    <t>AKIN</t>
  </si>
  <si>
    <t>ALABAMA</t>
  </si>
  <si>
    <t>Noun POLIT ECON COLL PLACE USSTATE</t>
  </si>
  <si>
    <t>ALARM#1</t>
  </si>
  <si>
    <t>ALARM#2</t>
  </si>
  <si>
    <t>ALARMING</t>
  </si>
  <si>
    <t>ALAS</t>
  </si>
  <si>
    <t>ALASKA</t>
  </si>
  <si>
    <t>ALBANIA</t>
  </si>
  <si>
    <t>ALBUM</t>
  </si>
  <si>
    <t>ALCOHOLIC</t>
  </si>
  <si>
    <t>ALERT</t>
  </si>
  <si>
    <t>ALERTNESS</t>
  </si>
  <si>
    <t>ALGERIA</t>
  </si>
  <si>
    <t>ALGIERS</t>
  </si>
  <si>
    <t>Noun ECON PLACE POLIT</t>
  </si>
  <si>
    <t>ALIBI</t>
  </si>
  <si>
    <t>ALIEN</t>
  </si>
  <si>
    <t>ALIENATE</t>
  </si>
  <si>
    <t>SUPV Other</t>
  </si>
  <si>
    <t>ALIENATION</t>
  </si>
  <si>
    <t>ALIGHT</t>
  </si>
  <si>
    <t>ALIGN#1</t>
  </si>
  <si>
    <t>ALIGN#2</t>
  </si>
  <si>
    <t>ALIKE</t>
  </si>
  <si>
    <t>ALIVE</t>
  </si>
  <si>
    <t>| adjective: Living, existing, full of life.</t>
  </si>
  <si>
    <t>ALL#1</t>
  </si>
  <si>
    <t>DET PRE PRE2 Modif</t>
  </si>
  <si>
    <t>| 40% adj: Every, any, the whole</t>
  </si>
  <si>
    <t>ALL#10</t>
  </si>
  <si>
    <t>ALL#11</t>
  </si>
  <si>
    <t>ALL#12</t>
  </si>
  <si>
    <t>ALL#13</t>
  </si>
  <si>
    <t>ALL#2</t>
  </si>
  <si>
    <t>PRON INDEF LY Other</t>
  </si>
  <si>
    <t>| 36% pron-adv: Each and every one or thing, the whole--entirely, completely</t>
  </si>
  <si>
    <t>ALL#3</t>
  </si>
  <si>
    <t>| 4% idiom-adv: "At all"--(with negatives)--whatsoever</t>
  </si>
  <si>
    <t>ALL#4</t>
  </si>
  <si>
    <t>| 7% idiom: "All right"--handled by "right"</t>
  </si>
  <si>
    <t>ALL#5</t>
  </si>
  <si>
    <t>| 2% idiom: "All over"--in all places, covering--handled by "over"</t>
  </si>
  <si>
    <t>ALL#6</t>
  </si>
  <si>
    <t>| 1% idiom: "After all"--handled by "after"</t>
  </si>
  <si>
    <t>ALL#7</t>
  </si>
  <si>
    <t>| 0% idiom: "All of a sudden"--handled by "sudden"</t>
  </si>
  <si>
    <t>ALL#8</t>
  </si>
  <si>
    <t>| 4% idiom-adv: "Above all"--handled by "above"</t>
  </si>
  <si>
    <t>ALL#9</t>
  </si>
  <si>
    <t>| 2% idiom-adv: "First of all"--handled by "first"</t>
  </si>
  <si>
    <t>ALL#_10</t>
  </si>
  <si>
    <t>| 0% idiom-adv: "By all means"--handled by "mean"</t>
  </si>
  <si>
    <t>ALL#_11</t>
  </si>
  <si>
    <t>| 0% idiom: "Once and for all"--handled by "once"</t>
  </si>
  <si>
    <t>ALL#_12</t>
  </si>
  <si>
    <t>| 0% idiom-adj: "All of a piece"--the same--handled by "piece"</t>
  </si>
  <si>
    <t>ALL#_13</t>
  </si>
  <si>
    <t>| 0% idiom: "All told"--in all--handled by "told"</t>
  </si>
  <si>
    <t>ALLEDGE</t>
  </si>
  <si>
    <t>ALLEGATION</t>
  </si>
  <si>
    <t>ALLEGE</t>
  </si>
  <si>
    <t>ALLEGIANCE</t>
  </si>
  <si>
    <t>ALLEVIATE</t>
  </si>
  <si>
    <t>ALLIANCE</t>
  </si>
  <si>
    <t>ALLIED</t>
  </si>
  <si>
    <t>ALLIES</t>
  </si>
  <si>
    <t>ALLOCATION</t>
  </si>
  <si>
    <t>ALLOT</t>
  </si>
  <si>
    <t>ALLOTMENT</t>
  </si>
  <si>
    <t>ALLOW#1</t>
  </si>
  <si>
    <t>| 97% verb: Permit</t>
  </si>
  <si>
    <t>ALLOW#2</t>
  </si>
  <si>
    <t>| 3% idiom-verb: "Allow for"--make provision for</t>
  </si>
  <si>
    <t>ALLOWABLE</t>
  </si>
  <si>
    <t>ALLOWANCE</t>
  </si>
  <si>
    <t>ALLURE</t>
  </si>
  <si>
    <t>ALLUSION</t>
  </si>
  <si>
    <t>ALLY#1</t>
  </si>
  <si>
    <t>ALLY#2</t>
  </si>
  <si>
    <t>ALMIGHTY</t>
  </si>
  <si>
    <t>ALMOST</t>
  </si>
  <si>
    <t>| adverb: Very nearly, all but.</t>
  </si>
  <si>
    <t>ALONE#1</t>
  </si>
  <si>
    <t>| 76% adj-adv: Apart from others, solitary, undisturbed</t>
  </si>
  <si>
    <t>ALONE#2</t>
  </si>
  <si>
    <t>| 18% adj-adv: To the exclusion of all others, only</t>
  </si>
  <si>
    <t>ALONE#3</t>
  </si>
  <si>
    <t>| 1% idiom: "Let alone"--not to mention</t>
  </si>
  <si>
    <t>ALONG#1</t>
  </si>
  <si>
    <t>| 79% prep-adverb: Through, beside, on, during, with progressive motion,  in accordance with.</t>
  </si>
  <si>
    <t>ALONG#2</t>
  </si>
  <si>
    <t>| 14% idiom-verb: 'get along'--co-exist or exist in harmony and comfort.</t>
  </si>
  <si>
    <t>ALONG#3</t>
  </si>
  <si>
    <t>| 6% idiom-verb: "Go along (with)"--agree</t>
  </si>
  <si>
    <t>ALONG#4</t>
  </si>
  <si>
    <t>| 0% idiom-verb: 'coming along'--proceeding, progressing (handled by 'come')</t>
  </si>
  <si>
    <t>ALONGSIDE</t>
  </si>
  <si>
    <t>ALOOF</t>
  </si>
  <si>
    <t>ALOUD</t>
  </si>
  <si>
    <t>ALREADY</t>
  </si>
  <si>
    <t>| adverb: By this or that time, previously, prior to or at some specified  or implied time, or now, so soon, so early.</t>
  </si>
  <si>
    <t>ALRIGHT</t>
  </si>
  <si>
    <t>ALSO</t>
  </si>
  <si>
    <t>| adverb: Moreover, in addition.</t>
  </si>
  <si>
    <t>ALTER</t>
  </si>
  <si>
    <t>ALTERATION</t>
  </si>
  <si>
    <t>ALTERCATION</t>
  </si>
  <si>
    <t>ALTERNATE#1</t>
  </si>
  <si>
    <t>ALTERNATE#2</t>
  </si>
  <si>
    <t>ALTERNATIVE</t>
  </si>
  <si>
    <t>ALTHOUGH</t>
  </si>
  <si>
    <t>CONJ CONJ2</t>
  </si>
  <si>
    <t>| conjunction: In spite of the fact that, even though, though.</t>
  </si>
  <si>
    <t>ALTOGETHER</t>
  </si>
  <si>
    <t>ALTRUISTIC</t>
  </si>
  <si>
    <t>ALUMINIUM#1</t>
  </si>
  <si>
    <t>ALUMINUM</t>
  </si>
  <si>
    <t>ALWAYS</t>
  </si>
  <si>
    <t>| adverb: Perpetually, everlastingly, continually.</t>
  </si>
  <si>
    <t>AM#1</t>
  </si>
  <si>
    <t>SUPV VERB BE</t>
  </si>
  <si>
    <t>| 72% verb: Used as a copula to connect a subject and its predicate adjective,  predicate nominative, etc. in order to describe, identify, or amplify  the subject . . . "i am late" . .</t>
  </si>
  <si>
    <t>AM#2</t>
  </si>
  <si>
    <t>| 21% verb-(aux): Used with the present participle of another verb to form  the progressive tense, or, rarely, marginal passives</t>
  </si>
  <si>
    <t>AM#3</t>
  </si>
  <si>
    <t>| 4% adv: Reduced form of "a.m.," the morning</t>
  </si>
  <si>
    <t>AMATEUR</t>
  </si>
  <si>
    <t>AMAZE#1</t>
  </si>
  <si>
    <t>AMAZE#2</t>
  </si>
  <si>
    <t>AMAZEMENT</t>
  </si>
  <si>
    <t>AMAZING</t>
  </si>
  <si>
    <t>AMBASSADOR</t>
  </si>
  <si>
    <t>AMBIGUITY</t>
  </si>
  <si>
    <t>AMBIGUOUS</t>
  </si>
  <si>
    <t>AMBITION</t>
  </si>
  <si>
    <t>| noun: Desire for success or distinction</t>
  </si>
  <si>
    <t>AMBITIOUS</t>
  </si>
  <si>
    <t>AMBIVALENT</t>
  </si>
  <si>
    <t>AMBULANCE</t>
  </si>
  <si>
    <t>AMBUSH#1</t>
  </si>
  <si>
    <t>AMBUSH#2</t>
  </si>
  <si>
    <t>AMELIORATE</t>
  </si>
  <si>
    <t>AMELIORATION</t>
  </si>
  <si>
    <t>AMEN</t>
  </si>
  <si>
    <t>AMENABLE</t>
  </si>
  <si>
    <t>AMEND#1</t>
  </si>
  <si>
    <t>AMEND#2</t>
  </si>
  <si>
    <t>AMENDMENT</t>
  </si>
  <si>
    <t>AMENITY</t>
  </si>
  <si>
    <t>AMERICA</t>
  </si>
  <si>
    <t>AMERICAN</t>
  </si>
  <si>
    <t>AMIABILITY</t>
  </si>
  <si>
    <t>AMIABLE</t>
  </si>
  <si>
    <t>AMICABLE</t>
  </si>
  <si>
    <t>AMID</t>
  </si>
  <si>
    <t>AMIDST</t>
  </si>
  <si>
    <t>AMISS</t>
  </si>
  <si>
    <t>AMMUNITION</t>
  </si>
  <si>
    <t>AMNESTY</t>
  </si>
  <si>
    <t>AMONG</t>
  </si>
  <si>
    <t>| prep: In or in the midst of, without going beyond</t>
  </si>
  <si>
    <t>AMOUNT#1</t>
  </si>
  <si>
    <t>| 92% noun: Quantity.</t>
  </si>
  <si>
    <t>AMOUNT#2</t>
  </si>
  <si>
    <t>| 8% verb: Add up (to)--"he won't amount to much"</t>
  </si>
  <si>
    <t>AMOUR</t>
  </si>
  <si>
    <t>AMPLE</t>
  </si>
  <si>
    <t>AMPLIFY</t>
  </si>
  <si>
    <t>AMPLY</t>
  </si>
  <si>
    <t>AMPUTATE</t>
  </si>
  <si>
    <t>AMUSE</t>
  </si>
  <si>
    <t>AMUSEMENT</t>
  </si>
  <si>
    <t>AN</t>
  </si>
  <si>
    <t>| indef. article: Used before vowel sounds instead of 'a'</t>
  </si>
  <si>
    <t>ANALOGOUS</t>
  </si>
  <si>
    <t>ANALOGY</t>
  </si>
  <si>
    <t>ANALYSE#1</t>
  </si>
  <si>
    <t>ANALYSIS</t>
  </si>
  <si>
    <t>ANALYST</t>
  </si>
  <si>
    <t>ANALYTIC</t>
  </si>
  <si>
    <t>ANALYTICAL</t>
  </si>
  <si>
    <t>ANALYZE</t>
  </si>
  <si>
    <t>ANARCHIST</t>
  </si>
  <si>
    <t>ANARCHY</t>
  </si>
  <si>
    <t>ANCESTOR</t>
  </si>
  <si>
    <t>Noun KIN</t>
  </si>
  <si>
    <t>ANCHOR#1</t>
  </si>
  <si>
    <t>ANCHOR#2</t>
  </si>
  <si>
    <t>ANCIENT</t>
  </si>
  <si>
    <t>AND</t>
  </si>
  <si>
    <t>CONJ CONJ1</t>
  </si>
  <si>
    <t>| conj: Used to connect grammatically coordinate words, phrases, and clauses,  with a variety of semantic interpretations</t>
  </si>
  <si>
    <t>ANECDOTE</t>
  </si>
  <si>
    <t>ANEW</t>
  </si>
  <si>
    <t>ANGEL</t>
  </si>
  <si>
    <t>ANGELIC</t>
  </si>
  <si>
    <t>ANGER#1</t>
  </si>
  <si>
    <t>Noun PFREQ</t>
  </si>
  <si>
    <t>| 86% noun: Wrath, ire.</t>
  </si>
  <si>
    <t>ANGER#2</t>
  </si>
  <si>
    <t>| 14% verb: To make angry.</t>
  </si>
  <si>
    <t>ANGLE</t>
  </si>
  <si>
    <t>ANGOLA</t>
  </si>
  <si>
    <t>ANGRY</t>
  </si>
  <si>
    <t>| adjective: Feeling anger or resentment</t>
  </si>
  <si>
    <t>ANGUISH</t>
  </si>
  <si>
    <t>ANIMAL</t>
  </si>
  <si>
    <t>| noun-adj.: Any member of the animal kingdom</t>
  </si>
  <si>
    <t>ANIMATE</t>
  </si>
  <si>
    <t>ANIMATION</t>
  </si>
  <si>
    <t>ANIMOSITY</t>
  </si>
  <si>
    <t>ANKLE</t>
  </si>
  <si>
    <t>ANNALS</t>
  </si>
  <si>
    <t>ANNIHILATE</t>
  </si>
  <si>
    <t>ANNIHILATION</t>
  </si>
  <si>
    <t>ANNIVERSARY</t>
  </si>
  <si>
    <t>ANNOUNCE#1</t>
  </si>
  <si>
    <t>ANNOUNCE#2</t>
  </si>
  <si>
    <t>ANNOUNCEMENT</t>
  </si>
  <si>
    <t>ANNOY</t>
  </si>
  <si>
    <t>ANNOYANCE</t>
  </si>
  <si>
    <t>ANNUAL</t>
  </si>
  <si>
    <t>ANNUITY</t>
  </si>
  <si>
    <t>Noun ECON</t>
  </si>
  <si>
    <t>ANOINT</t>
  </si>
  <si>
    <t>ANOMALOUS</t>
  </si>
  <si>
    <t>ANOMALY</t>
  </si>
  <si>
    <t>ANONYMOUS</t>
  </si>
  <si>
    <t>ANOTHER#1</t>
  </si>
  <si>
    <t>DET PRE PRE1 ER Modif</t>
  </si>
  <si>
    <t>| 75% adj: One more, a different</t>
  </si>
  <si>
    <t>ANOTHER#2</t>
  </si>
  <si>
    <t>PRON INDEF Impers</t>
  </si>
  <si>
    <t>| 15% pron: One more, or a different, person, thing, etc.</t>
  </si>
  <si>
    <t>ANOTHER#3</t>
  </si>
  <si>
    <t>PRON DEF DEF3 Other</t>
  </si>
  <si>
    <t>| 9% idiom: 'one another'--each other</t>
  </si>
  <si>
    <t>ANSWER#1</t>
  </si>
  <si>
    <t>| 57% verb: To respond to a question, challenge, or statement</t>
  </si>
  <si>
    <t>ANSWER#2</t>
  </si>
  <si>
    <t>| 43% noun: A reply, response, solution, given to a question, statement or problem</t>
  </si>
  <si>
    <t>ANSWERABLE</t>
  </si>
  <si>
    <t>ANT</t>
  </si>
  <si>
    <t>ANTAGONISE#1</t>
  </si>
  <si>
    <t>ANTAGONISM</t>
  </si>
  <si>
    <t>ANTAGONIST</t>
  </si>
  <si>
    <t>ANTAGONISTIC</t>
  </si>
  <si>
    <t>ANTAGONIZE</t>
  </si>
  <si>
    <t>ANTARCTICA</t>
  </si>
  <si>
    <t>ANTI-SOCIAL</t>
  </si>
  <si>
    <t>ANTI-TRUST</t>
  </si>
  <si>
    <t>ANTICIPATE</t>
  </si>
  <si>
    <t>ANTICIPATION</t>
  </si>
  <si>
    <t>ANTIPATHY</t>
  </si>
  <si>
    <t>ANTIQUATED</t>
  </si>
  <si>
    <t>ANTITRUST</t>
  </si>
  <si>
    <t>ANXIETY</t>
  </si>
  <si>
    <t>| noun: Mental distress or uneasiness caused by apprehension of danger or misfortune.</t>
  </si>
  <si>
    <t>ANXIOUS#1</t>
  </si>
  <si>
    <t>| 67% adjective: Eager</t>
  </si>
  <si>
    <t>ANXIOUS#2</t>
  </si>
  <si>
    <t>| 21% adjective: Apprehensive, worried</t>
  </si>
  <si>
    <t>ANXIOUS#3</t>
  </si>
  <si>
    <t>| 13% adverb: "Anxiously"--nervously, excitedly</t>
  </si>
  <si>
    <t>ANXIOUSNESS</t>
  </si>
  <si>
    <t>ANY#1</t>
  </si>
  <si>
    <t>DET PRE PRE2 Modif PFREQ</t>
  </si>
  <si>
    <t>| 87% adj-adv: One or more without specification or identification; every--cf.  "any schoolboy knows that"; at all--cf. "she cannot stand any criticism";  in whate</t>
  </si>
  <si>
    <t>ANY#2</t>
  </si>
  <si>
    <t>| 10% pronoun: Some unspecified person or persons, thing or things, quantity  or number</t>
  </si>
  <si>
    <t>ANY#3</t>
  </si>
  <si>
    <t>| 1% idiom-adv: "In any case"--handled by "case"</t>
  </si>
  <si>
    <t>ANY#4</t>
  </si>
  <si>
    <t>| 0% idiom-adv: "In any event"--handled by "event"</t>
  </si>
  <si>
    <t>ANY#5</t>
  </si>
  <si>
    <t>| 1% idiom-adv: "Any longer"--expresses termination of an action or state--  handled by "long"</t>
  </si>
  <si>
    <t>ANYBODY</t>
  </si>
  <si>
    <t>PRON DEF DEF4 Other</t>
  </si>
  <si>
    <t>| pronoun: Any person</t>
  </si>
  <si>
    <t>ANYHOW</t>
  </si>
  <si>
    <t>ANYMORE</t>
  </si>
  <si>
    <t>ANYONE</t>
  </si>
  <si>
    <t>| pronoun: Any person at all, anybody</t>
  </si>
  <si>
    <t>ANYTHING</t>
  </si>
  <si>
    <t>| pronoun: Thing of any kind</t>
  </si>
  <si>
    <t>ANYWAY</t>
  </si>
  <si>
    <t>| adverb: In any case or manner</t>
  </si>
  <si>
    <t>ANYWHERE</t>
  </si>
  <si>
    <t>| adverb: Any unspecified place</t>
  </si>
  <si>
    <t>APART#1</t>
  </si>
  <si>
    <t>| 54% adv-adj: Spatial, away from-'he went apart from the rest', divided,  separated--'his feet were apart,' 'they find themselves further apart  every day.' (3 abstract)</t>
  </si>
  <si>
    <t>APART#2</t>
  </si>
  <si>
    <t>| 21% idiom-prep: "Apart from"--except for--'apart from the corn, the crops  were good.'</t>
  </si>
  <si>
    <t>APART#3</t>
  </si>
  <si>
    <t>| 18% idiom-verb: "Fall (fell) apart"--handled by 'fall,' etc.</t>
  </si>
  <si>
    <t>APARTMENT</t>
  </si>
  <si>
    <t>| noun: A room or set of rooms designed for use as a dwelling.</t>
  </si>
  <si>
    <t>APATHETIC</t>
  </si>
  <si>
    <t>APATHY</t>
  </si>
  <si>
    <t>APOCALYPSE</t>
  </si>
  <si>
    <t>APOLOGETIC</t>
  </si>
  <si>
    <t>APOLOGIZE</t>
  </si>
  <si>
    <t>APOLOGY</t>
  </si>
  <si>
    <t>APPALL#1</t>
  </si>
  <si>
    <t>APPALL#2</t>
  </si>
  <si>
    <t>APPARATUS</t>
  </si>
  <si>
    <t>APPARENT#1</t>
  </si>
  <si>
    <t>| 42% adj: Perceptible, evident</t>
  </si>
  <si>
    <t>APPARENT#2</t>
  </si>
  <si>
    <t>| 58% adv: "Apparently"--seemingly, evidently</t>
  </si>
  <si>
    <t>APPEAL#1</t>
  </si>
  <si>
    <t>| 38% noun-adj: A request for a decision, help, sympathy, etc. (6), a quality  arousing a favorable response (6)</t>
  </si>
  <si>
    <t>APPEAL#2</t>
  </si>
  <si>
    <t>| 59% verb: To request a decision, help, sympathy, etc. (10), to arouse  a favorable response (9)</t>
  </si>
  <si>
    <t>APPEAL#3</t>
  </si>
  <si>
    <t>| 3% adj: "Appealing"--arousing a favorable response</t>
  </si>
  <si>
    <t>APPEAR#1</t>
  </si>
  <si>
    <t>SUPV VERB LINK</t>
  </si>
  <si>
    <t>| 64% verb: To seem</t>
  </si>
  <si>
    <t>APPEAR#2</t>
  </si>
  <si>
    <t>| 36% verb: To physically emerge, come into sight</t>
  </si>
  <si>
    <t>APPEARANCE</t>
  </si>
  <si>
    <t>APPEASE</t>
  </si>
  <si>
    <t>APPEASEMENT</t>
  </si>
  <si>
    <t>APPEND</t>
  </si>
  <si>
    <t>APPERTAIN</t>
  </si>
  <si>
    <t>APPETITE</t>
  </si>
  <si>
    <t>APPLAUD</t>
  </si>
  <si>
    <t>APPLAUSE</t>
  </si>
  <si>
    <t>APPLICABLE</t>
  </si>
  <si>
    <t>APPLICANT</t>
  </si>
  <si>
    <t>APPLICATION</t>
  </si>
  <si>
    <t>APPLY#1</t>
  </si>
  <si>
    <t>| 79% verb: To have relevance to, put to use on, use or consider in regard  to, to bring to bear (only 2 physical--i.e. "she applied the paint")</t>
  </si>
  <si>
    <t>APPLY#2</t>
  </si>
  <si>
    <t>| 12% verb: To make application or request--'to apply for a job'</t>
  </si>
  <si>
    <t>APPLY#3</t>
  </si>
  <si>
    <t>| 3% verb: Reflexive--to give special attention or effort 'to apply oneself'</t>
  </si>
  <si>
    <t>APPLY#4</t>
  </si>
  <si>
    <t>| 3% adj: "Applied"--used in practice or to work out practical problems</t>
  </si>
  <si>
    <t>APPOINT#1</t>
  </si>
  <si>
    <t>APPOINT#2</t>
  </si>
  <si>
    <t>APPOINTMENT</t>
  </si>
  <si>
    <t>APPRAISAL</t>
  </si>
  <si>
    <t>APPRAISE</t>
  </si>
  <si>
    <t>APPRECIABLE</t>
  </si>
  <si>
    <t>APPRECIATE</t>
  </si>
  <si>
    <t>| verb: To be aware of, to be grateful</t>
  </si>
  <si>
    <t>APPRECIATION</t>
  </si>
  <si>
    <t>APPRECIATIVE</t>
  </si>
  <si>
    <t>APPREHEND</t>
  </si>
  <si>
    <t>APPREHENSION</t>
  </si>
  <si>
    <t>APPREHENSIVE</t>
  </si>
  <si>
    <t>APPROACH#1</t>
  </si>
  <si>
    <t>| 66% verb: To come near or nearer to, or to set about a task</t>
  </si>
  <si>
    <t>APPROACH#2</t>
  </si>
  <si>
    <t>| 34% noun: The method used or steps taken in setting about a task, problem;  a coming toward</t>
  </si>
  <si>
    <t>APPROPRIATE#1</t>
  </si>
  <si>
    <t>APPROPRIATE#2</t>
  </si>
  <si>
    <t>APPROPRIATION</t>
  </si>
  <si>
    <t>APPROVAL</t>
  </si>
  <si>
    <t>APPROVE#1</t>
  </si>
  <si>
    <t>APPROVE#2</t>
  </si>
  <si>
    <t>APPROXIMATE</t>
  </si>
  <si>
    <t>APPROXIMATELY</t>
  </si>
  <si>
    <t>APRIL</t>
  </si>
  <si>
    <t>APT</t>
  </si>
  <si>
    <t>APTITUDE</t>
  </si>
  <si>
    <t>ARAB</t>
  </si>
  <si>
    <t>ARABIA</t>
  </si>
  <si>
    <t>Noun POLIT ECON PLACE COLL</t>
  </si>
  <si>
    <t>ARBITER</t>
  </si>
  <si>
    <t>ARBITRARY</t>
  </si>
  <si>
    <t>ARBITRATE</t>
  </si>
  <si>
    <t>ARBITRATION</t>
  </si>
  <si>
    <t>ARBITRATOR</t>
  </si>
  <si>
    <t>ARCH#1</t>
  </si>
  <si>
    <t>ARCH#2</t>
  </si>
  <si>
    <t>ARCHITECT</t>
  </si>
  <si>
    <t>ARCHITECTURE</t>
  </si>
  <si>
    <t>ARDENT</t>
  </si>
  <si>
    <t>ARDOUR</t>
  </si>
  <si>
    <t>Noun EMOT</t>
  </si>
  <si>
    <t>ARDUOUS</t>
  </si>
  <si>
    <t>ARE#1</t>
  </si>
  <si>
    <t>| 70% verb: Used as copula connecting subject to predicate adjective or  nominative, or to connote existence (especially with 'there . . .')</t>
  </si>
  <si>
    <t>ARE#2</t>
  </si>
  <si>
    <t>| 8% verb: Used as auxiliary to form simple progressive</t>
  </si>
  <si>
    <t>ARE#3</t>
  </si>
  <si>
    <t>SUPV VERB BE Passive</t>
  </si>
  <si>
    <t>| 22% verb: Used as auxiliary to form passive</t>
  </si>
  <si>
    <t>ARE#4</t>
  </si>
  <si>
    <t>| 1% verb: Used as auxiliary to form passive progressive</t>
  </si>
  <si>
    <t>AREA</t>
  </si>
  <si>
    <t>| noun: Region, tract, extent, range, scope, field of study</t>
  </si>
  <si>
    <t>ARENA</t>
  </si>
  <si>
    <t>ARGENTINE</t>
  </si>
  <si>
    <t>Modif POLIT ECON PLACE</t>
  </si>
  <si>
    <t>ARGUE#1</t>
  </si>
  <si>
    <t>| 44% verb: To dispute, to contend in argument--'they argue a lot' (sense  of animosity)</t>
  </si>
  <si>
    <t>ARGUE#2</t>
  </si>
  <si>
    <t>| 56% verb: To present reasons for, to maintain in reasoning--'to argue  that,' or 'to argue for'--(sense of reasoning)</t>
  </si>
  <si>
    <t>ARGUMENT#1</t>
  </si>
  <si>
    <t>| 63% noun: A (heated) discussion involving different points of view</t>
  </si>
  <si>
    <t>ARGUMENT#2</t>
  </si>
  <si>
    <t>| 31% noun: A reason, a statement attempting to demonstrate the correctness  of a position</t>
  </si>
  <si>
    <t>ARID</t>
  </si>
  <si>
    <t>ARISE</t>
  </si>
  <si>
    <t>ARISEN</t>
  </si>
  <si>
    <t>ARISTOCRACY</t>
  </si>
  <si>
    <t>ARISTOCRAT</t>
  </si>
  <si>
    <t>ARISTOCRATIC</t>
  </si>
  <si>
    <t>ARIZONA</t>
  </si>
  <si>
    <t>ARKANSAS</t>
  </si>
  <si>
    <t>ARM#1</t>
  </si>
  <si>
    <t>| 81% noun-adj: The bodypart or a device resembling it (much less frequent)</t>
  </si>
  <si>
    <t>ARM#2</t>
  </si>
  <si>
    <t>| 16% noun: "Arms"--weapons</t>
  </si>
  <si>
    <t>ARM#3</t>
  </si>
  <si>
    <t>| 1% verb: To equip with weapons</t>
  </si>
  <si>
    <t>ARMAMENT</t>
  </si>
  <si>
    <t>ARMED#1</t>
  </si>
  <si>
    <t>| adj: Equipped with weapons</t>
  </si>
  <si>
    <t>ARMED#2</t>
  </si>
  <si>
    <t>SUPV ED</t>
  </si>
  <si>
    <t>| 0% verb: To equip with weapons (past tense)</t>
  </si>
  <si>
    <t>ARMISTICE</t>
  </si>
  <si>
    <t>ARMY</t>
  </si>
  <si>
    <t>| noun: The military forces of a nation</t>
  </si>
  <si>
    <t>AROSE</t>
  </si>
  <si>
    <t>AROUND</t>
  </si>
  <si>
    <t>| adverb-prep: With no definite direction, in a circle, surrounding or enclosing,  in the vicinity, along the circumference.</t>
  </si>
  <si>
    <t>AROUSE#1</t>
  </si>
  <si>
    <t>ED</t>
  </si>
  <si>
    <t>ARRANGE#1</t>
  </si>
  <si>
    <t>| 59% verb: To come to an agreement concerning, to prepare or plan--'we  arranged to meet them.'</t>
  </si>
  <si>
    <t>ARRANGE#2</t>
  </si>
  <si>
    <t>| 41% verb: To place in proper, desired, or convenient order--'the rooms  were arranged in one straight hallway.'</t>
  </si>
  <si>
    <t>ARRANGEMENT</t>
  </si>
  <si>
    <t>ARREST#1</t>
  </si>
  <si>
    <t>| 15% noun-adj: Halting, seizure, usually by legal authority, seized, halted, stopped</t>
  </si>
  <si>
    <t>ARREST#2</t>
  </si>
  <si>
    <t>| 81% verb: To halt, stop, seize by legal authority</t>
  </si>
  <si>
    <t>ARREST#3</t>
  </si>
  <si>
    <t>| 4% adj: 'arresting'--striking</t>
  </si>
  <si>
    <t>ARRIVAL</t>
  </si>
  <si>
    <t>ARRIVE</t>
  </si>
  <si>
    <t>| verb: To reach one's destination, to reach a conclusion, goal, etc. (5);  to come to pass ("the time has arrived") (3)</t>
  </si>
  <si>
    <t>ARROGANCE</t>
  </si>
  <si>
    <t>ARROGANT</t>
  </si>
  <si>
    <t>ARROW</t>
  </si>
  <si>
    <t>| noun: Straight, pointed weapon</t>
  </si>
  <si>
    <t>ARSENAL</t>
  </si>
  <si>
    <t>ART#1</t>
  </si>
  <si>
    <t>| 63% noun-adj: Painting, and more generally all the 'fine arts,' having  to do with beauty</t>
  </si>
  <si>
    <t>ART#2</t>
  </si>
  <si>
    <t>| 17% noun: Technical--having to do with higher education 'liberal arts  education,' 'bachelor of arts'</t>
  </si>
  <si>
    <t>ART#3</t>
  </si>
  <si>
    <t>| 7% verb: Archaic for are 'thou art'</t>
  </si>
  <si>
    <t>ART#4</t>
  </si>
  <si>
    <t>| 13% noun: The particular skill of--'the difficult art of rowing'</t>
  </si>
  <si>
    <t>ARTERY</t>
  </si>
  <si>
    <t>ARTICLE</t>
  </si>
  <si>
    <t>ARTICULATE#1</t>
  </si>
  <si>
    <t>ARTICULATE#2</t>
  </si>
  <si>
    <t>Modif SUPV</t>
  </si>
  <si>
    <t>ARTIFICIAL</t>
  </si>
  <si>
    <t>ARTIST</t>
  </si>
  <si>
    <t>| noun: One who creates works of art, especially a painter</t>
  </si>
  <si>
    <t>ARTISTIC</t>
  </si>
  <si>
    <t>AS#1</t>
  </si>
  <si>
    <t>| 75% conj-prep: Like, since, because, while, in the capacity, manner or  degree of--second term of correlated structures introduced by 'so,' 'such,'  'same,' etc.</t>
  </si>
  <si>
    <t>AS#10</t>
  </si>
  <si>
    <t>AS#11</t>
  </si>
  <si>
    <t>AS#12</t>
  </si>
  <si>
    <t>AS#2</t>
  </si>
  <si>
    <t>| 11% adv: To such a degree or extent, so</t>
  </si>
  <si>
    <t>AS#3</t>
  </si>
  <si>
    <t>| 4% prep: 'as to,' 'as for'--with respect to, concerning</t>
  </si>
  <si>
    <t>AS#4</t>
  </si>
  <si>
    <t>| 2% idiom-conj: 'as though'--handled by 'though'</t>
  </si>
  <si>
    <t>AS#5</t>
  </si>
  <si>
    <t>| 2% idiom: 'as well (as)'--in addition (to)--handled by 'well'</t>
  </si>
  <si>
    <t>AS#6</t>
  </si>
  <si>
    <t>| 2% idiom-prep: 'such as'--handled by 'such'</t>
  </si>
  <si>
    <t>AS#7</t>
  </si>
  <si>
    <t>| 0% idiom-adv: 'as such'--handled by 'such'</t>
  </si>
  <si>
    <t>AS#8</t>
  </si>
  <si>
    <t>| 1% idiom-adv: 'as yet'--handled by 'yet'</t>
  </si>
  <si>
    <t>AS#9</t>
  </si>
  <si>
    <t>| 0% idiom-adv: 'as a matter of fact'--handled by 'matter'</t>
  </si>
  <si>
    <t>AS#_10</t>
  </si>
  <si>
    <t>| 0% idiom-verb: 'act as'--handled by 'act'</t>
  </si>
  <si>
    <t>AS#_11</t>
  </si>
  <si>
    <t>| 1% idiom-adv: 'as usual'--handled by 'usual'</t>
  </si>
  <si>
    <t>AS#_12</t>
  </si>
  <si>
    <t>| 0% idiom-adv: "As a rule"--generally--handled by "rule"</t>
  </si>
  <si>
    <t>ASCEND</t>
  </si>
  <si>
    <t>ASCENDANCY</t>
  </si>
  <si>
    <t>ASCENDANT</t>
  </si>
  <si>
    <t>ASCENT</t>
  </si>
  <si>
    <t>ASCERTAIN</t>
  </si>
  <si>
    <t>ASCERTAINMENT</t>
  </si>
  <si>
    <t>ASCRIBE</t>
  </si>
  <si>
    <t>ASH</t>
  </si>
  <si>
    <t>| noun: Powdery residue of burned matter</t>
  </si>
  <si>
    <t>ASHAMED</t>
  </si>
  <si>
    <t>ASIA</t>
  </si>
  <si>
    <t>ASIDE#1</t>
  </si>
  <si>
    <t>| 72% adverb: To one side, apart, in reserve</t>
  </si>
  <si>
    <t>ASIDE#2</t>
  </si>
  <si>
    <t>| 28% idiom-prep: 'aside from', besides, except for</t>
  </si>
  <si>
    <t>ASK#1</t>
  </si>
  <si>
    <t>| 65% verb: To inquire about</t>
  </si>
  <si>
    <t>ASK#2</t>
  </si>
  <si>
    <t>| 31% verb: To request, invite</t>
  </si>
  <si>
    <t>ASLEEP</t>
  </si>
  <si>
    <t>| adj-adv: In or into a state of sleep</t>
  </si>
  <si>
    <t>ASPECT</t>
  </si>
  <si>
    <t>| noun: A way in which a thing may be viewed or regarded, the different  components of a thing or problem, facets, 'the problem has many aspects.'</t>
  </si>
  <si>
    <t>ASPIRATION</t>
  </si>
  <si>
    <t>ASPIRE</t>
  </si>
  <si>
    <t>ASS</t>
  </si>
  <si>
    <t>ASSAIL</t>
  </si>
  <si>
    <t>ASSAILANT</t>
  </si>
  <si>
    <t>Noun Other</t>
  </si>
  <si>
    <t>ASSASSIN</t>
  </si>
  <si>
    <t>ASSASSINATE</t>
  </si>
  <si>
    <t>ASSASSINATION</t>
  </si>
  <si>
    <t>ASSAULT#1</t>
  </si>
  <si>
    <t>ASSAULT#2</t>
  </si>
  <si>
    <t>ASSEMBLE</t>
  </si>
  <si>
    <t>ASSEMBLY</t>
  </si>
  <si>
    <t>ASSENT</t>
  </si>
  <si>
    <t>ASSERT</t>
  </si>
  <si>
    <t>ASSERTION</t>
  </si>
  <si>
    <t>ASSERTIVE</t>
  </si>
  <si>
    <t>ASSESS</t>
  </si>
  <si>
    <t>ASSESSMENT</t>
  </si>
  <si>
    <t>ASSESSOR</t>
  </si>
  <si>
    <t>ASSET</t>
  </si>
  <si>
    <t>ASSIGN#1</t>
  </si>
  <si>
    <t>ASSIGN#2</t>
  </si>
  <si>
    <t>ASSIGNMENT</t>
  </si>
  <si>
    <t>ASSIMILATE</t>
  </si>
  <si>
    <t>ASSIST#1</t>
  </si>
  <si>
    <t>ASSIST#2</t>
  </si>
  <si>
    <t>ASSISTANCE</t>
  </si>
  <si>
    <t>| noun: Act of assisting, help, aid.</t>
  </si>
  <si>
    <t>ASSISTANT</t>
  </si>
  <si>
    <t>ASSOCIATE#1</t>
  </si>
  <si>
    <t>| 33% noun-adj: A partner or peer</t>
  </si>
  <si>
    <t>ASSOCIATE#2</t>
  </si>
  <si>
    <t>| 59% verb: To make a connection between things, to mix with socially</t>
  </si>
  <si>
    <t>ASSOCIATE#3</t>
  </si>
  <si>
    <t>| 7% adj: "Associated"--connected with</t>
  </si>
  <si>
    <t>ASSOCIATION#1</t>
  </si>
  <si>
    <t>| 79% noun: An organization of people with a common purpose, having a formal  structure</t>
  </si>
  <si>
    <t>ASSOCIATION#2</t>
  </si>
  <si>
    <t>| 21% noun: Any other connection, relation or combination</t>
  </si>
  <si>
    <t>ASSUME#1</t>
  </si>
  <si>
    <t>| 44% verb: To undertake, take over the duties of, or adopt</t>
  </si>
  <si>
    <t>ASSUME#2</t>
  </si>
  <si>
    <t>| 56% verb: To take for granted, suppose, postulate</t>
  </si>
  <si>
    <t>ASSUMPTION</t>
  </si>
  <si>
    <t>ASSURANCE</t>
  </si>
  <si>
    <t>ASSURE#1</t>
  </si>
  <si>
    <t>| 50% verb: To guarantee, by virtue of some action, that something will come about</t>
  </si>
  <si>
    <t>ASSURE#2</t>
  </si>
  <si>
    <t>| 33% verb: To pledge, to state with confidence, to make confident</t>
  </si>
  <si>
    <t>ASSURE#3</t>
  </si>
  <si>
    <t>| 17% adj: "Assured"--confident (2), guaranteed (1)</t>
  </si>
  <si>
    <t>ASSUREDLY</t>
  </si>
  <si>
    <t>ASSUREDNESS</t>
  </si>
  <si>
    <t>ASTONISH#1</t>
  </si>
  <si>
    <t>ASTONISH#2</t>
  </si>
  <si>
    <t>ASTOUND</t>
  </si>
  <si>
    <t>ASTRAY</t>
  </si>
  <si>
    <t>ASTRONOMICAL</t>
  </si>
  <si>
    <t>ASTRONOMY</t>
  </si>
  <si>
    <t>ASTUTE</t>
  </si>
  <si>
    <t>ASUNDER</t>
  </si>
  <si>
    <t>AT</t>
  </si>
  <si>
    <t>| prep: Indicates location, direction, time</t>
  </si>
  <si>
    <t>ATE</t>
  </si>
  <si>
    <t>| verb: Past tense of eat, consumed.</t>
  </si>
  <si>
    <t>ATHLETIC</t>
  </si>
  <si>
    <t>ATLANTIC</t>
  </si>
  <si>
    <t>ATLANTIC-ALIANCE</t>
  </si>
  <si>
    <t>Noun POLIT COLL SUPRAS</t>
  </si>
  <si>
    <t>ATLANTIC-COMMUNITY</t>
  </si>
  <si>
    <t>ATLANTIC-PACT</t>
  </si>
  <si>
    <t>ATLAS</t>
  </si>
  <si>
    <t>ATMOSPHERE</t>
  </si>
  <si>
    <t>| noun: Pervading or surrounding quality or tone</t>
  </si>
  <si>
    <t>ATOM</t>
  </si>
  <si>
    <t>ATOMIC</t>
  </si>
  <si>
    <t>ATOP</t>
  </si>
  <si>
    <t>ATROCIOUS</t>
  </si>
  <si>
    <t>Modif Vice</t>
  </si>
  <si>
    <t>ATROPHY</t>
  </si>
  <si>
    <t>ATTACH</t>
  </si>
  <si>
    <t>ATTACHMENT</t>
  </si>
  <si>
    <t>ATTACK#1</t>
  </si>
  <si>
    <t>| 55% noun: An onslaught, assault</t>
  </si>
  <si>
    <t>ATTACK#2</t>
  </si>
  <si>
    <t>| 34% verb: To assault (physically or figuratively)</t>
  </si>
  <si>
    <t>ATTACK#3</t>
  </si>
  <si>
    <t>| 10% noun: A seizure by disease, especially "heart attack"</t>
  </si>
  <si>
    <t>ATTACKER</t>
  </si>
  <si>
    <t>ATTAIN</t>
  </si>
  <si>
    <t>ATTAINABLE</t>
  </si>
  <si>
    <t>ATTAINMENT</t>
  </si>
  <si>
    <t>ATTEMPT#1</t>
  </si>
  <si>
    <t>| 38% verb: To try, make an effort</t>
  </si>
  <si>
    <t>ATTEMPT#2</t>
  </si>
  <si>
    <t>| 59% noun: A try or effort</t>
  </si>
  <si>
    <t>ATTEMPT#3</t>
  </si>
  <si>
    <t>| 1% adj: "Attempted"--essayed, ventured</t>
  </si>
  <si>
    <t>ATTEND#1</t>
  </si>
  <si>
    <t>| 83% verb: To be present at.</t>
  </si>
  <si>
    <t>ATTEND#2</t>
  </si>
  <si>
    <t>| 5% verb: To give heed to (0), to take care of (3), accompany as a concomitant  or result (0)</t>
  </si>
  <si>
    <t>ATTENDANCE</t>
  </si>
  <si>
    <t>ATTENDANT</t>
  </si>
  <si>
    <t>ATTENTION</t>
  </si>
  <si>
    <t>| noun: The act or faculty of attending, by directing the mind to an object</t>
  </si>
  <si>
    <t>ATTENTIVE</t>
  </si>
  <si>
    <t>ATTEST</t>
  </si>
  <si>
    <t>ATTIC</t>
  </si>
  <si>
    <t>ATTITUDE</t>
  </si>
  <si>
    <t>| noun: Manner, disposition, feeling, position, etc. with regard to a person,  thing or idea</t>
  </si>
  <si>
    <t>ATTORNEY</t>
  </si>
  <si>
    <t>ATTRACT</t>
  </si>
  <si>
    <t>ATTRACTION</t>
  </si>
  <si>
    <t>ATTRACTIVE</t>
  </si>
  <si>
    <t>ATTRACTIVENESS</t>
  </si>
  <si>
    <t>ATTRIBUTE#1</t>
  </si>
  <si>
    <t>ATTRIBUTE#2</t>
  </si>
  <si>
    <t>ATTUNE</t>
  </si>
  <si>
    <t>AUCTION</t>
  </si>
  <si>
    <t>AUDACIOUS</t>
  </si>
  <si>
    <t>AUDACITY</t>
  </si>
  <si>
    <t>AUDIBLE</t>
  </si>
  <si>
    <t>AUDIENCE</t>
  </si>
  <si>
    <t>AUDITOR</t>
  </si>
  <si>
    <t>AUGMENT</t>
  </si>
  <si>
    <t>AUGMENTATION</t>
  </si>
  <si>
    <t>AUGUST</t>
  </si>
  <si>
    <t>AUNT</t>
  </si>
  <si>
    <t>| noun: The sister of one's father or mother</t>
  </si>
  <si>
    <t>AUSPICIOUS</t>
  </si>
  <si>
    <t>AUSTERE</t>
  </si>
  <si>
    <t>AUSTRALIA</t>
  </si>
  <si>
    <t>AUSTRALIAN</t>
  </si>
  <si>
    <t>AUSTRIA</t>
  </si>
  <si>
    <t>AUSTRIAN</t>
  </si>
  <si>
    <t>AUTHENTIC</t>
  </si>
  <si>
    <t>AUTHENTICITY</t>
  </si>
  <si>
    <t>AUTHOR</t>
  </si>
  <si>
    <t>AUTHORISE#1</t>
  </si>
  <si>
    <t>AUTHORITARIAN</t>
  </si>
  <si>
    <t>AUTHORITATIVE</t>
  </si>
  <si>
    <t>AUTHORITY</t>
  </si>
  <si>
    <t>AUTHORIZE#1</t>
  </si>
  <si>
    <t>AUTHORIZE#2</t>
  </si>
  <si>
    <t>AUTO</t>
  </si>
  <si>
    <t>AUTOCRAT</t>
  </si>
  <si>
    <t>AUTOCRATIC</t>
  </si>
  <si>
    <t>AUTOMATIC</t>
  </si>
  <si>
    <t>AUTOMOBILE</t>
  </si>
  <si>
    <t>AUTOMOTIVE</t>
  </si>
  <si>
    <t>AUTONOMOUS</t>
  </si>
  <si>
    <t>AUTONOMY</t>
  </si>
  <si>
    <t>AUTUMN</t>
  </si>
  <si>
    <t>AUXILIARY</t>
  </si>
  <si>
    <t>AVAIL</t>
  </si>
  <si>
    <t>AVAILABILITY</t>
  </si>
  <si>
    <t>AVAILABLE</t>
  </si>
  <si>
    <t>| adjective: Accessible, at hand</t>
  </si>
  <si>
    <t>AVARICE</t>
  </si>
  <si>
    <t>AVARICIOUS</t>
  </si>
  <si>
    <t>AVENGE</t>
  </si>
  <si>
    <t>AVENUE</t>
  </si>
  <si>
    <t>AVERAGE#1</t>
  </si>
  <si>
    <t>| 65% adj: Constituting a numerical average, typical, ordinary</t>
  </si>
  <si>
    <t>AVERAGE#2</t>
  </si>
  <si>
    <t>| 30% noun: An arithmetic mean, an approximation to this</t>
  </si>
  <si>
    <t>AVERAGE#3</t>
  </si>
  <si>
    <t>| 3% verb: To reduce to or result in a mean</t>
  </si>
  <si>
    <t>AVERSION</t>
  </si>
  <si>
    <t>AVERT</t>
  </si>
  <si>
    <t>AVID</t>
  </si>
  <si>
    <t>AVOID</t>
  </si>
  <si>
    <t>| verb: To keep away from, keep clear of</t>
  </si>
  <si>
    <t>AVOIDANCE</t>
  </si>
  <si>
    <t>AVOWAL</t>
  </si>
  <si>
    <t>AWAIT</t>
  </si>
  <si>
    <t>AWAKE</t>
  </si>
  <si>
    <t>AWAKEN</t>
  </si>
  <si>
    <t>AWARD#1</t>
  </si>
  <si>
    <t>AWARD#2</t>
  </si>
  <si>
    <t>AWARE</t>
  </si>
  <si>
    <t>AWARENESS</t>
  </si>
  <si>
    <t>AWAY#1</t>
  </si>
  <si>
    <t>LY PFREQ</t>
  </si>
  <si>
    <t>| 88% adverb: Off, at or to a distance from here and now.</t>
  </si>
  <si>
    <t>AWAY#2</t>
  </si>
  <si>
    <t>| 9% idiom-verb: 'get away'--avoid, escape</t>
  </si>
  <si>
    <t>AWAY#3</t>
  </si>
  <si>
    <t>| 2% idiom-adverb: 'right away'--immediately</t>
  </si>
  <si>
    <t>AWAY#4</t>
  </si>
  <si>
    <t>| 1% idiom-adj: "Carried away"--handled by "carry"</t>
  </si>
  <si>
    <t>AWE</t>
  </si>
  <si>
    <t>AWFUL#1</t>
  </si>
  <si>
    <t>| 60% adjective-adv: Extremely bad, unpleasant, ugly; very (7)</t>
  </si>
  <si>
    <t>AWFUL#2</t>
  </si>
  <si>
    <t>| 17% idiom: 'an awful lot', a great deal.</t>
  </si>
  <si>
    <t>AWFUL#3</t>
  </si>
  <si>
    <t>| 21% adverb: "Awfully"--extremely</t>
  </si>
  <si>
    <t>AWHILE</t>
  </si>
  <si>
    <t>AWKWARD</t>
  </si>
  <si>
    <t>AWKWARDNESS</t>
  </si>
  <si>
    <t>AWOKE#1</t>
  </si>
  <si>
    <t>AX</t>
  </si>
  <si>
    <t>AXE</t>
  </si>
  <si>
    <t>| noun: Tool used to cleave and chop</t>
  </si>
  <si>
    <t>AXIS</t>
  </si>
  <si>
    <t>AXLE</t>
  </si>
  <si>
    <t>BABBLE</t>
  </si>
  <si>
    <t>BABY#1</t>
  </si>
  <si>
    <t>Noun KIN PFREQ</t>
  </si>
  <si>
    <t>| 95% noun-adj: An infant</t>
  </si>
  <si>
    <t>BABY#2</t>
  </si>
  <si>
    <t>| 3% idiom-noun: "Baby sitter"--a person given charge of a child</t>
  </si>
  <si>
    <t>BABY#3</t>
  </si>
  <si>
    <t>| 2% noun: Affectionate or familiar form of address or reference</t>
  </si>
  <si>
    <t>BACHELOR</t>
  </si>
  <si>
    <t>BACK#1</t>
  </si>
  <si>
    <t>| 80% adverb: Toward an original or previous place, time, or condition;  to the rear, behind (much less frequ</t>
  </si>
  <si>
    <t>BACK#2</t>
  </si>
  <si>
    <t>| 1% verb: To support</t>
  </si>
  <si>
    <t>BACK#3</t>
  </si>
  <si>
    <t>| 1% verb: To move or cause to move backwards, to abandon a position or argument</t>
  </si>
  <si>
    <t>BACK#4</t>
  </si>
  <si>
    <t>| 14% noun-adj: The rear part of something, body part</t>
  </si>
  <si>
    <t>BACK#5</t>
  </si>
  <si>
    <t>| 0% noun: "Backing"--support</t>
  </si>
  <si>
    <t>BACK#6</t>
  </si>
  <si>
    <t>| 3% idiom-verb: 'come back'--handled by 'come'</t>
  </si>
  <si>
    <t>BACK#7</t>
  </si>
  <si>
    <t>| 1% idiom-adv: 'back and forth'--handled by 'forth'</t>
  </si>
  <si>
    <t>BACK#8</t>
  </si>
  <si>
    <t>| 0% idiom-verb: 'look back'--handled by 'look'</t>
  </si>
  <si>
    <t>BACKBONE</t>
  </si>
  <si>
    <t>BACKER</t>
  </si>
  <si>
    <t>BACKGROUND</t>
  </si>
  <si>
    <t>BACKING</t>
  </si>
  <si>
    <t>BACKWARD</t>
  </si>
  <si>
    <t>BACKWARDNESS</t>
  </si>
  <si>
    <t>BACON</t>
  </si>
  <si>
    <t>BAD</t>
  </si>
  <si>
    <t>| adj: Marks negative evaluation on a dimension specified by context--not  good, of poor quality, offensive, unfortunate</t>
  </si>
  <si>
    <t>BADGER</t>
  </si>
  <si>
    <t>| noun: A burrowing mammal</t>
  </si>
  <si>
    <t>BADLY</t>
  </si>
  <si>
    <t>BAFFLE</t>
  </si>
  <si>
    <t>BAFFLEMENT</t>
  </si>
  <si>
    <t>BAG#1</t>
  </si>
  <si>
    <t>| 97% noun: Flexible container, sack</t>
  </si>
  <si>
    <t>BAG#2</t>
  </si>
  <si>
    <t>| 3% verb-adj: To sag (1), sagging (0); load, put in a sack (0)</t>
  </si>
  <si>
    <t>BAIL</t>
  </si>
  <si>
    <t>BAIT</t>
  </si>
  <si>
    <t>BAKE</t>
  </si>
  <si>
    <t>BAKER</t>
  </si>
  <si>
    <t>BALANCE#1</t>
  </si>
  <si>
    <t>BALANCE#2</t>
  </si>
  <si>
    <t>BALE</t>
  </si>
  <si>
    <t>BALK</t>
  </si>
  <si>
    <t>BALL#1</t>
  </si>
  <si>
    <t>| 50% noun-adj: A spherical object, a kind of bullet (0)</t>
  </si>
  <si>
    <t>BALL#2</t>
  </si>
  <si>
    <t>| 25% noun-adj: A game which is played with a ball</t>
  </si>
  <si>
    <t>BALL#3</t>
  </si>
  <si>
    <t>| 4% noun: A formal social dance</t>
  </si>
  <si>
    <t>BALL#4</t>
  </si>
  <si>
    <t>| 4% noun: Male genitals</t>
  </si>
  <si>
    <t>BALL#5</t>
  </si>
  <si>
    <t>| 4% noun: A good time--'have a ball'</t>
  </si>
  <si>
    <t>BALL#6</t>
  </si>
  <si>
    <t>| 0% idiom-adj: "On the ball"--alert, efficient</t>
  </si>
  <si>
    <t>BALLET</t>
  </si>
  <si>
    <t>BALLISTIC</t>
  </si>
  <si>
    <t>Noun Modif</t>
  </si>
  <si>
    <t>BALLOON</t>
  </si>
  <si>
    <t>BALLOT</t>
  </si>
  <si>
    <t>BALMY</t>
  </si>
  <si>
    <t>BAN#1</t>
  </si>
  <si>
    <t>BAN#2</t>
  </si>
  <si>
    <t>BANAL</t>
  </si>
  <si>
    <t>BAND#1</t>
  </si>
  <si>
    <t>| 97% noun: A company of persons, a group of animals (1), a group of musicians  (4), a strip, stripe or binding (4)</t>
  </si>
  <si>
    <t>BAND#2</t>
  </si>
  <si>
    <t>| 3% verb: To group together</t>
  </si>
  <si>
    <t>BANDIT</t>
  </si>
  <si>
    <t>BANDSTAND</t>
  </si>
  <si>
    <t>BANE</t>
  </si>
  <si>
    <t>BANISH#1</t>
  </si>
  <si>
    <t>BANISH#2</t>
  </si>
  <si>
    <t>BANISHMENT</t>
  </si>
  <si>
    <t>BANK#1</t>
  </si>
  <si>
    <t>| 62% noun: Financial institution . . . the business of finance ('banking')</t>
  </si>
  <si>
    <t>BANK#2</t>
  </si>
  <si>
    <t>| 38% noun: Sloping elevation along a watercourse ('river bank'), slope  or aclivity, heap</t>
  </si>
  <si>
    <t>BANK#3</t>
  </si>
  <si>
    <t>| 0% verb: To turn, as an airplane</t>
  </si>
  <si>
    <t>BANK#4</t>
  </si>
  <si>
    <t>| 0% verb: To pile up</t>
  </si>
  <si>
    <t>BANKER</t>
  </si>
  <si>
    <t>BANKRUPT</t>
  </si>
  <si>
    <t>BANKRUPTCY</t>
  </si>
  <si>
    <t>BANQUET</t>
  </si>
  <si>
    <t>BANTER#1</t>
  </si>
  <si>
    <t>BANTER#2</t>
  </si>
  <si>
    <t>BAPTISM</t>
  </si>
  <si>
    <t>BAPTIZE</t>
  </si>
  <si>
    <t>BAR#1</t>
  </si>
  <si>
    <t>| 54% noun-adj: A counter or establishment where liquor is served</t>
  </si>
  <si>
    <t>BAR#2</t>
  </si>
  <si>
    <t>| 12% noun: An oblong piece of soap, chocolate, etc.; including sand bar,  prison bars, etc.(1); a strip or stripe (0</t>
  </si>
  <si>
    <t>BAR#3</t>
  </si>
  <si>
    <t>| 0% noun: Athletic equipment</t>
  </si>
  <si>
    <t>BAR#4</t>
  </si>
  <si>
    <t>| 19% verb: To obstruct or exclude</t>
  </si>
  <si>
    <t>BAR#5</t>
  </si>
  <si>
    <t>| 4% noun: The legal profession</t>
  </si>
  <si>
    <t>BAR#6</t>
  </si>
  <si>
    <t>| 4% idiom-noun: "Bar mitzvah"</t>
  </si>
  <si>
    <t>BARBARIAN</t>
  </si>
  <si>
    <t>BARBAROUS</t>
  </si>
  <si>
    <t>BARBER</t>
  </si>
  <si>
    <t>BARD</t>
  </si>
  <si>
    <t>BARELY</t>
  </si>
  <si>
    <t>BARGAIN</t>
  </si>
  <si>
    <t>BARK#1</t>
  </si>
  <si>
    <t>BARK#2</t>
  </si>
  <si>
    <t>BARN</t>
  </si>
  <si>
    <t>BARREL</t>
  </si>
  <si>
    <t>BARREN</t>
  </si>
  <si>
    <t>BARRIER</t>
  </si>
  <si>
    <t>BASE#1</t>
  </si>
  <si>
    <t>| 22% noun: A foundation, place of operation (2), minimum level (2)</t>
  </si>
  <si>
    <t>BASE#2</t>
  </si>
  <si>
    <t>| 78% verb: To establish, ground, provide with a foundation or rationale,  to have as foundation - "based on".</t>
  </si>
  <si>
    <t>BASEBALL</t>
  </si>
  <si>
    <t>| noun-adj: Popular team sport or the ball used in same, having to do with that sport</t>
  </si>
  <si>
    <t>BASEMENT</t>
  </si>
  <si>
    <t>BASHFUL</t>
  </si>
  <si>
    <t>BASIC#1</t>
  </si>
  <si>
    <t>| 74% adjective: Of, or pertaining to, or forming a base, fundamental</t>
  </si>
  <si>
    <t>BASIC#2</t>
  </si>
  <si>
    <t>| 25% adverb: 'basically'--fundamentally</t>
  </si>
  <si>
    <t>BASIS</t>
  </si>
  <si>
    <t>| noun: Fundamental principle, bottom or foundation of something</t>
  </si>
  <si>
    <t>BASKET</t>
  </si>
  <si>
    <t>| noun: A receptacle made of interwoven materials</t>
  </si>
  <si>
    <t>BASTARD</t>
  </si>
  <si>
    <t>BAT#1</t>
  </si>
  <si>
    <t>BAT#2</t>
  </si>
  <si>
    <t>BATH</t>
  </si>
  <si>
    <t>BATHE</t>
  </si>
  <si>
    <t>BATHROOM#1</t>
  </si>
  <si>
    <t>| 68% noun-adj: Lavatory</t>
  </si>
  <si>
    <t>BATHROOM#2</t>
  </si>
  <si>
    <t>| 32% verb: "To go to the bathroom"</t>
  </si>
  <si>
    <t>BATTLE#1</t>
  </si>
  <si>
    <t>| 86% noun-adj: Contest or fight, pertaining to same</t>
  </si>
  <si>
    <t>BATTLE#2</t>
  </si>
  <si>
    <t>| 14% verb: To engage in a fight</t>
  </si>
  <si>
    <t>BATTLEFIELD</t>
  </si>
  <si>
    <t>BATTLESHIP</t>
  </si>
  <si>
    <t>BAVARIA</t>
  </si>
  <si>
    <t>BAY</t>
  </si>
  <si>
    <t>BE#1</t>
  </si>
  <si>
    <t>| 47% verb: Used as a copula connecting subject to predicate adjective or nominative</t>
  </si>
  <si>
    <t>BE#2</t>
  </si>
  <si>
    <t>| 3% verb: Used as auxiliary to form progressive</t>
  </si>
  <si>
    <t>BE#3</t>
  </si>
  <si>
    <t>| 50% verb: Used as auxiliary to form passive</t>
  </si>
  <si>
    <t>BE#4</t>
  </si>
  <si>
    <t>| 0% idiom: "To be sure"--handled by "sure"</t>
  </si>
  <si>
    <t>BEACH</t>
  </si>
  <si>
    <t>| noun-adjective: An expanse of sand or pebbles along the shore of a sea,  ocean, or lake.</t>
  </si>
  <si>
    <t>BEACON</t>
  </si>
  <si>
    <t>BEAM#1</t>
  </si>
  <si>
    <t>BEAM#2</t>
  </si>
  <si>
    <t>BEAN</t>
  </si>
  <si>
    <t>BEAR#1</t>
  </si>
  <si>
    <t>| 57% noun-adj: A hibernating omnivore, anything resembling or pertaining  to this animal</t>
  </si>
  <si>
    <t>BEAR#10</t>
  </si>
  <si>
    <t>BEAR#2</t>
  </si>
  <si>
    <t>| 21% verb: To carry, show, wear, conduct oneself, render, afford, support,  sustain, endure</t>
  </si>
  <si>
    <t>BEAR#3</t>
  </si>
  <si>
    <t>| 7% verb: To give birth, produce by natural process</t>
  </si>
  <si>
    <t>BEAR#4</t>
  </si>
  <si>
    <t>| 4% verb: "Bear on," "(bring) to bear"--to have relevance or relation to</t>
  </si>
  <si>
    <t>BEAR#5</t>
  </si>
  <si>
    <t>| 3% noun: "Bearing"--relevance</t>
  </si>
  <si>
    <t>BEAR#6</t>
  </si>
  <si>
    <t>| 0% noun: "Bearing"--carriage, mien</t>
  </si>
  <si>
    <t>BEAR#7</t>
  </si>
  <si>
    <t>| 1% noun: "Bearings"--direction or relative position</t>
  </si>
  <si>
    <t>BEAR#8</t>
  </si>
  <si>
    <t>| 0% noun: "(ball) bearing"--mechanical part</t>
  </si>
  <si>
    <t>BEAR#9</t>
  </si>
  <si>
    <t>| 1% idiom-noun: "Teddy bear"</t>
  </si>
  <si>
    <t>BEAR#_10</t>
  </si>
  <si>
    <t>| 0% idiom-verb: "Bear down"--to exert pressure on or effort toward accomplishing,  to approach</t>
  </si>
  <si>
    <t>BEARD</t>
  </si>
  <si>
    <t>BEARER</t>
  </si>
  <si>
    <t>BEASTLY</t>
  </si>
  <si>
    <t>BEAT#1</t>
  </si>
  <si>
    <t>| 3% noun-adj: Rhythm, a blow, stroke or throb, as of the heart (1); hip  (1); exhausted (0)</t>
  </si>
  <si>
    <t>BEAT#2</t>
  </si>
  <si>
    <t>| 88% verb: To strike repeatedly, defeat or outperform (6)</t>
  </si>
  <si>
    <t>BEAT#3</t>
  </si>
  <si>
    <t>| 5% noun-adj: "Beating"--a whipping or thrashing, striking, throbbing (0)</t>
  </si>
  <si>
    <t>BEAT#4</t>
  </si>
  <si>
    <t>| 2% adj: "Beaten"--hammered, trodden, thrashed</t>
  </si>
  <si>
    <t>BEATEN#1</t>
  </si>
  <si>
    <t>BEAUTEOUS</t>
  </si>
  <si>
    <t>BEAUTIFUL</t>
  </si>
  <si>
    <t>Modif EVAL</t>
  </si>
  <si>
    <t>BEAUTIFY</t>
  </si>
  <si>
    <t>BEAUTY</t>
  </si>
  <si>
    <t>| noun: The quality that gives pleasure to the senses, or pleasurably exalts  the mind or spirit</t>
  </si>
  <si>
    <t>BEAVER</t>
  </si>
  <si>
    <t>| noun-adj: A small aquatic mammal of north america, -relating to this mammal</t>
  </si>
  <si>
    <t>BECAME</t>
  </si>
  <si>
    <t>SUPV VERB VB ED</t>
  </si>
  <si>
    <t>| verb: Came, changed or grew to be.</t>
  </si>
  <si>
    <t>BECAUSE#1</t>
  </si>
  <si>
    <t>CONJ CONJ2 PFREQ</t>
  </si>
  <si>
    <t>| 90% conj: For the reason that</t>
  </si>
  <si>
    <t>BECAUSE#2</t>
  </si>
  <si>
    <t>| 10% idiom-prep: "Because of"--on account of, by reason of</t>
  </si>
  <si>
    <t>BECKON</t>
  </si>
  <si>
    <t>BECOME</t>
  </si>
  <si>
    <t>SUPV VERB VB</t>
  </si>
  <si>
    <t>| verb: To come or grow to be</t>
  </si>
  <si>
    <t>BED#1</t>
  </si>
  <si>
    <t>| 80% noun: Furniture, place to sleep</t>
  </si>
  <si>
    <t>BED#2</t>
  </si>
  <si>
    <t>| 1% noun: Foundation layer or stratum</t>
  </si>
  <si>
    <t>BED#3</t>
  </si>
  <si>
    <t>| 18% verb: To go or put "to bed"--to retire, go to sleep, get someone ready  for sleep (3)</t>
  </si>
  <si>
    <t>BED#4</t>
  </si>
  <si>
    <t>| 1% idiom-noun: "Bed roll"--sleeping bag--handled by "roll"</t>
  </si>
  <si>
    <t>BEDROOM</t>
  </si>
  <si>
    <t>| noun: Room or place where people sleep</t>
  </si>
  <si>
    <t>BEEF</t>
  </si>
  <si>
    <t>BEEN#1</t>
  </si>
  <si>
    <t>SUPV VERB BE ED</t>
  </si>
  <si>
    <t>| 47% verb: Past participle of be, used as copula</t>
  </si>
  <si>
    <t>BEEN#2</t>
  </si>
  <si>
    <t>| 9% verb: Used as auxiliary to form progressives</t>
  </si>
  <si>
    <t>BEEN#3</t>
  </si>
  <si>
    <t>SUPV VERB BE ED Passive</t>
  </si>
  <si>
    <t>| 44% verb: Used as auxiliary to form passives</t>
  </si>
  <si>
    <t>BEEP</t>
  </si>
  <si>
    <t>BEER</t>
  </si>
  <si>
    <t>| noun-adj: The beverage, pertaining to this beverage</t>
  </si>
  <si>
    <t>BEFIT</t>
  </si>
  <si>
    <t>BEFITTING</t>
  </si>
  <si>
    <t>BEFORE</t>
  </si>
  <si>
    <t>PREP CONJ CONJ2</t>
  </si>
  <si>
    <t>| prep-adv-conj: Of a previous time, or in front of - literally or figuratively</t>
  </si>
  <si>
    <t>BEFRIEND</t>
  </si>
  <si>
    <t>BEG</t>
  </si>
  <si>
    <t>BEGAN</t>
  </si>
  <si>
    <t>| verb: Started, commenced, took the first step.</t>
  </si>
  <si>
    <t>BEGGAR</t>
  </si>
  <si>
    <t>BEGIN#1</t>
  </si>
  <si>
    <t>| 73% verb: To start, commence, embark upon, initiate</t>
  </si>
  <si>
    <t>BEGIN#2</t>
  </si>
  <si>
    <t>| 27% noun-adj: "Beginning"--start, origin, commencement ('in the beginning'),  new, unexperienced ('a beginning teacher') (1)</t>
  </si>
  <si>
    <t>BEGINNER</t>
  </si>
  <si>
    <t>BEGUN</t>
  </si>
  <si>
    <t>| verb: Past participle of begin--commenced, started</t>
  </si>
  <si>
    <t>BEHALF</t>
  </si>
  <si>
    <t>BEHAVE</t>
  </si>
  <si>
    <t>BEHAVIOR</t>
  </si>
  <si>
    <t>| noun: Manner of behaving, conduct</t>
  </si>
  <si>
    <t>BEHAVIOUR#1</t>
  </si>
  <si>
    <t>BEHEAD</t>
  </si>
  <si>
    <t>BEHIND</t>
  </si>
  <si>
    <t>| prep-adv: In back of, responsible for, not up-to-date, inferior to</t>
  </si>
  <si>
    <t>BEING#1</t>
  </si>
  <si>
    <t>SUPV VERB BE PFREQ</t>
  </si>
  <si>
    <t>| 88% verb: Present participle of 'be'</t>
  </si>
  <si>
    <t>BEING#2</t>
  </si>
  <si>
    <t>| 11% noun: Living creature, usually human, life, substance, nature</t>
  </si>
  <si>
    <t>BEING#3</t>
  </si>
  <si>
    <t>| 1% idiom-adv: "For the time being"--for now--handled by "time"</t>
  </si>
  <si>
    <t>BELATED</t>
  </si>
  <si>
    <t>BELGIAN</t>
  </si>
  <si>
    <t>BELGIUM</t>
  </si>
  <si>
    <t>BELIE</t>
  </si>
  <si>
    <t>BELIEF</t>
  </si>
  <si>
    <t>| noun: The idea that something is true or real, faith, confidence</t>
  </si>
  <si>
    <t>BELIEVE#1</t>
  </si>
  <si>
    <t>| 68% verb: To be of the opinion that--to think or consider</t>
  </si>
  <si>
    <t>BELIEVE#2</t>
  </si>
  <si>
    <t>| 12% verb: To have specific confidence that someone is making a true statement  or that a statement is true</t>
  </si>
  <si>
    <t>BELIEVE#3</t>
  </si>
  <si>
    <t>| 20% idiom-verb: "Believe in"--to be strongly (religiously) persuaded of  the truth, value, or existence of</t>
  </si>
  <si>
    <t>BELIEVER</t>
  </si>
  <si>
    <t>BELITTLE</t>
  </si>
  <si>
    <t>BELLIGERENT</t>
  </si>
  <si>
    <t>BELLY</t>
  </si>
  <si>
    <t>BELONG#1</t>
  </si>
  <si>
    <t>| 98% verb: To be in relation to something as owned or as a member or inhabitant</t>
  </si>
  <si>
    <t>BELONG#2</t>
  </si>
  <si>
    <t>| 2% noun: "Belongings"--possessions</t>
  </si>
  <si>
    <t>BELOVED</t>
  </si>
  <si>
    <t>BELOW</t>
  </si>
  <si>
    <t>| prep-adv: Lower than, in or toward a lower place.</t>
  </si>
  <si>
    <t>BELT#1</t>
  </si>
  <si>
    <t>BELT#2</t>
  </si>
  <si>
    <t>BEND#1</t>
  </si>
  <si>
    <t>BEND#2</t>
  </si>
  <si>
    <t>BENEATH</t>
  </si>
  <si>
    <t>BENEFACTOR</t>
  </si>
  <si>
    <t>BENEFICENT</t>
  </si>
  <si>
    <t>BENEFICIAL</t>
  </si>
  <si>
    <t>BENEFICIARY</t>
  </si>
  <si>
    <t>BENEFIT#1</t>
  </si>
  <si>
    <t>| 50% noun: Incremental monetary payments</t>
  </si>
  <si>
    <t>BENEFIT#2</t>
  </si>
  <si>
    <t>| 21% verb: Gain, do good for, to</t>
  </si>
  <si>
    <t>BENEFIT#3</t>
  </si>
  <si>
    <t>| 29% noun: Gain, good deed</t>
  </si>
  <si>
    <t>BENEVOLENCE</t>
  </si>
  <si>
    <t>BENEVOLENT</t>
  </si>
  <si>
    <t>BENIGN</t>
  </si>
  <si>
    <t>BENT</t>
  </si>
  <si>
    <t>BEQUEATH</t>
  </si>
  <si>
    <t>BERATE</t>
  </si>
  <si>
    <t>BEREAVE</t>
  </si>
  <si>
    <t>BEREAVEMENT</t>
  </si>
  <si>
    <t>BEREFT</t>
  </si>
  <si>
    <t>BERLIN</t>
  </si>
  <si>
    <t>BERSERK</t>
  </si>
  <si>
    <t>BESEECH</t>
  </si>
  <si>
    <t>BESET</t>
  </si>
  <si>
    <t>BESIDE#1</t>
  </si>
  <si>
    <t>| 36% preposition: Next to</t>
  </si>
  <si>
    <t>BESIDE#2</t>
  </si>
  <si>
    <t>| 58% prep-conj-adv: In addition (to)--"besides"</t>
  </si>
  <si>
    <t>BESIDE#3</t>
  </si>
  <si>
    <t>| 2% idiom-adv: Out of Emotional control--"beside oneself"--handled by reflexive  pronouns</t>
  </si>
  <si>
    <t>BESIEGE</t>
  </si>
  <si>
    <t>BEST</t>
  </si>
  <si>
    <t>LY EST</t>
  </si>
  <si>
    <t>| noun-adj-adv: Superlative of good, marking maximum positive evaluation, etc.</t>
  </si>
  <si>
    <t>BESTOW</t>
  </si>
  <si>
    <t>BET#1</t>
  </si>
  <si>
    <t>| 25% noun: A wager, a risk</t>
  </si>
  <si>
    <t>BET#2</t>
  </si>
  <si>
    <t>| 71% verb: To wager or risk</t>
  </si>
  <si>
    <t>BETRAY</t>
  </si>
  <si>
    <t>BETRAYAL</t>
  </si>
  <si>
    <t>BETROTH</t>
  </si>
  <si>
    <t>BETROTHAL</t>
  </si>
  <si>
    <t>BETTER#1</t>
  </si>
  <si>
    <t>LY ER PFREQ</t>
  </si>
  <si>
    <t>| 91% adjective adv: Comparative of 'good' or 'well'</t>
  </si>
  <si>
    <t>BETTER#2</t>
  </si>
  <si>
    <t>| 2% verb: To improve</t>
  </si>
  <si>
    <t>BETTER#3</t>
  </si>
  <si>
    <t>| 6% modal: Ought to--'you had better. . . .'</t>
  </si>
  <si>
    <t>BETTERMENT</t>
  </si>
  <si>
    <t>BETWEEN</t>
  </si>
  <si>
    <t>| preposition: Denoting some relationship involving at least 2 parties,  objects, times, degrees, quantities, et</t>
  </si>
  <si>
    <t>BEWARE</t>
  </si>
  <si>
    <t>BEWILDER</t>
  </si>
  <si>
    <t>BEWILDERMENT</t>
  </si>
  <si>
    <t>BEYOND</t>
  </si>
  <si>
    <t>| prep-adv.: Farther than, farther, exceeding, outside the possibility of</t>
  </si>
  <si>
    <t>BIBLE</t>
  </si>
  <si>
    <t>BIBLICAL</t>
  </si>
  <si>
    <t>BICEP</t>
  </si>
  <si>
    <t>BID#1</t>
  </si>
  <si>
    <t>BID#2</t>
  </si>
  <si>
    <t>BIG</t>
  </si>
  <si>
    <t>| adj: Large, important (includes comparative and superlative)</t>
  </si>
  <si>
    <t>BIGOTRY</t>
  </si>
  <si>
    <t>BILATERAL</t>
  </si>
  <si>
    <t>BILL#1</t>
  </si>
  <si>
    <t>| 33% noun: Draft of proposed, or enacted statute (rarely, playbill, notice,  advertisement (0))</t>
  </si>
  <si>
    <t>BILL#2</t>
  </si>
  <si>
    <t>| 53% noun: Statement of money owed for goods or services</t>
  </si>
  <si>
    <t>BILLION</t>
  </si>
  <si>
    <t>DET</t>
  </si>
  <si>
    <t>BIN</t>
  </si>
  <si>
    <t>BIOGRAPHY</t>
  </si>
  <si>
    <t>BIOLOGICAL</t>
  </si>
  <si>
    <t>BIRD</t>
  </si>
  <si>
    <t>| noun: Feathered vertebrate.</t>
  </si>
  <si>
    <t>BIRTH#1</t>
  </si>
  <si>
    <t>| 67% noun: Event of being born, any event of origin or creation</t>
  </si>
  <si>
    <t>BIRTH#2</t>
  </si>
  <si>
    <t>| 33% verb-idiom: "Give birth"--to bear, or to create, bring about</t>
  </si>
  <si>
    <t>BIRTHDAY</t>
  </si>
  <si>
    <t>BIRTHPLACE</t>
  </si>
  <si>
    <t>BISHOP</t>
  </si>
  <si>
    <t>BIT#1</t>
  </si>
  <si>
    <t>| 93% noun-adv: A small quantity; a role or routine (2) (rarely, mouthpiece  of a bridle, tool (0))</t>
  </si>
  <si>
    <t>BIT#2</t>
  </si>
  <si>
    <t>| 7% verb: Past tense of "bite"</t>
  </si>
  <si>
    <t>BITCHY</t>
  </si>
  <si>
    <t>BITE#1</t>
  </si>
  <si>
    <t>| 22% noun-adj: Act of cutting or gripping with or as with teeth, the resulting  wound or amount cut off</t>
  </si>
  <si>
    <t>BITE#2</t>
  </si>
  <si>
    <t>| 74% verb: To grip, injure or cut off with or as with teeth</t>
  </si>
  <si>
    <t>BITE#3</t>
  </si>
  <si>
    <t>| 4% adj: "Biting"--incisive, sarcastic</t>
  </si>
  <si>
    <t>BITTEN#1</t>
  </si>
  <si>
    <t>BITTER</t>
  </si>
  <si>
    <t>BITTERNESS</t>
  </si>
  <si>
    <t>BITUMINOUS</t>
  </si>
  <si>
    <t>BIZARRE</t>
  </si>
  <si>
    <t>BLACK#1</t>
  </si>
  <si>
    <t>| 81% noun-adj: The color</t>
  </si>
  <si>
    <t>BLACK#2</t>
  </si>
  <si>
    <t>| 17% noun-adj: Negro</t>
  </si>
  <si>
    <t>BLACK#3</t>
  </si>
  <si>
    <t>| 0% verb-idiom: "Black out"--to lose consciousness</t>
  </si>
  <si>
    <t>BLACK#4</t>
  </si>
  <si>
    <t>| 2% idiom-adj: "Black and white"--clear-cut--not handled</t>
  </si>
  <si>
    <t>BLACKMAIL</t>
  </si>
  <si>
    <t>BLADE</t>
  </si>
  <si>
    <t>BLAH</t>
  </si>
  <si>
    <t>BLAME#1</t>
  </si>
  <si>
    <t>| 25% noun: Reproof, culpability</t>
  </si>
  <si>
    <t>BLAME#2</t>
  </si>
  <si>
    <t>| 75% verb: To hold responsible for failure, to censure</t>
  </si>
  <si>
    <t>BLAMELESS</t>
  </si>
  <si>
    <t>BLAND</t>
  </si>
  <si>
    <t>BLANKET</t>
  </si>
  <si>
    <t>| noun: A layer or covering</t>
  </si>
  <si>
    <t>BLAST#1</t>
  </si>
  <si>
    <t>BLAST#2</t>
  </si>
  <si>
    <t>BLATANT</t>
  </si>
  <si>
    <t>BLEAK</t>
  </si>
  <si>
    <t>BLEED#1</t>
  </si>
  <si>
    <t>BLEED#2</t>
  </si>
  <si>
    <t>BLEMISH</t>
  </si>
  <si>
    <t>BLESS#1</t>
  </si>
  <si>
    <t>| 32% verb: To consecrate, favor or endow, make happy or prosperous</t>
  </si>
  <si>
    <t>BLESS#2</t>
  </si>
  <si>
    <t>| 64% noun: "Blessing"--a benediction, good fortune</t>
  </si>
  <si>
    <t>BLESS#3</t>
  </si>
  <si>
    <t>| 5% adj: "Blessed"--consecrated, blissful</t>
  </si>
  <si>
    <t>BLIND#1</t>
  </si>
  <si>
    <t>| 71% noun-adj: (those who are) without sight; without understanding or control (2)</t>
  </si>
  <si>
    <t>BLIND#2</t>
  </si>
  <si>
    <t>| 10% verb: To deprive of sight</t>
  </si>
  <si>
    <t>BLIND#3</t>
  </si>
  <si>
    <t>| 14% adv: "Blindly"</t>
  </si>
  <si>
    <t>BLIND#4</t>
  </si>
  <si>
    <t>| 5% adj: "Blinding"--producing blindness</t>
  </si>
  <si>
    <t>BLIND#5</t>
  </si>
  <si>
    <t>| 0% noun: Something which keeps out light or prevents sight</t>
  </si>
  <si>
    <t>BLINDNESS</t>
  </si>
  <si>
    <t>BLINK#1</t>
  </si>
  <si>
    <t>BLINK#2</t>
  </si>
  <si>
    <t>BLISS</t>
  </si>
  <si>
    <t>BLISSFUL</t>
  </si>
  <si>
    <t>BLITHE</t>
  </si>
  <si>
    <t>BLIZZARD</t>
  </si>
  <si>
    <t>BLOC</t>
  </si>
  <si>
    <t>BLOCK#1</t>
  </si>
  <si>
    <t>| 72% noun-adj: A barrier, solid mass, area, unit; street block (1)</t>
  </si>
  <si>
    <t>BLOCK#2</t>
  </si>
  <si>
    <t>| 28% verb: To thwart or barricade</t>
  </si>
  <si>
    <t>BLOCKADE</t>
  </si>
  <si>
    <t>Noun Means</t>
  </si>
  <si>
    <t>BLOCKHEAD</t>
  </si>
  <si>
    <t>BLOOD</t>
  </si>
  <si>
    <t>| noun: Arterial and veinous fluid</t>
  </si>
  <si>
    <t>BLOODSHED</t>
  </si>
  <si>
    <t>BLOODTHIRSTY</t>
  </si>
  <si>
    <t>BLOODY</t>
  </si>
  <si>
    <t>BLOOM</t>
  </si>
  <si>
    <t>BLOSSOM</t>
  </si>
  <si>
    <t>BLOW#1</t>
  </si>
  <si>
    <t>| 24% noun: A hit or stroke, forcible effort, calamity</t>
  </si>
  <si>
    <t>BLOW#2</t>
  </si>
  <si>
    <t>| 60% verb: To propel as with wind, to set air in motion; fellation</t>
  </si>
  <si>
    <t>BLOW#3</t>
  </si>
  <si>
    <t>| 17% verb: "Blow up," "blow out"--to explode physically or Emotionally</t>
  </si>
  <si>
    <t>BLOWER</t>
  </si>
  <si>
    <t>BLOWN#1</t>
  </si>
  <si>
    <t>BLUE#1</t>
  </si>
  <si>
    <t>Modif Noun PFREQ</t>
  </si>
  <si>
    <t>| 89% noun-adj: The color; depressed</t>
  </si>
  <si>
    <t>BLUE#2</t>
  </si>
  <si>
    <t>| 11% noun-idiom: "Blue cross"--insurance company</t>
  </si>
  <si>
    <t>BLUE#3</t>
  </si>
  <si>
    <t>| 0% noun: "Blues"--type of music, depression</t>
  </si>
  <si>
    <t>BLUE#4</t>
  </si>
  <si>
    <t>| 0% noun-idiom: "Blue laws"--puritanical laws</t>
  </si>
  <si>
    <t>BLUNDER</t>
  </si>
  <si>
    <t>BLUNT</t>
  </si>
  <si>
    <t>BLUR</t>
  </si>
  <si>
    <t>BLURT</t>
  </si>
  <si>
    <t>BOARD#1</t>
  </si>
  <si>
    <t>| 48% noun: An administrative body, examination ("college boards")</t>
  </si>
  <si>
    <t>BOARD#2</t>
  </si>
  <si>
    <t>| 7% noun: Blackboard</t>
  </si>
  <si>
    <t>BOARD#3</t>
  </si>
  <si>
    <t>| 11% noun: Slab of wood, panel (includes diving board, dash board, etc.)</t>
  </si>
  <si>
    <t>BOARD#4</t>
  </si>
  <si>
    <t>| 13% verb-adj: Into or on a ship or other carrier</t>
  </si>
  <si>
    <t>BOARD#5</t>
  </si>
  <si>
    <t>| 4% noun: Provision of food for pay</t>
  </si>
  <si>
    <t>BOARD#6</t>
  </si>
  <si>
    <t>| 2% idiom-adv: 'across the board,' without exception, general</t>
  </si>
  <si>
    <t>BOARD#7</t>
  </si>
  <si>
    <t>| 2% idiom-adv: 'by the board'--over the side (naut.), in or into neglect or oblivion</t>
  </si>
  <si>
    <t>BOARD#8</t>
  </si>
  <si>
    <t>| 2% idiom-adj: 'above board'--honest, open</t>
  </si>
  <si>
    <t>BOARD#9</t>
  </si>
  <si>
    <t>| 7% adj: 'boarding,' pertaining to food and lodging</t>
  </si>
  <si>
    <t>BOARD#_10</t>
  </si>
  <si>
    <t>| 4% idiom-noun: "Room and board"--referring to living and eating expenses--  handled by "room"</t>
  </si>
  <si>
    <t>BOARDER</t>
  </si>
  <si>
    <t>BOAST</t>
  </si>
  <si>
    <t>BOASTFUL</t>
  </si>
  <si>
    <t>BOAT</t>
  </si>
  <si>
    <t>| noun: Aquatic vehicle</t>
  </si>
  <si>
    <t>BOATSWAIN</t>
  </si>
  <si>
    <t>BODY#1</t>
  </si>
  <si>
    <t>| 78% noun-adj: The physical structure and substance of an animal, living  or dead, usually human</t>
  </si>
  <si>
    <t>BODY#2</t>
  </si>
  <si>
    <t>| 6% noun: 'a body'--a person, one</t>
  </si>
  <si>
    <t>BODY#3</t>
  </si>
  <si>
    <t>| 1% noun: A mass, or the main mass or portion of something, substance</t>
  </si>
  <si>
    <t>BODY#4</t>
  </si>
  <si>
    <t>| 8% noun: A group of people, often political--as "electoral body," "student body"</t>
  </si>
  <si>
    <t>BODY#5</t>
  </si>
  <si>
    <t>| 3% adj-adv: "Bodily"--physical, physically, in entirety</t>
  </si>
  <si>
    <t>BOGUS</t>
  </si>
  <si>
    <t>BOIL#1</t>
  </si>
  <si>
    <t>BOIL#2</t>
  </si>
  <si>
    <t>BOISTEROUS</t>
  </si>
  <si>
    <t>BOLD</t>
  </si>
  <si>
    <t>BOLDNESS</t>
  </si>
  <si>
    <t>BOLIVIA</t>
  </si>
  <si>
    <t>BOLSTER</t>
  </si>
  <si>
    <t>BOLT</t>
  </si>
  <si>
    <t>BOMB#1</t>
  </si>
  <si>
    <t>BOMB#2</t>
  </si>
  <si>
    <t>BOMBARD</t>
  </si>
  <si>
    <t>BOMBARDMENT</t>
  </si>
  <si>
    <t>BOND</t>
  </si>
  <si>
    <t>BONDAGE</t>
  </si>
  <si>
    <t>BONE</t>
  </si>
  <si>
    <t>| noun: Hard substance composing the skeleton of a vertebrate.</t>
  </si>
  <si>
    <t>BONNY</t>
  </si>
  <si>
    <t>BONUS</t>
  </si>
  <si>
    <t>BOOK</t>
  </si>
  <si>
    <t>| noun-adj: Printed volume</t>
  </si>
  <si>
    <t>BOOKKEEPING</t>
  </si>
  <si>
    <t>BOOM</t>
  </si>
  <si>
    <t>BOOST#1</t>
  </si>
  <si>
    <t>BOOST#2</t>
  </si>
  <si>
    <t>BOOT</t>
  </si>
  <si>
    <t>BORDER#1</t>
  </si>
  <si>
    <t>BORDER#2</t>
  </si>
  <si>
    <t>BORE#1</t>
  </si>
  <si>
    <t>| 0% noun: Someone or something that causes loss of interest</t>
  </si>
  <si>
    <t>BORE#2</t>
  </si>
  <si>
    <t>| 0% noun: A tool</t>
  </si>
  <si>
    <t>BORE#3</t>
  </si>
  <si>
    <t>| 28% verb: Carried, endured; manifested (3); drilled a hole (0); caused  loss of interest (2); exerted pressure or effort (1); approached (0)</t>
  </si>
  <si>
    <t>BORE#4</t>
  </si>
  <si>
    <t>| 9% verb: Gave birth, produced by natural process</t>
  </si>
  <si>
    <t>BORE#5</t>
  </si>
  <si>
    <t>| 50% adj: "Bored"--not interested, frustrated</t>
  </si>
  <si>
    <t>BORE#6</t>
  </si>
  <si>
    <t>| 13% adj: "Boring"--not interesting</t>
  </si>
  <si>
    <t>BOREDOM</t>
  </si>
  <si>
    <t>BORN</t>
  </si>
  <si>
    <t>| adjective: Brought forth by birth</t>
  </si>
  <si>
    <t>BORNE</t>
  </si>
  <si>
    <t>BORROW#1</t>
  </si>
  <si>
    <t>BORROW#2</t>
  </si>
  <si>
    <t>BOSOM</t>
  </si>
  <si>
    <t>BOSS</t>
  </si>
  <si>
    <t>| noun: Person in charge of something</t>
  </si>
  <si>
    <t>BOSTON</t>
  </si>
  <si>
    <t>BOTH#1</t>
  </si>
  <si>
    <t>PRON</t>
  </si>
  <si>
    <t>| 49% pron: The two</t>
  </si>
  <si>
    <t>BOTH#2</t>
  </si>
  <si>
    <t>| 27% conj: "Both . . . and"--together, as well, alike</t>
  </si>
  <si>
    <t>BOTH#3</t>
  </si>
  <si>
    <t>DET PRE PRE1</t>
  </si>
  <si>
    <t>| 24% adj: The two</t>
  </si>
  <si>
    <t>BOTHER#1</t>
  </si>
  <si>
    <t>| 91% verb: To give trouble to, annoy, worry--to bewilder, confuse--to be  troubled, etc.</t>
  </si>
  <si>
    <t>BOTHER#2</t>
  </si>
  <si>
    <t>| 8% verb: To take the trouble, trouble or inconvenience oneself</t>
  </si>
  <si>
    <t>BOTHER#3</t>
  </si>
  <si>
    <t>| 2% noun: Something troublesome or annoying</t>
  </si>
  <si>
    <t>BOTHERSOME</t>
  </si>
  <si>
    <t>BOTTLE</t>
  </si>
  <si>
    <t>| noun-adj: Container-pertaining to same</t>
  </si>
  <si>
    <t>BOTTOM</t>
  </si>
  <si>
    <t>| noun: Lower part, basic part</t>
  </si>
  <si>
    <t>BOUGHT</t>
  </si>
  <si>
    <t>| verb: Past tense of "buy" - purchased</t>
  </si>
  <si>
    <t>BOULDER</t>
  </si>
  <si>
    <t>BOULEVARD</t>
  </si>
  <si>
    <t>BOUNCE</t>
  </si>
  <si>
    <t>BOUND#1</t>
  </si>
  <si>
    <t>| 10% noun: Limit, boundary</t>
  </si>
  <si>
    <t>BOUND#2</t>
  </si>
  <si>
    <t>| 10% verb: Past tense of "bind"</t>
  </si>
  <si>
    <t>BOUND#3</t>
  </si>
  <si>
    <t>| 30% adj: Limited, tied,</t>
  </si>
  <si>
    <t>BOUND#4</t>
  </si>
  <si>
    <t>| 35% idiom-adj: Certain, destined--"bound to"</t>
  </si>
  <si>
    <t>BOUND#5</t>
  </si>
  <si>
    <t>| 15% adj: Headed, aimed, going--"bound for"</t>
  </si>
  <si>
    <t>BOUNDARY</t>
  </si>
  <si>
    <t>| noun-adj: Limit, edge, border</t>
  </si>
  <si>
    <t>BOUNDLESS</t>
  </si>
  <si>
    <t>BOUNTIFUL</t>
  </si>
  <si>
    <t>BOUNTY</t>
  </si>
  <si>
    <t>BOURGEOIS</t>
  </si>
  <si>
    <t>BOURGEOISIE</t>
  </si>
  <si>
    <t>Noun POLIT COLL</t>
  </si>
  <si>
    <t>BOUT</t>
  </si>
  <si>
    <t>BOW#1</t>
  </si>
  <si>
    <t>| 89% noun: Anything curved or bent, includes bow and arrow (13); forepart  of a ship (2); bowknot (1); inclination of the head or body (3)</t>
  </si>
  <si>
    <t>BOW#2</t>
  </si>
  <si>
    <t>| 6% verb: To bend forward, usually in formal acknowledgement, submission or greeting</t>
  </si>
  <si>
    <t>BOW#3</t>
  </si>
  <si>
    <t>| 6% adj: "Bowed"--bent or stooped, overwhelmed</t>
  </si>
  <si>
    <t>BOWER</t>
  </si>
  <si>
    <t>BOWL#1</t>
  </si>
  <si>
    <t>BOWL#2</t>
  </si>
  <si>
    <t>BOX#1</t>
  </si>
  <si>
    <t>| 83% noun: Container</t>
  </si>
  <si>
    <t>BOX#2</t>
  </si>
  <si>
    <t>| 9% verb: To fight with fists, strike</t>
  </si>
  <si>
    <t>BOX#3</t>
  </si>
  <si>
    <t>| 4% verb: To put in a box, constrain</t>
  </si>
  <si>
    <t>BOX#4</t>
  </si>
  <si>
    <t>| 4% noun-adj: "Boxing"--the sport</t>
  </si>
  <si>
    <t>BOXER</t>
  </si>
  <si>
    <t>BOY</t>
  </si>
  <si>
    <t>| noun: A male child</t>
  </si>
  <si>
    <t>BOYCOTT#1</t>
  </si>
  <si>
    <t>BOYCOTT#2</t>
  </si>
  <si>
    <t>BRACE#1</t>
  </si>
  <si>
    <t>BRACE#2</t>
  </si>
  <si>
    <t>BRAG</t>
  </si>
  <si>
    <t>BRAIN</t>
  </si>
  <si>
    <t>BRAINY</t>
  </si>
  <si>
    <t>BRAKE</t>
  </si>
  <si>
    <t>BRANCH#1</t>
  </si>
  <si>
    <t>| 73% noun: Ramification, offshoot</t>
  </si>
  <si>
    <t>BRANCH#2</t>
  </si>
  <si>
    <t>Noun COLL POLIT ECON</t>
  </si>
  <si>
    <t>BRANCH#3</t>
  </si>
  <si>
    <t>| 0% verb: To put forth or spread in branches, expand, extend</t>
  </si>
  <si>
    <t>BRAND#1</t>
  </si>
  <si>
    <t>BRAND#2</t>
  </si>
  <si>
    <t>BRANDISH</t>
  </si>
  <si>
    <t>BRANDY</t>
  </si>
  <si>
    <t>BRASS</t>
  </si>
  <si>
    <t>BRAT</t>
  </si>
  <si>
    <t>BRAVADO</t>
  </si>
  <si>
    <t>BRAVE</t>
  </si>
  <si>
    <t>BRAVERY</t>
  </si>
  <si>
    <t>BRAWL</t>
  </si>
  <si>
    <t>BRAZEN</t>
  </si>
  <si>
    <t>BRAZIL</t>
  </si>
  <si>
    <t>BREACH</t>
  </si>
  <si>
    <t>BREAD</t>
  </si>
  <si>
    <t>BREADWINNER</t>
  </si>
  <si>
    <t>BREAK#1</t>
  </si>
  <si>
    <t>| 75% verb: To fracture, split, stop or cause to stop functioning, cause  a division or change, enter forcibly, escape, begin suddenly, interrupt, etc.</t>
  </si>
  <si>
    <t>BREAK#2</t>
  </si>
  <si>
    <t>| 9% noun: An interruption of normal routine (5); a (fortunate) chance occurrence  (2); a termination of relations (1); a fracture (0); escape (1)</t>
  </si>
  <si>
    <t>BREAK#3</t>
  </si>
  <si>
    <t>| 5% verb-idiom: "Break the news"</t>
  </si>
  <si>
    <t>BREAK#4</t>
  </si>
  <si>
    <t>| 2% verb-idiom: "Break a law"</t>
  </si>
  <si>
    <t>BREAK#5</t>
  </si>
  <si>
    <t>| 8% verb: "Break down"--to collapse, go out of working order</t>
  </si>
  <si>
    <t>BREAKDOWN</t>
  </si>
  <si>
    <t>BREAKER</t>
  </si>
  <si>
    <t>BREAKFAST</t>
  </si>
  <si>
    <t>BREAST</t>
  </si>
  <si>
    <t>BREATH#1</t>
  </si>
  <si>
    <t>BREATH#2</t>
  </si>
  <si>
    <t>BREATHLESS</t>
  </si>
  <si>
    <t>BREED#1</t>
  </si>
  <si>
    <t>BREED#2</t>
  </si>
  <si>
    <t>BREEZE</t>
  </si>
  <si>
    <t>BRIBE</t>
  </si>
  <si>
    <t>BRIDE</t>
  </si>
  <si>
    <t>BRIDGE#1</t>
  </si>
  <si>
    <t>| 81% noun: A structure spanning a river, chasm; of a nose (0)</t>
  </si>
  <si>
    <t>BRIDGE#2</t>
  </si>
  <si>
    <t>| 13% noun: A card game</t>
  </si>
  <si>
    <t>BRIDGE#3</t>
  </si>
  <si>
    <t>| 6% verb: To span or connect any two separated things or points</t>
  </si>
  <si>
    <t>BRIEF</t>
  </si>
  <si>
    <t>BRIGHT</t>
  </si>
  <si>
    <t>| adj-adv: Full of light, literally or figuratively (includes comparative  (1), superlative (2) and adverb (1) for</t>
  </si>
  <si>
    <t>BRIGHTNESS</t>
  </si>
  <si>
    <t>BRILLIANCE</t>
  </si>
  <si>
    <t>BRILLIANT</t>
  </si>
  <si>
    <t>BRING#1</t>
  </si>
  <si>
    <t>| 69% verb: To transport, conduct, carry; to cause to come into being or  into a particular condition (much less frequent)</t>
  </si>
  <si>
    <t>BRING#2</t>
  </si>
  <si>
    <t>| 13% verb: Bring up--to rear, educate, care for during childhood</t>
  </si>
  <si>
    <t>BRING#3</t>
  </si>
  <si>
    <t>| 6% verb: Bring up--to introduce for consideration, mention</t>
  </si>
  <si>
    <t>BRING#4</t>
  </si>
  <si>
    <t>| 7% idiom-verb: "Bring out"--to expose, reveal, to transfer out (16)</t>
  </si>
  <si>
    <t>BRING#5</t>
  </si>
  <si>
    <t>| 3% idiom-verb: "Bring about"--to cause or accomplish some end</t>
  </si>
  <si>
    <t>BRING#6</t>
  </si>
  <si>
    <t>| 1% idiom-verb: (to) "bring to mind"--to become conscious of</t>
  </si>
  <si>
    <t>BRING#7</t>
  </si>
  <si>
    <t>| 0% verb: Bring oneself--to force oneself to do something</t>
  </si>
  <si>
    <t>BRISTLE</t>
  </si>
  <si>
    <t>BRITAIN</t>
  </si>
  <si>
    <t>BRITISH</t>
  </si>
  <si>
    <t>BRITTLE</t>
  </si>
  <si>
    <t>BROAD</t>
  </si>
  <si>
    <t>| adj: Wide, extensive (includes comparative, superlative and adverb forms)</t>
  </si>
  <si>
    <t>BROADCAST#1</t>
  </si>
  <si>
    <t>BROADCAST#2</t>
  </si>
  <si>
    <t>BROADEN</t>
  </si>
  <si>
    <t>BROADNESS</t>
  </si>
  <si>
    <t>BROKE#1</t>
  </si>
  <si>
    <t>| 72% verb: Past tense of "break"--fractured, split, stopped functioning,  caused a division or change; entered forcibly (1); escaped (3); interrupted  (1), etc.</t>
  </si>
  <si>
    <t>BROKE#2</t>
  </si>
  <si>
    <t>| 10% verb: Began spontaneously--or suddenly 'fire broke out,' 'dawn broke'</t>
  </si>
  <si>
    <t>BROKE#3</t>
  </si>
  <si>
    <t>| 3% adjective: Destitute</t>
  </si>
  <si>
    <t>BROKE#4</t>
  </si>
  <si>
    <t>| 0% idiom-verb: "Broke (broken) the news"</t>
  </si>
  <si>
    <t>BROKE#5</t>
  </si>
  <si>
    <t>| 1% idiom-verb: "Broke (broken) a law"</t>
  </si>
  <si>
    <t>BROKE#6</t>
  </si>
  <si>
    <t>| 5% adj: "Broken"</t>
  </si>
  <si>
    <t>BROKE#7</t>
  </si>
  <si>
    <t>| 3% verb: "Broke (broken) down"--collapsed, went out of working order</t>
  </si>
  <si>
    <t>BROKEN#1</t>
  </si>
  <si>
    <t>BROKEN-HEARTED</t>
  </si>
  <si>
    <t>BROKER</t>
  </si>
  <si>
    <t>BRONZE</t>
  </si>
  <si>
    <t>BROOD</t>
  </si>
  <si>
    <t>BROTHER</t>
  </si>
  <si>
    <t>| noun: Male sibling; fellow member of a religious or other organization  or group; comrade (13)</t>
  </si>
  <si>
    <t>BROTHERHOOD</t>
  </si>
  <si>
    <t>BROTHERLY</t>
  </si>
  <si>
    <t>BROUGHT#1</t>
  </si>
  <si>
    <t>BROWN</t>
  </si>
  <si>
    <t>BRUISE</t>
  </si>
  <si>
    <t>BRUSH#1</t>
  </si>
  <si>
    <t>BRUSH#2</t>
  </si>
  <si>
    <t>BRUSQUE</t>
  </si>
  <si>
    <t>BRUTAL</t>
  </si>
  <si>
    <t>BRUTALITY</t>
  </si>
  <si>
    <t>BRUTE</t>
  </si>
  <si>
    <t>BRUTISH</t>
  </si>
  <si>
    <t>BUBBLE#1</t>
  </si>
  <si>
    <t>BUBBLE#2</t>
  </si>
  <si>
    <t>BUCKLE</t>
  </si>
  <si>
    <t>BUDDY</t>
  </si>
  <si>
    <t>BUDGET</t>
  </si>
  <si>
    <t>BUDGETARY</t>
  </si>
  <si>
    <t>Modif ECON</t>
  </si>
  <si>
    <t>BUFFALO</t>
  </si>
  <si>
    <t>| noun: An animal related to the ox</t>
  </si>
  <si>
    <t>BUG#1</t>
  </si>
  <si>
    <t>BUG#2</t>
  </si>
  <si>
    <t>BUILD#1</t>
  </si>
  <si>
    <t>| 53% verb: To construct, frame, or raise a structure by fitting together  separate parts</t>
  </si>
  <si>
    <t>BUILD#2</t>
  </si>
  <si>
    <t>| 22% noun: "Building"--a structure that houses, an edifice</t>
  </si>
  <si>
    <t>BUILD#3</t>
  </si>
  <si>
    <t>| 1% noun: Physical form, usually human</t>
  </si>
  <si>
    <t>BUILD#4</t>
  </si>
  <si>
    <t>| 14% idiom-verb: "Build up"--to strengthen, or increase, either quantitatively  or qualitatively</t>
  </si>
  <si>
    <t>BUILD#5</t>
  </si>
  <si>
    <t>| 8% noun-adj: "Building"--construction</t>
  </si>
  <si>
    <t>BUILDER</t>
  </si>
  <si>
    <t>BUILT#1</t>
  </si>
  <si>
    <t>BULGARIA</t>
  </si>
  <si>
    <t>BULK</t>
  </si>
  <si>
    <t>BULL</t>
  </si>
  <si>
    <t>| noun: Male bovine animal</t>
  </si>
  <si>
    <t>BULLET</t>
  </si>
  <si>
    <t>BULLETIN</t>
  </si>
  <si>
    <t>BUM</t>
  </si>
  <si>
    <t>BUNCH</t>
  </si>
  <si>
    <t>BUNDLE</t>
  </si>
  <si>
    <t>BUNGLE</t>
  </si>
  <si>
    <t>BUNK</t>
  </si>
  <si>
    <t>BUOYANT</t>
  </si>
  <si>
    <t>BURDEN#1</t>
  </si>
  <si>
    <t>BURDEN#2</t>
  </si>
  <si>
    <t>BURDENSOME</t>
  </si>
  <si>
    <t>BUREAU</t>
  </si>
  <si>
    <t>BUREAUCRACY</t>
  </si>
  <si>
    <t>Noun POLIT ECON COLL</t>
  </si>
  <si>
    <t>BUREAUCRATIC</t>
  </si>
  <si>
    <t>Modif POLIT ECON COLL</t>
  </si>
  <si>
    <t>BURGLAR</t>
  </si>
  <si>
    <t>BURGLARY</t>
  </si>
  <si>
    <t>BURIAL</t>
  </si>
  <si>
    <t>BURMA</t>
  </si>
  <si>
    <t>BURMESE</t>
  </si>
  <si>
    <t>BURN#1</t>
  </si>
  <si>
    <t>| 3% noun: An injury from fire; rarely--a brook (0)</t>
  </si>
  <si>
    <t>BURN#2</t>
  </si>
  <si>
    <t>| 89% verb: To consume or injure with fire</t>
  </si>
  <si>
    <t>BURN#3</t>
  </si>
  <si>
    <t>| 6% noun-adj: "Burning"--on fire (3); intense (1); the state, process,  sensation or effect of being on fire or subjected to intense heat (0)</t>
  </si>
  <si>
    <t>BURN#4</t>
  </si>
  <si>
    <t>| 2% adj: "Burned," "burnt"--consumed or injured by fire</t>
  </si>
  <si>
    <t>BURNT#1</t>
  </si>
  <si>
    <t>BURST#1</t>
  </si>
  <si>
    <t>BURST#2</t>
  </si>
  <si>
    <t>BURUNDI</t>
  </si>
  <si>
    <t>BURY</t>
  </si>
  <si>
    <t>| verb: To inter, immerse, conceal</t>
  </si>
  <si>
    <t>BUS</t>
  </si>
  <si>
    <t>| noun: Public transport vehicle</t>
  </si>
  <si>
    <t>BUSH</t>
  </si>
  <si>
    <t>| noun: A shrub, shrubbery</t>
  </si>
  <si>
    <t>BUSINESS#1</t>
  </si>
  <si>
    <t>| 82% noun-adj: Economic or political activities, either one's own trade  or occupation, the business community at large, or specific transactions</t>
  </si>
  <si>
    <t>BUSINESS#2</t>
  </si>
  <si>
    <t>| 13% noun: An affair, matter, or situation (with which one is properly concerned)</t>
  </si>
  <si>
    <t>BUSINESS#3</t>
  </si>
  <si>
    <t>| 2% verb-idiom: 'mean business,' 'get down to business'--to be serious,  intend serious effort</t>
  </si>
  <si>
    <t>BUSINESSMAN</t>
  </si>
  <si>
    <t>BUSINESSMEN</t>
  </si>
  <si>
    <t>BUSY</t>
  </si>
  <si>
    <t>| adj-adv: Active, engaged in work or pastime (includes comparative (1),  superlative (1) and adverb (</t>
  </si>
  <si>
    <t>BUSYBODY</t>
  </si>
  <si>
    <t>BUT</t>
  </si>
  <si>
    <t>| conj-prep: On the contrary, except</t>
  </si>
  <si>
    <t>BUTCHER</t>
  </si>
  <si>
    <t>BUTCHERY</t>
  </si>
  <si>
    <t>BUTTER</t>
  </si>
  <si>
    <t>BUY#1</t>
  </si>
  <si>
    <t>| verb: To purchase</t>
  </si>
  <si>
    <t>BUY#2</t>
  </si>
  <si>
    <t>| 0% noun: A bargain</t>
  </si>
  <si>
    <t>BUZZARD</t>
  </si>
  <si>
    <t>| noun: Feathered necrophile</t>
  </si>
  <si>
    <t>BY</t>
  </si>
  <si>
    <t>| prep-adv: By means of, indicates actor when used with passive voice, infrequently  used with reference to space, time, size</t>
  </si>
  <si>
    <t>CABIN</t>
  </si>
  <si>
    <t>CABINET</t>
  </si>
  <si>
    <t>CADILLAC</t>
  </si>
  <si>
    <t>CAFE</t>
  </si>
  <si>
    <t>CAGE</t>
  </si>
  <si>
    <t>CAKE</t>
  </si>
  <si>
    <t>CALAMITY</t>
  </si>
  <si>
    <t>CALCIUM</t>
  </si>
  <si>
    <t>CALCULATE#1</t>
  </si>
  <si>
    <t>CALCULATE#2</t>
  </si>
  <si>
    <t>CALCULATION</t>
  </si>
  <si>
    <t>CALENDAR</t>
  </si>
  <si>
    <t>CALIFORNIA</t>
  </si>
  <si>
    <t>CALL#1</t>
  </si>
  <si>
    <t>| 55% verb: To beckon, summon, command, demand, vocally communicate with,  either in person or by telephone, request; predict (e.g. "call the shots") (0)</t>
  </si>
  <si>
    <t>CALL#2</t>
  </si>
  <si>
    <t>| 37% verb: To name, give a name to</t>
  </si>
  <si>
    <t>CALL#3</t>
  </si>
  <si>
    <t>| 4% noun: A summons; a vocal communication (3); a visit (2)</t>
  </si>
  <si>
    <t>CALL#4</t>
  </si>
  <si>
    <t>| 1% verb: To visit</t>
  </si>
  <si>
    <t>CALL#5</t>
  </si>
  <si>
    <t>| 1% noun: "Calling"--vocation</t>
  </si>
  <si>
    <t>CALLER</t>
  </si>
  <si>
    <t>CALLOUS</t>
  </si>
  <si>
    <t>CALM#1</t>
  </si>
  <si>
    <t>| 50% noun-adj: Undisturbed, quiet, tranquil</t>
  </si>
  <si>
    <t>CALM#2</t>
  </si>
  <si>
    <t>| 38% verb: To quiet, become subdued</t>
  </si>
  <si>
    <t>CALM#3</t>
  </si>
  <si>
    <t>| 12% adv: "Calmly"--quietly</t>
  </si>
  <si>
    <t>CALMNESS</t>
  </si>
  <si>
    <t>CAMBODIA</t>
  </si>
  <si>
    <t>CAME#1</t>
  </si>
  <si>
    <t>CAMEL</t>
  </si>
  <si>
    <t>| noun: Ship of the desert</t>
  </si>
  <si>
    <t>CAMERA</t>
  </si>
  <si>
    <t>CAMEROON</t>
  </si>
  <si>
    <t>CAMEROUN</t>
  </si>
  <si>
    <t>CAMP#1</t>
  </si>
  <si>
    <t>| 79% noun: A temporary shelter or lodging, a place to go on vacation</t>
  </si>
  <si>
    <t>CAMP#2</t>
  </si>
  <si>
    <t>| 17% verb: To establish temporary lodging or shelter, to go into the woods</t>
  </si>
  <si>
    <t>CAMP#3</t>
  </si>
  <si>
    <t>| 3% noun-adj: "Camping"--descriptive of establishing temporary shelter,  the activity of going into the woods</t>
  </si>
  <si>
    <t>CAMP#4</t>
  </si>
  <si>
    <t>| 2% idiom-noun-adj: "Prison camp"--a place for military confinement of  enemy armed forces--handled by "prison"</t>
  </si>
  <si>
    <t>CAMPAIGN#1</t>
  </si>
  <si>
    <t>| 95% noun: An effort toward a goal</t>
  </si>
  <si>
    <t>CAMPAIGN#2</t>
  </si>
  <si>
    <t>| 5% verb: To strive for a goal</t>
  </si>
  <si>
    <t>CAMPAIGNER</t>
  </si>
  <si>
    <t>CAMPUS</t>
  </si>
  <si>
    <t>CAN</t>
  </si>
  <si>
    <t>| verb: To have the ability, power, means, qualification, permission, or right to</t>
  </si>
  <si>
    <t>CAN'T</t>
  </si>
  <si>
    <t>SUPV VERB MOD NEG</t>
  </si>
  <si>
    <t>| verb: Contraction of "cannot"</t>
  </si>
  <si>
    <t>CANADA</t>
  </si>
  <si>
    <t>CANCEL</t>
  </si>
  <si>
    <t>CANCELLATION</t>
  </si>
  <si>
    <t>CANCER</t>
  </si>
  <si>
    <t>CANDID</t>
  </si>
  <si>
    <t>CANDIDATE</t>
  </si>
  <si>
    <t>| noun: Person considered for selection</t>
  </si>
  <si>
    <t>CANDLE</t>
  </si>
  <si>
    <t>| noun: Light source</t>
  </si>
  <si>
    <t>CANDOR</t>
  </si>
  <si>
    <t>CANDY</t>
  </si>
  <si>
    <t>CANNERY</t>
  </si>
  <si>
    <t>CANNIBAL</t>
  </si>
  <si>
    <t>CANNON</t>
  </si>
  <si>
    <t>CANNOT</t>
  </si>
  <si>
    <t>| verb: A form of can not.</t>
  </si>
  <si>
    <t>CANOE</t>
  </si>
  <si>
    <t>| noun: A light slender boat</t>
  </si>
  <si>
    <t>CANVAS#1</t>
  </si>
  <si>
    <t>CANVAS#2</t>
  </si>
  <si>
    <t>CANYON</t>
  </si>
  <si>
    <t>CAP</t>
  </si>
  <si>
    <t>CAPABILITY</t>
  </si>
  <si>
    <t>| noun: Power or potential</t>
  </si>
  <si>
    <t>CAPABLE</t>
  </si>
  <si>
    <t>| adj: Having power or ability</t>
  </si>
  <si>
    <t>CAPACITY#1</t>
  </si>
  <si>
    <t>| 72% noun: Ability to do or hold</t>
  </si>
  <si>
    <t>CAPACITY#2</t>
  </si>
  <si>
    <t>| 24% noun: Position, role, status</t>
  </si>
  <si>
    <t>CAPITAL#1</t>
  </si>
  <si>
    <t>| 92% noun: Wealth, source of profit, moneyed interests; a center of government (11)</t>
  </si>
  <si>
    <t>CAPITAL#2</t>
  </si>
  <si>
    <t>| 3% adj: Punishable by death</t>
  </si>
  <si>
    <t>CAPITAL#3</t>
  </si>
  <si>
    <t>| 6% noun: For emphasis, "with a capital"</t>
  </si>
  <si>
    <t>CAPITAL#4</t>
  </si>
  <si>
    <t>| 0% noun-adj: Upper case</t>
  </si>
  <si>
    <t>CAPITALISM</t>
  </si>
  <si>
    <t>CAPITALIZE</t>
  </si>
  <si>
    <t>CAPITOL</t>
  </si>
  <si>
    <t>CAPITULATE</t>
  </si>
  <si>
    <t>CAPRICIOUS</t>
  </si>
  <si>
    <t>CAPSIZE</t>
  </si>
  <si>
    <t>CAPTAIN</t>
  </si>
  <si>
    <t>CAPTIVATION</t>
  </si>
  <si>
    <t>CAPTIVE</t>
  </si>
  <si>
    <t>CAPTURE#1</t>
  </si>
  <si>
    <t>CAPTURE#2</t>
  </si>
  <si>
    <t>CAR</t>
  </si>
  <si>
    <t>| noun: Automobile, streetcar, small passenger vehicle.</t>
  </si>
  <si>
    <t>| noun-adj: Rectangular piece of stiff paper--used for games, greetings,  identification, etc.</t>
  </si>
  <si>
    <t>CARDINAL</t>
  </si>
  <si>
    <t>CARE#1</t>
  </si>
  <si>
    <t>| 26% noun: Attention, concern, thought, worry, assistance</t>
  </si>
  <si>
    <t>CARE#2</t>
  </si>
  <si>
    <t>| 41% verb: To be concerned with, to mind about, prefer, be solicitous of;  to provide for (much less frequen</t>
  </si>
  <si>
    <t>CARE#3</t>
  </si>
  <si>
    <t>| 30% idiom-verb: "Take care (of)"--handled by "take"</t>
  </si>
  <si>
    <t>CAREEN</t>
  </si>
  <si>
    <t>CAREER</t>
  </si>
  <si>
    <t>| noun: General course of action or development of some phase of one's life,  especially the occupational.</t>
  </si>
  <si>
    <t>CAREFREE</t>
  </si>
  <si>
    <t>CAREFUL</t>
  </si>
  <si>
    <t>| adj: Cautious</t>
  </si>
  <si>
    <t>CARELESS</t>
  </si>
  <si>
    <t>CARELESSNESS</t>
  </si>
  <si>
    <t>CARESS#1</t>
  </si>
  <si>
    <t>CARESS#2</t>
  </si>
  <si>
    <t>CAROLINA</t>
  </si>
  <si>
    <t>CARPENTER</t>
  </si>
  <si>
    <t>CARRIAGE</t>
  </si>
  <si>
    <t>CARRIER</t>
  </si>
  <si>
    <t>CARRY#1</t>
  </si>
  <si>
    <t>| 75% verb: To transport, transmit, convey, bear; influence, get a majority  or plurality (much less frequent)</t>
  </si>
  <si>
    <t>CARRY#2</t>
  </si>
  <si>
    <t>| 12% idiom-verb: 'carry out', 'carry through'--to execute or accomplish</t>
  </si>
  <si>
    <t>CARRY#3</t>
  </si>
  <si>
    <t>| 10% idiom-verb: 'carry on'--to manage or continue to manage; to behave  extravagantly (2)</t>
  </si>
  <si>
    <t>CARRY#4</t>
  </si>
  <si>
    <t>| 2% verb: To keep or maintain (insurance)</t>
  </si>
  <si>
    <t>CARRY#5</t>
  </si>
  <si>
    <t>| 1% idiom-adj: 'carried away'--excessively moved</t>
  </si>
  <si>
    <t>CARTEL</t>
  </si>
  <si>
    <t>CASE#1</t>
  </si>
  <si>
    <t>| 80% noun: Situation, condition, argument or evidence, occurrence or example  of; a container (1)</t>
  </si>
  <si>
    <t>CASE#2</t>
  </si>
  <si>
    <t>| 0% verb: To examine or survey in planning a crime</t>
  </si>
  <si>
    <t>CASE#3</t>
  </si>
  <si>
    <t>| 2% idiom: 'in any case'--regardless</t>
  </si>
  <si>
    <t>CASE#4</t>
  </si>
  <si>
    <t>| 5% idiom-conj: 'in case'--in the event</t>
  </si>
  <si>
    <t>CASEWORK</t>
  </si>
  <si>
    <t>CASH#1</t>
  </si>
  <si>
    <t>CASH#2</t>
  </si>
  <si>
    <t>CAST#1</t>
  </si>
  <si>
    <t>| 64% verb: To throw, project; to aim (of eyes) (2)</t>
  </si>
  <si>
    <t>CAST#2</t>
  </si>
  <si>
    <t>| 7% verb: To place in a role</t>
  </si>
  <si>
    <t>CAST#3</t>
  </si>
  <si>
    <t>| 11% noun: Rigid structure; set of actors (0)</t>
  </si>
  <si>
    <t>CAST#4</t>
  </si>
  <si>
    <t>| 7% noun: Aspect, appearance</t>
  </si>
  <si>
    <t>CASTLE</t>
  </si>
  <si>
    <t>CASTRATE</t>
  </si>
  <si>
    <t>CASUAL</t>
  </si>
  <si>
    <t>CASUALTY</t>
  </si>
  <si>
    <t>CAT</t>
  </si>
  <si>
    <t>| noun: A kind of animal, a feline</t>
  </si>
  <si>
    <t>CATACLYSM</t>
  </si>
  <si>
    <t>CATASTROPHE</t>
  </si>
  <si>
    <t>CATCH#1</t>
  </si>
  <si>
    <t>| 88% verb: To capture, ensnare, get hold of; attract (1); contract (disease)  (1); to absorb as to hear and understand (0)</t>
  </si>
  <si>
    <t>CATCH#2</t>
  </si>
  <si>
    <t>| 3% noun: That which is caught, such as game or fish</t>
  </si>
  <si>
    <t>CATCH#3</t>
  </si>
  <si>
    <t>| 2% noun: A reservation or qualification in an agreement.</t>
  </si>
  <si>
    <t>CATCH#4</t>
  </si>
  <si>
    <t>| 6% idiom-verb: To "catch up"--to come from behind and attain equal status  with someone or something</t>
  </si>
  <si>
    <t>CATCHER</t>
  </si>
  <si>
    <t>CATEGORY</t>
  </si>
  <si>
    <t>CATHEDRAL</t>
  </si>
  <si>
    <t>CATHOLIC</t>
  </si>
  <si>
    <t>CATTLE</t>
  </si>
  <si>
    <t>| noun-adj: Domesticated bovine animals</t>
  </si>
  <si>
    <t>CAUGHT#1</t>
  </si>
  <si>
    <t>SUPV ED PFREQ</t>
  </si>
  <si>
    <t>| 96% verb: Past tense of "catch"--to have captured, ensnared, attracted  (0); contracted (0); to have absorbed, as to hear and understand (0)</t>
  </si>
  <si>
    <t>CAUGHT#2</t>
  </si>
  <si>
    <t>| 4% idiom-verb: "Caught up"--to have come from behind to attain equal status  with someone or something</t>
  </si>
  <si>
    <t>CAUSAL</t>
  </si>
  <si>
    <t>CAUSE#1</t>
  </si>
  <si>
    <t>| 44% verb: To produce as an effect</t>
  </si>
  <si>
    <t>CAUSE#2</t>
  </si>
  <si>
    <t>| 18% noun: A collective end or purpose</t>
  </si>
  <si>
    <t>CAUSE#3</t>
  </si>
  <si>
    <t>| 15% noun: The source or sufficient condition of some effect</t>
  </si>
  <si>
    <t>CAUSE#4</t>
  </si>
  <si>
    <t>| 21% conj: Slang for "because"</t>
  </si>
  <si>
    <t>CAUTION#1</t>
  </si>
  <si>
    <t>CAUTION#2</t>
  </si>
  <si>
    <t>CAUTIOUS</t>
  </si>
  <si>
    <t>CAVALRY</t>
  </si>
  <si>
    <t>CAVE#1</t>
  </si>
  <si>
    <t>| 95% noun: A hollow in the earth, esp. perpendicular to the face of a mountain</t>
  </si>
  <si>
    <t>CAVE#2</t>
  </si>
  <si>
    <t>| 5% idiom-verb: "Cave in"--collapse</t>
  </si>
  <si>
    <t>CEASE</t>
  </si>
  <si>
    <t>CEASELESS</t>
  </si>
  <si>
    <t>CEILING</t>
  </si>
  <si>
    <t>CELEBRATE</t>
  </si>
  <si>
    <t>CELEBRATION</t>
  </si>
  <si>
    <t>CELEBRITY</t>
  </si>
  <si>
    <t>CELL</t>
  </si>
  <si>
    <t>CELLAR</t>
  </si>
  <si>
    <t>CEMENT#1</t>
  </si>
  <si>
    <t>CEMENT#2</t>
  </si>
  <si>
    <t>CENSOR</t>
  </si>
  <si>
    <t>CENSORSHIP</t>
  </si>
  <si>
    <t>CENSURE</t>
  </si>
  <si>
    <t>CENSUS</t>
  </si>
  <si>
    <t>CENT</t>
  </si>
  <si>
    <t>CENTER#1</t>
  </si>
  <si>
    <t xml:space="preserve">| 78% noun: Middle or focal point; place where various generally public,  social services and activities are performed and provided-- "community  center," "center for the </t>
  </si>
  <si>
    <t>CENTER#2</t>
  </si>
  <si>
    <t>| 22% verb: To focus on or at ('attention centers around him')</t>
  </si>
  <si>
    <t>CENTIMETER</t>
  </si>
  <si>
    <t>CENTIMETRE#1</t>
  </si>
  <si>
    <t>CENTRAL</t>
  </si>
  <si>
    <t>CENTRAL-AMERICA</t>
  </si>
  <si>
    <t>CENTRE#1</t>
  </si>
  <si>
    <t>CENTURY</t>
  </si>
  <si>
    <t>| noun: Time period, 100 years</t>
  </si>
  <si>
    <t>CEREAL</t>
  </si>
  <si>
    <t>CEREMONIAL</t>
  </si>
  <si>
    <t>CEREMONY</t>
  </si>
  <si>
    <t>CERTAIN#1</t>
  </si>
  <si>
    <t>DET PRE PRE1 Modif</t>
  </si>
  <si>
    <t>| 57% adjective: Fixed, definite or particular but not named or specified</t>
  </si>
  <si>
    <t>CERTAIN#2</t>
  </si>
  <si>
    <t>| 7% adjective: Free from doubt, sure, confident (state of mind)</t>
  </si>
  <si>
    <t>CERTAIN#3</t>
  </si>
  <si>
    <t>| 4% adjective: Inevitable, unquestionable, definite</t>
  </si>
  <si>
    <t>CERTAIN#4</t>
  </si>
  <si>
    <t>| 31% adverb: 'certainly'--inevitably, unquestionably, definitely</t>
  </si>
  <si>
    <t>CERTAINTY</t>
  </si>
  <si>
    <t>CERTIFICATE</t>
  </si>
  <si>
    <t>CERTIFICATION</t>
  </si>
  <si>
    <t>CERTIFY</t>
  </si>
  <si>
    <t>CESSATION</t>
  </si>
  <si>
    <t>CEYLON</t>
  </si>
  <si>
    <t>CHAD</t>
  </si>
  <si>
    <t>CHAFE</t>
  </si>
  <si>
    <t>CHAIN#1</t>
  </si>
  <si>
    <t>CHAIN#2</t>
  </si>
  <si>
    <t>CHAIR</t>
  </si>
  <si>
    <t>| noun: A seat</t>
  </si>
  <si>
    <t>CHAIRMAN</t>
  </si>
  <si>
    <t>| noun: Presiding officer</t>
  </si>
  <si>
    <t>CHAIRMEN</t>
  </si>
  <si>
    <t>CHALLENGE#1</t>
  </si>
  <si>
    <t>| 72% noun: Confrontation, contest, difficult task, generally with a connotation  of provocativeness or stimulation</t>
  </si>
  <si>
    <t>CHALLENGE#2</t>
  </si>
  <si>
    <t>| 19% verb: To confront with a contest or problem</t>
  </si>
  <si>
    <t>CHALLENGE#3</t>
  </si>
  <si>
    <t>| 9% adj: "Challenging"--stimulating, provocative</t>
  </si>
  <si>
    <t>CHAMBER</t>
  </si>
  <si>
    <t>CHAMP</t>
  </si>
  <si>
    <t>CHAMPION</t>
  </si>
  <si>
    <t>CHAMPIONSHIP</t>
  </si>
  <si>
    <t>CHANCE#1</t>
  </si>
  <si>
    <t>| 66% noun: An opportunity</t>
  </si>
  <si>
    <t>CHANCE#2</t>
  </si>
  <si>
    <t>| 21% noun: A possibility or probability of something happening, likelihood, risk</t>
  </si>
  <si>
    <t>CHANCE#3</t>
  </si>
  <si>
    <t>| 4% verb: To happen or occur without plan or intent</t>
  </si>
  <si>
    <t>CHANCE#4</t>
  </si>
  <si>
    <t>| 6% idiom-adverb: "By chance"--without plan or intent</t>
  </si>
  <si>
    <t>CHANCE#5</t>
  </si>
  <si>
    <t>| 2% noun-adj: The absence of any known causation for the outcome of events,  often spoken of as a real agency</t>
  </si>
  <si>
    <t>CHANCELLOR</t>
  </si>
  <si>
    <t>| noun: Title of west german chief of state, an executive title</t>
  </si>
  <si>
    <t>CHANGE#1</t>
  </si>
  <si>
    <t>| 59% verb: To alter, modify, convert, transform</t>
  </si>
  <si>
    <t>CHANGE#2</t>
  </si>
  <si>
    <t>| 32% noun: Alteration, modification, conversion, transformation</t>
  </si>
  <si>
    <t>CHANGE#3</t>
  </si>
  <si>
    <t>| 3% noun-adj: "Changing"--(in) the process of change</t>
  </si>
  <si>
    <t>CHANGE#4</t>
  </si>
  <si>
    <t>| 1% adj: 'changed'--altered, transformed</t>
  </si>
  <si>
    <t>CHANGEABLE</t>
  </si>
  <si>
    <t>CHANNEL#1</t>
  </si>
  <si>
    <t>CHANNEL#2</t>
  </si>
  <si>
    <t>CHAOS</t>
  </si>
  <si>
    <t>CHAOTIC</t>
  </si>
  <si>
    <t>CHAPEL</t>
  </si>
  <si>
    <t>CHAPTER</t>
  </si>
  <si>
    <t>| noun: A division of a book</t>
  </si>
  <si>
    <t>CHARACTER#1</t>
  </si>
  <si>
    <t>| 22% noun-adj: The aggregate of qualities which distinguishes one person  from another (irregularly with connotations of evaluation or eccentricity)</t>
  </si>
  <si>
    <t>CHARACTER#2</t>
  </si>
  <si>
    <t>| 24% noun: The nature or quality of an act, place, etc.</t>
  </si>
  <si>
    <t>CHARACTER#3</t>
  </si>
  <si>
    <t>| 51% noun: A person, often as in a play or other piece of writing</t>
  </si>
  <si>
    <t>CHARACTERISE#1</t>
  </si>
  <si>
    <t>CHARACTERISTIC</t>
  </si>
  <si>
    <t>CHARACTERIZE</t>
  </si>
  <si>
    <t>CHARGE#1</t>
  </si>
  <si>
    <t>| 35% noun: Authority, responsibility, custody</t>
  </si>
  <si>
    <t>CHARGE#2</t>
  </si>
  <si>
    <t>| 15% noun: Accusation, injunction</t>
  </si>
  <si>
    <t>CHARGE#3</t>
  </si>
  <si>
    <t>| 9% verb: To accuse, enjoin, attribute</t>
  </si>
  <si>
    <t>CHARGE#4</t>
  </si>
  <si>
    <t>| 15% noun-adj: Cost, fee, liability to pay, system of deferred payment</t>
  </si>
  <si>
    <t>CHARGE#5</t>
  </si>
  <si>
    <t>| 13% verb: To ask payment, to buy with deferred payment</t>
  </si>
  <si>
    <t>CHARGE#6</t>
  </si>
  <si>
    <t>| 2% noun: Attack, forward rush or thrust</t>
  </si>
  <si>
    <t>CHARGE#7</t>
  </si>
  <si>
    <t>| 7% verb: To attack, to rush or thrust forward</t>
  </si>
  <si>
    <t>CHARGE#8</t>
  </si>
  <si>
    <t>| 2% noun: A load, quantity of energy; anything or anyone committed to one's care (0)</t>
  </si>
  <si>
    <t>CHARGE#9</t>
  </si>
  <si>
    <t>| 2% adj: "Charged"--loaded, usually with some form of energy</t>
  </si>
  <si>
    <t>CHARISMA</t>
  </si>
  <si>
    <t>CHARITABLE</t>
  </si>
  <si>
    <t>CHARITY</t>
  </si>
  <si>
    <t>CHARM#1</t>
  </si>
  <si>
    <t>CHARM#2</t>
  </si>
  <si>
    <t>CHART#1</t>
  </si>
  <si>
    <t>CHART#2</t>
  </si>
  <si>
    <t>CHARTER#1</t>
  </si>
  <si>
    <t>CHARTER#2</t>
  </si>
  <si>
    <t>CHASE#1</t>
  </si>
  <si>
    <t>| 3% noun: Swift pursuit, hunt</t>
  </si>
  <si>
    <t>CHASE#2</t>
  </si>
  <si>
    <t>| 97% verb: To pursue, to hunt</t>
  </si>
  <si>
    <t>CHASTE</t>
  </si>
  <si>
    <t>CHASTISE</t>
  </si>
  <si>
    <t>CHAT#1</t>
  </si>
  <si>
    <t>CHATTER#1</t>
  </si>
  <si>
    <t>CHATTER#2</t>
  </si>
  <si>
    <t>CHEAP</t>
  </si>
  <si>
    <t>CHEAPEN</t>
  </si>
  <si>
    <t>CHEARFUL</t>
  </si>
  <si>
    <t>Modif EMOT</t>
  </si>
  <si>
    <t>CHEAT#1</t>
  </si>
  <si>
    <t>CHEAT#2</t>
  </si>
  <si>
    <t>CHEATER</t>
  </si>
  <si>
    <t>CHECK#1</t>
  </si>
  <si>
    <t>| 41% noun: A bank money order, a bill</t>
  </si>
  <si>
    <t>CHECK#2</t>
  </si>
  <si>
    <t>| 45% verb: To investigate, verify, restrain</t>
  </si>
  <si>
    <t>CHECK#3</t>
  </si>
  <si>
    <t>| 14% noun-adj: An investigation (0); a restraint (1); a mark or token of  verification, approval or custody (0)</t>
  </si>
  <si>
    <t>CHECKER</t>
  </si>
  <si>
    <t>CHEEK</t>
  </si>
  <si>
    <t>CHEER</t>
  </si>
  <si>
    <t>CHEERFUL</t>
  </si>
  <si>
    <t>CHEERFULNESS</t>
  </si>
  <si>
    <t>CHEERY</t>
  </si>
  <si>
    <t>CHEMICAL</t>
  </si>
  <si>
    <t>CHEMISTRY</t>
  </si>
  <si>
    <t>CHEQUE</t>
  </si>
  <si>
    <t>CHERISH#1</t>
  </si>
  <si>
    <t>CHERISH#2</t>
  </si>
  <si>
    <t>CHERUB</t>
  </si>
  <si>
    <t>CHEST</t>
  </si>
  <si>
    <t>CHIC</t>
  </si>
  <si>
    <t>CHICAGO</t>
  </si>
  <si>
    <t>CHICKEN</t>
  </si>
  <si>
    <t>| noun: A type of fowl.</t>
  </si>
  <si>
    <t>CHIDE</t>
  </si>
  <si>
    <t>CHIEF#1</t>
  </si>
  <si>
    <t>| 92% noun: Person highest in authority</t>
  </si>
  <si>
    <t>CHIEF#2</t>
  </si>
  <si>
    <t>| 6% adj: Most important, primary</t>
  </si>
  <si>
    <t>CHIEF#3</t>
  </si>
  <si>
    <t>| 2% adv: "Chiefly"--principally</t>
  </si>
  <si>
    <t>CHILD</t>
  </si>
  <si>
    <t>| noun: Young ungrown human being, boy or girl</t>
  </si>
  <si>
    <t>CHILDHOOD</t>
  </si>
  <si>
    <t>CHILDISH</t>
  </si>
  <si>
    <t>CHILDLIKE</t>
  </si>
  <si>
    <t>CHILDREN</t>
  </si>
  <si>
    <t>| noun: Boys and or girls, animal young (rare)</t>
  </si>
  <si>
    <t>CHILE</t>
  </si>
  <si>
    <t>CHILL#1</t>
  </si>
  <si>
    <t>CHILL#2</t>
  </si>
  <si>
    <t>CHILLY</t>
  </si>
  <si>
    <t>CHIN</t>
  </si>
  <si>
    <t>CHINA</t>
  </si>
  <si>
    <t>CHINESE</t>
  </si>
  <si>
    <t>CHIP#1</t>
  </si>
  <si>
    <t>CHIP#2</t>
  </si>
  <si>
    <t>CHIVALROUS</t>
  </si>
  <si>
    <t>CHIVALRY</t>
  </si>
  <si>
    <t>CHOICE</t>
  </si>
  <si>
    <t>| noun-adj: Act or object of choosing, that which is preferred or preferable  to others.</t>
  </si>
  <si>
    <t>CHOKE#1</t>
  </si>
  <si>
    <t>CHOKE#2</t>
  </si>
  <si>
    <t>CHOOSE</t>
  </si>
  <si>
    <t>| verb: To make a choice</t>
  </si>
  <si>
    <t>CHORE</t>
  </si>
  <si>
    <t>CHOSE</t>
  </si>
  <si>
    <t>CHOSEN#1</t>
  </si>
  <si>
    <t>| 88% verb: Past tense of 'choose'--selected</t>
  </si>
  <si>
    <t>CHOSEN#2</t>
  </si>
  <si>
    <t>| 13% adj: Preferred, favored</t>
  </si>
  <si>
    <t>CHRIST</t>
  </si>
  <si>
    <t>CHRISTENDOM</t>
  </si>
  <si>
    <t>CHRISTIAN</t>
  </si>
  <si>
    <t>CHRISTIANITY</t>
  </si>
  <si>
    <t>CHRISTMAS</t>
  </si>
  <si>
    <t>CHRONIC</t>
  </si>
  <si>
    <t>CHUCKLE#1</t>
  </si>
  <si>
    <t>CHUCKLE#2</t>
  </si>
  <si>
    <t>CHUM</t>
  </si>
  <si>
    <t>CHURCH</t>
  </si>
  <si>
    <t>| noun-adj: The christian religion, its rituals, its members, a specific  denomination of it, any or all of these or pertaining to them-- frequently  used in "go to church" me</t>
  </si>
  <si>
    <t>CIGARETTE</t>
  </si>
  <si>
    <t>CIRCLE#1</t>
  </si>
  <si>
    <t>| 80% noun: Round object or shape, cycle; coterie, group of people (6)</t>
  </si>
  <si>
    <t>CIRCLE#2</t>
  </si>
  <si>
    <t>| 14% verb: To encircle, to move in a circle</t>
  </si>
  <si>
    <t>CIRCLE#3</t>
  </si>
  <si>
    <t>| 6% idiom: "Vicious circle"</t>
  </si>
  <si>
    <t>CIRCULAR</t>
  </si>
  <si>
    <t>CIRCULATE</t>
  </si>
  <si>
    <t>CIRCULATION</t>
  </si>
  <si>
    <t>CIRCUMSTANCE</t>
  </si>
  <si>
    <t>| noun: Fact or condition</t>
  </si>
  <si>
    <t>CITE#1</t>
  </si>
  <si>
    <t>CITE#2</t>
  </si>
  <si>
    <t>CITIZEN</t>
  </si>
  <si>
    <t>| noun: A member of a nation, state, city, or other political body</t>
  </si>
  <si>
    <t>CITIZENSHIP</t>
  </si>
  <si>
    <t>CITY</t>
  </si>
  <si>
    <t>| noun-adj: An urban center, or pertaining to an urban center</t>
  </si>
  <si>
    <t>CIVIC</t>
  </si>
  <si>
    <t>CIVIL#1</t>
  </si>
  <si>
    <t>| 9% noun-adj: Involving or consisting of citizens, of the commonwealth  or state; civilized, polite, benevolent (0)</t>
  </si>
  <si>
    <t>CIVIL#2</t>
  </si>
  <si>
    <t>| 85% idiom-noun: "Civil rights," "civil liberties"</t>
  </si>
  <si>
    <t>CIVIL#3</t>
  </si>
  <si>
    <t>| 4% idiom-noun: "Civil war"</t>
  </si>
  <si>
    <t>CIVIL#4</t>
  </si>
  <si>
    <t>| 1% idiom-noun: "Civil service"</t>
  </si>
  <si>
    <t>CIVIL#5</t>
  </si>
  <si>
    <t>| 1% idiom-noun: "Civil servant"</t>
  </si>
  <si>
    <t>CIVILIAN</t>
  </si>
  <si>
    <t>CIVILISATION#1</t>
  </si>
  <si>
    <t>CIVILISE#1</t>
  </si>
  <si>
    <t>CIVILITY</t>
  </si>
  <si>
    <t>CIVILIZATION</t>
  </si>
  <si>
    <t>CIVILIZE#1</t>
  </si>
  <si>
    <t>CIVILIZE#2</t>
  </si>
  <si>
    <t>CLAIM#1</t>
  </si>
  <si>
    <t>CLAIM#2</t>
  </si>
  <si>
    <t>CLAMOR</t>
  </si>
  <si>
    <t>CLAMOROUS</t>
  </si>
  <si>
    <t>CLANDESTINE</t>
  </si>
  <si>
    <t>CLARIFICATION</t>
  </si>
  <si>
    <t>CLARIFY</t>
  </si>
  <si>
    <t>CLARITY</t>
  </si>
  <si>
    <t>CLASH</t>
  </si>
  <si>
    <t>CLASS</t>
  </si>
  <si>
    <t>| noun-adj: The instruction of a given set of students, usually by a teacher,  any or all the things associated with it--the instruction itself, the  group of students, or the p</t>
  </si>
  <si>
    <t>CLASSIC</t>
  </si>
  <si>
    <t>CLASSICAL</t>
  </si>
  <si>
    <t>CLASSIFICATION</t>
  </si>
  <si>
    <t>CLASSIFY#1</t>
  </si>
  <si>
    <t>CLASSIFY#2</t>
  </si>
  <si>
    <t>CLASSROOM</t>
  </si>
  <si>
    <t>| noun: Room for a class</t>
  </si>
  <si>
    <t>CLATTER</t>
  </si>
  <si>
    <t>CLAY</t>
  </si>
  <si>
    <t>CLEAN#1</t>
  </si>
  <si>
    <t>| 52% adj: Dirt-free, tidy, unpolluted</t>
  </si>
  <si>
    <t>CLEAN#2</t>
  </si>
  <si>
    <t>| 15% noun-adj: "Cleaning"--the act of making clean, pertaining to it</t>
  </si>
  <si>
    <t>CLEAN#3</t>
  </si>
  <si>
    <t>| 33% verb: To cleanse, wash, clear away</t>
  </si>
  <si>
    <t>CLEANLINESS</t>
  </si>
  <si>
    <t>CLEANSE</t>
  </si>
  <si>
    <t>CLEAR#1</t>
  </si>
  <si>
    <t>| 52% adj: Distinct, limpid, certain, lucid, free of obstructions, orderly  (mostly abstract)</t>
  </si>
  <si>
    <t>CLEAR#10</t>
  </si>
  <si>
    <t>Noun PLACE ECON</t>
  </si>
  <si>
    <t>CLEAR#2</t>
  </si>
  <si>
    <t>| 23% adv: "Clearly"--plainly, understandably</t>
  </si>
  <si>
    <t>CLEAR#3</t>
  </si>
  <si>
    <t>| 2% adj: "Clearer"--comparative of sense 1</t>
  </si>
  <si>
    <t>CLEAR#4</t>
  </si>
  <si>
    <t>| 0% adj: "Clearest"--superlative of sense 1</t>
  </si>
  <si>
    <t>CLEAR#5</t>
  </si>
  <si>
    <t>| 13% verb: To make or become free of obstructions, blemishes or obscurity;  to pass by, over, through or away from (0)</t>
  </si>
  <si>
    <t>CLEAR#6</t>
  </si>
  <si>
    <t>| 3% verb: To absolve from blame</t>
  </si>
  <si>
    <t>CLEAR#7</t>
  </si>
  <si>
    <t>| 3% idiom-verb: "Clear up"--make orderly or understandable</t>
  </si>
  <si>
    <t>CLEAR#8</t>
  </si>
  <si>
    <t>| 3% noun: "Clearing"--an open space</t>
  </si>
  <si>
    <t>CLEAR#9</t>
  </si>
  <si>
    <t>| 3% adv: Completely, all the way, away from</t>
  </si>
  <si>
    <t>CLEAR#_10</t>
  </si>
  <si>
    <t>| 0% idiom-noun: "Clearing house"--place where mutual claims are settled</t>
  </si>
  <si>
    <t>CLEARANCE</t>
  </si>
  <si>
    <t>CLEARNESS</t>
  </si>
  <si>
    <t>CLERGYMAN</t>
  </si>
  <si>
    <t>CLERK</t>
  </si>
  <si>
    <t>CLEVER</t>
  </si>
  <si>
    <t>CLICK#1</t>
  </si>
  <si>
    <t>CLICK#2</t>
  </si>
  <si>
    <t>CLIENT</t>
  </si>
  <si>
    <t>CLIFF</t>
  </si>
  <si>
    <t>| noun: Precipice</t>
  </si>
  <si>
    <t>CLIMATE</t>
  </si>
  <si>
    <t>CLIMAX</t>
  </si>
  <si>
    <t>CLIMB</t>
  </si>
  <si>
    <t>| verb: To move upward, to ascend.</t>
  </si>
  <si>
    <t>CLING</t>
  </si>
  <si>
    <t>CLINIC</t>
  </si>
  <si>
    <t>CLINICAL</t>
  </si>
  <si>
    <t>CLIQUE</t>
  </si>
  <si>
    <t>CLOCK#1</t>
  </si>
  <si>
    <t>| 60% noun: Timepiece</t>
  </si>
  <si>
    <t>CLOCK#2</t>
  </si>
  <si>
    <t>| 0% verb: To measure speed</t>
  </si>
  <si>
    <t>CLOG</t>
  </si>
  <si>
    <t>CLOSE#1</t>
  </si>
  <si>
    <t>| 59% adj: Near or nearby in kind or relationship--having proximity or similarity  in time, space, quality, or number; intimate, confidential, warm, dear (48)</t>
  </si>
  <si>
    <t>CLOSE#2</t>
  </si>
  <si>
    <t>| 17% verb: To stop or obstruct, make imperceptible, inaccessible--to shut,  to come or bring t</t>
  </si>
  <si>
    <t>CLOSE#3</t>
  </si>
  <si>
    <t>| 9% adj: "Closer"--(comparative of sense 1)</t>
  </si>
  <si>
    <t>CLOSE#4</t>
  </si>
  <si>
    <t>| 3% adj: "Closest"--(superlative of sense 1)</t>
  </si>
  <si>
    <t>CLOSE#5</t>
  </si>
  <si>
    <t>| 4% adv: "Closely"--in a close manner</t>
  </si>
  <si>
    <t>CLOSE#6</t>
  </si>
  <si>
    <t>| 0% noun: "Close"--the end</t>
  </si>
  <si>
    <t>CLOSE#7</t>
  </si>
  <si>
    <t>| 3% adj: "Closed"--shut, inaccessible, terminated</t>
  </si>
  <si>
    <t>CLOSE#8</t>
  </si>
  <si>
    <t>| 3% noun-adj: "Closing"--point or time of termination, shutting, last</t>
  </si>
  <si>
    <t>CLOSENESS</t>
  </si>
  <si>
    <t>CLOSET</t>
  </si>
  <si>
    <t>CLOTH</t>
  </si>
  <si>
    <t>CLOTHE#1</t>
  </si>
  <si>
    <t>| 92% noun: "Clothes," "clothing"--garments</t>
  </si>
  <si>
    <t>CLOTHE#2</t>
  </si>
  <si>
    <t>| 5% verb: To provide with clothing--to dress</t>
  </si>
  <si>
    <t>CLOTHE#3</t>
  </si>
  <si>
    <t>| 3% adjective: "Clothed"--covered with or as with clothing</t>
  </si>
  <si>
    <t>CLOUD</t>
  </si>
  <si>
    <t>CLOUT</t>
  </si>
  <si>
    <t>CLUB#1</t>
  </si>
  <si>
    <t>| 86% noun: A group of persons organized for social or other activities</t>
  </si>
  <si>
    <t>CLUB#2</t>
  </si>
  <si>
    <t>| 8% noun: A heavy stick suitable for use as a weapon</t>
  </si>
  <si>
    <t>CLUB#3</t>
  </si>
  <si>
    <t>| 5% verb: To beat with, or as with, a club</t>
  </si>
  <si>
    <t>CLUB#4</t>
  </si>
  <si>
    <t>| 1% idiom-noun: "Country club"--handled by "country"</t>
  </si>
  <si>
    <t>CLUE</t>
  </si>
  <si>
    <t>CLUMSY</t>
  </si>
  <si>
    <t>CLUNG</t>
  </si>
  <si>
    <t>CLUSTER#1</t>
  </si>
  <si>
    <t>CLUSTER#2</t>
  </si>
  <si>
    <t>CLUTTER</t>
  </si>
  <si>
    <t>CO</t>
  </si>
  <si>
    <t>Noun COLL ECON</t>
  </si>
  <si>
    <t>CO-OPERATION</t>
  </si>
  <si>
    <t>CO-ORDINATE</t>
  </si>
  <si>
    <t>CO-ORDINATION</t>
  </si>
  <si>
    <t>CO.</t>
  </si>
  <si>
    <t>COACH#1</t>
  </si>
  <si>
    <t>COACH#2</t>
  </si>
  <si>
    <t>COACHMAN</t>
  </si>
  <si>
    <t>COAL</t>
  </si>
  <si>
    <t>COALITION</t>
  </si>
  <si>
    <t>COARSE</t>
  </si>
  <si>
    <t>COARSENESS</t>
  </si>
  <si>
    <t>COAST#1</t>
  </si>
  <si>
    <t>COAST#2</t>
  </si>
  <si>
    <t>COAT#1</t>
  </si>
  <si>
    <t>COAT#2</t>
  </si>
  <si>
    <t>COAX</t>
  </si>
  <si>
    <t>COCKINESS</t>
  </si>
  <si>
    <t>COCKPIT</t>
  </si>
  <si>
    <t>COCKTAIL</t>
  </si>
  <si>
    <t>COCKY</t>
  </si>
  <si>
    <t>COCOA</t>
  </si>
  <si>
    <t>| noun-adj: Processed cacao seeds</t>
  </si>
  <si>
    <t>CODDLE</t>
  </si>
  <si>
    <t>CODE#1</t>
  </si>
  <si>
    <t>CODE#2</t>
  </si>
  <si>
    <t>COERCE</t>
  </si>
  <si>
    <t>COERCION</t>
  </si>
  <si>
    <t>COERCIVE</t>
  </si>
  <si>
    <t>COEXISTENCE</t>
  </si>
  <si>
    <t>COFFEE</t>
  </si>
  <si>
    <t>| noun-adj: Java</t>
  </si>
  <si>
    <t>COFFIN</t>
  </si>
  <si>
    <t>COGENT</t>
  </si>
  <si>
    <t>COGNIZANCE</t>
  </si>
  <si>
    <t>COGNIZANT</t>
  </si>
  <si>
    <t>COHERENT</t>
  </si>
  <si>
    <t>COHESION</t>
  </si>
  <si>
    <t>COHESIVE</t>
  </si>
  <si>
    <t>COHESIVENESS</t>
  </si>
  <si>
    <t>COHORT</t>
  </si>
  <si>
    <t>COIN</t>
  </si>
  <si>
    <t>COINCIDE</t>
  </si>
  <si>
    <t>COINCIDENCE</t>
  </si>
  <si>
    <t>COINCIDENT</t>
  </si>
  <si>
    <t>COLD#1</t>
  </si>
  <si>
    <t>| 82% noun-adj: Very cool, lacking in heat; the absence of heat (2); unfriendly,  forbidding (2); absolutely, without preparation, abruptly (0)</t>
  </si>
  <si>
    <t>COLD#2</t>
  </si>
  <si>
    <t>| 10% noun: The common illness</t>
  </si>
  <si>
    <t>COLD#3</t>
  </si>
  <si>
    <t>| 5% idiom-noun: 'cold war'</t>
  </si>
  <si>
    <t>COLD#4</t>
  </si>
  <si>
    <t>| 1% adjective: "Colder"--comparative of sense 1</t>
  </si>
  <si>
    <t>COLD#5</t>
  </si>
  <si>
    <t>| 1% adjective: "Coldest"--superlative of sense 1</t>
  </si>
  <si>
    <t>COLD#6</t>
  </si>
  <si>
    <t>| 1% adverb: "Coldly"--indifferently, in a cool manner</t>
  </si>
  <si>
    <t>COLLABORATE</t>
  </si>
  <si>
    <t>COLLABORATION</t>
  </si>
  <si>
    <t>COLLAPSE#1</t>
  </si>
  <si>
    <t>COLLAPSE#2</t>
  </si>
  <si>
    <t>COLLAR#1</t>
  </si>
  <si>
    <t>COLLAR#2</t>
  </si>
  <si>
    <t>COLLATERAL</t>
  </si>
  <si>
    <t>COLLEAGUE</t>
  </si>
  <si>
    <t>COLLECT#1</t>
  </si>
  <si>
    <t>| 87% verb: To accumulate, acquire</t>
  </si>
  <si>
    <t>COLLECT#2</t>
  </si>
  <si>
    <t>| 10% noun-adj: "Collecting"--act or activity of accumulating, pertaining to same</t>
  </si>
  <si>
    <t>COLLECT#3</t>
  </si>
  <si>
    <t>| 3% adj: "Collected"--self-possessed</t>
  </si>
  <si>
    <t>COLLECTION</t>
  </si>
  <si>
    <t>COLLECTIVE</t>
  </si>
  <si>
    <t>COLLECTIVISM</t>
  </si>
  <si>
    <t>COLLECTIVITY</t>
  </si>
  <si>
    <t>COLLEGE</t>
  </si>
  <si>
    <t>| noun-adj: Institution of higher learning, especially liberal arts</t>
  </si>
  <si>
    <t>COLLIDE</t>
  </si>
  <si>
    <t>COLLISION</t>
  </si>
  <si>
    <t>COLLUSION</t>
  </si>
  <si>
    <t>COLONEL</t>
  </si>
  <si>
    <t>COLONIAL</t>
  </si>
  <si>
    <t>COLONY</t>
  </si>
  <si>
    <t>COLOR#1</t>
  </si>
  <si>
    <t>| 46% noun-adj: "Color," "coloring"--hue, shade or tint, includes "coloring"--  the act of imparting hue or shade to something</t>
  </si>
  <si>
    <t>COLOR#2</t>
  </si>
  <si>
    <t>| 37% noun-adj: "Color"--racial complexion; "colored"--having a racial complexion  other than white</t>
  </si>
  <si>
    <t>COLOR#3</t>
  </si>
  <si>
    <t>| 1% verb: To give character or distinguishing quality to, to impart hue,  shade, or tint to something</t>
  </si>
  <si>
    <t>COLOR#4</t>
  </si>
  <si>
    <t>| 14% adj: "Colored"--tinted</t>
  </si>
  <si>
    <t>COLORADO</t>
  </si>
  <si>
    <t>COLORFUL</t>
  </si>
  <si>
    <t>COLOSSAL</t>
  </si>
  <si>
    <t>COLUMBIA</t>
  </si>
  <si>
    <t>Noun PLACE COLL</t>
  </si>
  <si>
    <t>COLUMN</t>
  </si>
  <si>
    <t>COMBAT#1</t>
  </si>
  <si>
    <t>COMBAT#2</t>
  </si>
  <si>
    <t>COMBATANT</t>
  </si>
  <si>
    <t>COMBINATION</t>
  </si>
  <si>
    <t>COMBINE#1</t>
  </si>
  <si>
    <t>COMBINE#2</t>
  </si>
  <si>
    <t>COMBUSTION</t>
  </si>
  <si>
    <t>COME#1</t>
  </si>
  <si>
    <t>COME#2</t>
  </si>
  <si>
    <t>| 0% idiom-verb: "Coming along"--proceeding, progressing</t>
  </si>
  <si>
    <t>COME#3</t>
  </si>
  <si>
    <t>| 4% idiom-verb: "Come up"--about to occur, rise or arise</t>
  </si>
  <si>
    <t>COME#4</t>
  </si>
  <si>
    <t>| 1% idiom-verb: "Come to pass"--happen</t>
  </si>
  <si>
    <t>COME#5</t>
  </si>
  <si>
    <t>| 1% idiom-verb: "Come up with"--produce</t>
  </si>
  <si>
    <t>COME#6</t>
  </si>
  <si>
    <t>| 0% idiom-verb: "Come about"--occur; change direction (nautical)</t>
  </si>
  <si>
    <t>COME#7</t>
  </si>
  <si>
    <t>| 0% idiom-verb: "Come off"--become detached, happen, occur</t>
  </si>
  <si>
    <t>COME#8</t>
  </si>
  <si>
    <t>| 2% idiom-verb: "Come across"--discover, encounter--handled by "across"</t>
  </si>
  <si>
    <t>COMEBACK</t>
  </si>
  <si>
    <t>COMEDY</t>
  </si>
  <si>
    <t>COMELY</t>
  </si>
  <si>
    <t>COMER</t>
  </si>
  <si>
    <t>COMESTIBLE</t>
  </si>
  <si>
    <t>COMFORT#1</t>
  </si>
  <si>
    <t>| 61% noun: Physical or Emotional ease</t>
  </si>
  <si>
    <t>COMFORT#2</t>
  </si>
  <si>
    <t>| 29% verb: To solace</t>
  </si>
  <si>
    <t>COMFORT#3</t>
  </si>
  <si>
    <t>| 10% adj: "Comforting"--consoling, heartening</t>
  </si>
  <si>
    <t>COMFORTABLE</t>
  </si>
  <si>
    <t>| adj-adv: Producing ease, at ease; with ease (1)</t>
  </si>
  <si>
    <t>COMFORTER</t>
  </si>
  <si>
    <t>COMIC</t>
  </si>
  <si>
    <t>COMICAL</t>
  </si>
  <si>
    <t>COMMAND#1</t>
  </si>
  <si>
    <t>COMMAND#2</t>
  </si>
  <si>
    <t>COMMANDER</t>
  </si>
  <si>
    <t>COMMEMORATE</t>
  </si>
  <si>
    <t>COMMEMORATION</t>
  </si>
  <si>
    <t>COMMENCE</t>
  </si>
  <si>
    <t>COMMENCEMENT</t>
  </si>
  <si>
    <t>COMMEND</t>
  </si>
  <si>
    <t>COMMENDABLE</t>
  </si>
  <si>
    <t>COMMENDATION</t>
  </si>
  <si>
    <t>COMMENSURATE</t>
  </si>
  <si>
    <t>COMMENT#1</t>
  </si>
  <si>
    <t>| 84% noun: A remark, observation, or criticism</t>
  </si>
  <si>
    <t>COMMENT#2</t>
  </si>
  <si>
    <t>| 16% verb: To make a remark</t>
  </si>
  <si>
    <t>COMMERCE</t>
  </si>
  <si>
    <t>COMMERCIAL</t>
  </si>
  <si>
    <t>COMMISERATION</t>
  </si>
  <si>
    <t>COMMISSION</t>
  </si>
  <si>
    <t>COMMISSIONER</t>
  </si>
  <si>
    <t>COMMIT#1</t>
  </si>
  <si>
    <t>| 71% verb: To do or perpetrate</t>
  </si>
  <si>
    <t>COMMIT#2</t>
  </si>
  <si>
    <t>| 15% verb: To bind, to consign</t>
  </si>
  <si>
    <t>COMMIT#3</t>
  </si>
  <si>
    <t>| 15% adj: Consigned, bound</t>
  </si>
  <si>
    <t>COMMITMENT</t>
  </si>
  <si>
    <t>COMMITTEE</t>
  </si>
  <si>
    <t>| noun adjective: Group of persons elected or appointed to carry out a specific  task or function</t>
  </si>
  <si>
    <t>COMMODIOUS</t>
  </si>
  <si>
    <t>COMMODITY</t>
  </si>
  <si>
    <t>COMMON#1</t>
  </si>
  <si>
    <t>| 40% adj: Shared, mutual</t>
  </si>
  <si>
    <t>COMMON#2</t>
  </si>
  <si>
    <t>| 24% adj: Ordinary, frequent, without distinction</t>
  </si>
  <si>
    <t>COMMON#3</t>
  </si>
  <si>
    <t>| 18% noun-idiom: "Common market"--the eec</t>
  </si>
  <si>
    <t>COMMON#4</t>
  </si>
  <si>
    <t>| 11% noun-idiom: "Common sense"--sound judgment without special knowledge</t>
  </si>
  <si>
    <t>COMMON#5</t>
  </si>
  <si>
    <t>| 2% adv: "Commonly"--generally</t>
  </si>
  <si>
    <t>COMMON#6</t>
  </si>
  <si>
    <t>| 1% noun: Shared space, usually land</t>
  </si>
  <si>
    <t>COMMON#7</t>
  </si>
  <si>
    <t>| 1% noun: House of commons</t>
  </si>
  <si>
    <t>COMMON-MARKET</t>
  </si>
  <si>
    <t>Noun POLIT ECON COLL SUPRAS</t>
  </si>
  <si>
    <t>COMMONER</t>
  </si>
  <si>
    <t>COMMONPLACE</t>
  </si>
  <si>
    <t>COMMONSENSE</t>
  </si>
  <si>
    <t>COMMONWEALTH</t>
  </si>
  <si>
    <t>COMMOTION</t>
  </si>
  <si>
    <t>COMMUNAL</t>
  </si>
  <si>
    <t>COMMUNE</t>
  </si>
  <si>
    <t>COMMUNICATE#1</t>
  </si>
  <si>
    <t>| 96% verb: To make known, to impart to someone else</t>
  </si>
  <si>
    <t>COMMUNICATE#2</t>
  </si>
  <si>
    <t>| 4% noun: "Communicating"--act of imparting information</t>
  </si>
  <si>
    <t>COMMUNICATION</t>
  </si>
  <si>
    <t>| noun-adj: Transmission or exchange of information</t>
  </si>
  <si>
    <t>COMMUNICATIVE</t>
  </si>
  <si>
    <t>COMMUNION</t>
  </si>
  <si>
    <t>COMMUNIQUE</t>
  </si>
  <si>
    <t>COMMUNISM</t>
  </si>
  <si>
    <t>COMMUNIST</t>
  </si>
  <si>
    <t>| noun-adj: Anyone or anything characterized by communism</t>
  </si>
  <si>
    <t>COMMUNITY</t>
  </si>
  <si>
    <t>| noun-adjective: Town, collectivity formed by proximity or common interest.</t>
  </si>
  <si>
    <t>COMMUTER</t>
  </si>
  <si>
    <t>COMPANION</t>
  </si>
  <si>
    <t>COMPANIONSHIP</t>
  </si>
  <si>
    <t>COMPANY#1</t>
  </si>
  <si>
    <t>| 78% noun-adj: A body of men joined in a common purpose, usually economic</t>
  </si>
  <si>
    <t>COMPANY#2</t>
  </si>
  <si>
    <t>| 22% noun: Society, companionship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</si>
  <si>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</si>
  <si>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</si>
  <si>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</si>
  <si>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</si>
  <si>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</si>
  <si>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</si>
  <si>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</si>
  <si>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COMPASSION</t>
  </si>
  <si>
    <t>COMPASSIONATE</t>
  </si>
  <si>
    <t>COMPATIBLE</t>
  </si>
  <si>
    <t>COMPATRIOT</t>
  </si>
  <si>
    <t>COMPEL#1</t>
  </si>
  <si>
    <t>COMPEL#2</t>
  </si>
  <si>
    <t>COMPENSATE</t>
  </si>
  <si>
    <t>COMPENSATION</t>
  </si>
  <si>
    <t>COMPETE</t>
  </si>
  <si>
    <t>COMPETENCE</t>
  </si>
  <si>
    <t>COMPETENCY</t>
  </si>
  <si>
    <t>COMPETENT</t>
  </si>
  <si>
    <t>COMPETITION</t>
  </si>
  <si>
    <t>COMPETITIVE</t>
  </si>
  <si>
    <t>COMPETITOR</t>
  </si>
  <si>
    <t>COMPILE</t>
  </si>
  <si>
    <t>COMPLAIN</t>
  </si>
  <si>
    <t>| verb: To express dissatisfaction or pain</t>
  </si>
  <si>
    <t>COMPLAINT</t>
  </si>
  <si>
    <t>COMPLEMENT#1</t>
  </si>
  <si>
    <t>COMPLEMENT#2</t>
  </si>
  <si>
    <t>COMPLEMENTARY</t>
  </si>
  <si>
    <t>COMPLETE#1</t>
  </si>
  <si>
    <t>| 30% adjective: Whole, entire, lacking nothing</t>
  </si>
  <si>
    <t>COMPLETE#2</t>
  </si>
  <si>
    <t>| 23% verb: To finish, to bring to a conclusion or consummation, to fulfill  or make whole or entire</t>
  </si>
  <si>
    <t>COMPLETE#3</t>
  </si>
  <si>
    <t>| 2% adjective: "Completed"--finished, terminated</t>
  </si>
  <si>
    <t>COMPLETE#4</t>
  </si>
  <si>
    <t>| 46% adverb: Wholly, entirely--"completely"</t>
  </si>
  <si>
    <t>COMPLETENESS</t>
  </si>
  <si>
    <t>COMPLETION</t>
  </si>
  <si>
    <t>COMPLEX</t>
  </si>
  <si>
    <t>COMPLEXITY</t>
  </si>
  <si>
    <t>COMPLIANCE</t>
  </si>
  <si>
    <t>COMPLICATE#1</t>
  </si>
  <si>
    <t>COMPLICATE#2</t>
  </si>
  <si>
    <t>COMPLICATION</t>
  </si>
  <si>
    <t>COMPLICITY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</si>
  <si>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</si>
  <si>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</si>
  <si>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</si>
  <si>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</si>
  <si>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</si>
  <si>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</si>
  <si>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</si>
  <si>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COMPOSURE</t>
  </si>
  <si>
    <t>COMPOUND#1</t>
  </si>
  <si>
    <t>COMPOUND#2</t>
  </si>
  <si>
    <t>COMPREHEND</t>
  </si>
  <si>
    <t>COMPREHENSION</t>
  </si>
  <si>
    <t>COMPREHENSIVE</t>
  </si>
  <si>
    <t>COMPRESS#1</t>
  </si>
  <si>
    <t>COMPRESS#2</t>
  </si>
  <si>
    <t>COMPRESSION</t>
  </si>
  <si>
    <t>COMPRISE</t>
  </si>
  <si>
    <t>COMPROMISE#1</t>
  </si>
  <si>
    <t>COMPROMISE#2</t>
  </si>
  <si>
    <t>COMPULSION</t>
  </si>
  <si>
    <t>COMPULSIVE</t>
  </si>
  <si>
    <t>COMPULSORY</t>
  </si>
  <si>
    <t>COMPUTE</t>
  </si>
  <si>
    <t>COMPUTER</t>
  </si>
  <si>
    <t>CONCEAL</t>
  </si>
  <si>
    <t>CONCEDE</t>
  </si>
  <si>
    <t>CONCEIT</t>
  </si>
  <si>
    <t>CONCEIVABLE</t>
  </si>
  <si>
    <t>CONCEIVE</t>
  </si>
  <si>
    <t>CONCENTRATE#1</t>
  </si>
  <si>
    <t>CONCENTRATE#2</t>
  </si>
  <si>
    <t>CONCENTRATION#1</t>
  </si>
  <si>
    <t>| 63% noun: Strength or density about a common center</t>
  </si>
  <si>
    <t>CONCENTRATION#2</t>
  </si>
  <si>
    <t>| 38% noun: Close or fixed attention</t>
  </si>
  <si>
    <t>CONCEPT</t>
  </si>
  <si>
    <t>| noun: An idea</t>
  </si>
  <si>
    <t>CONCEPTION</t>
  </si>
  <si>
    <t>CONCERN#1</t>
  </si>
  <si>
    <t>| 58% verb-adj: To be of interest or importance to--to trouble, worry, or  disquiet, to be interested in, relevant to, or worried about</t>
  </si>
  <si>
    <t>CONCERN#2</t>
  </si>
  <si>
    <t>| 26% noun: Worry, solicitude, or anxiety</t>
  </si>
  <si>
    <t>CONCERN#3</t>
  </si>
  <si>
    <t>| 15% preposition: "Concerning"--relating to, regarding, about</t>
  </si>
  <si>
    <t>CONCERN#4</t>
  </si>
  <si>
    <t>| 1% noun: Business concern--commercial enterprise</t>
  </si>
  <si>
    <t>CONCERT</t>
  </si>
  <si>
    <t>CONCESSION</t>
  </si>
  <si>
    <t>CONCILIATION</t>
  </si>
  <si>
    <t>CONCILIATORY</t>
  </si>
  <si>
    <t>CONCLUDE</t>
  </si>
  <si>
    <t>CONCLUSION</t>
  </si>
  <si>
    <t>CONCLUSIVE</t>
  </si>
  <si>
    <t>CONCRETE</t>
  </si>
  <si>
    <t>CONCUR</t>
  </si>
  <si>
    <t>CONCURRED</t>
  </si>
  <si>
    <t>CONCURRENT</t>
  </si>
  <si>
    <t>CONDEMN#1</t>
  </si>
  <si>
    <t>CONDEMN#2</t>
  </si>
  <si>
    <t>CONDEMNATION</t>
  </si>
  <si>
    <t>CONDENSATION</t>
  </si>
  <si>
    <t>CONDENSE</t>
  </si>
  <si>
    <t>CONDESCENDING</t>
  </si>
  <si>
    <t>CONDESCENSION</t>
  </si>
  <si>
    <t>CONDITION#1</t>
  </si>
  <si>
    <t>| 95% noun: A general or specific state of existence, often set as a prerequisite  for some future action</t>
  </si>
  <si>
    <t>CONDITION#2</t>
  </si>
  <si>
    <t>| 1% noun-adj: "Conditioning"--process of rendering in a specified condition</t>
  </si>
  <si>
    <t>CONDITION#3</t>
  </si>
  <si>
    <t>| 0% adj: "Conditioned"--rendered in a (specific) condition; in proper or  fit condition</t>
  </si>
  <si>
    <t>CONDITION#4</t>
  </si>
  <si>
    <t>| 3% verb: To subject to certain circumstances, thereby rendering in a (specific)  condition (cf. b.f. skinner)</t>
  </si>
  <si>
    <t>CONDITION#5</t>
  </si>
  <si>
    <t>| 1% idiom-noun: "Air conditioning," "air conditioner"</t>
  </si>
  <si>
    <t>CONDONE</t>
  </si>
  <si>
    <t>CONDUCIVE</t>
  </si>
  <si>
    <t>CONDUCT#1</t>
  </si>
  <si>
    <t>| 43% noun: Behavior</t>
  </si>
  <si>
    <t>CONDUCT#2</t>
  </si>
  <si>
    <t>| 18% noun: Performance, execution</t>
  </si>
  <si>
    <t>CONDUCT#3</t>
  </si>
  <si>
    <t>| 32% verb: To perform, carry out, manage</t>
  </si>
  <si>
    <t>CONDUCT#4</t>
  </si>
  <si>
    <t>| 7% verb: To behave</t>
  </si>
  <si>
    <t>CONDUCTOR</t>
  </si>
  <si>
    <t>CONFEDERACY</t>
  </si>
  <si>
    <t>CONFEDERATE</t>
  </si>
  <si>
    <t>CONFEDERATION</t>
  </si>
  <si>
    <t>CONFER</t>
  </si>
  <si>
    <t>CONFERENCE</t>
  </si>
  <si>
    <t>| noun: A meeting for consultation or negotiation</t>
  </si>
  <si>
    <t>CONFESS</t>
  </si>
  <si>
    <t>CONFESSION</t>
  </si>
  <si>
    <t>CONFIDANT</t>
  </si>
  <si>
    <t>CONFIDE</t>
  </si>
  <si>
    <t>CONFIDENCE#1</t>
  </si>
  <si>
    <t>| 97% noun: Trust, self-assurance, a secret</t>
  </si>
  <si>
    <t>CONFIDENCE#2</t>
  </si>
  <si>
    <t>| 3% idiom-adj-adv: "In confidence"--private, privately</t>
  </si>
  <si>
    <t>CONFIDENT</t>
  </si>
  <si>
    <t>CONFIGURATION</t>
  </si>
  <si>
    <t>CONFINE#1</t>
  </si>
  <si>
    <t>CONFINE#2</t>
  </si>
  <si>
    <t>CONFINEMENT</t>
  </si>
  <si>
    <t>CONFIRM#1</t>
  </si>
  <si>
    <t>CONFIRM#2</t>
  </si>
  <si>
    <t>CONFIRMATION</t>
  </si>
  <si>
    <t>CONFISCATE</t>
  </si>
  <si>
    <t>CONFISCATION</t>
  </si>
  <si>
    <t>CONFLICT#1</t>
  </si>
  <si>
    <t>| 80% noun: Disagreement or struggle</t>
  </si>
  <si>
    <t>CONFLICT#2</t>
  </si>
  <si>
    <t>| 18% adj: "Conflicting"--opposed, discordant</t>
  </si>
  <si>
    <t>CONFLICT#3</t>
  </si>
  <si>
    <t>| 0% verb: To disagree or struggle</t>
  </si>
  <si>
    <t>CONFLICT#4</t>
  </si>
  <si>
    <t>| 3% adj: "Conflicted"--ambivalent</t>
  </si>
  <si>
    <t>CONFORM</t>
  </si>
  <si>
    <t>CONFORMIST</t>
  </si>
  <si>
    <t>CONFORMITY</t>
  </si>
  <si>
    <t>CONFOUND</t>
  </si>
  <si>
    <t>CONFRONT</t>
  </si>
  <si>
    <t>| verb: To challenge, face</t>
  </si>
  <si>
    <t>CONFRONTATION</t>
  </si>
  <si>
    <t>CONFUSE#1</t>
  </si>
  <si>
    <t>| 9% verb: To make unclear, to temporarily disturb the clear working of the mind</t>
  </si>
  <si>
    <t>CONFUSE#2</t>
  </si>
  <si>
    <t>| 2% verb: To fail to distinguish</t>
  </si>
  <si>
    <t>CONFUSE#3</t>
  </si>
  <si>
    <t>| 82% adj: "Confused"--jumbled, disturbed, bewildered</t>
  </si>
  <si>
    <t>CONFUSE#4</t>
  </si>
  <si>
    <t>| 7% adj: "Confusing"--bewildering</t>
  </si>
  <si>
    <t>CONFUSION</t>
  </si>
  <si>
    <t>CONGENIAL</t>
  </si>
  <si>
    <t>CONGESTED</t>
  </si>
  <si>
    <t>CONGESTION</t>
  </si>
  <si>
    <t>CONGO</t>
  </si>
  <si>
    <t>CONGRATULATE</t>
  </si>
  <si>
    <t>CONGRATULATION</t>
  </si>
  <si>
    <t>CONGRATULATORY</t>
  </si>
  <si>
    <t>CONGREGATE</t>
  </si>
  <si>
    <t>CONGREGATION</t>
  </si>
  <si>
    <t>CONGREGATIONAL</t>
  </si>
  <si>
    <t>CONGRESS#1</t>
  </si>
  <si>
    <t>| 97% noun: The legislative branch of the u.s. government</t>
  </si>
  <si>
    <t>CONGRESS#2</t>
  </si>
  <si>
    <t>| 3% noun: An organization, society, etc., an official gathering of same</t>
  </si>
  <si>
    <t>CONGRESSIONAL</t>
  </si>
  <si>
    <t>CONGRESSMAN</t>
  </si>
  <si>
    <t>CONGRESSMEN</t>
  </si>
  <si>
    <t>CONJUNCTION</t>
  </si>
  <si>
    <t>CONJURE</t>
  </si>
  <si>
    <t>CONNECT</t>
  </si>
  <si>
    <t>CONNECTICUT</t>
  </si>
  <si>
    <t>CONNECTION</t>
  </si>
  <si>
    <t>| noun: Junction, affiliation, relation, union, reference</t>
  </si>
  <si>
    <t>CONQUER</t>
  </si>
  <si>
    <t>CONQUEROR</t>
  </si>
  <si>
    <t>CONQUEST</t>
  </si>
  <si>
    <t>CONSCIENCE</t>
  </si>
  <si>
    <t>CONSCIENTIOUS</t>
  </si>
  <si>
    <t>CONSCIOUS</t>
  </si>
  <si>
    <t>| adj-adv: Aware, deliberate; "consciously"--in a cognizant or deliberate manner (2)</t>
  </si>
  <si>
    <t>CONSCIOUSNESS</t>
  </si>
  <si>
    <t>CONSECRATE</t>
  </si>
  <si>
    <t>CONSENSUS</t>
  </si>
  <si>
    <t>CONSENT#1</t>
  </si>
  <si>
    <t>CONSENT#2</t>
  </si>
  <si>
    <t>CONSEQUENCE</t>
  </si>
  <si>
    <t>CONSEQUENT</t>
  </si>
  <si>
    <t>CONSERVATION</t>
  </si>
  <si>
    <t>CONSERVATISM</t>
  </si>
  <si>
    <t>CONSERVATIVE#1</t>
  </si>
  <si>
    <t>| 81% adj: Distrustful of innovation, restrained</t>
  </si>
  <si>
    <t>CONSERVATIVE#2</t>
  </si>
  <si>
    <t>| 19% noun: A group or individual committed to the status quo</t>
  </si>
  <si>
    <t>CONSERVATIVE#3</t>
  </si>
  <si>
    <t>| 0% adv: "Conservatively"--traditionally, prudently, cautiously</t>
  </si>
  <si>
    <t>CONSERVE</t>
  </si>
  <si>
    <t>CONSIDER#1</t>
  </si>
  <si>
    <t>| verb: To think about or bear in mind--to regard or deem to be; to regard  with respect, thoughtfulness, etc. (2)</t>
  </si>
  <si>
    <t>CONSIDER#2</t>
  </si>
  <si>
    <t>| 1% adj: "Considered"--thoughtful--e.g. "a considered decision"</t>
  </si>
  <si>
    <t>CONSIDERABLE#1</t>
  </si>
  <si>
    <t>| 77% adj: Substantial</t>
  </si>
  <si>
    <t>CONSIDERABLE#2</t>
  </si>
  <si>
    <t>| 23% adv: "Considerably"--substantially</t>
  </si>
  <si>
    <t>CONSIDERATE</t>
  </si>
  <si>
    <t>CONSIDERATION#1</t>
  </si>
  <si>
    <t>| 69% noun: Thought, deliberation; thoughtfulness, respect (4)</t>
  </si>
  <si>
    <t>CONSIDERATION#2</t>
  </si>
  <si>
    <t>| 31% noun: Factor to be taken into account</t>
  </si>
  <si>
    <t>CONSIGN</t>
  </si>
  <si>
    <t>CONSIST</t>
  </si>
  <si>
    <t>CONSISTENCY</t>
  </si>
  <si>
    <t>CONSISTENT</t>
  </si>
  <si>
    <t>| adj-adv: Compatible, invariant, even; "consistently"--steadily, constantly, evenly</t>
  </si>
  <si>
    <t>CONSOLATION</t>
  </si>
  <si>
    <t>CONSOLE</t>
  </si>
  <si>
    <t>CONSOLIDATE</t>
  </si>
  <si>
    <t>CONSOLIDATION</t>
  </si>
  <si>
    <t>CONSPICUOUS</t>
  </si>
  <si>
    <t>CONSPIRACY</t>
  </si>
  <si>
    <t>CONSPIRATOR</t>
  </si>
  <si>
    <t>CONSPIRE</t>
  </si>
  <si>
    <t>CONSTABLE</t>
  </si>
  <si>
    <t>CONSTANCY</t>
  </si>
  <si>
    <t>Noun Freq</t>
  </si>
  <si>
    <t>CONSTANT#1</t>
  </si>
  <si>
    <t>| 40% adj: Steady, without interruption or variation</t>
  </si>
  <si>
    <t>CONSTANT#2</t>
  </si>
  <si>
    <t>| 60% adv: "Constantly"--continually</t>
  </si>
  <si>
    <t>CONSTERNATION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</si>
  <si>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</si>
  <si>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</si>
  <si>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</si>
  <si>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</si>
  <si>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</si>
  <si>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</si>
  <si>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</si>
  <si>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</si>
  <si>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| noun-adj: Building, or having to do with same</t>
  </si>
  <si>
    <t>CONSTRUCTIVE</t>
  </si>
  <si>
    <t>CONSTRUE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</si>
  <si>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</si>
  <si>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</si>
  <si>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</si>
  <si>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</si>
  <si>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</si>
  <si>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</si>
  <si>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</si>
  <si>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CONSUMPTIVE</t>
  </si>
  <si>
    <t>CONTACT#1</t>
  </si>
  <si>
    <t>| 93% noun: A meeting, acquaintance, or communication with or exposure to  another person or other people generally over some period of time in some  general</t>
  </si>
  <si>
    <t>CONTACT#2</t>
  </si>
  <si>
    <t>| 1% verb: To communicate with, meet</t>
  </si>
  <si>
    <t>CONTAGIOUS</t>
  </si>
  <si>
    <t>CONTAIN</t>
  </si>
  <si>
    <t>CONTAMINATE</t>
  </si>
  <si>
    <t>CONTAMINATION</t>
  </si>
  <si>
    <t>CONTEMPLATE</t>
  </si>
  <si>
    <t>CONTEMPLATION</t>
  </si>
  <si>
    <t>CONTEMPORANEOUS</t>
  </si>
  <si>
    <t>CONTEMPT</t>
  </si>
  <si>
    <t>CONTEMPTIBLE</t>
  </si>
  <si>
    <t>CONTEMPTUOUS</t>
  </si>
  <si>
    <t>CONTEND</t>
  </si>
  <si>
    <t>CONTENT#1</t>
  </si>
  <si>
    <t>| 21% noun: Meaning or constituent elements</t>
  </si>
  <si>
    <t>CONTENT#2</t>
  </si>
  <si>
    <t>| 8% noun: "Contents"--that which is contained</t>
  </si>
  <si>
    <t>CONTENT#3</t>
  </si>
  <si>
    <t>| 58% adj: Satisfied</t>
  </si>
  <si>
    <t>CONTENT#4</t>
  </si>
  <si>
    <t>| 13% adv: "Contentedly"--in a satisfied manner</t>
  </si>
  <si>
    <t>CONTENT#5</t>
  </si>
  <si>
    <t>| 0% verb: To satisfy</t>
  </si>
  <si>
    <t>CONTENTION</t>
  </si>
  <si>
    <t>CONTENTMENT</t>
  </si>
  <si>
    <t>CONTEST#1</t>
  </si>
  <si>
    <t>CONTEST#2</t>
  </si>
  <si>
    <t>CONTEXT</t>
  </si>
  <si>
    <t>CONTINENT</t>
  </si>
  <si>
    <t>Noun PLACE POLIT</t>
  </si>
  <si>
    <t>CONTINENTAL</t>
  </si>
  <si>
    <t>CONTINGENCY</t>
  </si>
  <si>
    <t>CONTINGENT</t>
  </si>
  <si>
    <t>CONTINUAL#1</t>
  </si>
  <si>
    <t>| 10% adj: Constant</t>
  </si>
  <si>
    <t>CONTINUAL#2</t>
  </si>
  <si>
    <t>| 90% adv: "Continually"--constantly</t>
  </si>
  <si>
    <t>CONTINUATION</t>
  </si>
  <si>
    <t>CONTINUE#1</t>
  </si>
  <si>
    <t>| 95% verb: To go on, keep on, extend</t>
  </si>
  <si>
    <t>CONTINUE#2</t>
  </si>
  <si>
    <t>| 5% adj: "Continued," "continuing," still in progress</t>
  </si>
  <si>
    <t>CONTINUITY</t>
  </si>
  <si>
    <t>CONTINUOUS</t>
  </si>
  <si>
    <t>CONTINUUM</t>
  </si>
  <si>
    <t>CONTRACT#1</t>
  </si>
  <si>
    <t>| 95% noun-adj: "Contract," "contracting"--a legally binding agreement;  the making of same (1)</t>
  </si>
  <si>
    <t>CONTRACT#2</t>
  </si>
  <si>
    <t>| 5% verb: To engage in a legally binding agreement</t>
  </si>
  <si>
    <t>CONTRACT#3</t>
  </si>
  <si>
    <t>| 0% verb: To draw inward, to shrink; to get or acquire, as a disease (0)</t>
  </si>
  <si>
    <t>CONTRACTUAL</t>
  </si>
  <si>
    <t>CONTRADICT</t>
  </si>
  <si>
    <t>CONTRADICTION</t>
  </si>
  <si>
    <t>CONTRADICTORY</t>
  </si>
  <si>
    <t>CONTRARY</t>
  </si>
  <si>
    <t>CONTRAST#1</t>
  </si>
  <si>
    <t>CONTRAST#2</t>
  </si>
  <si>
    <t>CONTRIBUTE#1</t>
  </si>
  <si>
    <t>| 97% verb: To give or add</t>
  </si>
  <si>
    <t>CONTRIBUTE#2</t>
  </si>
  <si>
    <t>| 0% adj: "Contributing"--giving or adding</t>
  </si>
  <si>
    <t>CONTRIBUTION</t>
  </si>
  <si>
    <t>Noun Virt</t>
  </si>
  <si>
    <t>| noun: Something given or added</t>
  </si>
  <si>
    <t>CONTRIBUTOR</t>
  </si>
  <si>
    <t>CONTRIVE</t>
  </si>
  <si>
    <t>CONTROL#1</t>
  </si>
  <si>
    <t>| 61% noun: The agency, act or power of control</t>
  </si>
  <si>
    <t>CONTROL#2</t>
  </si>
  <si>
    <t>| 26% verb: To restrain, direct, regulate</t>
  </si>
  <si>
    <t>CONTROL#3</t>
  </si>
  <si>
    <t>| 7% adj: "Controlled"--regulated, restrained</t>
  </si>
  <si>
    <t>CONTROL#4</t>
  </si>
  <si>
    <t>| 2% adj: "Controlling"--regulating, restraining</t>
  </si>
  <si>
    <t>CONTROLLER</t>
  </si>
  <si>
    <t>CONTROVERSIAL</t>
  </si>
  <si>
    <t>CONTROVERSY</t>
  </si>
  <si>
    <t>CONVENE</t>
  </si>
  <si>
    <t>CONVENIENCE</t>
  </si>
  <si>
    <t>CONVENIENT</t>
  </si>
  <si>
    <t>CONVENT</t>
  </si>
  <si>
    <t>CONVENTION</t>
  </si>
  <si>
    <t>| noun: A meeting or assembly of delegates or representatives for action  on particular matters</t>
  </si>
  <si>
    <t>CONVENTIONAL</t>
  </si>
  <si>
    <t>CONVERSATION</t>
  </si>
  <si>
    <t>Noun COM</t>
  </si>
  <si>
    <t>CONVERSE</t>
  </si>
  <si>
    <t>CONVERSION</t>
  </si>
  <si>
    <t>CONVERT#1</t>
  </si>
  <si>
    <t>CONVERT#2</t>
  </si>
  <si>
    <t>CONVEY</t>
  </si>
  <si>
    <t>CONVICT#1</t>
  </si>
  <si>
    <t>CONVICT#2</t>
  </si>
  <si>
    <t>CONVICTION</t>
  </si>
  <si>
    <t>CONVINCE#1</t>
  </si>
  <si>
    <t>| 83% verb: To persuade by argument or proof, cause to believe</t>
  </si>
  <si>
    <t>CONVINCE#2</t>
  </si>
  <si>
    <t>| 17% noun-adj: "Convincing"--persuasive; the act of persuading (1)</t>
  </si>
  <si>
    <t>CONVINCED#1</t>
  </si>
  <si>
    <t>| 85% adj: Persuaded</t>
  </si>
  <si>
    <t>CONVINCED#2</t>
  </si>
  <si>
    <t>| 15% verb: Caused to believe</t>
  </si>
  <si>
    <t>CONVULSE</t>
  </si>
  <si>
    <t>COOK#1</t>
  </si>
  <si>
    <t>| 74% verb: To prepare food or subject anything to the action of heat</t>
  </si>
  <si>
    <t>COOK#2</t>
  </si>
  <si>
    <t>| 9% noun: One who cooks</t>
  </si>
  <si>
    <t>COOK#3</t>
  </si>
  <si>
    <t>| 10% noun-adj: "Cooking"--preparation of food</t>
  </si>
  <si>
    <t>COOK#4</t>
  </si>
  <si>
    <t>| 8% adj: "Cooked"--heated, prepared</t>
  </si>
  <si>
    <t>COOKIE</t>
  </si>
  <si>
    <t>COOKY</t>
  </si>
  <si>
    <t>COOL</t>
  </si>
  <si>
    <t>SUPV Modif</t>
  </si>
  <si>
    <t>COOLNESS</t>
  </si>
  <si>
    <t>COOPERATE</t>
  </si>
  <si>
    <t>COOPERATION</t>
  </si>
  <si>
    <t>| noun: Working together</t>
  </si>
  <si>
    <t>COOPERATIVE#1</t>
  </si>
  <si>
    <t>| 68% noun-adj: An organization for the benefit of producers or consumers</t>
  </si>
  <si>
    <t>COOPERATIVE#2</t>
  </si>
  <si>
    <t>| 27% adj: Willing to act with others, or doing so</t>
  </si>
  <si>
    <t>COOPERATIVE#3</t>
  </si>
  <si>
    <t>| 5% adv: "Cooperatively"--with cooperation</t>
  </si>
  <si>
    <t>COORDINATE</t>
  </si>
  <si>
    <t>COORDINATION</t>
  </si>
  <si>
    <t>COP</t>
  </si>
  <si>
    <t>COPE</t>
  </si>
  <si>
    <t>COPPER</t>
  </si>
  <si>
    <t>COPY#1</t>
  </si>
  <si>
    <t>COPY#2</t>
  </si>
  <si>
    <t>COPYRIGHT</t>
  </si>
  <si>
    <t>CORD</t>
  </si>
  <si>
    <t>CORDIAL</t>
  </si>
  <si>
    <t>CORE</t>
  </si>
  <si>
    <t>CORN</t>
  </si>
  <si>
    <t>CORNER</t>
  </si>
  <si>
    <t>| noun: A meeting place of two converging lines or planes</t>
  </si>
  <si>
    <t>CORP</t>
  </si>
  <si>
    <t>CORPORAL</t>
  </si>
  <si>
    <t>CORPORATE</t>
  </si>
  <si>
    <t>CORPORATION</t>
  </si>
  <si>
    <t>CORPS#1</t>
  </si>
  <si>
    <t>| 93% idiom-noun: "Peace corps"</t>
  </si>
  <si>
    <t>CORPS#2</t>
  </si>
  <si>
    <t>| 7% noun: A unit or group, usually of the military</t>
  </si>
  <si>
    <t>CORPUS</t>
  </si>
  <si>
    <t>CORRECT#1</t>
  </si>
  <si>
    <t>| 21% adj: Accurate, proper</t>
  </si>
  <si>
    <t>CORRECT#2</t>
  </si>
  <si>
    <t>| 54% verb: To make right, improve; to point out error (0)</t>
  </si>
  <si>
    <t>CORRECT#3</t>
  </si>
  <si>
    <t>| 25% adv: "Correctly"--properly, accurately</t>
  </si>
  <si>
    <t>CORRECT#4</t>
  </si>
  <si>
    <t>| 0% adj: "Corrected"--made right</t>
  </si>
  <si>
    <t>CORRECTION</t>
  </si>
  <si>
    <t>CORRECTIVE</t>
  </si>
  <si>
    <t>CORRELATE#1</t>
  </si>
  <si>
    <t>CORRELATE#2</t>
  </si>
  <si>
    <t>CORRELATION</t>
  </si>
  <si>
    <t>CORRESPOND</t>
  </si>
  <si>
    <t>CORRESPONDENCE</t>
  </si>
  <si>
    <t>CORRESPONDENT</t>
  </si>
  <si>
    <t>CORRODE</t>
  </si>
  <si>
    <t>CORROSION</t>
  </si>
  <si>
    <t>CORROSIVE</t>
  </si>
  <si>
    <t>CORRUPT</t>
  </si>
  <si>
    <t>CORRUPTION</t>
  </si>
  <si>
    <t>CORSICA</t>
  </si>
  <si>
    <t>COSMIC</t>
  </si>
  <si>
    <t>COST#1</t>
  </si>
  <si>
    <t>| 67% noun-adj: Expense, outlay, sacrifice, loss, penalty</t>
  </si>
  <si>
    <t>COST#2</t>
  </si>
  <si>
    <t>| 33% verb: To require or result in an expenditure</t>
  </si>
  <si>
    <t>COSTA</t>
  </si>
  <si>
    <t>COSTA-RICA</t>
  </si>
  <si>
    <t>COSTLINESS</t>
  </si>
  <si>
    <t>COSTLY</t>
  </si>
  <si>
    <t>| adj: Expensive</t>
  </si>
  <si>
    <t>COSTUME</t>
  </si>
  <si>
    <t>COTTAGE</t>
  </si>
  <si>
    <t>COTTON</t>
  </si>
  <si>
    <t>COULD</t>
  </si>
  <si>
    <t>SUPV VERB MOD ED</t>
  </si>
  <si>
    <t>| verb: Past form of 'can'; auxiliary used with present and future verbs  to express lesser degree of possibility</t>
  </si>
  <si>
    <t>COUNCIL</t>
  </si>
  <si>
    <t>| noun-adj: A body of persons summoned or convened for deliberation, consultation  or advice</t>
  </si>
  <si>
    <t>COUNSEL#1</t>
  </si>
  <si>
    <t>COUNSEL#2</t>
  </si>
  <si>
    <t>COUNSELOR</t>
  </si>
  <si>
    <t>COUNT#1</t>
  </si>
  <si>
    <t>COUNT#2</t>
  </si>
  <si>
    <t>COUNTERACT</t>
  </si>
  <si>
    <t>COUNTERACTION</t>
  </si>
  <si>
    <t>COUNTERBALANCE</t>
  </si>
  <si>
    <t>COUNTERFEIT</t>
  </si>
  <si>
    <t>COUNTERPART</t>
  </si>
  <si>
    <t>| noun-adj: Person or thing that corresponds to or resembles another</t>
  </si>
  <si>
    <t>COUNTLESS</t>
  </si>
  <si>
    <t>COUNTRY#1</t>
  </si>
  <si>
    <t>| 90% noun: A nation or sovereign territory, a region, area (e.g. "indian country")</t>
  </si>
  <si>
    <t>COUNTRY#2</t>
  </si>
  <si>
    <t>| 9% noun-adj: A rural area--rural (versus urban)</t>
  </si>
  <si>
    <t>COUNTRY#3</t>
  </si>
  <si>
    <t>| 0% idiom-noun: "Country club"</t>
  </si>
  <si>
    <t>COUNTY</t>
  </si>
  <si>
    <t>COUP</t>
  </si>
  <si>
    <t>COUPLE#1</t>
  </si>
  <si>
    <t>| 57% adj: A couple of--two or three, a few</t>
  </si>
  <si>
    <t>COUPLE#2</t>
  </si>
  <si>
    <t>| 41% noun: Two persons of opposite sex considered together</t>
  </si>
  <si>
    <t>COUPLE#3</t>
  </si>
  <si>
    <t>| 1% verb: To join or link</t>
  </si>
  <si>
    <t>COURAGE</t>
  </si>
  <si>
    <t>| noun: A difficulty with strength and without fear.</t>
  </si>
  <si>
    <t>COURAGEOUS</t>
  </si>
  <si>
    <t>COURSE#1</t>
  </si>
  <si>
    <t>| 40% noun: A program of instruction, a class</t>
  </si>
  <si>
    <t>COURSE#2</t>
  </si>
  <si>
    <t>| 14% noun: A continuous passage or progress through time, through a succession  of stages, or in a particular direction</t>
  </si>
  <si>
    <t>COURSE#3</t>
  </si>
  <si>
    <t>| 44% interjec: "Of course"--naturally, as would be expected</t>
  </si>
  <si>
    <t>COURT#1</t>
  </si>
  <si>
    <t>| 65% noun-adj: A place where trials are held and the law is carried on--by  metonymy the process or authority of the law, or a given court or judge;  a sovereig</t>
  </si>
  <si>
    <t>COURT#2</t>
  </si>
  <si>
    <t>| 9% verb: To woo or try to get, seek</t>
  </si>
  <si>
    <t>COURT#3</t>
  </si>
  <si>
    <t>| 26% idiom-noun: "Supreme court"</t>
  </si>
  <si>
    <t>COURTEOUS</t>
  </si>
  <si>
    <t>COURTESY</t>
  </si>
  <si>
    <t>COURTLY</t>
  </si>
  <si>
    <t>COUSIN</t>
  </si>
  <si>
    <t>COVENANT</t>
  </si>
  <si>
    <t>COVER#1</t>
  </si>
  <si>
    <t>| 9% noun: "Cover," "covering"--that which conceals or protects</t>
  </si>
  <si>
    <t>COVER#2</t>
  </si>
  <si>
    <t>| 87% verb: To conceal, protect; to coat, be smeared or buried (25); to  encompass, deal with, range over (11); meet an expense (6)</t>
  </si>
  <si>
    <t>COVER#3</t>
  </si>
  <si>
    <t>| 3% adj: "Covered"--having coverage or protection</t>
  </si>
  <si>
    <t>COVERAGE</t>
  </si>
  <si>
    <t>COVERT</t>
  </si>
  <si>
    <t>COVET</t>
  </si>
  <si>
    <t>COW</t>
  </si>
  <si>
    <t>| noun: An animal.</t>
  </si>
  <si>
    <t>COWARD</t>
  </si>
  <si>
    <t>COYOTE</t>
  </si>
  <si>
    <t>| noun: A carnivorous, wolflike mammal</t>
  </si>
  <si>
    <t>COZY</t>
  </si>
  <si>
    <t>CRACK#1</t>
  </si>
  <si>
    <t>CRACK#2</t>
  </si>
  <si>
    <t>CRAFT</t>
  </si>
  <si>
    <t>CRAFTY</t>
  </si>
  <si>
    <t>CRAM</t>
  </si>
  <si>
    <t>CRAMP</t>
  </si>
  <si>
    <t>CRANKY</t>
  </si>
  <si>
    <t>CRASH#1</t>
  </si>
  <si>
    <t>CRASH#2</t>
  </si>
  <si>
    <t>CRASS</t>
  </si>
  <si>
    <t>CRAVE</t>
  </si>
  <si>
    <t>CRAWL#1</t>
  </si>
  <si>
    <t>| 92% verb: To move laboriously, close to the ground</t>
  </si>
  <si>
    <t>CRAWL#2</t>
  </si>
  <si>
    <t>| 4% verb: To swarm with</t>
  </si>
  <si>
    <t>CRAWL#3</t>
  </si>
  <si>
    <t>| 4% adj: Having a crawl as mode of locomotion</t>
  </si>
  <si>
    <t>CRAZE</t>
  </si>
  <si>
    <t>CRAZINESS</t>
  </si>
  <si>
    <t>CRAZY</t>
  </si>
  <si>
    <t>CREAM#1</t>
  </si>
  <si>
    <t>CREAM#2</t>
  </si>
  <si>
    <t>CREATE</t>
  </si>
  <si>
    <t>| verb: To cause to come into being, to happen, to bring about.</t>
  </si>
  <si>
    <t>CREATION</t>
  </si>
  <si>
    <t>CREATIVE</t>
  </si>
  <si>
    <t>| adj-adv: Innovative, artistic; "creatively"--in a creative manner</t>
  </si>
  <si>
    <t>CREATIVITY</t>
  </si>
  <si>
    <t>CREATOR</t>
  </si>
  <si>
    <t>CREATURE</t>
  </si>
  <si>
    <t>CREDENTIALS</t>
  </si>
  <si>
    <t>CREDIBILITY</t>
  </si>
  <si>
    <t>CREDIBLE</t>
  </si>
  <si>
    <t>CREDIT#1</t>
  </si>
  <si>
    <t>| 66% noun-adj: Deferred payment, borrowing, financial trust</t>
  </si>
  <si>
    <t>CREDIT#2</t>
  </si>
  <si>
    <t>| 23% noun: Recognition, honor (includes academic credit)</t>
  </si>
  <si>
    <t>CREDIT#3</t>
  </si>
  <si>
    <t>| 9% verb: To place in an account</t>
  </si>
  <si>
    <t>CREDIT#4</t>
  </si>
  <si>
    <t>| 3% verb: To give recognition, to ascribe</t>
  </si>
  <si>
    <t>CREDITABLE</t>
  </si>
  <si>
    <t>CREDO</t>
  </si>
  <si>
    <t>CREDULITY</t>
  </si>
  <si>
    <t>CREDULOUS</t>
  </si>
  <si>
    <t>CREEK</t>
  </si>
  <si>
    <t>CREEP#1</t>
  </si>
  <si>
    <t>CREEP#2</t>
  </si>
  <si>
    <t>CREPT</t>
  </si>
  <si>
    <t>CREST</t>
  </si>
  <si>
    <t>CRETE</t>
  </si>
  <si>
    <t>Noun PLACE ECON POLIT</t>
  </si>
  <si>
    <t>CREW</t>
  </si>
  <si>
    <t>CRIME</t>
  </si>
  <si>
    <t>CRIMINAL</t>
  </si>
  <si>
    <t>CRINGE</t>
  </si>
  <si>
    <t>CRIPPLE</t>
  </si>
  <si>
    <t>CRISIS</t>
  </si>
  <si>
    <t>CRISP</t>
  </si>
  <si>
    <t>CRITERIA</t>
  </si>
  <si>
    <t>CRITERION</t>
  </si>
  <si>
    <t>CRITIC</t>
  </si>
  <si>
    <t>CRITICAL</t>
  </si>
  <si>
    <t>CRITICISE#1</t>
  </si>
  <si>
    <t>CRITICISM</t>
  </si>
  <si>
    <t>CRITICIZE</t>
  </si>
  <si>
    <t>CROAK</t>
  </si>
  <si>
    <t>CROOK</t>
  </si>
  <si>
    <t>CROOKED</t>
  </si>
  <si>
    <t>CROP#1</t>
  </si>
  <si>
    <t>| 96% noun: Agricultural product</t>
  </si>
  <si>
    <t>CROP#2</t>
  </si>
  <si>
    <t>| 4% verb: To cut off the tops or ends of</t>
  </si>
  <si>
    <t>CROSS#1</t>
  </si>
  <si>
    <t>| 11% noun: A shape composed of at least 2 pieces at right angles</t>
  </si>
  <si>
    <t>CROSS#10</t>
  </si>
  <si>
    <t>CROSS#11</t>
  </si>
  <si>
    <t>Noun COLL</t>
  </si>
  <si>
    <t>CROSS#12</t>
  </si>
  <si>
    <t>CROSS#2</t>
  </si>
  <si>
    <t>| 34% verb: To go across; to intersect, overlap (5)</t>
  </si>
  <si>
    <t>CROSS#3</t>
  </si>
  <si>
    <t>| 3% verb: To confuse, frustrate</t>
  </si>
  <si>
    <t>CROSS#4</t>
  </si>
  <si>
    <t>| 3% verb: To make the sign of the cross</t>
  </si>
  <si>
    <t>CROSS#5</t>
  </si>
  <si>
    <t>| 6% adj: "Crossed"--overlapped at an angle or intersecting</t>
  </si>
  <si>
    <t>CROSS#6</t>
  </si>
  <si>
    <t>| 9% adj: Angry</t>
  </si>
  <si>
    <t>CROSS#7</t>
  </si>
  <si>
    <t>| 2% adv: "Crossly"--angrily</t>
  </si>
  <si>
    <t>CROSS#8</t>
  </si>
  <si>
    <t>| 6% noun: "Crossing"--place where one passes a barrier, or a passage as such</t>
  </si>
  <si>
    <t>CROSS#9</t>
  </si>
  <si>
    <t>| 3% idiom-noun: "Cross section"--transverse section or view</t>
  </si>
  <si>
    <t>CROSS#_10</t>
  </si>
  <si>
    <t>| 3% idiom-noun: "Red cross"</t>
  </si>
  <si>
    <t>CROSS#_11</t>
  </si>
  <si>
    <t>| 6% idiom-noun: "Blue cross"--handled by "blue"</t>
  </si>
  <si>
    <t>CROSS#_12</t>
  </si>
  <si>
    <t>| 0% idiom-verb-noun: "Double cross"--handled by "double"</t>
  </si>
  <si>
    <t>CROSS-SECTIONAL</t>
  </si>
  <si>
    <t>CROSSROAD</t>
  </si>
  <si>
    <t>CROUCH#1</t>
  </si>
  <si>
    <t>CROUCH#2</t>
  </si>
  <si>
    <t>CROWD#1</t>
  </si>
  <si>
    <t>| 62% noun: A throng</t>
  </si>
  <si>
    <t>CROWD#2</t>
  </si>
  <si>
    <t>| 17% adj: "Crowded"--filled to excess, too close together</t>
  </si>
  <si>
    <t>CROWD#3</t>
  </si>
  <si>
    <t>| 21% verb: To throng</t>
  </si>
  <si>
    <t>CROWN#1</t>
  </si>
  <si>
    <t>CROWN#2</t>
  </si>
  <si>
    <t>CRUCIAL</t>
  </si>
  <si>
    <t>CRUCIFIX</t>
  </si>
  <si>
    <t>CRUDE</t>
  </si>
  <si>
    <t>CRUEL</t>
  </si>
  <si>
    <t>CRUELTY</t>
  </si>
  <si>
    <t>CRUMBLE</t>
  </si>
  <si>
    <t>CRUMPLE</t>
  </si>
  <si>
    <t>CRUSADE</t>
  </si>
  <si>
    <t>CRUSADER</t>
  </si>
  <si>
    <t>CRUSH#1</t>
  </si>
  <si>
    <t>CRUSH#2</t>
  </si>
  <si>
    <t>CRUSHING</t>
  </si>
  <si>
    <t>CRUTCH</t>
  </si>
  <si>
    <t>CRY#1</t>
  </si>
  <si>
    <t>| 95% verb: To utter inarticulate or loud sounds, especially of lamentation,  grief, suffering or fright--usually with tears</t>
  </si>
  <si>
    <t>CRY#2</t>
  </si>
  <si>
    <t>| 5% noun: Any loud utterance or exclamation, a shout, scream, or wail</t>
  </si>
  <si>
    <t>CUBA</t>
  </si>
  <si>
    <t>CUBAN</t>
  </si>
  <si>
    <t>CUBIC</t>
  </si>
  <si>
    <t>CUBISM</t>
  </si>
  <si>
    <t>CUDDLE</t>
  </si>
  <si>
    <t>CULMINATE</t>
  </si>
  <si>
    <t>CULMINATION</t>
  </si>
  <si>
    <t>CULPABLE</t>
  </si>
  <si>
    <t>CULPRIT</t>
  </si>
  <si>
    <t>CULT</t>
  </si>
  <si>
    <t>CULTIVATE#1</t>
  </si>
  <si>
    <t>CULTIVATE#2</t>
  </si>
  <si>
    <t>CULTIVATION</t>
  </si>
  <si>
    <t>CULTURAL</t>
  </si>
  <si>
    <t>CULTURE#1</t>
  </si>
  <si>
    <t>| 93% noun: Civilization, cultivation</t>
  </si>
  <si>
    <t>CULTURE#2</t>
  </si>
  <si>
    <t>| 7% adj: "Cultured"--of refined tastes and sensibilities</t>
  </si>
  <si>
    <t>CUMBERSOME</t>
  </si>
  <si>
    <t>CUMULATIVE</t>
  </si>
  <si>
    <t>CUP</t>
  </si>
  <si>
    <t>| noun: Small open container</t>
  </si>
  <si>
    <t>CUPID</t>
  </si>
  <si>
    <t>CURB#1</t>
  </si>
  <si>
    <t>CURB#2</t>
  </si>
  <si>
    <t>CURE#1</t>
  </si>
  <si>
    <t>| 11% noun: A method or course of remedial treatment</t>
  </si>
  <si>
    <t>CURE#2</t>
  </si>
  <si>
    <t>| 89% verb: To restore to health</t>
  </si>
  <si>
    <t>CURIOSITY</t>
  </si>
  <si>
    <t>CURIOUS</t>
  </si>
  <si>
    <t>CURL#1</t>
  </si>
  <si>
    <t>CURL#2</t>
  </si>
  <si>
    <t>CURRENCY</t>
  </si>
  <si>
    <t>CURRENT#1</t>
  </si>
  <si>
    <t>| 68% adj: Present, contemporary</t>
  </si>
  <si>
    <t>CURRENT#2</t>
  </si>
  <si>
    <t>| 20% noun: A flow or stream</t>
  </si>
  <si>
    <t>CURRENT#3</t>
  </si>
  <si>
    <t>| 12% adv: "Currently"--presently</t>
  </si>
  <si>
    <t>CURSE#1</t>
  </si>
  <si>
    <t>CURSE#2</t>
  </si>
  <si>
    <t>CURSORY</t>
  </si>
  <si>
    <t>CURT</t>
  </si>
  <si>
    <t>CURTAIL</t>
  </si>
  <si>
    <t>CURTAIN</t>
  </si>
  <si>
    <t>CURTSEY</t>
  </si>
  <si>
    <t>CURVE</t>
  </si>
  <si>
    <t>CUSTOM#1</t>
  </si>
  <si>
    <t>| 57% noun: Traditional or habitual practice</t>
  </si>
  <si>
    <t>CUSTOM#2</t>
  </si>
  <si>
    <t>| 43% noun-adj: Duties on the import and export of goods</t>
  </si>
  <si>
    <t>CUSTOMARY</t>
  </si>
  <si>
    <t>CUSTOMER</t>
  </si>
  <si>
    <t>CUT#1</t>
  </si>
  <si>
    <t>| 88% verb-adj-noun: To penetrate or divide with or as with a sharp-edged  instrument; the resulting penetration or division (3); to isolate, snub,  or</t>
  </si>
  <si>
    <t>CUT#2</t>
  </si>
  <si>
    <t>| 8% verb-noun: To abridge, shorten, reduce, terminate; reduction, termination (1)</t>
  </si>
  <si>
    <t>CUT#3</t>
  </si>
  <si>
    <t>| 1% idiom-adj: "Cut out for or to"--suited for</t>
  </si>
  <si>
    <t>CUTE</t>
  </si>
  <si>
    <t>CYCLE</t>
  </si>
  <si>
    <t>CYLINDER</t>
  </si>
  <si>
    <t>CYNICAL</t>
  </si>
  <si>
    <t>CYNICISM</t>
  </si>
  <si>
    <t>CYPRUS</t>
  </si>
  <si>
    <t>CZECH</t>
  </si>
  <si>
    <t>CZECHOSLOVAKIA</t>
  </si>
  <si>
    <t>DAD</t>
  </si>
  <si>
    <t>| noun: A nickname for father</t>
  </si>
  <si>
    <t>DADDY</t>
  </si>
  <si>
    <t>| noun: Father</t>
  </si>
  <si>
    <t>DAGGER</t>
  </si>
  <si>
    <t>DAHOMEY</t>
  </si>
  <si>
    <t>DAILY</t>
  </si>
  <si>
    <t>DAIRY</t>
  </si>
  <si>
    <t>DAKOTA</t>
  </si>
  <si>
    <t>DAMAGE#1</t>
  </si>
  <si>
    <t>DAMAGE#2</t>
  </si>
  <si>
    <t>DAMN</t>
  </si>
  <si>
    <t>INTJ</t>
  </si>
  <si>
    <t>DAMNABLE</t>
  </si>
  <si>
    <t>DAMNED</t>
  </si>
  <si>
    <t>DAMP</t>
  </si>
  <si>
    <t>DANCE#1</t>
  </si>
  <si>
    <t>| 38% noun-adj: A social event at which people move rhythmically to music;  the rhythmic movement itself or a specific form of it (0)</t>
  </si>
  <si>
    <t>DANCE#2</t>
  </si>
  <si>
    <t>| 49% verb: To move rhythmically</t>
  </si>
  <si>
    <t>DANCE#3</t>
  </si>
  <si>
    <t>| 13% noun-adj: "Dancing"--moving rhythmically</t>
  </si>
  <si>
    <t>DANCER</t>
  </si>
  <si>
    <t>DANGER</t>
  </si>
  <si>
    <t>| noun: Threat or state of exposure to harm</t>
  </si>
  <si>
    <t>DANGEROUS</t>
  </si>
  <si>
    <t>| adj: Potentially harmful</t>
  </si>
  <si>
    <t>DANISH</t>
  </si>
  <si>
    <t>DARE</t>
  </si>
  <si>
    <t>DARING</t>
  </si>
  <si>
    <t>DARK</t>
  </si>
  <si>
    <t>| noun-adj: Night, absence of light, blackness--black, obscure, gloomy</t>
  </si>
  <si>
    <t>DARKEN</t>
  </si>
  <si>
    <t>DARKNESS</t>
  </si>
  <si>
    <t>DARLING</t>
  </si>
  <si>
    <t>DARN</t>
  </si>
  <si>
    <t>DASH</t>
  </si>
  <si>
    <t>DATA</t>
  </si>
  <si>
    <t>DATE#1</t>
  </si>
  <si>
    <t>| 30% noun: Specific point in time; used elliptically to mean the present--  "to date" (6)</t>
  </si>
  <si>
    <t>DATE#2</t>
  </si>
  <si>
    <t>DATE#3</t>
  </si>
  <si>
    <t>| 2% verb: To indicate a point in time</t>
  </si>
  <si>
    <t>DATE#4</t>
  </si>
  <si>
    <t>| 43% verb: To go out socially with someone</t>
  </si>
  <si>
    <t>DAUGHTER</t>
  </si>
  <si>
    <t>| noun: Female child.</t>
  </si>
  <si>
    <t>DAUNTING</t>
  </si>
  <si>
    <t>DAUNTLESS</t>
  </si>
  <si>
    <t>DAWDLE</t>
  </si>
  <si>
    <t>DAWN#1</t>
  </si>
  <si>
    <t>| 80% noun: Sunrise; origin, beginning (1)</t>
  </si>
  <si>
    <t>DAWN#2</t>
  </si>
  <si>
    <t>| 18% verb: To begin to grow light, to begin to develop</t>
  </si>
  <si>
    <t>DAWN#3</t>
  </si>
  <si>
    <t>| 3% idiom-verb: 'dawn on'--to occur to</t>
  </si>
  <si>
    <t>DAY</t>
  </si>
  <si>
    <t>| noun: The interval of light between two successive nights--24 hours--  a specific period, time or day</t>
  </si>
  <si>
    <t>DAYLIGHT</t>
  </si>
  <si>
    <t>DAYTIME</t>
  </si>
  <si>
    <t>DAZE</t>
  </si>
  <si>
    <t>DAZZLE</t>
  </si>
  <si>
    <t>DEAD</t>
  </si>
  <si>
    <t>| adj: Not living; very rarely, absolute--"dead center," the heart of --"the  dead of winter" (0)</t>
  </si>
  <si>
    <t>DEADLOCK</t>
  </si>
  <si>
    <t>DEADLY</t>
  </si>
  <si>
    <t>DEADWEIGHT</t>
  </si>
  <si>
    <t>DEAF</t>
  </si>
  <si>
    <t>DEAFNESS</t>
  </si>
  <si>
    <t>DEAL#1</t>
  </si>
  <si>
    <t>| 53% idiom-noun: 'a great deal,' 'a good deal,' etc.--an indefinite but  large quantity</t>
  </si>
  <si>
    <t>DEAL#2</t>
  </si>
  <si>
    <t>| 34% verb: To take action with respect to something or someone, to handle</t>
  </si>
  <si>
    <t>DEAL#3</t>
  </si>
  <si>
    <t>| 5% noun: Affair, arrangement, bargain, treatment</t>
  </si>
  <si>
    <t>DEAL#4</t>
  </si>
  <si>
    <t>| 5% noun: "Dealings"--relations</t>
  </si>
  <si>
    <t>DEAL#5</t>
  </si>
  <si>
    <t>| 3% idiom-noun: "New deal"--political program</t>
  </si>
  <si>
    <t>DEAL#6</t>
  </si>
  <si>
    <t>| 1% idiom-noun: 'big deal'--sarcastic admiration</t>
  </si>
  <si>
    <t>DEALER</t>
  </si>
  <si>
    <t>DEALT#1</t>
  </si>
  <si>
    <t>DEAN</t>
  </si>
  <si>
    <t>DEAR#1</t>
  </si>
  <si>
    <t xml:space="preserve">| 98% noun-adj: A conventional form of address used either in speech or  writing indicating belovedness, intimacy or attachment--"my dear isabel"  (includes 11 cases </t>
  </si>
  <si>
    <t>DEAR#2</t>
  </si>
  <si>
    <t>| 2% adv: "Dearly"</t>
  </si>
  <si>
    <t>DEARTH</t>
  </si>
  <si>
    <t>DEATH</t>
  </si>
  <si>
    <t>| noun-adj: End of life, and thereafter</t>
  </si>
  <si>
    <t>DEBATABLE</t>
  </si>
  <si>
    <t>DEBATE#1</t>
  </si>
  <si>
    <t>| 62% noun-adj: A formal discussion of an issue</t>
  </si>
  <si>
    <t>DEBATE#2</t>
  </si>
  <si>
    <t>| 38% verb: To carry on a debate</t>
  </si>
  <si>
    <t>DEBT</t>
  </si>
  <si>
    <t>DEBTOR</t>
  </si>
  <si>
    <t>DEBUT</t>
  </si>
  <si>
    <t>DECADE</t>
  </si>
  <si>
    <t>DECADENCE</t>
  </si>
  <si>
    <t>DECADENT</t>
  </si>
  <si>
    <t>DECAY#1</t>
  </si>
  <si>
    <t>DECAY#2</t>
  </si>
  <si>
    <t>DECEASE</t>
  </si>
  <si>
    <t>DECEIT</t>
  </si>
  <si>
    <t>DECEITFUL</t>
  </si>
  <si>
    <t>DECEIVE#1</t>
  </si>
  <si>
    <t>DECEIVE#2</t>
  </si>
  <si>
    <t>DECEMBER</t>
  </si>
  <si>
    <t>DECENCY</t>
  </si>
  <si>
    <t>DECENT</t>
  </si>
  <si>
    <t>DECENTRALIZE</t>
  </si>
  <si>
    <t>DECEPTION</t>
  </si>
  <si>
    <t>DECEPTIVE</t>
  </si>
  <si>
    <t>DECIDE#1</t>
  </si>
  <si>
    <t>| 98% verb: To settle something in dispute or in doubt, conclusion</t>
  </si>
  <si>
    <t>DECIDE#2</t>
  </si>
  <si>
    <t>| 1% adjective: "Decided"--definite, pronounced</t>
  </si>
  <si>
    <t>DECIDE#3</t>
  </si>
  <si>
    <t>| 1% adv: "Decidedly"--definitely</t>
  </si>
  <si>
    <t>DECIMAL</t>
  </si>
  <si>
    <t>DECIPHER</t>
  </si>
  <si>
    <t>DECISION</t>
  </si>
  <si>
    <t>| noun: A judgment, deciding</t>
  </si>
  <si>
    <t>DECISIVE</t>
  </si>
  <si>
    <t>DECK</t>
  </si>
  <si>
    <t>DECLARATION</t>
  </si>
  <si>
    <t>DECLARE</t>
  </si>
  <si>
    <t>| verb: Proclaim or manifest</t>
  </si>
  <si>
    <t>DECLINE#1</t>
  </si>
  <si>
    <t>DECLINE#2</t>
  </si>
  <si>
    <t>DECOMPOSE</t>
  </si>
  <si>
    <t>DECORATE</t>
  </si>
  <si>
    <t>DECORATION</t>
  </si>
  <si>
    <t>DECORATIVE</t>
  </si>
  <si>
    <t>DECREASE#1</t>
  </si>
  <si>
    <t>DECREASE#2</t>
  </si>
  <si>
    <t>DECREE</t>
  </si>
  <si>
    <t>DEDICATE#1</t>
  </si>
  <si>
    <t>DEDICATE#2</t>
  </si>
  <si>
    <t>DEDICATION</t>
  </si>
  <si>
    <t>DEDUCE</t>
  </si>
  <si>
    <t>DEDUCT</t>
  </si>
  <si>
    <t>DEEM</t>
  </si>
  <si>
    <t>DEEP#1</t>
  </si>
  <si>
    <t>| 64% adjective: Profound, intense, not superficial or light--"to my deep  delight, i see that he is a deep person"; extending to a considerable  extent physically downward or i</t>
  </si>
  <si>
    <t>DEEP#2</t>
  </si>
  <si>
    <t>| 22% adverb: "Deeply"--to a thorough extent or profound degree</t>
  </si>
  <si>
    <t>DEEP#3</t>
  </si>
  <si>
    <t>| 11% adj-adv: "Deeper"</t>
  </si>
  <si>
    <t>DEEP#4</t>
  </si>
  <si>
    <t>| 3% adjective: "Deepest"</t>
  </si>
  <si>
    <t>DEEPEN</t>
  </si>
  <si>
    <t>DEER</t>
  </si>
  <si>
    <t>| noun: A wild game animal</t>
  </si>
  <si>
    <t>DEFAME</t>
  </si>
  <si>
    <t>DEFAULT</t>
  </si>
  <si>
    <t>DEFEAT#1</t>
  </si>
  <si>
    <t>| 45% noun: A lost contest</t>
  </si>
  <si>
    <t>DEFEAT#2</t>
  </si>
  <si>
    <t>| 55% verb: To overthrow or overcome</t>
  </si>
  <si>
    <t>DEFECATE</t>
  </si>
  <si>
    <t>DEFECT</t>
  </si>
  <si>
    <t>DEFECTIVE</t>
  </si>
  <si>
    <t>DEFENCE</t>
  </si>
  <si>
    <t>DEFEND</t>
  </si>
  <si>
    <t>| verb: To ward off or repulse attacks, to uphold</t>
  </si>
  <si>
    <t>DEFENDANT</t>
  </si>
  <si>
    <t>DEFENDER</t>
  </si>
  <si>
    <t>DEFENSE</t>
  </si>
  <si>
    <t>| noun-adj: Resistance or protection against attack, whether physical, verbal  or otherwise</t>
  </si>
  <si>
    <t>DEFENSE-COMMUNITY</t>
  </si>
  <si>
    <t>DEFENSIVE</t>
  </si>
  <si>
    <t>DEFER</t>
  </si>
  <si>
    <t>DEFERENCE</t>
  </si>
  <si>
    <t>DEFIANCE</t>
  </si>
  <si>
    <t>DEFIANT</t>
  </si>
  <si>
    <t>DEFICIENCY</t>
  </si>
  <si>
    <t>DEFICIENT</t>
  </si>
  <si>
    <t>DEFICIT</t>
  </si>
  <si>
    <t>DEFILE</t>
  </si>
  <si>
    <t>DEFINE</t>
  </si>
  <si>
    <t>DEFINITE</t>
  </si>
  <si>
    <t>| adj: Clearly defined, exact, certain</t>
  </si>
  <si>
    <t>DEFINITELY</t>
  </si>
  <si>
    <t>DEFINITION</t>
  </si>
  <si>
    <t>DEFINITIVE</t>
  </si>
  <si>
    <t>DEFRAY</t>
  </si>
  <si>
    <t>DEFY</t>
  </si>
  <si>
    <t>DEGENERATE</t>
  </si>
  <si>
    <t>DEGRADE</t>
  </si>
  <si>
    <t>DEGREE#1</t>
  </si>
  <si>
    <t>| 63% noun: A point or stage in an unspecific scale of intensity or scope,  a progression</t>
  </si>
  <si>
    <t>DEGREE#2</t>
  </si>
  <si>
    <t>| 9% noun: A point in a specific scale of measurement, as of temperature</t>
  </si>
  <si>
    <t>DEGREE#3</t>
  </si>
  <si>
    <t>| 28% noun: A title conferred at various stages of higher education</t>
  </si>
  <si>
    <t>DEJECT</t>
  </si>
  <si>
    <t>DEJECTED</t>
  </si>
  <si>
    <t>DELAY#1</t>
  </si>
  <si>
    <t>DELAY#2</t>
  </si>
  <si>
    <t>DELEGATE</t>
  </si>
  <si>
    <t>DELEGATION</t>
  </si>
  <si>
    <t>DELEWARE</t>
  </si>
  <si>
    <t>DELIBERATE#1</t>
  </si>
  <si>
    <t>DELIBERATE#2</t>
  </si>
  <si>
    <t>DELIBERATION</t>
  </si>
  <si>
    <t>DELICACY</t>
  </si>
  <si>
    <t>DELICATE</t>
  </si>
  <si>
    <t>DELIGHT#1</t>
  </si>
  <si>
    <t>DELIGHT#2</t>
  </si>
  <si>
    <t>DELIGHTFUL</t>
  </si>
  <si>
    <t>DELINQUENCY</t>
  </si>
  <si>
    <t>DELINQUENT</t>
  </si>
  <si>
    <t>DELIRIUM</t>
  </si>
  <si>
    <t>DELIVER</t>
  </si>
  <si>
    <t>DELIVERY</t>
  </si>
  <si>
    <t>DELUDE#1</t>
  </si>
  <si>
    <t>DELUDE#2</t>
  </si>
  <si>
    <t>DELUGE</t>
  </si>
  <si>
    <t>DELUSION</t>
  </si>
  <si>
    <t>DEMAND#1</t>
  </si>
  <si>
    <t>| 37% noun: Strong or authoritative request or inquiry, something asked  of one, need, requirement--"he put forth several demands," "the job makes  great demands on our t</t>
  </si>
  <si>
    <t>DEMAND#2</t>
  </si>
  <si>
    <t>| 52% verb: To ask for or about boldly or urgently, to need, require</t>
  </si>
  <si>
    <t>DEMAND#3</t>
  </si>
  <si>
    <t>| 11% adj-noun: "Demanding", exacting</t>
  </si>
  <si>
    <t>DEMAND#4</t>
  </si>
  <si>
    <t>| 0% adv: "Demandingly", exactingly</t>
  </si>
  <si>
    <t>DEMEAN</t>
  </si>
  <si>
    <t>DEMISE</t>
  </si>
  <si>
    <t>DEMO</t>
  </si>
  <si>
    <t>Modif POLIT DEMO</t>
  </si>
  <si>
    <t>DEMOBILIZATION</t>
  </si>
  <si>
    <t>DEMOBILIZE</t>
  </si>
  <si>
    <t>DEMOCRACY</t>
  </si>
  <si>
    <t>| noun: The form of government, or a government of that form</t>
  </si>
  <si>
    <t>DEMOCRAT</t>
  </si>
  <si>
    <t>| noun: Member of a democratic party</t>
  </si>
  <si>
    <t>DEMOCRATIC#1</t>
  </si>
  <si>
    <t>DEMOCRATIC#2</t>
  </si>
  <si>
    <t>| 50% adj: Pertaining to a specific political party--usually the american</t>
  </si>
  <si>
    <t>DEMOCRATIZATION</t>
  </si>
  <si>
    <t>DEMOLISH</t>
  </si>
  <si>
    <t>DEMON</t>
  </si>
  <si>
    <t>DEMONSTRATE</t>
  </si>
  <si>
    <t>DEMONSTRATION#1</t>
  </si>
  <si>
    <t>| 10% noun-adj: A proof, a display of how something works</t>
  </si>
  <si>
    <t>DEMONSTRATION#2</t>
  </si>
  <si>
    <t>| 90% noun: A display of political sentiment</t>
  </si>
  <si>
    <t>DEMORALISE#1</t>
  </si>
  <si>
    <t>DEMORALIZE</t>
  </si>
  <si>
    <t>DENIAL</t>
  </si>
  <si>
    <t>DENMARK</t>
  </si>
  <si>
    <t>DENOMINATIONAL</t>
  </si>
  <si>
    <t>DENOTE</t>
  </si>
  <si>
    <t>DENOUNCE</t>
  </si>
  <si>
    <t>DENSE</t>
  </si>
  <si>
    <t>DENSITY</t>
  </si>
  <si>
    <t>DENT</t>
  </si>
  <si>
    <t>DENTIST</t>
  </si>
  <si>
    <t>DENUNCIATION</t>
  </si>
  <si>
    <t>DENY</t>
  </si>
  <si>
    <t>| verb: To maintain that something is not true, negate; refuse to grant, withhold</t>
  </si>
  <si>
    <t>DEPART</t>
  </si>
  <si>
    <t>DEPARTMENT#1</t>
  </si>
  <si>
    <t>| 96% noun: A division of a complex whole, as of a government, business, or faculty</t>
  </si>
  <si>
    <t>DEPARTMENT#2</t>
  </si>
  <si>
    <t>| 4% noun-idiom: Department store</t>
  </si>
  <si>
    <t>DEPARTURE</t>
  </si>
  <si>
    <t>DEPEND#1</t>
  </si>
  <si>
    <t>| 73% verb: Be contingent</t>
  </si>
  <si>
    <t>DEPEND#2</t>
  </si>
  <si>
    <t>| 27% verb: Rely (upon)</t>
  </si>
  <si>
    <t>DEPENDABILITY</t>
  </si>
  <si>
    <t>DEPENDABLE</t>
  </si>
  <si>
    <t>DEPENDENCE</t>
  </si>
  <si>
    <t>DEPENDENCY</t>
  </si>
  <si>
    <t>DEPENDENT</t>
  </si>
  <si>
    <t>DEPICT</t>
  </si>
  <si>
    <t>DEPLETE</t>
  </si>
  <si>
    <t>DEPLORABLE</t>
  </si>
  <si>
    <t>DEPLORE</t>
  </si>
  <si>
    <t>DEPLOY</t>
  </si>
  <si>
    <t>DEPOSE</t>
  </si>
  <si>
    <t>DEPOSITION</t>
  </si>
  <si>
    <t>DEPRAVED</t>
  </si>
  <si>
    <t>DEPRECIATE</t>
  </si>
  <si>
    <t>DEPRECIATION</t>
  </si>
  <si>
    <t>DEPRESS#1</t>
  </si>
  <si>
    <t>| 71% adj: "Depressed"--dejected, low; lower than some norm (0)</t>
  </si>
  <si>
    <t>DEPRESS#2</t>
  </si>
  <si>
    <t>| 17% adj: "Depressing"--discouraging, gloomy</t>
  </si>
  <si>
    <t>DEPRESS#3</t>
  </si>
  <si>
    <t>| 13% verb: To discourage, sadden; to lower, reduce, press down on (2)</t>
  </si>
  <si>
    <t>DEPRESSION#1</t>
  </si>
  <si>
    <t>| 23% noun: Psychological decline; a hole or hollow (0)</t>
  </si>
  <si>
    <t>DEPRESSION#2</t>
  </si>
  <si>
    <t>| 77% noun: Economic decline</t>
  </si>
  <si>
    <t>DEPRIVATION</t>
  </si>
  <si>
    <t>DEPRIVE</t>
  </si>
  <si>
    <t>DEPTH</t>
  </si>
  <si>
    <t>DEPUTY</t>
  </si>
  <si>
    <t>DERBY</t>
  </si>
  <si>
    <t>DERIDE</t>
  </si>
  <si>
    <t>DERISION</t>
  </si>
  <si>
    <t>DERISIVE</t>
  </si>
  <si>
    <t>DERIVE</t>
  </si>
  <si>
    <t>DEROGATORY</t>
  </si>
  <si>
    <t>DESCEND</t>
  </si>
  <si>
    <t>| verb: To come down</t>
  </si>
  <si>
    <t>DESCENDANT</t>
  </si>
  <si>
    <t>DESCRIBE</t>
  </si>
  <si>
    <t>| verb: To depict in words</t>
  </si>
  <si>
    <t>DESCRIPTION</t>
  </si>
  <si>
    <t>DESCRIPTIVE</t>
  </si>
  <si>
    <t>DESCRY</t>
  </si>
  <si>
    <t>DESEGREGATION</t>
  </si>
  <si>
    <t>DESERT#1</t>
  </si>
  <si>
    <t>| 66% noun: An expanse of land so arid as to be devoid of vegetation</t>
  </si>
  <si>
    <t>DESERT#2</t>
  </si>
  <si>
    <t>| 14% verb: To abandon, forsake</t>
  </si>
  <si>
    <t>DESERT#3</t>
  </si>
  <si>
    <t>| 17% noun: Punishment or reward as 'just deserts' or 'deserts'</t>
  </si>
  <si>
    <t>DESERT#4</t>
  </si>
  <si>
    <t>| 3% adj: "Deserted"--abandoned</t>
  </si>
  <si>
    <t>DESERTION</t>
  </si>
  <si>
    <t>DESERVE</t>
  </si>
  <si>
    <t>DESERVEDLY</t>
  </si>
  <si>
    <t>DESIGN#1</t>
  </si>
  <si>
    <t>| 43% noun: An outline, sketch or plan</t>
  </si>
  <si>
    <t>DESIGN#2</t>
  </si>
  <si>
    <t>| 52% verb: To prepare plans for, plan, outline; to contrive (0)</t>
  </si>
  <si>
    <t>DESIGNATE#1</t>
  </si>
  <si>
    <t>DESIGNATE#2</t>
  </si>
  <si>
    <t>DESIGNER</t>
  </si>
  <si>
    <t>DESIRABLE</t>
  </si>
  <si>
    <t>DESIRE#1</t>
  </si>
  <si>
    <t>| 64% noun: Longing, yearning</t>
  </si>
  <si>
    <t>DESIRE#2</t>
  </si>
  <si>
    <t>| 32% verb: To long or yearn, earnestly wish</t>
  </si>
  <si>
    <t>DESIRE#3</t>
  </si>
  <si>
    <t>| 4% adj: 'desired'--deemed proper or desirable, wished for, coveted</t>
  </si>
  <si>
    <t>DESIROUS</t>
  </si>
  <si>
    <t>DESK</t>
  </si>
  <si>
    <t>DESOLATE</t>
  </si>
  <si>
    <t>DESOLATION</t>
  </si>
  <si>
    <t>DESPAIR#1</t>
  </si>
  <si>
    <t>DESPAIR#2</t>
  </si>
  <si>
    <t>DESPERATE</t>
  </si>
  <si>
    <t>DESPERATION</t>
  </si>
  <si>
    <t>DESPICABLE</t>
  </si>
  <si>
    <t>DESPISE#1</t>
  </si>
  <si>
    <t>DESPISE#2</t>
  </si>
  <si>
    <t>DESPITE</t>
  </si>
  <si>
    <t>DESPONDENT</t>
  </si>
  <si>
    <t>DESPOT</t>
  </si>
  <si>
    <t>DESPOTISM</t>
  </si>
  <si>
    <t>DESSERT</t>
  </si>
  <si>
    <t>DESTINATION</t>
  </si>
  <si>
    <t>DESTINE</t>
  </si>
  <si>
    <t>DESTINY</t>
  </si>
  <si>
    <t>DESTITUTE</t>
  </si>
  <si>
    <t>DESTROY</t>
  </si>
  <si>
    <t>| verb: To put an end to or reduce to useless form</t>
  </si>
  <si>
    <t>DESTROYER</t>
  </si>
  <si>
    <t>DESTRUCT</t>
  </si>
  <si>
    <t>DESTRUCTION</t>
  </si>
  <si>
    <t>| noun: The act of destroying, fact or state of being destroyed</t>
  </si>
  <si>
    <t>DESTRUCTIVE</t>
  </si>
  <si>
    <t>DETACH</t>
  </si>
  <si>
    <t>DETACHMENT</t>
  </si>
  <si>
    <t>DETAIL</t>
  </si>
  <si>
    <t>DETAIN</t>
  </si>
  <si>
    <t>DETECT#1</t>
  </si>
  <si>
    <t>DETECT#2</t>
  </si>
  <si>
    <t>DETECTION</t>
  </si>
  <si>
    <t>DETECTIVE</t>
  </si>
  <si>
    <t>DETER</t>
  </si>
  <si>
    <t>DETERMINATION</t>
  </si>
  <si>
    <t>DETERMINE#1</t>
  </si>
  <si>
    <t>| 56% verb: To ascertain, decide or settle, authoritatively or resolutely</t>
  </si>
  <si>
    <t>DETERMINE#2</t>
  </si>
  <si>
    <t>| 43% adj: 'determined'--resolute, unwaveringly decided</t>
  </si>
  <si>
    <t>DETERMINE#3</t>
  </si>
  <si>
    <t>| 2% adv: 'determinedly'--with determination</t>
  </si>
  <si>
    <t>DETERMINISTIC</t>
  </si>
  <si>
    <t>DETERRED</t>
  </si>
  <si>
    <t>DETERRENT</t>
  </si>
  <si>
    <t>DETEST</t>
  </si>
  <si>
    <t>DETESTABLE</t>
  </si>
  <si>
    <t>DETRACT</t>
  </si>
  <si>
    <t>DETRIMENTAL</t>
  </si>
  <si>
    <t>DEVASTATE</t>
  </si>
  <si>
    <t>DEVASTATION</t>
  </si>
  <si>
    <t>DEVELOP</t>
  </si>
  <si>
    <t>| verb: To evolve, strengthen, or elaborate.</t>
  </si>
  <si>
    <t>DEVELOPMENT</t>
  </si>
  <si>
    <t>| noun-adj: The act of developing or a developed state or form</t>
  </si>
  <si>
    <t>DEVIANT</t>
  </si>
  <si>
    <t>DEVIATE</t>
  </si>
  <si>
    <t>DEVIATION</t>
  </si>
  <si>
    <t>DEVICE</t>
  </si>
  <si>
    <t>DEVIL</t>
  </si>
  <si>
    <t>| noun-adj: Evil spirit</t>
  </si>
  <si>
    <t>DEVILISH</t>
  </si>
  <si>
    <t>DEVIOUS</t>
  </si>
  <si>
    <t>DEVISE</t>
  </si>
  <si>
    <t>DEVOID</t>
  </si>
  <si>
    <t>DEVOLVE</t>
  </si>
  <si>
    <t>DEVOTE#1</t>
  </si>
  <si>
    <t>| 75% verb: To give up to or concentrate on a particular pursuit, occupation,  purpose, cause, to set apart or dedicate</t>
  </si>
  <si>
    <t>DEVOTE#2</t>
  </si>
  <si>
    <t>| 25% adj: "Devoted"--dedicated, faithful, committed</t>
  </si>
  <si>
    <t>DEVOTION</t>
  </si>
  <si>
    <t>DEVOUT</t>
  </si>
  <si>
    <t>Modif Other</t>
  </si>
  <si>
    <t>DEXTERITY</t>
  </si>
  <si>
    <t>DIABOLIC</t>
  </si>
  <si>
    <t>DIABOLICAL</t>
  </si>
  <si>
    <t>DIAGNOSIS</t>
  </si>
  <si>
    <t>DIALECT</t>
  </si>
  <si>
    <t>DIALOGUE</t>
  </si>
  <si>
    <t>| noun-adj: Conversation, exchange of opinions on an issue</t>
  </si>
  <si>
    <t>DIAMETER</t>
  </si>
  <si>
    <t>DICE</t>
  </si>
  <si>
    <t>DICTATE</t>
  </si>
  <si>
    <t>DICTATOR</t>
  </si>
  <si>
    <t>DICTATORIAL</t>
  </si>
  <si>
    <t>DICTATORSHIP</t>
  </si>
  <si>
    <t>DICTION</t>
  </si>
  <si>
    <t>DICTIONARY</t>
  </si>
  <si>
    <t>DID#1</t>
  </si>
  <si>
    <t>SUPV VERB DO ED</t>
  </si>
  <si>
    <t>DIE</t>
  </si>
  <si>
    <t>| verb: To cease to live, exist or function</t>
  </si>
  <si>
    <t>DIET#1</t>
  </si>
  <si>
    <t>DIET#2</t>
  </si>
  <si>
    <t>DIFFER</t>
  </si>
  <si>
    <t>DIFFERENCE</t>
  </si>
  <si>
    <t>| noun: State of unlikeness, disagreement or change</t>
  </si>
  <si>
    <t>DIFFERENT#1</t>
  </si>
  <si>
    <t>DET PRE PRE1 PFREQ</t>
  </si>
  <si>
    <t>| 97% adjective: Differing in character or quality, not alike, dissimilar,  various, unusual, not ordinary</t>
  </si>
  <si>
    <t>DIFFERENT#2</t>
  </si>
  <si>
    <t>| 3% adverb: "Differently," variously</t>
  </si>
  <si>
    <t>DIFFERENTIAL</t>
  </si>
  <si>
    <t>DIFFERENTIATE</t>
  </si>
  <si>
    <t>DIFFICULT</t>
  </si>
  <si>
    <t>| adjective: Not readily done, demanding, hard</t>
  </si>
  <si>
    <t>DIFFICULTY</t>
  </si>
  <si>
    <t>| noun: The fact or condition of being difficult--a trouble or embarrassment,  a cause thereof.</t>
  </si>
  <si>
    <t>DIG#1</t>
  </si>
  <si>
    <t>| 93% verb: To excavate, to bore into; slang--to understand or appreciate (2)</t>
  </si>
  <si>
    <t>DIG#2</t>
  </si>
  <si>
    <t>| 7% verb-idiom: To find or expose--"dig up"</t>
  </si>
  <si>
    <t>DIGITAL</t>
  </si>
  <si>
    <t>DIGNIFIED</t>
  </si>
  <si>
    <t>DIGNIFY</t>
  </si>
  <si>
    <t>DIGNITY</t>
  </si>
  <si>
    <t>DILEMMA</t>
  </si>
  <si>
    <t>DILIGENCE</t>
  </si>
  <si>
    <t>DILIGENT</t>
  </si>
  <si>
    <t>DIM#1</t>
  </si>
  <si>
    <t>DIM#2</t>
  </si>
  <si>
    <t>DIMENSION</t>
  </si>
  <si>
    <t>DIMINISH</t>
  </si>
  <si>
    <t>DIN</t>
  </si>
  <si>
    <t>DING</t>
  </si>
  <si>
    <t>DINNER</t>
  </si>
  <si>
    <t>| noun: Meal</t>
  </si>
  <si>
    <t>DIP</t>
  </si>
  <si>
    <t>DIPLOMACY</t>
  </si>
  <si>
    <t>DIPLOMATIC</t>
  </si>
  <si>
    <t>DIPPER</t>
  </si>
  <si>
    <t>DIRE</t>
  </si>
  <si>
    <t>DIRECT#1</t>
  </si>
  <si>
    <t>| 44% verb: To manage, control, instruct, guide, aim</t>
  </si>
  <si>
    <t>DIRECT#2</t>
  </si>
  <si>
    <t>| 23% adj: Unmediated, not oblique</t>
  </si>
  <si>
    <t>DIRECT#3</t>
  </si>
  <si>
    <t>| 28% adv: "Directly"--without mediation, not obliquely, straightaway, presently</t>
  </si>
  <si>
    <t>DIRECTION#1</t>
  </si>
  <si>
    <t>| 71% noun: The line along which anything lies, faces, moves, etc.--a line  of thought, progression, action or a tendency or inclination</t>
  </si>
  <si>
    <t>DIRECTION#2</t>
  </si>
  <si>
    <t>| 29% noun: Instruction or guidance to some end, or that end or purpose</t>
  </si>
  <si>
    <t>DIRECTOR</t>
  </si>
  <si>
    <t>DIRT</t>
  </si>
  <si>
    <t>DIRTY</t>
  </si>
  <si>
    <t>| adj: Unclean, contemptible</t>
  </si>
  <si>
    <t>DISABILITY</t>
  </si>
  <si>
    <t>DISABLE</t>
  </si>
  <si>
    <t>DISADVANTAGE</t>
  </si>
  <si>
    <t>DISADVANTAGEOUS</t>
  </si>
  <si>
    <t>DISAGREE</t>
  </si>
  <si>
    <t>| verb: To differ</t>
  </si>
  <si>
    <t>DISAGREEABLE</t>
  </si>
  <si>
    <t>DISAGREEMENT</t>
  </si>
  <si>
    <t>DISAPPEAR</t>
  </si>
  <si>
    <t>| verb: To pass out of sight</t>
  </si>
  <si>
    <t>DISAPPEARANCE</t>
  </si>
  <si>
    <t>DISAPPOINT#1</t>
  </si>
  <si>
    <t>| 76% adj: "Disappointed"--let down, displeased</t>
  </si>
  <si>
    <t>DISAPPOINT#2</t>
  </si>
  <si>
    <t>| 8% adj: "Disappointing"--producing letdown, displeasing</t>
  </si>
  <si>
    <t>DISAPPOINT#3</t>
  </si>
  <si>
    <t>| 12% verb: To displease</t>
  </si>
  <si>
    <t>DISAPPOINT#4</t>
  </si>
  <si>
    <t>| 4% adv: "Disappointingly"--displeasingly</t>
  </si>
  <si>
    <t>DISAPPOINTMENT</t>
  </si>
  <si>
    <t>DISAPPROVAL</t>
  </si>
  <si>
    <t>DISAPPROVE</t>
  </si>
  <si>
    <t>DISARM</t>
  </si>
  <si>
    <t>DISARMAMENT</t>
  </si>
  <si>
    <t>DISASTER</t>
  </si>
  <si>
    <t>DISASTROUS</t>
  </si>
  <si>
    <t>DISAVOW</t>
  </si>
  <si>
    <t>DISAVOWAL</t>
  </si>
  <si>
    <t>DISBELIEF</t>
  </si>
  <si>
    <t>DISC</t>
  </si>
  <si>
    <t>DISCARD#1</t>
  </si>
  <si>
    <t>DISCARD#2</t>
  </si>
  <si>
    <t>DISCERN</t>
  </si>
  <si>
    <t>DISCERNIBLE</t>
  </si>
  <si>
    <t>DISCHARGE#1</t>
  </si>
  <si>
    <t>DISCHARGE#2</t>
  </si>
  <si>
    <t>DISCIPLE</t>
  </si>
  <si>
    <t>| noun: Follower</t>
  </si>
  <si>
    <t>DISCIPLINE#1</t>
  </si>
  <si>
    <t>| 39% noun: Behavior in accord with rules, or training intended to produce  such behavior; field of study (0)</t>
  </si>
  <si>
    <t>DISCIPLINE#2</t>
  </si>
  <si>
    <t>| 25% verb-adj: To train, drill--especially in a punitive sense</t>
  </si>
  <si>
    <t>DISCIPLINE#3</t>
  </si>
  <si>
    <t>| 36% adj: "Disciplined"--orderly, self-controlled</t>
  </si>
  <si>
    <t>DISCLAIM</t>
  </si>
  <si>
    <t>DISCLOSE#1</t>
  </si>
  <si>
    <t>DISCLOSE#2</t>
  </si>
  <si>
    <t>DISCLOSURE</t>
  </si>
  <si>
    <t>DISCOMFORT</t>
  </si>
  <si>
    <t>DISCONCERTED</t>
  </si>
  <si>
    <t>DISCONTENT</t>
  </si>
  <si>
    <t>DISCONTINUE#1</t>
  </si>
  <si>
    <t>DISCONTINUE#2</t>
  </si>
  <si>
    <t>DISCORD</t>
  </si>
  <si>
    <t>DISCORDANT</t>
  </si>
  <si>
    <t>DISCOUNT#1</t>
  </si>
  <si>
    <t>DISCOUNT#2</t>
  </si>
  <si>
    <t>DISCOURAGE#1</t>
  </si>
  <si>
    <t>DISCOURAGE#2</t>
  </si>
  <si>
    <t>DISCOURAGEMENT</t>
  </si>
  <si>
    <t>DISCOURSE</t>
  </si>
  <si>
    <t>DISCOVER</t>
  </si>
  <si>
    <t>| verb: To find or find out</t>
  </si>
  <si>
    <t>DISCOVERY</t>
  </si>
  <si>
    <t>DISCREDIT</t>
  </si>
  <si>
    <t>DISCREET</t>
  </si>
  <si>
    <t>DISCREPANCY</t>
  </si>
  <si>
    <t>DISCREPANT</t>
  </si>
  <si>
    <t>DISCRETION</t>
  </si>
  <si>
    <t>DISCRIMINATE</t>
  </si>
  <si>
    <t>DISCRIMINATION</t>
  </si>
  <si>
    <t>| noun: Bias, favoritism in treatment, generally racially oriented</t>
  </si>
  <si>
    <t>DISCRIMINATORY</t>
  </si>
  <si>
    <t>DISCUSS</t>
  </si>
  <si>
    <t>| verb: To talk over, negotiate, inquire into, explore verbally</t>
  </si>
  <si>
    <t>DISCUSSION</t>
  </si>
  <si>
    <t>| noun: An act or an instance of conversation or argument</t>
  </si>
  <si>
    <t>DISDAIN</t>
  </si>
  <si>
    <t>DISEASE</t>
  </si>
  <si>
    <t>DISEASED</t>
  </si>
  <si>
    <t>DISGRACE</t>
  </si>
  <si>
    <t>DISGUISE</t>
  </si>
  <si>
    <t>DISGUST#1</t>
  </si>
  <si>
    <t>| 16% noun: Revulsion</t>
  </si>
  <si>
    <t>DISGUST#2</t>
  </si>
  <si>
    <t>| 6% verb: To be revolting or abhorrent to someone</t>
  </si>
  <si>
    <t>DISGUST#3</t>
  </si>
  <si>
    <t>| 6% adv: "Disgustingly"--revoltingly</t>
  </si>
  <si>
    <t>DISGUST#4</t>
  </si>
  <si>
    <t>| 59% adj: "Disgusted"--revolted</t>
  </si>
  <si>
    <t>DISGUST#5</t>
  </si>
  <si>
    <t>| 13% adj: "Disgusting"--revolting</t>
  </si>
  <si>
    <t>DISH#1</t>
  </si>
  <si>
    <t>DISH#2</t>
  </si>
  <si>
    <t>DISHEARTEN</t>
  </si>
  <si>
    <t>DISHONEST</t>
  </si>
  <si>
    <t>DISHONOR</t>
  </si>
  <si>
    <t>DISILLUSION</t>
  </si>
  <si>
    <t>DISINGENUOUS</t>
  </si>
  <si>
    <t>DISINTEREST</t>
  </si>
  <si>
    <t>DISLIKE#1</t>
  </si>
  <si>
    <t>| 71% verb: To have an aversion toward</t>
  </si>
  <si>
    <t>DISLIKE#2</t>
  </si>
  <si>
    <t>| 29% noun: An aversion</t>
  </si>
  <si>
    <t>DISMAL</t>
  </si>
  <si>
    <t>DISMAY</t>
  </si>
  <si>
    <t>DISMISS#1</t>
  </si>
  <si>
    <t>DISMISS#2</t>
  </si>
  <si>
    <t>DISOBEDIENCE</t>
  </si>
  <si>
    <t>DISOBEDIENT</t>
  </si>
  <si>
    <t>DISORDER</t>
  </si>
  <si>
    <t>DISORGANIZED</t>
  </si>
  <si>
    <t>DISPEL</t>
  </si>
  <si>
    <t>DISPENSABILITY</t>
  </si>
  <si>
    <t>DISPENSE</t>
  </si>
  <si>
    <t>DISPERSE</t>
  </si>
  <si>
    <t>DISPLACE</t>
  </si>
  <si>
    <t>DISPLACEMENT</t>
  </si>
  <si>
    <t>DISPLAY#1</t>
  </si>
  <si>
    <t>DISPLAY#2</t>
  </si>
  <si>
    <t>DISPLEASE</t>
  </si>
  <si>
    <t>DISPLEASURE</t>
  </si>
  <si>
    <t>DISPOSAL</t>
  </si>
  <si>
    <t>DISPOSE#1</t>
  </si>
  <si>
    <t>DISPOSE#2</t>
  </si>
  <si>
    <t>DISPOSITION</t>
  </si>
  <si>
    <t>DISPROPORTIONATE</t>
  </si>
  <si>
    <t>DISPROVE</t>
  </si>
  <si>
    <t>DISPUTABLE</t>
  </si>
  <si>
    <t>DISPUTE#1</t>
  </si>
  <si>
    <t>DISPUTE#2</t>
  </si>
  <si>
    <t>DISREGARD</t>
  </si>
  <si>
    <t>DISRUPT</t>
  </si>
  <si>
    <t>DISRUPTION</t>
  </si>
  <si>
    <t>DISRUPTIVE</t>
  </si>
  <si>
    <t>DISSATISFACTION</t>
  </si>
  <si>
    <t>DISSATISFIED</t>
  </si>
  <si>
    <t>DISSATISFY</t>
  </si>
  <si>
    <t>DISSEMINATION</t>
  </si>
  <si>
    <t>DISSENSION</t>
  </si>
  <si>
    <t>DISSENT</t>
  </si>
  <si>
    <t>DISSENTION</t>
  </si>
  <si>
    <t>DISSIMILAR</t>
  </si>
  <si>
    <t>DISSOLUTION</t>
  </si>
  <si>
    <t>DISSOLVE#1</t>
  </si>
  <si>
    <t>DISSOLVE#2</t>
  </si>
  <si>
    <t>DISTANCE</t>
  </si>
  <si>
    <t>| noun: Space separating two things or points</t>
  </si>
  <si>
    <t>DISTANT</t>
  </si>
  <si>
    <t>DISTINCT</t>
  </si>
  <si>
    <t>DISTINCTION</t>
  </si>
  <si>
    <t>DISTINCTIVE</t>
  </si>
  <si>
    <t>DISTINGIUSH#1</t>
  </si>
  <si>
    <t>DISTINGIUSH#2</t>
  </si>
  <si>
    <t>DISTINGUISH#1</t>
  </si>
  <si>
    <t>DISTINGUISH#2</t>
  </si>
  <si>
    <t>DISTINGUISHED</t>
  </si>
  <si>
    <t>DISTORT</t>
  </si>
  <si>
    <t>DISTORTION</t>
  </si>
  <si>
    <t>DISTRACT</t>
  </si>
  <si>
    <t>DISTRACTING</t>
  </si>
  <si>
    <t>DISTRACTION</t>
  </si>
  <si>
    <t>DISTRESS#1</t>
  </si>
  <si>
    <t>DISTRESS#2</t>
  </si>
  <si>
    <t>DISTRIBUTE</t>
  </si>
  <si>
    <t>DISTRIBUTION</t>
  </si>
  <si>
    <t>DISTRIBUTOR</t>
  </si>
  <si>
    <t>DISTRICT</t>
  </si>
  <si>
    <t>DISTRUST</t>
  </si>
  <si>
    <t>DISTRUSTFUL</t>
  </si>
  <si>
    <t>DISTURB#1</t>
  </si>
  <si>
    <t>| 44% verb: To disquiet, to interrupt</t>
  </si>
  <si>
    <t>DISTURB#2</t>
  </si>
  <si>
    <t>| 22% adj: "Disturbing"--disquieting</t>
  </si>
  <si>
    <t>DISTURB#3</t>
  </si>
  <si>
    <t>| 33% adj: "Disturbed"--upset, disrupted</t>
  </si>
  <si>
    <t>DISTURBANCE</t>
  </si>
  <si>
    <t>DISUNION</t>
  </si>
  <si>
    <t>DISUNITY</t>
  </si>
  <si>
    <t>DITCH#1</t>
  </si>
  <si>
    <t>DITCH#2</t>
  </si>
  <si>
    <t>DIURNAL</t>
  </si>
  <si>
    <t>DIVE</t>
  </si>
  <si>
    <t>DIVER</t>
  </si>
  <si>
    <t>DIVERSION</t>
  </si>
  <si>
    <t>DIVERSITY</t>
  </si>
  <si>
    <t>DIVERT</t>
  </si>
  <si>
    <t>DIVIDE#1</t>
  </si>
  <si>
    <t>| 83% verb: Separate, classify, parcel out</t>
  </si>
  <si>
    <t>DIVIDE#2</t>
  </si>
  <si>
    <t>| 14% adj: "Divided"--separated</t>
  </si>
  <si>
    <t>DIVINE#1</t>
  </si>
  <si>
    <t>DIVINE#2</t>
  </si>
  <si>
    <t>DIVINITY</t>
  </si>
  <si>
    <t>DIVISION</t>
  </si>
  <si>
    <t>DIVORCE#1</t>
  </si>
  <si>
    <t>| 84% noun: A legal marital separation</t>
  </si>
  <si>
    <t>DIVORCE#2</t>
  </si>
  <si>
    <t>| 14% verb: To separate, usually to dissolve a marriage</t>
  </si>
  <si>
    <t>DIVORCE#3</t>
  </si>
  <si>
    <t>| 3% adj: "Divorced"--legally separated from a spouse</t>
  </si>
  <si>
    <t>DIZZY</t>
  </si>
  <si>
    <t>DO#1</t>
  </si>
  <si>
    <t>SUPV VERB DO</t>
  </si>
  <si>
    <t>| 29% verb: To perform, execute, accomplish, deal with as required</t>
  </si>
  <si>
    <t>DO#2</t>
  </si>
  <si>
    <t>| 66% particle: Meaningless carrier particle as employed in negatives and  questions--'john doesn't think so,' 'does john think so'--and in ellipsis--'john  feels as max does</t>
  </si>
  <si>
    <t>DO#3</t>
  </si>
  <si>
    <t>| 4% particle: The same particle, but incorporating the emphasis morpheme--  'john does think so'</t>
  </si>
  <si>
    <t>DO#4</t>
  </si>
  <si>
    <t>| 0% verb-idiom: "Have to do (with)"--have relevance to</t>
  </si>
  <si>
    <t>DOCTOR#1</t>
  </si>
  <si>
    <t>| 96% noun: A practitioner of medicine</t>
  </si>
  <si>
    <t>DOCTOR#2</t>
  </si>
  <si>
    <t>| 0% verb: To act as a doctor, to fix</t>
  </si>
  <si>
    <t>DOCTOR#3</t>
  </si>
  <si>
    <t>| 4% idiom-noun: "Witch doctor"--shaman--handled by "witch"</t>
  </si>
  <si>
    <t>DOCTRINE</t>
  </si>
  <si>
    <t>DOCUMENT</t>
  </si>
  <si>
    <t>DOER</t>
  </si>
  <si>
    <t>DOG</t>
  </si>
  <si>
    <t>| noun-adj: Domesticated carnivore</t>
  </si>
  <si>
    <t>DOGMA</t>
  </si>
  <si>
    <t>DOGMATISM</t>
  </si>
  <si>
    <t>DOLDRUMS</t>
  </si>
  <si>
    <t>DOLL</t>
  </si>
  <si>
    <t>DOLLAR</t>
  </si>
  <si>
    <t>| noun-adj: Monetary unit</t>
  </si>
  <si>
    <t>DOLLY</t>
  </si>
  <si>
    <t>DOMAIN</t>
  </si>
  <si>
    <t>DOMESTIC</t>
  </si>
  <si>
    <t>DOMINANCE</t>
  </si>
  <si>
    <t>DOMINANT</t>
  </si>
  <si>
    <t>DOMINATE#1</t>
  </si>
  <si>
    <t>| 92% verb: To control</t>
  </si>
  <si>
    <t>DOMINATE#2</t>
  </si>
  <si>
    <t>| 4% adj: "Dominating"--imperious</t>
  </si>
  <si>
    <t>DOMINATE#3</t>
  </si>
  <si>
    <t>| 4% adv: "Dominatingly"--imperiously</t>
  </si>
  <si>
    <t>DOMINATION</t>
  </si>
  <si>
    <t>DOMINICAN</t>
  </si>
  <si>
    <t>DOMINICAN-REPUBLIC</t>
  </si>
  <si>
    <t>DOMINION</t>
  </si>
  <si>
    <t>DON'T</t>
  </si>
  <si>
    <t>SUPV DO VERB NEG LY</t>
  </si>
  <si>
    <t>DONATE</t>
  </si>
  <si>
    <t>DONATION</t>
  </si>
  <si>
    <t>DONE</t>
  </si>
  <si>
    <t>| verb-adj: Completed, finished, performed, executed, dealt with, tried,  accomplished, committed, arranged, fixed.</t>
  </si>
  <si>
    <t>DOOM#1</t>
  </si>
  <si>
    <t>DOOM#2</t>
  </si>
  <si>
    <t>DOOMSDAY</t>
  </si>
  <si>
    <t>DOOR#1</t>
  </si>
  <si>
    <t>| 93% noun adjective: A movable barrier for closing off an entrance, or  the entrance itself.</t>
  </si>
  <si>
    <t>DOOR#2</t>
  </si>
  <si>
    <t>| 4% idiom-adj-adv: 'next door'--neighboring or adjacent</t>
  </si>
  <si>
    <t>DOORWAY</t>
  </si>
  <si>
    <t>DOPE</t>
  </si>
  <si>
    <t>DOTE</t>
  </si>
  <si>
    <t>DOUBLE#1</t>
  </si>
  <si>
    <t>| 47% adj: Twice, twofold in form, size, amount or number</t>
  </si>
  <si>
    <t>DOUBLE#2</t>
  </si>
  <si>
    <t>| 10% verb: To render or become twofold in form, size, amount or number;  serve a dual function (0)</t>
  </si>
  <si>
    <t>DOUBLE#3</t>
  </si>
  <si>
    <t>| 3% idiom-noun: 'double talk'--deceiving speech</t>
  </si>
  <si>
    <t>DOUBLE#4</t>
  </si>
  <si>
    <t>| 0% idiom-noun: 'double cross'--treachery</t>
  </si>
  <si>
    <t>DOUBLE#5</t>
  </si>
  <si>
    <t>| 3% idiom-verb: "Double over"--to bend over in the middle</t>
  </si>
  <si>
    <t>DOUBLE#6</t>
  </si>
  <si>
    <t>| 0% idiom-noun: "Double play"--a baseball play by which two players are put out</t>
  </si>
  <si>
    <t>DOUBLE#7</t>
  </si>
  <si>
    <t>| 3% adv: "Doubly"--twice</t>
  </si>
  <si>
    <t>DOUBT#1</t>
  </si>
  <si>
    <t>| 49% noun: Uncertainty, question</t>
  </si>
  <si>
    <t>DOUBT#2</t>
  </si>
  <si>
    <t>| 41% verb: To question, be uncertain about</t>
  </si>
  <si>
    <t>DOUBT#3</t>
  </si>
  <si>
    <t>| 7% idiom-adv: 'no doubt'--doubtlessly</t>
  </si>
  <si>
    <t>DOUBT#4</t>
  </si>
  <si>
    <t>| 2% adj: "Doubting"--questionning, uncertain, unbelieving</t>
  </si>
  <si>
    <t>DOUBTFUL</t>
  </si>
  <si>
    <t>DOUBTLESS</t>
  </si>
  <si>
    <t>DOWN</t>
  </si>
  <si>
    <t>| prep-adv: In or to a lower position or lower level of activity--along</t>
  </si>
  <si>
    <t>DOWNCAST</t>
  </si>
  <si>
    <t>DOWNFALL</t>
  </si>
  <si>
    <t>DOWNHEARTED</t>
  </si>
  <si>
    <t>DOWNTOWN</t>
  </si>
  <si>
    <t>DOZEN</t>
  </si>
  <si>
    <t>DR</t>
  </si>
  <si>
    <t>DR.</t>
  </si>
  <si>
    <t>Modif HU</t>
  </si>
  <si>
    <t>DRAB</t>
  </si>
  <si>
    <t>DRAFT#1</t>
  </si>
  <si>
    <t>DRAFT#2</t>
  </si>
  <si>
    <t>DRAG</t>
  </si>
  <si>
    <t>DRAIN#1</t>
  </si>
  <si>
    <t>DRAIN#2</t>
  </si>
  <si>
    <t>DRAMA</t>
  </si>
  <si>
    <t>DRAMATIC</t>
  </si>
  <si>
    <t>DRANK</t>
  </si>
  <si>
    <t>| verb: Past tense of "drink"--imbibed</t>
  </si>
  <si>
    <t>DRASTIC</t>
  </si>
  <si>
    <t>DRAW#1</t>
  </si>
  <si>
    <t>| 70% verb: To pull, move, pull back, extract, attract</t>
  </si>
  <si>
    <t>DRAW#2</t>
  </si>
  <si>
    <t>| 16% verb: To sketch, depict, compose; to form or make (abstract)--"to  draw a conclusion or analogy</t>
  </si>
  <si>
    <t>DRAW#3</t>
  </si>
  <si>
    <t>| 6% verb-idiom: "Draw the line," stop, take a negative stand</t>
  </si>
  <si>
    <t>DRAW#4</t>
  </si>
  <si>
    <t>| 2% verb-idiom: "Draw up" - to form or draft</t>
  </si>
  <si>
    <t>DRAW#5</t>
  </si>
  <si>
    <t>| 5% noun-adj: "Drawing"--a picture, the making of sketches</t>
  </si>
  <si>
    <t>DRAWN#1</t>
  </si>
  <si>
    <t>DREAD</t>
  </si>
  <si>
    <t>DREADFUL</t>
  </si>
  <si>
    <t>DREAM#1</t>
  </si>
  <si>
    <t>| 43% noun: A fantasy or series of images usually formed during sleep</t>
  </si>
  <si>
    <t>DREAM#2</t>
  </si>
  <si>
    <t>| 56% verb: To create fantasies, to create or recreate by conscious or subconscious  imagination</t>
  </si>
  <si>
    <t>DREAMER#1</t>
  </si>
  <si>
    <t>| 76% noun: One who is dreaming, literally</t>
  </si>
  <si>
    <t>DREAMER#2</t>
  </si>
  <si>
    <t>| 24% noun: A visionary or utopian, as opposed to the practical man</t>
  </si>
  <si>
    <t>DREAMLAND</t>
  </si>
  <si>
    <t>Place</t>
  </si>
  <si>
    <t>DREAMT</t>
  </si>
  <si>
    <t>| verb: Past tense of dream.</t>
  </si>
  <si>
    <t>DREARY</t>
  </si>
  <si>
    <t>DRESS#1</t>
  </si>
  <si>
    <t>| 39% noun: Clothing or covering, most often women's garments</t>
  </si>
  <si>
    <t>DRESS#2</t>
  </si>
  <si>
    <t>| 18% verb: To put on clothing, give a finish to</t>
  </si>
  <si>
    <t>DRESS#3</t>
  </si>
  <si>
    <t>| 38% adj: "Dressed"--clothed</t>
  </si>
  <si>
    <t>DRESS#4</t>
  </si>
  <si>
    <t>| 6% noun-adj: "Dressing"--act of getting clothed or having to do with same</t>
  </si>
  <si>
    <t>DRESSER</t>
  </si>
  <si>
    <t>DREW#1</t>
  </si>
  <si>
    <t>DRIFT#1</t>
  </si>
  <si>
    <t>DRIFT#2</t>
  </si>
  <si>
    <t>DRIFTER</t>
  </si>
  <si>
    <t>DRILL#1</t>
  </si>
  <si>
    <t>DRILL#2</t>
  </si>
  <si>
    <t>DRINK#1</t>
  </si>
  <si>
    <t>| 21% noun: Beverage</t>
  </si>
  <si>
    <t>DRINK#2</t>
  </si>
  <si>
    <t>| 68% verb: To imbibe</t>
  </si>
  <si>
    <t>DRINK#3</t>
  </si>
  <si>
    <t>| 10% noun-adj: "Drinking"--imbibing</t>
  </si>
  <si>
    <t>DRINK#4</t>
  </si>
  <si>
    <t>| 1% idiom-noun: "Soft drink"--beverage--handled by "soft"</t>
  </si>
  <si>
    <t>DRINKER</t>
  </si>
  <si>
    <t>DRIP#1</t>
  </si>
  <si>
    <t>DRIP#2</t>
  </si>
  <si>
    <t>DRIVE#1</t>
  </si>
  <si>
    <t>| 55% verb: To direct or steer, usually a car; to mean--"what is he driving at?" (0)</t>
  </si>
  <si>
    <t>DRIVE#2</t>
  </si>
  <si>
    <t>| 20% verb: To force, impel or push into some psychological or other state,  generally negative--"he is driving me crazy"</t>
  </si>
  <si>
    <t>DRIVE#3</t>
  </si>
  <si>
    <t>| 1% noun: A trip in a vehicle, a road for vehicles</t>
  </si>
  <si>
    <t>DRIVE#4</t>
  </si>
  <si>
    <t>| 10% noun: An organized movement, campaign</t>
  </si>
  <si>
    <t>DRIVE#5</t>
  </si>
  <si>
    <t>| 6% noun-adj: Energy, need, motive ("sex drive")</t>
  </si>
  <si>
    <t>DRIVE#6</t>
  </si>
  <si>
    <t>| 7% noun-adj: "Driving"--the act of driving; forceful (0)</t>
  </si>
  <si>
    <t>DRIVE-IN</t>
  </si>
  <si>
    <t>Noun PLACE</t>
  </si>
  <si>
    <t>DRIVEN#1</t>
  </si>
  <si>
    <t>DRIVER</t>
  </si>
  <si>
    <t>DRIVEWAY</t>
  </si>
  <si>
    <t>DRIZZLE#1</t>
  </si>
  <si>
    <t>DRIZZLE#2</t>
  </si>
  <si>
    <t>DROOP</t>
  </si>
  <si>
    <t>DROP#1</t>
  </si>
  <si>
    <t>| 5% noun: Fall or decline</t>
  </si>
  <si>
    <t>DROP#2</t>
  </si>
  <si>
    <t>| 5% noun: A particle, usually of liquid, a minute amount</t>
  </si>
  <si>
    <t>DROP#3</t>
  </si>
  <si>
    <t>| 32% verb: To fall--intransitive</t>
  </si>
  <si>
    <t>DROP#4</t>
  </si>
  <si>
    <t>| 56% verb: To let fall, give up--transitive</t>
  </si>
  <si>
    <t>DROUGHT</t>
  </si>
  <si>
    <t>DROVE#1</t>
  </si>
  <si>
    <t>| 88% verb: Past tense of "drive" (sense 1)</t>
  </si>
  <si>
    <t>DROVE#2</t>
  </si>
  <si>
    <t>| 13% noun: A flock, herd, crowd</t>
  </si>
  <si>
    <t>DROWN#1</t>
  </si>
  <si>
    <t>| 0% noun-adj: A suffocation by water--killed by such an act--"the drowned child"</t>
  </si>
  <si>
    <t>DROWN#2</t>
  </si>
  <si>
    <t>| verb: To die by suffocation in water, generally by accident</t>
  </si>
  <si>
    <t>DROWSINESS</t>
  </si>
  <si>
    <t>DROWSY</t>
  </si>
  <si>
    <t>DRUG</t>
  </si>
  <si>
    <t>| noun-verb: A chemical substance administered to a person or animal, the  act of administering it, or its effec</t>
  </si>
  <si>
    <t>DRUM</t>
  </si>
  <si>
    <t>DRUNK#1</t>
  </si>
  <si>
    <t>| 83% adjective: Intoxicated</t>
  </si>
  <si>
    <t>DRUNK#2</t>
  </si>
  <si>
    <t>| 4% noun: An intoxicated person, one perpetually so</t>
  </si>
  <si>
    <t>DRUNK#3</t>
  </si>
  <si>
    <t>| 7% verb: Imbibed (past tense of "drink")</t>
  </si>
  <si>
    <t>DRUNKARD</t>
  </si>
  <si>
    <t>DRUNKEN</t>
  </si>
  <si>
    <t>DRY#1</t>
  </si>
  <si>
    <t>| 65% noun-adj: Free from moisture</t>
  </si>
  <si>
    <t>DRY#2</t>
  </si>
  <si>
    <t>| 35% verb: To make free from moisture</t>
  </si>
  <si>
    <t>DRYER</t>
  </si>
  <si>
    <t>DUAL</t>
  </si>
  <si>
    <t>DUBIOUS</t>
  </si>
  <si>
    <t>DUCT</t>
  </si>
  <si>
    <t>DUE#1</t>
  </si>
  <si>
    <t>| 63% adjective: Attributable, as to a cause--e.g. death was due to fire</t>
  </si>
  <si>
    <t>DUE#2</t>
  </si>
  <si>
    <t>| 18% adjective: Owing or owed--e.g. the bill was due</t>
  </si>
  <si>
    <t>DUE#3</t>
  </si>
  <si>
    <t>| 8% noun-adj: That which is due, owed, or naturally belongs to someone,  rightful or fitting, e.g. "due respect"</t>
  </si>
  <si>
    <t>DUE#4</t>
  </si>
  <si>
    <t>| 2% adj-adv: Directly--"due west"</t>
  </si>
  <si>
    <t>DUE#5</t>
  </si>
  <si>
    <t>| 3% noun: Dues--a regular fee or charge payable at specific intervals</t>
  </si>
  <si>
    <t>DUE#6</t>
  </si>
  <si>
    <t>| 5% adv: 'duly,' properly</t>
  </si>
  <si>
    <t>DUG#1</t>
  </si>
  <si>
    <t>DULL</t>
  </si>
  <si>
    <t>DUMB</t>
  </si>
  <si>
    <t>DUMP#1</t>
  </si>
  <si>
    <t>DUMP#2</t>
  </si>
  <si>
    <t>DUNCE</t>
  </si>
  <si>
    <t>DUNGEON</t>
  </si>
  <si>
    <t>DUPLICATION</t>
  </si>
  <si>
    <t>DURABILITY</t>
  </si>
  <si>
    <t>DURABLE</t>
  </si>
  <si>
    <t>DURATION</t>
  </si>
  <si>
    <t>DURING</t>
  </si>
  <si>
    <t>| preposition: Throughout, at some point in time.</t>
  </si>
  <si>
    <t>DUSK</t>
  </si>
  <si>
    <t>DUST</t>
  </si>
  <si>
    <t>DUSTY</t>
  </si>
  <si>
    <t>Modif Modif</t>
  </si>
  <si>
    <t>DUTY</t>
  </si>
  <si>
    <t>| noun: Obligation</t>
  </si>
  <si>
    <t>DWELL</t>
  </si>
  <si>
    <t>DWELLING</t>
  </si>
  <si>
    <t>DWINDLE</t>
  </si>
  <si>
    <t>DYING#1</t>
  </si>
  <si>
    <t>SUPV ING PFREQ</t>
  </si>
  <si>
    <t>| 87% verb: Ceasing to live or exist; eager (with "to") (1)</t>
  </si>
  <si>
    <t>DYING#2</t>
  </si>
  <si>
    <t>| 13% noun-adj: The process of ceasing to live, in this process</t>
  </si>
  <si>
    <t>DYNAMIC</t>
  </si>
  <si>
    <t>DYNAMISM</t>
  </si>
  <si>
    <t>DYNASTY</t>
  </si>
  <si>
    <t>EACH#1</t>
  </si>
  <si>
    <t>| 43% adj: Every single</t>
  </si>
  <si>
    <t>EACH#2</t>
  </si>
  <si>
    <t>| 19% pron: Each one</t>
  </si>
  <si>
    <t>EACH#3</t>
  </si>
  <si>
    <t>| 37% idiom: 'each other'--each, the other (with verbs of interaction)</t>
  </si>
  <si>
    <t>EAGER</t>
  </si>
  <si>
    <t>| adjective: Anxious, ardent in desire.</t>
  </si>
  <si>
    <t>EAGERNESS</t>
  </si>
  <si>
    <t>EAGLE</t>
  </si>
  <si>
    <t>| noun: The american bird</t>
  </si>
  <si>
    <t>EAR#1</t>
  </si>
  <si>
    <t>| 91% noun: Bodypart--used for hearing</t>
  </si>
  <si>
    <t>EAR#2</t>
  </si>
  <si>
    <t>| 7% noun: 'ear of corn'</t>
  </si>
  <si>
    <t>EAR#3</t>
  </si>
  <si>
    <t>SUPV Handels</t>
  </si>
  <si>
    <t>| 2% idiom: "Play (it) by ear"--handled by "play"</t>
  </si>
  <si>
    <t>EARLIEST</t>
  </si>
  <si>
    <t>EARLY#1</t>
  </si>
  <si>
    <t>| 68% adv-adjective: In or during the first part of a period of time, course  of action, series of events</t>
  </si>
  <si>
    <t>EARLY#2</t>
  </si>
  <si>
    <t>| 30% adv-adj: Earlier--comparative of 'early'.</t>
  </si>
  <si>
    <t>EARLY#3</t>
  </si>
  <si>
    <t>| 2% adv-adjective: Earliest--superlative of 'early'.</t>
  </si>
  <si>
    <t>EARN#1</t>
  </si>
  <si>
    <t>| 72% verb: To gain by dint of work</t>
  </si>
  <si>
    <t>EARN#2</t>
  </si>
  <si>
    <t>| 28% noun-adj: "Earning(s)" income, or having to do with same</t>
  </si>
  <si>
    <t>EARN#3</t>
  </si>
  <si>
    <t>| 0% adj: "Earned"</t>
  </si>
  <si>
    <t>EARNER</t>
  </si>
  <si>
    <t>EARNEST</t>
  </si>
  <si>
    <t>EARNESTNESS</t>
  </si>
  <si>
    <t>EARTH#1</t>
  </si>
  <si>
    <t>| 70% noun: Soil, ground, the planet, the world, that which is below our feet</t>
  </si>
  <si>
    <t>EARTH#2</t>
  </si>
  <si>
    <t xml:space="preserve">| 28% idiom-adj: "On earth"--in this life, existing--"no enemy on earth  dare attack us," "i have little time on earth"; used for emphasis or surprise--"what  on earth are you doing?" </t>
  </si>
  <si>
    <t>EARTH#3</t>
  </si>
  <si>
    <t>| 2% idiom-adj: 'down to earth '--realistic</t>
  </si>
  <si>
    <t>EARTHQUAKE</t>
  </si>
  <si>
    <t>EASE#1</t>
  </si>
  <si>
    <t>| 70% noun: Freedom from strain</t>
  </si>
  <si>
    <t>EASE#2</t>
  </si>
  <si>
    <t>| 20% verb: To make less strained</t>
  </si>
  <si>
    <t>EASE#3</t>
  </si>
  <si>
    <t>| 10% idiom-adj: "Ill at ease"--uncomfortable--handled by "ill"</t>
  </si>
  <si>
    <t>EASIEST</t>
  </si>
  <si>
    <t>EAST</t>
  </si>
  <si>
    <t>| noun-adv-adj: The compass direction, in, of, to or toward this direction,  the eastern part of the earth, especially asia, the eastern part of the u.s.</t>
  </si>
  <si>
    <t>EAST-GERMANY</t>
  </si>
  <si>
    <t>EAST-WEST</t>
  </si>
  <si>
    <t>EASTER</t>
  </si>
  <si>
    <t>EASTERN</t>
  </si>
  <si>
    <t>EASTERN-EUROPE</t>
  </si>
  <si>
    <t>EASTERNER</t>
  </si>
  <si>
    <t>EASY#1</t>
  </si>
  <si>
    <t>| 46% adjective: Not difficult, requiring no great labor or effort--free  from or not arousing pain, discomfort, worry or care.</t>
  </si>
  <si>
    <t>EASY#2</t>
  </si>
  <si>
    <t>| 31% adverb: Easily--in an easy manner, with ease, without trouble.</t>
  </si>
  <si>
    <t>EASY#3</t>
  </si>
  <si>
    <t>| 15% adjective: Easier--comparative of 'easy' sense 1.</t>
  </si>
  <si>
    <t>EASY#4</t>
  </si>
  <si>
    <t>| 3% adjective: Easiest--superlative of 'easy' sense 1.</t>
  </si>
  <si>
    <t>EAT#1</t>
  </si>
  <si>
    <t>| 98% verb: To devour</t>
  </si>
  <si>
    <t>EAT#2</t>
  </si>
  <si>
    <t>| 2% noun-adj: "Eating"--the consumption of food or having to do with same</t>
  </si>
  <si>
    <t>EATEN#1</t>
  </si>
  <si>
    <t>EATER</t>
  </si>
  <si>
    <t>ECCENTRIC</t>
  </si>
  <si>
    <t>ECCENTRICITY</t>
  </si>
  <si>
    <t>ECCLESIASTICAL</t>
  </si>
  <si>
    <t>ECHO#1</t>
  </si>
  <si>
    <t>ECHO#2</t>
  </si>
  <si>
    <t>ECONOMIC</t>
  </si>
  <si>
    <t>| adjective: Pertaining to the allocation of resources</t>
  </si>
  <si>
    <t>ECONOMICAL</t>
  </si>
  <si>
    <t>ECONOMICS</t>
  </si>
  <si>
    <t>ECONOMIST</t>
  </si>
  <si>
    <t>ECONOMIZE</t>
  </si>
  <si>
    <t>ECONOMY</t>
  </si>
  <si>
    <t>ECSC</t>
  </si>
  <si>
    <t>ECSTASY</t>
  </si>
  <si>
    <t>ECSTATIC</t>
  </si>
  <si>
    <t>ECUADOR</t>
  </si>
  <si>
    <t>ECUMENICAL</t>
  </si>
  <si>
    <t>EDC</t>
  </si>
  <si>
    <t>EDGE#1</t>
  </si>
  <si>
    <t>| 92% noun: Border or margin, often sharp, as a knife edge; metaphorically,  sharpness, acuteness (0)</t>
  </si>
  <si>
    <t>EDGE#2</t>
  </si>
  <si>
    <t>| 0% verb: To advance by small steps, to win by a small margin</t>
  </si>
  <si>
    <t>EDGE#3</t>
  </si>
  <si>
    <t>| 8% noun: Have "an edge"--an advantage</t>
  </si>
  <si>
    <t>EDGE#4</t>
  </si>
  <si>
    <t>| 0% idiom-adj: "On edge"--nervous, irritable, keyed up</t>
  </si>
  <si>
    <t>EDIBLE</t>
  </si>
  <si>
    <t>EDINBURGH</t>
  </si>
  <si>
    <t>EDITION</t>
  </si>
  <si>
    <t>EDITOR</t>
  </si>
  <si>
    <t>EDITORIAL</t>
  </si>
  <si>
    <t>EDUCATE</t>
  </si>
  <si>
    <t>| verb: To instruct.</t>
  </si>
  <si>
    <t>EDUCATED#1</t>
  </si>
  <si>
    <t>| adj: Instructed, cultured</t>
  </si>
  <si>
    <t>EDUCATED#2</t>
  </si>
  <si>
    <t>| 0% verb: Taught, instructed</t>
  </si>
  <si>
    <t>EDUCATION</t>
  </si>
  <si>
    <t>| noun: The act or process of imparting or acquiring knowledge--a degree,  level or kind of schooli</t>
  </si>
  <si>
    <t>EDUCATIONAL</t>
  </si>
  <si>
    <t>| adjective: Pertaining to education, formal schooling- instructive</t>
  </si>
  <si>
    <t>EDUCATOR</t>
  </si>
  <si>
    <t>EEC</t>
  </si>
  <si>
    <t>EFFECT#1</t>
  </si>
  <si>
    <t>| 66% noun: Result, consequence, or (by implication) efficacy</t>
  </si>
  <si>
    <t>EFFECT#2</t>
  </si>
  <si>
    <t>| 6% verb: To produce some result, to cause or make something happen</t>
  </si>
  <si>
    <t>EFFECT#3</t>
  </si>
  <si>
    <t>| 9% noun: Meaning, intended impression--'to this effect,' 'to the effect that'</t>
  </si>
  <si>
    <t>EFFECT#4</t>
  </si>
  <si>
    <t>| 15% adv: 'in effect'--effectively, for practical purposes</t>
  </si>
  <si>
    <t>EFFECT#5</t>
  </si>
  <si>
    <t>| 1% adj: 'in effect'--working, functional</t>
  </si>
  <si>
    <t>EFFECT#6</t>
  </si>
  <si>
    <t>| 1% noun: 'effects'--possessions, belongings</t>
  </si>
  <si>
    <t>EFFECTIVE</t>
  </si>
  <si>
    <t>| adj: Accomplishing an end</t>
  </si>
  <si>
    <t>EFFECTIVENESS</t>
  </si>
  <si>
    <t>EFFICACY</t>
  </si>
  <si>
    <t>EFFICIENCY</t>
  </si>
  <si>
    <t>EFFICIENT</t>
  </si>
  <si>
    <t>EFFORT</t>
  </si>
  <si>
    <t>| noun: Deliberate exertion of physical or mental power</t>
  </si>
  <si>
    <t>EFTA</t>
  </si>
  <si>
    <t>EGG</t>
  </si>
  <si>
    <t>EGO</t>
  </si>
  <si>
    <t>EGOTISTICAL</t>
  </si>
  <si>
    <t>EGYPT</t>
  </si>
  <si>
    <t>Noun PLACE POLIT ECON</t>
  </si>
  <si>
    <t>EIGHT</t>
  </si>
  <si>
    <t>| noun-adj: Cardinal number</t>
  </si>
  <si>
    <t>EIGHTEEN</t>
  </si>
  <si>
    <t>EIGHTEENTH</t>
  </si>
  <si>
    <t>EIGHTH#1</t>
  </si>
  <si>
    <t>| 5% idiom-noun-adj: The fraction--(one, an) eighth</t>
  </si>
  <si>
    <t>EIGHTH#2</t>
  </si>
  <si>
    <t>DET PFREQ</t>
  </si>
  <si>
    <t>| 95% noun-adj: The ordinal number</t>
  </si>
  <si>
    <t>EIGHTY</t>
  </si>
  <si>
    <t>EITHER#1</t>
  </si>
  <si>
    <t>| 14% adj: One or the other of two</t>
  </si>
  <si>
    <t>EITHER#2</t>
  </si>
  <si>
    <t>| 6% pron: One or the other</t>
  </si>
  <si>
    <t>EITHER#3</t>
  </si>
  <si>
    <t>| 47% conj: Introduces coordinated alternatives</t>
  </si>
  <si>
    <t>EITHER#4</t>
  </si>
  <si>
    <t>| 18% adv: After negatives--'he's not going and i'm not either'</t>
  </si>
  <si>
    <t>EL-SALVADOR</t>
  </si>
  <si>
    <t>ELABORATE</t>
  </si>
  <si>
    <t>ELABORATION</t>
  </si>
  <si>
    <t>ELAPSE#1</t>
  </si>
  <si>
    <t>ELAPSE#2</t>
  </si>
  <si>
    <t>ELASTIC</t>
  </si>
  <si>
    <t>ELASTICITY</t>
  </si>
  <si>
    <t>ELATE</t>
  </si>
  <si>
    <t>ELDER#1</t>
  </si>
  <si>
    <t>| 33% noun: One of the older and more influential men of a tribe or community;  an adult (9)</t>
  </si>
  <si>
    <t>ELDER#2</t>
  </si>
  <si>
    <t>| 67% adjective: Older, of greater age (my elder brother)</t>
  </si>
  <si>
    <t>ELDERLY</t>
  </si>
  <si>
    <t>ELDEST</t>
  </si>
  <si>
    <t>ELECT#1</t>
  </si>
  <si>
    <t>| verb: To choose, usually by vote</t>
  </si>
  <si>
    <t>ELECT#2</t>
  </si>
  <si>
    <t>| 0% adj: "Elected"--chosen by vote</t>
  </si>
  <si>
    <t>ELECTION</t>
  </si>
  <si>
    <t>| noun-adj: Selection by vote</t>
  </si>
  <si>
    <t>ELECTOR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</si>
  <si>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</si>
  <si>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</si>
  <si>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</si>
  <si>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</si>
  <si>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</si>
  <si>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</si>
  <si>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</si>
  <si>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</si>
  <si>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</si>
  <si>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</si>
  <si>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</si>
  <si>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</si>
  <si>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</si>
  <si>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ELEVATE#1</t>
  </si>
  <si>
    <t>ELEVATE#2</t>
  </si>
  <si>
    <t>ELEVATOR</t>
  </si>
  <si>
    <t>ELEVEN</t>
  </si>
  <si>
    <t>ELIGIBLE</t>
  </si>
  <si>
    <t>ELIMINATE</t>
  </si>
  <si>
    <t>ELIMINATION</t>
  </si>
  <si>
    <t>ELITE</t>
  </si>
  <si>
    <t>ELITISM</t>
  </si>
  <si>
    <t>ELONGATED</t>
  </si>
  <si>
    <t>ELOQUENT</t>
  </si>
  <si>
    <t>ELSE#1</t>
  </si>
  <si>
    <t>PRON DEF DEF4 PFREQ Impers</t>
  </si>
  <si>
    <t>| 94% adj-pron: Appositive--other than the person or thing mentioned</t>
  </si>
  <si>
    <t>ELSE#2</t>
  </si>
  <si>
    <t>| 6% adv: Usually with 'or'--otherwise</t>
  </si>
  <si>
    <t>ELSEWHERE</t>
  </si>
  <si>
    <t>EMANCIPATION</t>
  </si>
  <si>
    <t>EMASCULATE</t>
  </si>
  <si>
    <t>EMBARK</t>
  </si>
  <si>
    <t>EMBARRASS</t>
  </si>
  <si>
    <t>EMBARRASSED</t>
  </si>
  <si>
    <t>EMBARRASSMENT</t>
  </si>
  <si>
    <t>EMBASSY</t>
  </si>
  <si>
    <t>EMBELLISH</t>
  </si>
  <si>
    <t>EMBITTER</t>
  </si>
  <si>
    <t>EMBODY</t>
  </si>
  <si>
    <t>EMBRACE#1</t>
  </si>
  <si>
    <t>EMBRACE#2</t>
  </si>
  <si>
    <t>EMERGE#1</t>
  </si>
  <si>
    <t>EMERGE#2</t>
  </si>
  <si>
    <t>EMERGENCY</t>
  </si>
  <si>
    <t>| noun-adj: An unexpected dangerous situation</t>
  </si>
  <si>
    <t>EMINENCE</t>
  </si>
  <si>
    <t>EMINENT</t>
  </si>
  <si>
    <t>EMISSARY</t>
  </si>
  <si>
    <t>Noun HU POLIT</t>
  </si>
  <si>
    <t>EMOTION</t>
  </si>
  <si>
    <t>| noun: Affect</t>
  </si>
  <si>
    <t>EMOTIONAL#1</t>
  </si>
  <si>
    <t>| 80% adj: Having to do with, or conditioned by, the Emotions</t>
  </si>
  <si>
    <t>EMOTIONAL#2</t>
  </si>
  <si>
    <t>| 20% adv: "Emotionally"--in an Emotional manner</t>
  </si>
  <si>
    <t>EMPATHY</t>
  </si>
  <si>
    <t>EMPEROR</t>
  </si>
  <si>
    <t>EMPHASIS</t>
  </si>
  <si>
    <t>EMPHASISE#1</t>
  </si>
  <si>
    <t>EMPHASIZE</t>
  </si>
  <si>
    <t>EMPHATIC</t>
  </si>
  <si>
    <t>EMPIRE</t>
  </si>
  <si>
    <t>EMPIRICAL</t>
  </si>
  <si>
    <t>EMPLOY</t>
  </si>
  <si>
    <t>EMPLOYEE</t>
  </si>
  <si>
    <t>EMPLOYER</t>
  </si>
  <si>
    <t>| noun: One who employs labor</t>
  </si>
  <si>
    <t>EMPLOYMENT</t>
  </si>
  <si>
    <t>| noun: State of being employed</t>
  </si>
  <si>
    <t>EMPOWER</t>
  </si>
  <si>
    <t>EMPOWERMENT</t>
  </si>
  <si>
    <t>EMPTY#1</t>
  </si>
  <si>
    <t>| 96% adj: Devoid of content</t>
  </si>
  <si>
    <t>EMPTY#2</t>
  </si>
  <si>
    <t>| 4% verb: To void</t>
  </si>
  <si>
    <t>ENABLE</t>
  </si>
  <si>
    <t>ENACT</t>
  </si>
  <si>
    <t>ENACTMENT</t>
  </si>
  <si>
    <t>ENCHANT#1</t>
  </si>
  <si>
    <t>ENCHANT#2</t>
  </si>
  <si>
    <t>ENCHANTMENT</t>
  </si>
  <si>
    <t>ENCLOSE#1</t>
  </si>
  <si>
    <t>ENCLOSE#2</t>
  </si>
  <si>
    <t>ENCOMPASS</t>
  </si>
  <si>
    <t>ENCOUNTER#1</t>
  </si>
  <si>
    <t>ENCOUNTER#2</t>
  </si>
  <si>
    <t>ENCOURAGE#1</t>
  </si>
  <si>
    <t>| 98% verb: To inspire with confidence, hearten, urge</t>
  </si>
  <si>
    <t>ENCOURAGE#2</t>
  </si>
  <si>
    <t>| 3% adjective: "Encouraging"--heartening</t>
  </si>
  <si>
    <t>ENCOURAGEMENT</t>
  </si>
  <si>
    <t>ENCROACH</t>
  </si>
  <si>
    <t>ENCROACHMENT</t>
  </si>
  <si>
    <t>END#1</t>
  </si>
  <si>
    <t>| 55% noun-adj: Termination, conclusion, final or farthest point</t>
  </si>
  <si>
    <t>END#2</t>
  </si>
  <si>
    <t>| 29% verb: To finish, terminate</t>
  </si>
  <si>
    <t>END#3</t>
  </si>
  <si>
    <t>| 7% noun: Goal, purpose</t>
  </si>
  <si>
    <t>END#4</t>
  </si>
  <si>
    <t>| 1% noun-idiom: 'odds and ends'</t>
  </si>
  <si>
    <t>END#5</t>
  </si>
  <si>
    <t>| 2% noun-adj: 'ending'--conclusion, concluding</t>
  </si>
  <si>
    <t>END#6</t>
  </si>
  <si>
    <t>| 1% verb-idiom: 'make ends meet'--live within one's means--handled by "meet"</t>
  </si>
  <si>
    <t>ENDANGER</t>
  </si>
  <si>
    <t>ENDEAR</t>
  </si>
  <si>
    <t>ENDEAVOR</t>
  </si>
  <si>
    <t>ENDLESS</t>
  </si>
  <si>
    <t>ENDORSE</t>
  </si>
  <si>
    <t>ENDOW</t>
  </si>
  <si>
    <t>ENDOWMENT</t>
  </si>
  <si>
    <t>ENDURANCE</t>
  </si>
  <si>
    <t>ENDURE#1</t>
  </si>
  <si>
    <t>ENDURE#2</t>
  </si>
  <si>
    <t>ENEMY</t>
  </si>
  <si>
    <t>| noun adjective: Foe, antagonist</t>
  </si>
  <si>
    <t>ENERGETIC</t>
  </si>
  <si>
    <t>ENERGIZE</t>
  </si>
  <si>
    <t>ENERGY</t>
  </si>
  <si>
    <t>| noun: Capacity for work, activity, etc.</t>
  </si>
  <si>
    <t>ENFORCE</t>
  </si>
  <si>
    <t>ENFORCEMENT</t>
  </si>
  <si>
    <t>ENFRANCHISEMENT</t>
  </si>
  <si>
    <t>ENGAGE#1</t>
  </si>
  <si>
    <t>| 19% adj: "Engaged"--involved</t>
  </si>
  <si>
    <t>ENGAGE#2</t>
  </si>
  <si>
    <t>| 38% adj: "Engaged"--bethrothed</t>
  </si>
  <si>
    <t>ENGAGE#3</t>
  </si>
  <si>
    <t>| 29% verb: To take part in</t>
  </si>
  <si>
    <t>ENGAGE#4</t>
  </si>
  <si>
    <t>| 14% verb: To involve, employ or betroth</t>
  </si>
  <si>
    <t>ENGAGE#5</t>
  </si>
  <si>
    <t>| 0% adj: "Engaging"--interesting, challenging</t>
  </si>
  <si>
    <t>ENGAGEMENT</t>
  </si>
  <si>
    <t>ENGINE</t>
  </si>
  <si>
    <t>ENGINEER</t>
  </si>
  <si>
    <t>ENGLAND</t>
  </si>
  <si>
    <t>ENGLISH</t>
  </si>
  <si>
    <t>ENGULF</t>
  </si>
  <si>
    <t>ENHANCE</t>
  </si>
  <si>
    <t>ENHANCEMENT</t>
  </si>
  <si>
    <t>ENJOY</t>
  </si>
  <si>
    <t>| verb: To take pleasure in; to have as one's priviledge, advantage, fortune,  or lot (5)</t>
  </si>
  <si>
    <t>ENJOYABLE</t>
  </si>
  <si>
    <t>ENJOYMENT</t>
  </si>
  <si>
    <t>ENLARGE#1</t>
  </si>
  <si>
    <t>ENLARGE#2</t>
  </si>
  <si>
    <t>ENLIGHTEN#1</t>
  </si>
  <si>
    <t>ENLIGHTEN#2</t>
  </si>
  <si>
    <t>ENLIGHTENMENT</t>
  </si>
  <si>
    <t>ENLIST#1</t>
  </si>
  <si>
    <t>ENLIST#2</t>
  </si>
  <si>
    <t>ENLISTMENT</t>
  </si>
  <si>
    <t>ENORMOUS</t>
  </si>
  <si>
    <t>ENOUGH#1</t>
  </si>
  <si>
    <t>| 45% adv: Sufficiently</t>
  </si>
  <si>
    <t>ENOUGH#2</t>
  </si>
  <si>
    <t>| 28% adj: Sufficient, an adequate quantity</t>
  </si>
  <si>
    <t>ENOUGH#3</t>
  </si>
  <si>
    <t>| 24% pron: An adequate quantity</t>
  </si>
  <si>
    <t>ENOUGH#4</t>
  </si>
  <si>
    <t>| 1% adv-idiom: "Sure enough"--real, really</t>
  </si>
  <si>
    <t>ENRAGE</t>
  </si>
  <si>
    <t>ENRICH</t>
  </si>
  <si>
    <t>ENRICHMENT</t>
  </si>
  <si>
    <t>ENROLL</t>
  </si>
  <si>
    <t>ENROLLMENT</t>
  </si>
  <si>
    <t>ENROLMENT#1</t>
  </si>
  <si>
    <t>ENSEMBLE</t>
  </si>
  <si>
    <t>ENSLAVE</t>
  </si>
  <si>
    <t>ENSURE</t>
  </si>
  <si>
    <t>ENTAIL</t>
  </si>
  <si>
    <t>ENTANGLE</t>
  </si>
  <si>
    <t>ENTANGLEMENT</t>
  </si>
  <si>
    <t>ENTER</t>
  </si>
  <si>
    <t>| verb: To make entry, literally -'enter the house'- or figuratively -'enter  college'; to begin, become involved in- 'enter into a contract', 'enter  upon a new phase'</t>
  </si>
  <si>
    <t>ENTERPRISE</t>
  </si>
  <si>
    <t>ENTERTAIN#1</t>
  </si>
  <si>
    <t>ENTERTAIN#2</t>
  </si>
  <si>
    <t>ENTERTAINMENT</t>
  </si>
  <si>
    <t>ENTHUSIASM</t>
  </si>
  <si>
    <t>ENTHUSIASTIC</t>
  </si>
  <si>
    <t>ENTIRE</t>
  </si>
  <si>
    <t>| adjective: Complete, whole.</t>
  </si>
  <si>
    <t>ENTITLE</t>
  </si>
  <si>
    <t>ENTITY</t>
  </si>
  <si>
    <t>ENTRANCE#1</t>
  </si>
  <si>
    <t>| 81% noun-adj: An opening through which one enters something, a way in</t>
  </si>
  <si>
    <t>ENTRANCE#2</t>
  </si>
  <si>
    <t>| 19% noun-adj: Admission, coming or going in</t>
  </si>
  <si>
    <t>ENTRANCE#3</t>
  </si>
  <si>
    <t>| 0% verb-adj: To put or be in a trance</t>
  </si>
  <si>
    <t>ENTREAT</t>
  </si>
  <si>
    <t>ENTREPRENEURIAL</t>
  </si>
  <si>
    <t>ENTROPY</t>
  </si>
  <si>
    <t>ENTRUST</t>
  </si>
  <si>
    <t>ENTRY</t>
  </si>
  <si>
    <t>ENUNCIATE</t>
  </si>
  <si>
    <t>ENVIOUS</t>
  </si>
  <si>
    <t>ENVIRONMENT</t>
  </si>
  <si>
    <t>ENVIRONMENTAL</t>
  </si>
  <si>
    <t>ENVISAGE</t>
  </si>
  <si>
    <t>ENVISION</t>
  </si>
  <si>
    <t>ENVOY</t>
  </si>
  <si>
    <t>ENVY</t>
  </si>
  <si>
    <t>EPIDEMIC</t>
  </si>
  <si>
    <t>EPITHET</t>
  </si>
  <si>
    <t>EQUAL#1</t>
  </si>
  <si>
    <t>| 64% adj: Equivalent, precisely comparable</t>
  </si>
  <si>
    <t>EQUAL#2</t>
  </si>
  <si>
    <t>| 4% noun: Equivalents (persons or things)</t>
  </si>
  <si>
    <t>EQUAL#3</t>
  </si>
  <si>
    <t>| 0% verb: To be or become equal</t>
  </si>
  <si>
    <t>EQUAL#4</t>
  </si>
  <si>
    <t>| 29% adv: "Equally"--equivalently</t>
  </si>
  <si>
    <t>EQUALITY</t>
  </si>
  <si>
    <t>EQUALIZATION</t>
  </si>
  <si>
    <t>EQUATE</t>
  </si>
  <si>
    <t>EQUATION</t>
  </si>
  <si>
    <t>EQUILIBRIUM</t>
  </si>
  <si>
    <t>EQUIP</t>
  </si>
  <si>
    <t>EQUIPMENT</t>
  </si>
  <si>
    <t>| noun: Gear for a specified purpose</t>
  </si>
  <si>
    <t>EQUITABLE</t>
  </si>
  <si>
    <t>EQUITY</t>
  </si>
  <si>
    <t>EQUIVALENT</t>
  </si>
  <si>
    <t>EQUIVOCAL</t>
  </si>
  <si>
    <t>ERA</t>
  </si>
  <si>
    <t>ERADICATE</t>
  </si>
  <si>
    <t>ERASE</t>
  </si>
  <si>
    <t>ERECT#1</t>
  </si>
  <si>
    <t>ERECT#2</t>
  </si>
  <si>
    <t>ERODE</t>
  </si>
  <si>
    <t>EROSION</t>
  </si>
  <si>
    <t>ERR</t>
  </si>
  <si>
    <t>ERRONEOUS</t>
  </si>
  <si>
    <t>ERROR</t>
  </si>
  <si>
    <t>ESCAPE#1</t>
  </si>
  <si>
    <t>| 89% verb: To slip or get away, as from confinement or restraint, gain  or regain liberty--avoid capture, punishment or any threatened evil</t>
  </si>
  <si>
    <t>ESCAPE#2</t>
  </si>
  <si>
    <t>| 9% noun-adj: The act or an instance of escaping--the means of escape</t>
  </si>
  <si>
    <t>ESCAPE#3</t>
  </si>
  <si>
    <t>| 2% noun-idiom: 'fire escape'</t>
  </si>
  <si>
    <t>ESCORT</t>
  </si>
  <si>
    <t>ESOTERIC</t>
  </si>
  <si>
    <t>ESPECIALLY</t>
  </si>
  <si>
    <t>| adverb: Particularly</t>
  </si>
  <si>
    <t>ESPLANADE</t>
  </si>
  <si>
    <t>ESSAY</t>
  </si>
  <si>
    <t>ESSENCE</t>
  </si>
  <si>
    <t>ESSENTIAL#1</t>
  </si>
  <si>
    <t>| 13% noun: That which is indispensable, "the essentials"</t>
  </si>
  <si>
    <t>ESSENTIAL#2</t>
  </si>
  <si>
    <t>| 70% adj: Basic, indispensable</t>
  </si>
  <si>
    <t>ESSENTIAL#3</t>
  </si>
  <si>
    <t>| 18% adv: "Essentially" - basically</t>
  </si>
  <si>
    <t>ESTABLISH#1</t>
  </si>
  <si>
    <t>| 94% verb: To set up, institute, prove or demonstrate</t>
  </si>
  <si>
    <t>ESTABLISH#2</t>
  </si>
  <si>
    <t>| 6% adj: "Established"--proven, recognized, stable, firm</t>
  </si>
  <si>
    <t>ESTABLISHMENT</t>
  </si>
  <si>
    <t>ESTATE</t>
  </si>
  <si>
    <t>ESTEEM</t>
  </si>
  <si>
    <t>ESTIMATE#1</t>
  </si>
  <si>
    <t>ESTIMATE#2</t>
  </si>
  <si>
    <t>ESTRANGE</t>
  </si>
  <si>
    <t>ESTRANGED</t>
  </si>
  <si>
    <t>ESTRANGEMENT</t>
  </si>
  <si>
    <t>ETC</t>
  </si>
  <si>
    <t>CONJ</t>
  </si>
  <si>
    <t>ETC.</t>
  </si>
  <si>
    <t>ETERNAL</t>
  </si>
  <si>
    <t>ETHICAL</t>
  </si>
  <si>
    <t>ETHICS</t>
  </si>
  <si>
    <t>ETHIOPIA</t>
  </si>
  <si>
    <t>ETHNIC</t>
  </si>
  <si>
    <t>ETHOS</t>
  </si>
  <si>
    <t>ETIQUETTE</t>
  </si>
  <si>
    <t>ETRANS#1</t>
  </si>
  <si>
    <t>ETRANS#2</t>
  </si>
  <si>
    <t>ETRANS#3</t>
  </si>
  <si>
    <t>ETRANS#4</t>
  </si>
  <si>
    <t>EURATOM</t>
  </si>
  <si>
    <t>EUROPE</t>
  </si>
  <si>
    <t>EUROPEAN</t>
  </si>
  <si>
    <t>EVACUATE</t>
  </si>
  <si>
    <t>EVACUATION</t>
  </si>
  <si>
    <t>EVADE</t>
  </si>
  <si>
    <t>EVALUATE</t>
  </si>
  <si>
    <t>EVALUATION</t>
  </si>
  <si>
    <t>EVANGELISM</t>
  </si>
  <si>
    <t>EVASION</t>
  </si>
  <si>
    <t>EVEN#1</t>
  </si>
  <si>
    <t>| 7% adv: Still, yet (as intensifier with comparatives)</t>
  </si>
  <si>
    <t>EVEN#2</t>
  </si>
  <si>
    <t>| 90% adv: Used to suggest that something is extreme, remarkable, unexpected--"the  dictionary doesn't even define it"</t>
  </si>
  <si>
    <t>EVEN#3</t>
  </si>
  <si>
    <t>| 2% idiom-verb: "Get even"--to have one's revenge, square accounts</t>
  </si>
  <si>
    <t>EVEN#4</t>
  </si>
  <si>
    <t>| 0% adv: "Evenly"--smoothly, uniformly</t>
  </si>
  <si>
    <t>EVEN#5</t>
  </si>
  <si>
    <t>| 0% adj: Regular, smooth, balanced . . . "an even surface"</t>
  </si>
  <si>
    <t>EVENING</t>
  </si>
  <si>
    <t>| noun: The latter part of the day.</t>
  </si>
  <si>
    <t>EVENT#1</t>
  </si>
  <si>
    <t>| 93% noun: Occurrence, situation</t>
  </si>
  <si>
    <t>EVENT#2</t>
  </si>
  <si>
    <t>| 2% idiom-adv: "In any event"--anyway, nevertheless</t>
  </si>
  <si>
    <t>EVENT#3</t>
  </si>
  <si>
    <t>| 5% idiom: "In the event (that, of)," "in that event" . . . if, in case</t>
  </si>
  <si>
    <t>EVENTUAL</t>
  </si>
  <si>
    <t>| adjective: Final, ultimate.</t>
  </si>
  <si>
    <t>EVER#1</t>
  </si>
  <si>
    <t>| 75% adverb: At any time--e.g. did you ever fight--by any chance, at all--  e.g. how did you ever survive</t>
  </si>
  <si>
    <t>EVER#2</t>
  </si>
  <si>
    <t>| 19% adverb: At all times, always, continuously</t>
  </si>
  <si>
    <t>EVER#3</t>
  </si>
  <si>
    <t>| 4% idiom-adverb: "Ever so"--to a great extent or degree, exceedingly</t>
  </si>
  <si>
    <t>EVERLASTING</t>
  </si>
  <si>
    <t>EVERY</t>
  </si>
  <si>
    <t>| adj: Each and all, all possible</t>
  </si>
  <si>
    <t>EVERYBODY</t>
  </si>
  <si>
    <t>| pronoun: Every person</t>
  </si>
  <si>
    <t>EVERYDAY</t>
  </si>
  <si>
    <t>| adj: Commonplace or normal</t>
  </si>
  <si>
    <t>EVERYONE</t>
  </si>
  <si>
    <t>EVERYTHING</t>
  </si>
  <si>
    <t>| pronoun: All</t>
  </si>
  <si>
    <t>EVERYWHERE</t>
  </si>
  <si>
    <t>| adv: In all places</t>
  </si>
  <si>
    <t>EVICT</t>
  </si>
  <si>
    <t>EVIDENCE#1</t>
  </si>
  <si>
    <t>| 83% noun: Something which tends to prove or suggest a fact</t>
  </si>
  <si>
    <t>EVIDENCE#2</t>
  </si>
  <si>
    <t>| 17% verb: To show, make evident</t>
  </si>
  <si>
    <t>EVIDENT</t>
  </si>
  <si>
    <t>EVIDENTLY</t>
  </si>
  <si>
    <t>EVIL#1</t>
  </si>
  <si>
    <t>| 55% noun: Wickedness</t>
  </si>
  <si>
    <t>EVIL#2</t>
  </si>
  <si>
    <t>| 45% adj: Wicked</t>
  </si>
  <si>
    <t>EVOKE</t>
  </si>
  <si>
    <t>EVOLUTION</t>
  </si>
  <si>
    <t>EVOLUTIONARY</t>
  </si>
  <si>
    <t>EVOLVE</t>
  </si>
  <si>
    <t>EXACT#1</t>
  </si>
  <si>
    <t>| 19% adj: Precise, perfect</t>
  </si>
  <si>
    <t>EXACT#2</t>
  </si>
  <si>
    <t>| 80% adv: "Exactly"--precisely, perfectly</t>
  </si>
  <si>
    <t>EXACT#3</t>
  </si>
  <si>
    <t>| 2% verb: To force from, obtain</t>
  </si>
  <si>
    <t>EXACT#4</t>
  </si>
  <si>
    <t>| 0% adj: "Exacting" - demanding</t>
  </si>
  <si>
    <t>EXAGGERATE</t>
  </si>
  <si>
    <t>EXAGGERATION</t>
  </si>
  <si>
    <t>EXALT</t>
  </si>
  <si>
    <t>EXAM</t>
  </si>
  <si>
    <t>EXAMINATION</t>
  </si>
  <si>
    <t>EXAMINE</t>
  </si>
  <si>
    <t>| verb: To scrutinize or test</t>
  </si>
  <si>
    <t>EXAMINER</t>
  </si>
  <si>
    <t>EXAMPLE</t>
  </si>
  <si>
    <t>| noun: An instance or specimen used to show the character of the general  type, often used in the expression "for example" (27)</t>
  </si>
  <si>
    <t>EXASPERATE</t>
  </si>
  <si>
    <t>EXASPERATION</t>
  </si>
  <si>
    <t>EXCEED</t>
  </si>
  <si>
    <t>EXCEL</t>
  </si>
  <si>
    <t>EXCELLENCE</t>
  </si>
  <si>
    <t>EXCELLENT</t>
  </si>
  <si>
    <t>EXCEPT</t>
  </si>
  <si>
    <t>| prep-conj: But, with the exclusion of, save</t>
  </si>
  <si>
    <t>EXCEPTION#1</t>
  </si>
  <si>
    <t>| 86% noun: Instance or case not conforming to the general rule.</t>
  </si>
  <si>
    <t>EXCEPTION#2</t>
  </si>
  <si>
    <t>| 9% idiom-verb: Make an objection- 'take exception'</t>
  </si>
  <si>
    <t>EXCEPTIONAL</t>
  </si>
  <si>
    <t>EXCERPT</t>
  </si>
  <si>
    <t>EXCESS</t>
  </si>
  <si>
    <t>EXCESSIVE</t>
  </si>
  <si>
    <t>EXCHANGE#1</t>
  </si>
  <si>
    <t>| 94% noun-adj: Giving of like for like, dialogue, trade, commerce</t>
  </si>
  <si>
    <t>EXCHANGE#2</t>
  </si>
  <si>
    <t>| 6% verb: To give like for like, to trade</t>
  </si>
  <si>
    <t>EXCHEQUER</t>
  </si>
  <si>
    <t>EXCITE#1</t>
  </si>
  <si>
    <t>| 0% verb: To thrill or stimulate</t>
  </si>
  <si>
    <t>EXCITE#2</t>
  </si>
  <si>
    <t>| adjective: "Exciting"--thrilling</t>
  </si>
  <si>
    <t>EXCITED#1</t>
  </si>
  <si>
    <t>| 96% adj: Thrilled, stimulated</t>
  </si>
  <si>
    <t>EXCITED#2</t>
  </si>
  <si>
    <t>| 4% verb: Past tense of "excite"</t>
  </si>
  <si>
    <t>EXCITEDNESS</t>
  </si>
  <si>
    <t>EXCITEMENT</t>
  </si>
  <si>
    <t>EXCLAIM</t>
  </si>
  <si>
    <t>EXCLAMATION</t>
  </si>
  <si>
    <t>EXCLUDE</t>
  </si>
  <si>
    <t>EXCLUSION</t>
  </si>
  <si>
    <t>EXCLUSIVE</t>
  </si>
  <si>
    <t>EXCLUSIVENESS</t>
  </si>
  <si>
    <t>EXCOMMUNICATION</t>
  </si>
  <si>
    <t>EXCUSE#1</t>
  </si>
  <si>
    <t>EXCUSE#2</t>
  </si>
  <si>
    <t>EXECUTE</t>
  </si>
  <si>
    <t>EXECUTION</t>
  </si>
  <si>
    <t>EXECUTIVE</t>
  </si>
  <si>
    <t>EXEMPLARY</t>
  </si>
  <si>
    <t>EXEMPT</t>
  </si>
  <si>
    <t>EXERCISE#1</t>
  </si>
  <si>
    <t>EXERCISE#2</t>
  </si>
  <si>
    <t>EXERT</t>
  </si>
  <si>
    <t>EXERTION</t>
  </si>
  <si>
    <t>EXHAUST</t>
  </si>
  <si>
    <t>EXHAUSTION</t>
  </si>
  <si>
    <t>EXHIBIT#1</t>
  </si>
  <si>
    <t>EXHIBIT#2</t>
  </si>
  <si>
    <t>EXHIBITION</t>
  </si>
  <si>
    <t>EXHILARATION</t>
  </si>
  <si>
    <t>EXIGENCY</t>
  </si>
  <si>
    <t>Noun ABS ABS@</t>
  </si>
  <si>
    <t>EXILE</t>
  </si>
  <si>
    <t>EXIST#1</t>
  </si>
  <si>
    <t>| 77% verb: To live, to be</t>
  </si>
  <si>
    <t>EXIST#2</t>
  </si>
  <si>
    <t>| 23% adj: "Existing"--extant</t>
  </si>
  <si>
    <t>EXISTENCE</t>
  </si>
  <si>
    <t>| noun: The state or quality of being, life</t>
  </si>
  <si>
    <t>EXIT</t>
  </si>
  <si>
    <t>EXOTIC</t>
  </si>
  <si>
    <t>EXPAND#1</t>
  </si>
  <si>
    <t>EXPAND#2</t>
  </si>
  <si>
    <t>EXPANSE</t>
  </si>
  <si>
    <t>EXPANSION</t>
  </si>
  <si>
    <t>EXPECT#1</t>
  </si>
  <si>
    <t>| 98% verb: To regard as likely to happen</t>
  </si>
  <si>
    <t>EXPECT#2</t>
  </si>
  <si>
    <t>| 2% adj-noun: "Expected"--anticipated</t>
  </si>
  <si>
    <t>EXPECTATION</t>
  </si>
  <si>
    <t>EXPEDIENCY</t>
  </si>
  <si>
    <t>EXPEDIENT</t>
  </si>
  <si>
    <t>EXPEDITE</t>
  </si>
  <si>
    <t>EXPEDITION</t>
  </si>
  <si>
    <t>EXPEL</t>
  </si>
  <si>
    <t>EXPELL</t>
  </si>
  <si>
    <t>EXPEND</t>
  </si>
  <si>
    <t>EXPENDITURE</t>
  </si>
  <si>
    <t>EXPENSE#1</t>
  </si>
  <si>
    <t>| 90% noun: Cost, price of exchange</t>
  </si>
  <si>
    <t>EXPENSE#2</t>
  </si>
  <si>
    <t>| 10% idiom: 'at the expense of'--to the detriment or sacrifice of</t>
  </si>
  <si>
    <t>EXPENSIVE</t>
  </si>
  <si>
    <t>EXPERIENCE#1</t>
  </si>
  <si>
    <t>| 82% noun: What one has encountered or undergone and the knowledge gained thereby</t>
  </si>
  <si>
    <t>EXPERIENCE#2</t>
  </si>
  <si>
    <t>| 14% verb: To encounter or undergo</t>
  </si>
  <si>
    <t>EXPERIENCE#3</t>
  </si>
  <si>
    <t>| 4% adj: "Experienced"--having practical knowledge of things, having gone  through things</t>
  </si>
  <si>
    <t>EXPERIENCER</t>
  </si>
  <si>
    <t>EXPERIENTIAL</t>
  </si>
  <si>
    <t>EXPERIMENT#1</t>
  </si>
  <si>
    <t>EXPERIMENT#2</t>
  </si>
  <si>
    <t>EXPERIMENTAL</t>
  </si>
  <si>
    <t>EXPERIMENTER</t>
  </si>
  <si>
    <t>EXPERT#1</t>
  </si>
  <si>
    <t>| 77% noun: "One who knows a great deal about something, and nothing about  a great deal."</t>
  </si>
  <si>
    <t>EXPERT#2</t>
  </si>
  <si>
    <t>| 23% adj: Of expert quality</t>
  </si>
  <si>
    <t>EXPIRATION</t>
  </si>
  <si>
    <t>EXPIRE</t>
  </si>
  <si>
    <t>EXPLAIN</t>
  </si>
  <si>
    <t>| verb: To make plain or clear, render intelligible, make clear the cause  or reason of.</t>
  </si>
  <si>
    <t>EXPLANATION</t>
  </si>
  <si>
    <t>| noun: Reason, excuse, or exposition</t>
  </si>
  <si>
    <t>EXPLICIT</t>
  </si>
  <si>
    <t>EXPLODE</t>
  </si>
  <si>
    <t>EXPLOIT#1</t>
  </si>
  <si>
    <t>EXPLOIT#2</t>
  </si>
  <si>
    <t>EXPLORATION</t>
  </si>
  <si>
    <t>EXPLORATORY</t>
  </si>
  <si>
    <t>EXPLORE</t>
  </si>
  <si>
    <t>EXPLORER</t>
  </si>
  <si>
    <t>EXPLOSION</t>
  </si>
  <si>
    <t>EXPLOSIVE</t>
  </si>
  <si>
    <t>EXPORT</t>
  </si>
  <si>
    <t>EXPORTATION</t>
  </si>
  <si>
    <t>EXPORTER</t>
  </si>
  <si>
    <t>EXPOSE</t>
  </si>
  <si>
    <t>EXPRESS</t>
  </si>
  <si>
    <t>| verb: To render in communicable form ideas, opinions, or feelings-- to  manifest, show or reveal</t>
  </si>
  <si>
    <t>EXPRESSION#1</t>
  </si>
  <si>
    <t>| 67% noun: The act or process of expressing</t>
  </si>
  <si>
    <t>EXPRESSION#2</t>
  </si>
  <si>
    <t>| 30% noun: A look, expressing personal reaction or feeling</t>
  </si>
  <si>
    <t>EXPRESSIVE</t>
  </si>
  <si>
    <t>EXPULSION</t>
  </si>
  <si>
    <t>EXQUISITE</t>
  </si>
  <si>
    <t>EXTEND#1</t>
  </si>
  <si>
    <t>| 87% verb: To expand, stretch or lengthen in space, time or degree</t>
  </si>
  <si>
    <t>EXTEND#2</t>
  </si>
  <si>
    <t>| 13% verb: To hold out to, offer</t>
  </si>
  <si>
    <t>EXTEND#3</t>
  </si>
  <si>
    <t>| 0% adj: "Extended" - prolonged or lengthened</t>
  </si>
  <si>
    <t>EXTENSION</t>
  </si>
  <si>
    <t>EXTENSIVE</t>
  </si>
  <si>
    <t>EXTENT</t>
  </si>
  <si>
    <t>| noun: Length, degree, or scope of something</t>
  </si>
  <si>
    <t>EXTERMINATE</t>
  </si>
  <si>
    <t>EXTERMINATION</t>
  </si>
  <si>
    <t>EXTERNAL</t>
  </si>
  <si>
    <t>EXTINCT</t>
  </si>
  <si>
    <t>EXTINGUISH</t>
  </si>
  <si>
    <t>EXTOL</t>
  </si>
  <si>
    <t>EXTRA</t>
  </si>
  <si>
    <t>| adj: Additional, surplus</t>
  </si>
  <si>
    <t>EXTRAORDINARY</t>
  </si>
  <si>
    <t>EXTRAPOLATE</t>
  </si>
  <si>
    <t>EXTRAPOLATION</t>
  </si>
  <si>
    <t>EXTRAVAGANCE</t>
  </si>
  <si>
    <t>EXTRAVAGANT</t>
  </si>
  <si>
    <t>EXTREME#1</t>
  </si>
  <si>
    <t>| 20% adjective: Very far from the average (along some dimension conveyed  by accompanying noun)</t>
  </si>
  <si>
    <t>EXTREME#2</t>
  </si>
  <si>
    <t>| 72% adverb: "Extremely"--exceedingly, extraordinarily</t>
  </si>
  <si>
    <t>EXTREME#3</t>
  </si>
  <si>
    <t>| 8% noun: Furthest point, terminus</t>
  </si>
  <si>
    <t>EXUBERANCE</t>
  </si>
  <si>
    <t>EXUBERANT</t>
  </si>
  <si>
    <t>EXULT</t>
  </si>
  <si>
    <t>EXULTATION</t>
  </si>
  <si>
    <t>EYE#1</t>
  </si>
  <si>
    <t>| 92% noun-adj: The organ of sight, a glance or regard; anything shaped  like an eye (e.g. hook and eye) (0)</t>
  </si>
  <si>
    <t>EYE#2</t>
  </si>
  <si>
    <t>| 1% verb: To look at</t>
  </si>
  <si>
    <t>EYE#3</t>
  </si>
  <si>
    <t>| 1% idiom: "Eye to eye"--in agreement</t>
  </si>
  <si>
    <t>EYE#4</t>
  </si>
  <si>
    <t>| 3% verb: "Keep an eye (on)," fix eye(s) (on)--keep track of, observe, follow</t>
  </si>
  <si>
    <t>EYE#5</t>
  </si>
  <si>
    <t>| 1% idiom-verb: "Set eyes on"--to see, often for the first time</t>
  </si>
  <si>
    <t>EYE#6</t>
  </si>
  <si>
    <t>Noun Handels</t>
  </si>
  <si>
    <t>| 1% idiom-noun: "Private eye" (handled by private)</t>
  </si>
  <si>
    <t>EYEBROW</t>
  </si>
  <si>
    <t>EYELID</t>
  </si>
  <si>
    <t>FABRIC</t>
  </si>
  <si>
    <t>FABRICATE</t>
  </si>
  <si>
    <t>FABRICATION</t>
  </si>
  <si>
    <t>FABULOUS</t>
  </si>
  <si>
    <t>FACE#1</t>
  </si>
  <si>
    <t>| 63% noun: The bodypart, surface, appearance</t>
  </si>
  <si>
    <t>FACE#2</t>
  </si>
  <si>
    <t>| 30% verb: Confront, direct attention to</t>
  </si>
  <si>
    <t>FACE#3</t>
  </si>
  <si>
    <t>| 5% idiom-prep: "In the face of"--confronted with</t>
  </si>
  <si>
    <t>FACE#4</t>
  </si>
  <si>
    <t>| 1% idiom-adv: 'face to face'</t>
  </si>
  <si>
    <t>FACE#5</t>
  </si>
  <si>
    <t>| 0% idiom: "Save face"</t>
  </si>
  <si>
    <t>FACIAL</t>
  </si>
  <si>
    <t>FACILITATE</t>
  </si>
  <si>
    <t>FACILITY</t>
  </si>
  <si>
    <t>| noun-adj: Physical means for expediting performance of an action, institutions  and equipment</t>
  </si>
  <si>
    <t>FACT#1</t>
  </si>
  <si>
    <t>| 77% noun: Something known to be true, to exist or have happened.</t>
  </si>
  <si>
    <t>FACT#2</t>
  </si>
  <si>
    <t>| 20% idiom-adverb: "In fact"--actually, in actuality</t>
  </si>
  <si>
    <t>FACT#3</t>
  </si>
  <si>
    <t>LY Handels</t>
  </si>
  <si>
    <t>| 3% idiom-adv: "As a matter of fact"--handled by matter</t>
  </si>
  <si>
    <t>FACTION</t>
  </si>
  <si>
    <t>FACTOR</t>
  </si>
  <si>
    <t>| noun: Contributor, cause, consideration, element.</t>
  </si>
  <si>
    <t>FACTORY</t>
  </si>
  <si>
    <t>FACTUAL</t>
  </si>
  <si>
    <t>FACULTY#1</t>
  </si>
  <si>
    <t>| 91% noun-adj: All the teachers of a school</t>
  </si>
  <si>
    <t>FACULTY#2</t>
  </si>
  <si>
    <t>| 9% noun: Ability</t>
  </si>
  <si>
    <t>FADE#1</t>
  </si>
  <si>
    <t>FADE#2</t>
  </si>
  <si>
    <t>FAIL#1</t>
  </si>
  <si>
    <t>| 56% verb: To be unsuccessful or lose strength</t>
  </si>
  <si>
    <t>FAIL#2</t>
  </si>
  <si>
    <t>| 39% verb: To neglect, omit, or fall short of - "fail to"</t>
  </si>
  <si>
    <t>FAIL#3</t>
  </si>
  <si>
    <t>| 2% verb: To disappoint or be inadequate for</t>
  </si>
  <si>
    <t>FAIL#4</t>
  </si>
  <si>
    <t>| 4% noun-adj: "Failing"--a fault or failure, unsatisfactory</t>
  </si>
  <si>
    <t>FAILURE</t>
  </si>
  <si>
    <t>| noun: A general instance of proving unsuccessful, one who or that which  proves unsuccessful or fails to perform something expected or required</t>
  </si>
  <si>
    <t>FAINT</t>
  </si>
  <si>
    <t>FAIR#1</t>
  </si>
  <si>
    <t>| 33% adj: Just, unbiased (includes comparative (1) + superlative (0))</t>
  </si>
  <si>
    <t>FAIR#2</t>
  </si>
  <si>
    <t>| 8% adj: Moderate in degree or quality (includes comparative (0) + superlative (0))</t>
  </si>
  <si>
    <t>FAIR#3</t>
  </si>
  <si>
    <t>| 52% adv: 'fairly'--moderately, rather; justly (1)</t>
  </si>
  <si>
    <t>FAIR#4</t>
  </si>
  <si>
    <t>| 3% adj: Beautiful, light, unblemished (includes comparative (0) + superlative (0))</t>
  </si>
  <si>
    <t>FAIR#5</t>
  </si>
  <si>
    <t>| 0% noun: Carnival</t>
  </si>
  <si>
    <t>FAIRNESS</t>
  </si>
  <si>
    <t>FAITH#1</t>
  </si>
  <si>
    <t>| 90% noun: Belief or trust, or the content thereof--a creed</t>
  </si>
  <si>
    <t>FAITH#2</t>
  </si>
  <si>
    <t>| 10% idiom-noun: "Good faith"--honesty, trustworthiness</t>
  </si>
  <si>
    <t>FAITHFUL</t>
  </si>
  <si>
    <t>FAITHFULNESS</t>
  </si>
  <si>
    <t>FAKE</t>
  </si>
  <si>
    <t>FALL#1</t>
  </si>
  <si>
    <t>| 74% verb: General verb sense--drop, descend, collapse, sink, decline</t>
  </si>
  <si>
    <t>FALL#2</t>
  </si>
  <si>
    <t>| 6% verb-idiom: "Fall in love,"--become enamored</t>
  </si>
  <si>
    <t>FALL#3</t>
  </si>
  <si>
    <t>| 4% verb-idiom: 'fall asleep'</t>
  </si>
  <si>
    <t>FALL#4</t>
  </si>
  <si>
    <t>| 5% noun-adj: Autumn</t>
  </si>
  <si>
    <t>FALL#5</t>
  </si>
  <si>
    <t>| 1% noun: Descent, drop, collapse (includes waterfalls)</t>
  </si>
  <si>
    <t>FALL#6</t>
  </si>
  <si>
    <t>| 1% adj: 'fallen'</t>
  </si>
  <si>
    <t>FALL#7</t>
  </si>
  <si>
    <t>| 5% verb-idiom: 'fall apart'--disintegrate</t>
  </si>
  <si>
    <t>FALL#8</t>
  </si>
  <si>
    <t>| 4% adj: 'falling'</t>
  </si>
  <si>
    <t>FALL#9</t>
  </si>
  <si>
    <t>| 1% verb: "Fall for"--become enamored</t>
  </si>
  <si>
    <t>FALLACY</t>
  </si>
  <si>
    <t>FALLEN#1</t>
  </si>
  <si>
    <t>FALLOUT</t>
  </si>
  <si>
    <t>FALSEHOOD</t>
  </si>
  <si>
    <t>FALTER</t>
  </si>
  <si>
    <t>FAME</t>
  </si>
  <si>
    <t>FAMILIAR</t>
  </si>
  <si>
    <t>FAMILIARITY</t>
  </si>
  <si>
    <t>FAMILIARIZE</t>
  </si>
  <si>
    <t>FAMILY</t>
  </si>
  <si>
    <t>| noun adjective: A specifically related group, usually referring to the  immediate kinship group of father, mother, and children, sometimes a biological  term.</t>
  </si>
  <si>
    <t>FAMINE</t>
  </si>
  <si>
    <t>FAMISHED</t>
  </si>
  <si>
    <t>FAMOUS</t>
  </si>
  <si>
    <t>| adj: Renowned</t>
  </si>
  <si>
    <t>FAN#1</t>
  </si>
  <si>
    <t>| 76% noun: Devotee, enthusiast</t>
  </si>
  <si>
    <t>FAN#2</t>
  </si>
  <si>
    <t>| 19% verb: To stir up, cause air to blow on</t>
  </si>
  <si>
    <t>FAN#3</t>
  </si>
  <si>
    <t>| 5% noun: A cooling device, or anything shaped like a paper fan</t>
  </si>
  <si>
    <t>FANATIC</t>
  </si>
  <si>
    <t>FANATICAL</t>
  </si>
  <si>
    <t>FANCY</t>
  </si>
  <si>
    <t>FANTASTIC</t>
  </si>
  <si>
    <t>FANTASY</t>
  </si>
  <si>
    <t>FAR#1</t>
  </si>
  <si>
    <t>| 60% adv-adj: Being at or to a great distance, a long way off; at or to  a rEMOTe or advanced point or time (7)</t>
  </si>
  <si>
    <t>FAR#2</t>
  </si>
  <si>
    <t>| 16% adv: "As far as"--to the degree or extent that, as regards</t>
  </si>
  <si>
    <t>FAR#3</t>
  </si>
  <si>
    <t>| 15% adv: "So far"--up to now, up to a certain point or extent</t>
  </si>
  <si>
    <t>FAR#4</t>
  </si>
  <si>
    <t>| 9% adverb: Much, to a greater extent (used for emphasis with comparatives  and "too")</t>
  </si>
  <si>
    <t>FAR-REACHING</t>
  </si>
  <si>
    <t>FARCE</t>
  </si>
  <si>
    <t>FARE#1</t>
  </si>
  <si>
    <t>FARE#2</t>
  </si>
  <si>
    <t>FAREWELL</t>
  </si>
  <si>
    <t>FARM#1</t>
  </si>
  <si>
    <t>| 78% noun-adj: Facility for raising crops or animals</t>
  </si>
  <si>
    <t>FARM#2</t>
  </si>
  <si>
    <t>| 12% verb: To operate such a facility</t>
  </si>
  <si>
    <t>FARM#3</t>
  </si>
  <si>
    <t>| 10% noun-adj: "Farming" - operation of such facilities</t>
  </si>
  <si>
    <t>FARMER</t>
  </si>
  <si>
    <t>| noun: One who farms</t>
  </si>
  <si>
    <t>FARSIGHTED</t>
  </si>
  <si>
    <t>FARTHER</t>
  </si>
  <si>
    <t>LY ER</t>
  </si>
  <si>
    <t>FASCINATE#1</t>
  </si>
  <si>
    <t>FASCINATE#2</t>
  </si>
  <si>
    <t>FASCINATION</t>
  </si>
  <si>
    <t>FASCIST</t>
  </si>
  <si>
    <t>FASHION</t>
  </si>
  <si>
    <t>FASHIONABLE</t>
  </si>
  <si>
    <t>FAST#1</t>
  </si>
  <si>
    <t>| 53% adj-adv: Speedy, speedily</t>
  </si>
  <si>
    <t>FAST#2</t>
  </si>
  <si>
    <t>| 4% verb: To abstain from eating</t>
  </si>
  <si>
    <t>FAST#3</t>
  </si>
  <si>
    <t>| 16% adj-adv: Firm, not easily swayed</t>
  </si>
  <si>
    <t>FAST#4</t>
  </si>
  <si>
    <t>| 4% noun-adj: Abstention from eating</t>
  </si>
  <si>
    <t>FAST#5</t>
  </si>
  <si>
    <t>| 19% adj: "Faster"--comparative--speedier, quicker</t>
  </si>
  <si>
    <t>FAST#6</t>
  </si>
  <si>
    <t>| 3% adj: "Fastest"--superlative--speediest, quickest</t>
  </si>
  <si>
    <t>FASTEN</t>
  </si>
  <si>
    <t>FAT#1</t>
  </si>
  <si>
    <t>| 97% adjective-noun: Excess of adipose tissue, sometimes figuratively used  to indicate various derogatory attributes of excess or luxury</t>
  </si>
  <si>
    <t>FAT#2</t>
  </si>
  <si>
    <t>| 2% adj: "Fatter"--comparative</t>
  </si>
  <si>
    <t>FAT#3</t>
  </si>
  <si>
    <t>| 2% adj: "Fattest"--superlative</t>
  </si>
  <si>
    <t>FATAL</t>
  </si>
  <si>
    <t>FATALISTIC</t>
  </si>
  <si>
    <t>FATE</t>
  </si>
  <si>
    <t>FATHER</t>
  </si>
  <si>
    <t>| noun: A male parent</t>
  </si>
  <si>
    <t>FATHOM#1</t>
  </si>
  <si>
    <t>FATHOM#2</t>
  </si>
  <si>
    <t>FATIGUE</t>
  </si>
  <si>
    <t>FAULT</t>
  </si>
  <si>
    <t>FAVOR#1</t>
  </si>
  <si>
    <t>| 15% noun: A kind act</t>
  </si>
  <si>
    <t>FAVOR#2</t>
  </si>
  <si>
    <t>| 26% verb: To prefer</t>
  </si>
  <si>
    <t>FAVOR#3</t>
  </si>
  <si>
    <t>| 35% idiom: "In favor of," in support of</t>
  </si>
  <si>
    <t>FAVOR#4</t>
  </si>
  <si>
    <t>| 15% noun: The state of being approved, an advantageous state</t>
  </si>
  <si>
    <t>FAVOR#5</t>
  </si>
  <si>
    <t>| 7% adjective: "Favored"--treated with preference, approved</t>
  </si>
  <si>
    <t>FAVORABLE</t>
  </si>
  <si>
    <t>FAVORITE</t>
  </si>
  <si>
    <t>FAVOUR#1</t>
  </si>
  <si>
    <t>FAVOURABLE#1</t>
  </si>
  <si>
    <t>FAVOURITE#1</t>
  </si>
  <si>
    <t>FEAR#1</t>
  </si>
  <si>
    <t>| 67% noun-adj: Anxiety, dread, fright</t>
  </si>
  <si>
    <t>FEAR#2</t>
  </si>
  <si>
    <t>| 33% verb: To be afraid of</t>
  </si>
  <si>
    <t>FEAR#3</t>
  </si>
  <si>
    <t>| 0% adj: "Feared" - arousing fear</t>
  </si>
  <si>
    <t>FEARFUL</t>
  </si>
  <si>
    <t>FEARLESS</t>
  </si>
  <si>
    <t>FEARSOME</t>
  </si>
  <si>
    <t>FEASIBLE</t>
  </si>
  <si>
    <t>FEAST#1</t>
  </si>
  <si>
    <t>| 83% noun-adj: A celebration, usually with food</t>
  </si>
  <si>
    <t>FEAST#2</t>
  </si>
  <si>
    <t>| 17% verb: To celebrate, usually by gorging oneself</t>
  </si>
  <si>
    <t>FEATHER#1</t>
  </si>
  <si>
    <t>| 84% noun: A light horny structure, the principal covering of birds</t>
  </si>
  <si>
    <t>FEATHER#2</t>
  </si>
  <si>
    <t>| 16% verb: To provide or cover with feathers</t>
  </si>
  <si>
    <t>FEATHER#3</t>
  </si>
  <si>
    <t>| 0% adj: "Feathered"--covered with feathers</t>
  </si>
  <si>
    <t>FEATURE#1</t>
  </si>
  <si>
    <t>FEATURE#2</t>
  </si>
  <si>
    <t>FEBRUARY</t>
  </si>
  <si>
    <t>FED#1</t>
  </si>
  <si>
    <t>| 72% verb-adj: Provided something necessary for growth</t>
  </si>
  <si>
    <t>FED#2</t>
  </si>
  <si>
    <t>| 28% idiom-adj-adv: "Fed up" - disgusted</t>
  </si>
  <si>
    <t>FEDERAL</t>
  </si>
  <si>
    <t>| adjective: Pertaining to the independent central government of a union of states.</t>
  </si>
  <si>
    <t>FEDERATE</t>
  </si>
  <si>
    <t>FEDERATION</t>
  </si>
  <si>
    <t>FEE</t>
  </si>
  <si>
    <t>FEEBLE</t>
  </si>
  <si>
    <t>FEED#1</t>
  </si>
  <si>
    <t>| 78% verb: To supply a necessary input, usually nutritional</t>
  </si>
  <si>
    <t>FEED#2</t>
  </si>
  <si>
    <t>| 4% verb: To eat, derive sustenance from</t>
  </si>
  <si>
    <t>FEED#3</t>
  </si>
  <si>
    <t>| 9% noun: Nourishment, input</t>
  </si>
  <si>
    <t>FEED#4</t>
  </si>
  <si>
    <t>| 9% noun-adj: "Feeding" - of or pertaining to supplying nourishment</t>
  </si>
  <si>
    <t>FEEL#1</t>
  </si>
  <si>
    <t>| 46% verb: To have an impression, experience an idea or Emotion, to touch</t>
  </si>
  <si>
    <t>FEEL#2</t>
  </si>
  <si>
    <t>| 42% verb: To believe (that), to hold as an opinion</t>
  </si>
  <si>
    <t>FEEL#3</t>
  </si>
  <si>
    <t>| 11% noun: "Feeling"--an Emotion or opinion</t>
  </si>
  <si>
    <t>FEELER</t>
  </si>
  <si>
    <t>FEET#1</t>
  </si>
  <si>
    <t>| 74% noun: Terminal part of leg (plural)</t>
  </si>
  <si>
    <t>FEET#2</t>
  </si>
  <si>
    <t>| 26% noun: Measurement of distance, 12 inches (plural)</t>
  </si>
  <si>
    <t>FEIGN</t>
  </si>
  <si>
    <t>FEINT</t>
  </si>
  <si>
    <t>FELL#1</t>
  </si>
  <si>
    <t>| 89% verb: Past tense of "to fall"--drop, descend, collapse, sink</t>
  </si>
  <si>
    <t>FELL#2</t>
  </si>
  <si>
    <t>| 8% verb-idiom: "Fell in love,"--became enamored</t>
  </si>
  <si>
    <t>FELL#3</t>
  </si>
  <si>
    <t>| 2% verb-idiom: "Fell asleep"</t>
  </si>
  <si>
    <t>FELL#4</t>
  </si>
  <si>
    <t>| 0% verb-idiom: "Fell apart"--disintegrated</t>
  </si>
  <si>
    <t>FELL#5</t>
  </si>
  <si>
    <t>| 0% verb: To cut down</t>
  </si>
  <si>
    <t>FELL#6</t>
  </si>
  <si>
    <t>| 0% verb: "Fell for"--became enamored</t>
  </si>
  <si>
    <t>FELLOW#1</t>
  </si>
  <si>
    <t>| 73% noun: A person; a member or trustee (1)</t>
  </si>
  <si>
    <t>FELLOW#2</t>
  </si>
  <si>
    <t>| 27% adj: Associated, in the same situation</t>
  </si>
  <si>
    <t>FELLOWSHIP</t>
  </si>
  <si>
    <t>FELT#1</t>
  </si>
  <si>
    <t>FEMALE</t>
  </si>
  <si>
    <t>| noun-adj: The sex that bears offspring</t>
  </si>
  <si>
    <t>FEMININE</t>
  </si>
  <si>
    <t>FENCE#1</t>
  </si>
  <si>
    <t>| 97% noun-adj: A boundary-marking barrier</t>
  </si>
  <si>
    <t>FENCE#2</t>
  </si>
  <si>
    <t>| 3% verb: To enclose</t>
  </si>
  <si>
    <t>FENCE#3</t>
  </si>
  <si>
    <t>| 0% noun-adj: The art of self-defense with a foil</t>
  </si>
  <si>
    <t>FEROCIOUS</t>
  </si>
  <si>
    <t>FEROCITY</t>
  </si>
  <si>
    <t>FERTILE</t>
  </si>
  <si>
    <t>FERTILISER#1</t>
  </si>
  <si>
    <t>FERTILIZER</t>
  </si>
  <si>
    <t>FERVENT</t>
  </si>
  <si>
    <t>FERVENTLY</t>
  </si>
  <si>
    <t>FERVOR</t>
  </si>
  <si>
    <t>FESTIVAL</t>
  </si>
  <si>
    <t>FESTIVE</t>
  </si>
  <si>
    <t>FESTIVITY</t>
  </si>
  <si>
    <t>FETCH</t>
  </si>
  <si>
    <t>| verb: Bring, bring back, summon</t>
  </si>
  <si>
    <t>FEUD</t>
  </si>
  <si>
    <t>FEUDAL</t>
  </si>
  <si>
    <t>FEUDALISM</t>
  </si>
  <si>
    <t>FEVER</t>
  </si>
  <si>
    <t>FEVERISH</t>
  </si>
  <si>
    <t>FEW#1</t>
  </si>
  <si>
    <t>DET PRE PRE1 Modif PFREQ</t>
  </si>
  <si>
    <t>| 82% adj: Not many, a small number of</t>
  </si>
  <si>
    <t>FEW#2</t>
  </si>
  <si>
    <t>| 14% pron: Not many people or things, a small number</t>
  </si>
  <si>
    <t>FEW#3</t>
  </si>
  <si>
    <t>PRON INDEF Modif Impers</t>
  </si>
  <si>
    <t>| 2% idiom-adj-pron: 'quite a few'--a moderate number, numerous, many</t>
  </si>
  <si>
    <t>FEW#4</t>
  </si>
  <si>
    <t>| 1% adj: "Fewer"--a smaller number of--comparative</t>
  </si>
  <si>
    <t>FEW#5</t>
  </si>
  <si>
    <t>| 0% adj: "Fewest"--superlative</t>
  </si>
  <si>
    <t>FIASCO</t>
  </si>
  <si>
    <t>FIBER</t>
  </si>
  <si>
    <t>FIBERGLAS</t>
  </si>
  <si>
    <t>FIBRE#1</t>
  </si>
  <si>
    <t>FIBREGLASS#1</t>
  </si>
  <si>
    <t>FICKLE</t>
  </si>
  <si>
    <t>FICTION</t>
  </si>
  <si>
    <t>FIDELITY</t>
  </si>
  <si>
    <t>FIDGET</t>
  </si>
  <si>
    <t>FIELD#1</t>
  </si>
  <si>
    <t>| noun: A piece of land (53); a realm of knowledge, work, or observation,  a area where someone or something is active, background (52)</t>
  </si>
  <si>
    <t>FIELD#2</t>
  </si>
  <si>
    <t>| 1% verb: To handle or answer, to catch in baseball, to put on a field</t>
  </si>
  <si>
    <t>FIEND</t>
  </si>
  <si>
    <t>FIERCE</t>
  </si>
  <si>
    <t>FIERY</t>
  </si>
  <si>
    <t>FIFTEEN</t>
  </si>
  <si>
    <t>FIFTEENTH</t>
  </si>
  <si>
    <t>FIFTH#1</t>
  </si>
  <si>
    <t>FIFTIETH#1</t>
  </si>
  <si>
    <t>FIFTY</t>
  </si>
  <si>
    <t>FIG</t>
  </si>
  <si>
    <t>FIGHT#1</t>
  </si>
  <si>
    <t>| 24% noun: Conflict</t>
  </si>
  <si>
    <t>FIGHT#2</t>
  </si>
  <si>
    <t>| 67% verb: To engage in conflict</t>
  </si>
  <si>
    <t>FIGHT#3</t>
  </si>
  <si>
    <t>| 8% noun-adj: "Fighting"--engaging in conflict</t>
  </si>
  <si>
    <t>FIGHT#4</t>
  </si>
  <si>
    <t>| 2% idiom-verb: "To pick a fight"--to tease, bully, encourage a fight--handled  by "pick"</t>
  </si>
  <si>
    <t>FIGHTER</t>
  </si>
  <si>
    <t>FIGURE#1</t>
  </si>
  <si>
    <t>| 42% noun: Form, representation, schema, shape, illustration, diagram, number</t>
  </si>
  <si>
    <t>FIGURE#2</t>
  </si>
  <si>
    <t>| 17% verb: To believe, conclude, or assume</t>
  </si>
  <si>
    <t>FIGURE#3</t>
  </si>
  <si>
    <t>| 31% verb: To solve, calculate, or reason out</t>
  </si>
  <si>
    <t>FIGURE#4</t>
  </si>
  <si>
    <t>| 1% idiom-noun: "Figure of speech"</t>
  </si>
  <si>
    <t>FIGURE#5</t>
  </si>
  <si>
    <t>| 10% idiom-noun: "Authority figure"--handled by authority</t>
  </si>
  <si>
    <t>FILE#1</t>
  </si>
  <si>
    <t>FILE#2</t>
  </si>
  <si>
    <t>FILIAL</t>
  </si>
  <si>
    <t>FILL#1</t>
  </si>
  <si>
    <t>| 78% verb: To make or be full of, to pervade</t>
  </si>
  <si>
    <t>FILL#2</t>
  </si>
  <si>
    <t>| 14% idiom-verb: 'fill in'--to satisfy (a requirement or need), to supply  with satisfactorily</t>
  </si>
  <si>
    <t>FILL#3</t>
  </si>
  <si>
    <t>| 4% idiom-verb: 'fill out'--to complete a form</t>
  </si>
  <si>
    <t>FILL#4</t>
  </si>
  <si>
    <t>| 2% noun: Condition of satisfaction as 'to have one's fill'</t>
  </si>
  <si>
    <t>FILL#5</t>
  </si>
  <si>
    <t>| 2% noun-adj: "Filling"--the act of making full, something used to fill  something else</t>
  </si>
  <si>
    <t>FILL#6</t>
  </si>
  <si>
    <t>| 0% noun-idiom: "Filling station"--gas station</t>
  </si>
  <si>
    <t>FILLY</t>
  </si>
  <si>
    <t>FILM#1</t>
  </si>
  <si>
    <t>| noun-adj: Motion pictures or photographs, pertaining to same</t>
  </si>
  <si>
    <t>FILM#2</t>
  </si>
  <si>
    <t>| 0% verb: To make a film of, to photograph in film</t>
  </si>
  <si>
    <t>FILTH</t>
  </si>
  <si>
    <t>FILTHY</t>
  </si>
  <si>
    <t>FINAL#1</t>
  </si>
  <si>
    <t>DET Modif</t>
  </si>
  <si>
    <t>| 24% adjective: Last, eventual, terminal</t>
  </si>
  <si>
    <t>FINAL#2</t>
  </si>
  <si>
    <t>| 76% adverb: "Finally"--at last, eventually</t>
  </si>
  <si>
    <t>FINANCE#1</t>
  </si>
  <si>
    <t>FINANCE#2</t>
  </si>
  <si>
    <t>FINANCIAL</t>
  </si>
  <si>
    <t>| adjective: Pertaining to monetary matters or situations</t>
  </si>
  <si>
    <t>FIND#1</t>
  </si>
  <si>
    <t>| verb: Locate, discover, learn, adjudge, encounter</t>
  </si>
  <si>
    <t>FIND#2</t>
  </si>
  <si>
    <t>| 0% noun: "Finding"--a judgment or discovery</t>
  </si>
  <si>
    <t>FINE#1</t>
  </si>
  <si>
    <t>| 56% adj: Of high quality, excellent; light, slender, delicate (7)</t>
  </si>
  <si>
    <t>FINE#2</t>
  </si>
  <si>
    <t>| 1% adv: "Finely"--in a fine manner</t>
  </si>
  <si>
    <t>FINE#3</t>
  </si>
  <si>
    <t>| 28% adj-adv: All right, o.k., well, good</t>
  </si>
  <si>
    <t>FINE#4</t>
  </si>
  <si>
    <t>| 3% adj: 'finer'--comparative of (1)</t>
  </si>
  <si>
    <t>FINE#5</t>
  </si>
  <si>
    <t>| 12% adj: 'finest'--superlative of (1)</t>
  </si>
  <si>
    <t>FINE#6</t>
  </si>
  <si>
    <t>| 0% noun: A violator's fee</t>
  </si>
  <si>
    <t>FINE#7</t>
  </si>
  <si>
    <t>| 0% verb: To levy a fee in punishment</t>
  </si>
  <si>
    <t>FINGER#1</t>
  </si>
  <si>
    <t>FINGER#2</t>
  </si>
  <si>
    <t>FINISH#1</t>
  </si>
  <si>
    <t>| verb: To complete, end, draw to a close, put the final touches on</t>
  </si>
  <si>
    <t>FINISH#2</t>
  </si>
  <si>
    <t>| 0% noun-adj: The end</t>
  </si>
  <si>
    <t>FINISH#3</t>
  </si>
  <si>
    <t>| 0% adj: "Finished"--completed, done--"a finished work"</t>
  </si>
  <si>
    <t>FINISH#4</t>
  </si>
  <si>
    <t>| 1% adj: "Finishing"--completing, final</t>
  </si>
  <si>
    <t>FIRE#1</t>
  </si>
  <si>
    <t>| 6% verb: To discharge a weapon, shoot, apply fire to</t>
  </si>
  <si>
    <t>FIRE#2</t>
  </si>
  <si>
    <t>| 8% verb: To terminate employment</t>
  </si>
  <si>
    <t>FIRE#3</t>
  </si>
  <si>
    <t>| 5% noun-adj: Gunfire, shooting, attack</t>
  </si>
  <si>
    <t>FIRE#4</t>
  </si>
  <si>
    <t>| 67% noun-adj: A burning mass of material, or pertaining to fires</t>
  </si>
  <si>
    <t>FIRE#5</t>
  </si>
  <si>
    <t>| 4% idiom-verb: 'set fire'--light, cause to burn</t>
  </si>
  <si>
    <t>FIRE#6</t>
  </si>
  <si>
    <t>| 4% idiom-adj-adv: 'on fire'--ablaze</t>
  </si>
  <si>
    <t>FIRE#7</t>
  </si>
  <si>
    <t>| 1% idiom-noun: 'fire escape'--handled by "escape"</t>
  </si>
  <si>
    <t>FIRM#1</t>
  </si>
  <si>
    <t>| 15% noun: A partnership or unincorporated association for carrying out business</t>
  </si>
  <si>
    <t>FIRM#2</t>
  </si>
  <si>
    <t>| 56% adj: Not yielding--solid</t>
  </si>
  <si>
    <t>FIRM#3</t>
  </si>
  <si>
    <t>| 23% adv: "Firmly"--solidly, stiffly</t>
  </si>
  <si>
    <t>FIRM#4</t>
  </si>
  <si>
    <t>| 5% adj: "Firmer"--more solid</t>
  </si>
  <si>
    <t>FIRM#5</t>
  </si>
  <si>
    <t>| 0% adj: "Firmest"--most firm</t>
  </si>
  <si>
    <t>FIRMNESS</t>
  </si>
  <si>
    <t>FIRST#1</t>
  </si>
  <si>
    <t>| 61% adj: Initial, foremost</t>
  </si>
  <si>
    <t>FIRST#2</t>
  </si>
  <si>
    <t>| 25% adv: 'first,' 'firstly'--initially</t>
  </si>
  <si>
    <t>FIRST#3</t>
  </si>
  <si>
    <t>| 4% pron: The initial or foremost one</t>
  </si>
  <si>
    <t>FIRST#4</t>
  </si>
  <si>
    <t>| 5% idiom-adv: 'at first'--initially</t>
  </si>
  <si>
    <t>FIRST#5</t>
  </si>
  <si>
    <t>| 2% idiom-adv: 'first of all'--at the outset, to begin</t>
  </si>
  <si>
    <t>FIRST#6</t>
  </si>
  <si>
    <t>| 2% idiom-adv: 'in the first place'--to begin; handled by 'place'</t>
  </si>
  <si>
    <t>FISCAL</t>
  </si>
  <si>
    <t>FISH#1</t>
  </si>
  <si>
    <t>| 22% verb: To try to catch fish</t>
  </si>
  <si>
    <t>FISH#2</t>
  </si>
  <si>
    <t>| 74% noun: An aquatic creature</t>
  </si>
  <si>
    <t>FISH#3</t>
  </si>
  <si>
    <t>| 3% noun-adj: "Fishing"--catching fish</t>
  </si>
  <si>
    <t>FISSION</t>
  </si>
  <si>
    <t>FIST</t>
  </si>
  <si>
    <t>FIT#1</t>
  </si>
  <si>
    <t>| 60% verb: To be suitable or adjusted to, to make suitable, adapt, adjust, equip</t>
  </si>
  <si>
    <t>FIT#2</t>
  </si>
  <si>
    <t>| 26% noun-adj: Suitable, well adapted (includes "fitting," "fitted")</t>
  </si>
  <si>
    <t>FIT#3</t>
  </si>
  <si>
    <t>| 3% noun: A temporary burst (of activity or disease)</t>
  </si>
  <si>
    <t>FIT#4</t>
  </si>
  <si>
    <t>| 3% noun: 'fitting'--equipment of some sort, or its installation, adjustment</t>
  </si>
  <si>
    <t>FIT#5</t>
  </si>
  <si>
    <t>| 6% adj: Superlative--'fittest'--best adapted</t>
  </si>
  <si>
    <t>FIT#6</t>
  </si>
  <si>
    <t>| 3% adv: 'fittingly'--suitably</t>
  </si>
  <si>
    <t>FITNESS</t>
  </si>
  <si>
    <t>FIVE</t>
  </si>
  <si>
    <t>| noun-adj: The cardinal number</t>
  </si>
  <si>
    <t>FIX#1</t>
  </si>
  <si>
    <t>| 65% verb: To repair, mend, prepare, arrange; influence a result or action  to one's advantage (0); get even with (0)</t>
  </si>
  <si>
    <t>FIX#2</t>
  </si>
  <si>
    <t>| 14% idiom-verb: "Fixing to"--planning or preparing to do something</t>
  </si>
  <si>
    <t>FIX#3</t>
  </si>
  <si>
    <t>| 9% verb: To attach firmly, make rigid</t>
  </si>
  <si>
    <t>FIX#4</t>
  </si>
  <si>
    <t>| 2% verb: To establish, set, e.g. "they fixed the day"</t>
  </si>
  <si>
    <t>FIX#5</t>
  </si>
  <si>
    <t>| 3% noun: "A fix"--a predicament</t>
  </si>
  <si>
    <t>FIX#6</t>
  </si>
  <si>
    <t>| 6% adj: "Fixed"--determined, unmoving</t>
  </si>
  <si>
    <t>FIX#7</t>
  </si>
  <si>
    <t>| 2% idiom-verb: "Fix . . . eye(s) on"--keep track of, observe--handled by "eye"</t>
  </si>
  <si>
    <t>FIXATE</t>
  </si>
  <si>
    <t>FLAG</t>
  </si>
  <si>
    <t>FLAGRANT</t>
  </si>
  <si>
    <t>FLAIR</t>
  </si>
  <si>
    <t>FLAME</t>
  </si>
  <si>
    <t>FLASH#1</t>
  </si>
  <si>
    <t>FLASH#2</t>
  </si>
  <si>
    <t>FLASHLIGHT</t>
  </si>
  <si>
    <t>FLASHY</t>
  </si>
  <si>
    <t>FLAT</t>
  </si>
  <si>
    <t>FLATNESS</t>
  </si>
  <si>
    <t>FLATTER</t>
  </si>
  <si>
    <t>FLATTERY</t>
  </si>
  <si>
    <t>FLAUNT</t>
  </si>
  <si>
    <t>FLAVOR#1</t>
  </si>
  <si>
    <t>FLAVOR#2</t>
  </si>
  <si>
    <t>FLAVOUR#1</t>
  </si>
  <si>
    <t>FLAW</t>
  </si>
  <si>
    <t>FLAWLESS</t>
  </si>
  <si>
    <t>FLED</t>
  </si>
  <si>
    <t>| verb: To have run or passed away quickly</t>
  </si>
  <si>
    <t>FLEE</t>
  </si>
  <si>
    <t>FLEET</t>
  </si>
  <si>
    <t>FLEETING</t>
  </si>
  <si>
    <t>FLESH</t>
  </si>
  <si>
    <t>FLEW</t>
  </si>
  <si>
    <t>| verb: Moved swiftly, usually through the air (past tense of fly)</t>
  </si>
  <si>
    <t>FLEXIBLE</t>
  </si>
  <si>
    <t>FLIGHT</t>
  </si>
  <si>
    <t>FLIMSY</t>
  </si>
  <si>
    <t>FLINT</t>
  </si>
  <si>
    <t>FLIRT</t>
  </si>
  <si>
    <t>FLOAT</t>
  </si>
  <si>
    <t>FLOOD#1</t>
  </si>
  <si>
    <t>FLOOD#2</t>
  </si>
  <si>
    <t>FLOOR#1</t>
  </si>
  <si>
    <t>| 84% noun: The lowest surface of a room</t>
  </si>
  <si>
    <t>FLOOR#2</t>
  </si>
  <si>
    <t>| 11% noun: A story of a building</t>
  </si>
  <si>
    <t>FLOOR#3</t>
  </si>
  <si>
    <t>| 3% noun: 'have the floor'--the right to speak</t>
  </si>
  <si>
    <t>FLOOR#4</t>
  </si>
  <si>
    <t>| 0% noun: 'flooring'--material used in floors</t>
  </si>
  <si>
    <t>FLOOR#5</t>
  </si>
  <si>
    <t>| 2% verb: To provide with a floor; to knock to the floor (0)</t>
  </si>
  <si>
    <t>FLORIDA</t>
  </si>
  <si>
    <t>FLOUNDER</t>
  </si>
  <si>
    <t>FLOURISH</t>
  </si>
  <si>
    <t>FLOW#1</t>
  </si>
  <si>
    <t>| 53% noun: Anything that moves as a liquid, the act or manner of flowing</t>
  </si>
  <si>
    <t>FLOW#2</t>
  </si>
  <si>
    <t>| 47% verb: To move as a liquid</t>
  </si>
  <si>
    <t>FLOW#3</t>
  </si>
  <si>
    <t>| 0% noun-adj: "Flowing"--moving as a liquid</t>
  </si>
  <si>
    <t>FLOWER#1</t>
  </si>
  <si>
    <t>| noun-adj: Blossom, blossoming plant</t>
  </si>
  <si>
    <t>FLOWER#2</t>
  </si>
  <si>
    <t>| 0% verb: To bloom</t>
  </si>
  <si>
    <t>FLOWER#3</t>
  </si>
  <si>
    <t>| 0% adj: "Flowered"--bearing, containing or decorated with flowers</t>
  </si>
  <si>
    <t>FLOWER#4</t>
  </si>
  <si>
    <t>| 0% noun-adj: "Flowering"--blooming</t>
  </si>
  <si>
    <t>FLOWN</t>
  </si>
  <si>
    <t>FLU</t>
  </si>
  <si>
    <t>FLUCTUATE</t>
  </si>
  <si>
    <t>FLUENT</t>
  </si>
  <si>
    <t>FLUID</t>
  </si>
  <si>
    <t>FLUNG</t>
  </si>
  <si>
    <t>FLUX</t>
  </si>
  <si>
    <t>FLY#1</t>
  </si>
  <si>
    <t>| 29% noun-adj: A winged insect</t>
  </si>
  <si>
    <t>FLY#2</t>
  </si>
  <si>
    <t>| 62% verb: To move swiftly, usually through the air</t>
  </si>
  <si>
    <t>FLY#3</t>
  </si>
  <si>
    <t>| 2% noun: The flap of trousers</t>
  </si>
  <si>
    <t>FLY#4</t>
  </si>
  <si>
    <t>| 6% noun-adj: "Flying," airborne, pertaining to aviation</t>
  </si>
  <si>
    <t>FLYER</t>
  </si>
  <si>
    <t>FOAM#1</t>
  </si>
  <si>
    <t>FOAM#2</t>
  </si>
  <si>
    <t>FOCAL</t>
  </si>
  <si>
    <t>FOCUS#1</t>
  </si>
  <si>
    <t>FOCUS#2</t>
  </si>
  <si>
    <t>FOE</t>
  </si>
  <si>
    <t>FOG</t>
  </si>
  <si>
    <t>FOGGY</t>
  </si>
  <si>
    <t>FOIBLE</t>
  </si>
  <si>
    <t>FOLD</t>
  </si>
  <si>
    <t>FOLDER</t>
  </si>
  <si>
    <t>FOLK#1</t>
  </si>
  <si>
    <t>| 67% noun: People in general or people as a representation of a culture  esp. the composite of social mores, customs</t>
  </si>
  <si>
    <t>FOLK#2</t>
  </si>
  <si>
    <t>| 19% adjective: Originating among the common people</t>
  </si>
  <si>
    <t>FOLK#3</t>
  </si>
  <si>
    <t>| 15% noun: Kin or relatives</t>
  </si>
  <si>
    <t>FOLKLORE</t>
  </si>
  <si>
    <t>FOLKSY</t>
  </si>
  <si>
    <t>FOLKTALES</t>
  </si>
  <si>
    <t>FOLLOW#1</t>
  </si>
  <si>
    <t>| 42% verb: To give allegiance to, obey, act in accordance with, "i wish  he would follow my advice," infrequently, understand--"i didn't follow  your argument"</t>
  </si>
  <si>
    <t>FOLLOW#2</t>
  </si>
  <si>
    <t>| 22% verb: To come after in sequence or time, succeed</t>
  </si>
  <si>
    <t>FOLLOW#3</t>
  </si>
  <si>
    <t>| 11% adj-noun: "Following"--that which comes immediately after or next  in order or time, ensuing</t>
  </si>
  <si>
    <t>FOLLOW#4</t>
  </si>
  <si>
    <t>| 2% idiom-verb: "Follow through (up)"--to proceed in an endeavor and pursue  it to a solution or conclusion</t>
  </si>
  <si>
    <t>FOLLOW#5</t>
  </si>
  <si>
    <t>| 1% verb: To result as a logical or necessary consequence--e.g. "it follows  that . . . "</t>
  </si>
  <si>
    <t>FOLLOW#6</t>
  </si>
  <si>
    <t>| 0% noun: "Following"--a group of followers</t>
  </si>
  <si>
    <t>FOLLOW#7</t>
  </si>
  <si>
    <t>| 21% verb: To move behind in the same direction--"i followed him to the  station"; to pursue, trail, track (infrequent)</t>
  </si>
  <si>
    <t>FOLLOWER</t>
  </si>
  <si>
    <t>FOND#1</t>
  </si>
  <si>
    <t>| 5% adj: Enamored of</t>
  </si>
  <si>
    <t>FOND#2</t>
  </si>
  <si>
    <t>| 90% adj: Affectionate, cherished</t>
  </si>
  <si>
    <t>FOND#3</t>
  </si>
  <si>
    <t>| 5% adv: 'fondly'--with affection</t>
  </si>
  <si>
    <t>FOND#4</t>
  </si>
  <si>
    <t>| 0% adj: 'fonder'--more enamored of</t>
  </si>
  <si>
    <t>FOND#5</t>
  </si>
  <si>
    <t>| 0% adj: 'fonder'--more affectionate, cherished</t>
  </si>
  <si>
    <t>FOND#6</t>
  </si>
  <si>
    <t>| 0% adj: 'fondest'--most enamored of</t>
  </si>
  <si>
    <t>FOND#7</t>
  </si>
  <si>
    <t>| 0% adj: 'fondest'--most affectionate, cherished</t>
  </si>
  <si>
    <t>FONDNESS</t>
  </si>
  <si>
    <t>FOOD</t>
  </si>
  <si>
    <t>| noun: Aliment</t>
  </si>
  <si>
    <t>FOOL#1</t>
  </si>
  <si>
    <t>| 48% noun: Simpleton</t>
  </si>
  <si>
    <t>FOOL#2</t>
  </si>
  <si>
    <t>| 37% verb: To deceive or joke with</t>
  </si>
  <si>
    <t>FOOL#3</t>
  </si>
  <si>
    <t>| 15% verb: 'fool around,' 'fool with'--to trifle, to have fun</t>
  </si>
  <si>
    <t>FOOLISH</t>
  </si>
  <si>
    <t>| adj: Imprudent, ridiculous</t>
  </si>
  <si>
    <t>FOOLISHNESS</t>
  </si>
  <si>
    <t>FOOT#1</t>
  </si>
  <si>
    <t>| 57% noun: Terminal part of leg</t>
  </si>
  <si>
    <t>FOOT#2</t>
  </si>
  <si>
    <t>| 7% noun: Measure of distance--12 inches</t>
  </si>
  <si>
    <t>FOOT#3</t>
  </si>
  <si>
    <t>| 18% noun: The base of something--that part analogous to the human foot</t>
  </si>
  <si>
    <t>FOOT#4</t>
  </si>
  <si>
    <t>| 6% idiom: 'on foot'--walking</t>
  </si>
  <si>
    <t>FOOT#5</t>
  </si>
  <si>
    <t>| 1% noun: "Footing"--position, standing</t>
  </si>
  <si>
    <t>FOOTBALL</t>
  </si>
  <si>
    <t>FOR</t>
  </si>
  <si>
    <t>| prep-conj: Indicates substitution, representation, purpose, correspondence,  length or duration</t>
  </si>
  <si>
    <t>FORBID</t>
  </si>
  <si>
    <t>FORBIDDEN</t>
  </si>
  <si>
    <t>FORCE#1</t>
  </si>
  <si>
    <t>| 29% noun: Strength, power, energy, a specific power or drive</t>
  </si>
  <si>
    <t>FORCE#2</t>
  </si>
  <si>
    <t>| 24% noun: A body of men, usually military, "the armed forces"</t>
  </si>
  <si>
    <t>FORCE#3</t>
  </si>
  <si>
    <t>| 39% verb: To compel, impose, overcome the resistance of</t>
  </si>
  <si>
    <t>FORCE#4</t>
  </si>
  <si>
    <t>| 1% idiom-adv: "In force"--in operation, effective, enforced</t>
  </si>
  <si>
    <t>FORCE#5</t>
  </si>
  <si>
    <t>| 3% idiom-adv: "By force"--using physical force, generally against another's will</t>
  </si>
  <si>
    <t>FORCE#6</t>
  </si>
  <si>
    <t>| 4% adj: "Forced"--compulsory, constrained</t>
  </si>
  <si>
    <t>FORCEFUL</t>
  </si>
  <si>
    <t>FOREBODING</t>
  </si>
  <si>
    <t>FORECAST#1</t>
  </si>
  <si>
    <t>FORECAST#2</t>
  </si>
  <si>
    <t>FOREGOING</t>
  </si>
  <si>
    <t>FOREHEAD</t>
  </si>
  <si>
    <t>FOREIGN#1</t>
  </si>
  <si>
    <t>| adjective: Not native, concerning other countries and peoples, 'foreign  policy', 'foreign aid'.</t>
  </si>
  <si>
    <t>FOREIGN#2</t>
  </si>
  <si>
    <t>| 1% adjective: Strange, unknown, alien, hostile, or irrelevant to a person  or matter.</t>
  </si>
  <si>
    <t>FOREMOST</t>
  </si>
  <si>
    <t>FORERUNNER</t>
  </si>
  <si>
    <t>FORESEE</t>
  </si>
  <si>
    <t>FORESEEABLE</t>
  </si>
  <si>
    <t>FORESIGHT</t>
  </si>
  <si>
    <t>FOREST</t>
  </si>
  <si>
    <t>| noun-adj: Woodland</t>
  </si>
  <si>
    <t>FORESTRY</t>
  </si>
  <si>
    <t>FOREVER</t>
  </si>
  <si>
    <t>FORFEIT</t>
  </si>
  <si>
    <t>FORGAVE</t>
  </si>
  <si>
    <t>FORGET</t>
  </si>
  <si>
    <t>| verb: To fail to remember, lose memory of</t>
  </si>
  <si>
    <t>FORGETFULNESS</t>
  </si>
  <si>
    <t>FORGIVE</t>
  </si>
  <si>
    <t>FORGIVEN</t>
  </si>
  <si>
    <t>FORGIVENESS</t>
  </si>
  <si>
    <t>FORGOT</t>
  </si>
  <si>
    <t>FORGOTTEN#1</t>
  </si>
  <si>
    <t>FORGOTTEN#2</t>
  </si>
  <si>
    <t>FORK</t>
  </si>
  <si>
    <t>FORLORN</t>
  </si>
  <si>
    <t>FORM#1</t>
  </si>
  <si>
    <t>| 62% noun: Shape, type, manner, document to be filled in (3)</t>
  </si>
  <si>
    <t>FORM#2</t>
  </si>
  <si>
    <t>| 31% verb: To constitute or bring into existence</t>
  </si>
  <si>
    <t>FORM#3</t>
  </si>
  <si>
    <t>| 6% noun: Grade in british secondary school</t>
  </si>
  <si>
    <t>FORMAL</t>
  </si>
  <si>
    <t>FORMALITY</t>
  </si>
  <si>
    <t>FORMATION</t>
  </si>
  <si>
    <t>FORMER#1</t>
  </si>
  <si>
    <t>| 76% adj: Previous</t>
  </si>
  <si>
    <t>FORMER#2</t>
  </si>
  <si>
    <t>| 8% noun: The first of two mentioned</t>
  </si>
  <si>
    <t>FORMER#3</t>
  </si>
  <si>
    <t>| 16% adv: "Formerly"--previously</t>
  </si>
  <si>
    <t>FORMIDABLE</t>
  </si>
  <si>
    <t>FORMULA</t>
  </si>
  <si>
    <t>FORMULATE#1</t>
  </si>
  <si>
    <t>FORMULATE#2</t>
  </si>
  <si>
    <t>FORSAKE</t>
  </si>
  <si>
    <t>FORT</t>
  </si>
  <si>
    <t>FORTH#1</t>
  </si>
  <si>
    <t>| 61% adv: Forward in place, time, degree</t>
  </si>
  <si>
    <t>FORTH#2</t>
  </si>
  <si>
    <t>| 17% idiom-adv: "Back and forth"--from one direction to another and back</t>
  </si>
  <si>
    <t>FORTH#3</t>
  </si>
  <si>
    <t>| 22% idiom: "And so forth"--and continuing in the same manner</t>
  </si>
  <si>
    <t>FORTHCOMING</t>
  </si>
  <si>
    <t>FORTHWITH</t>
  </si>
  <si>
    <t>FORTIFICATION</t>
  </si>
  <si>
    <t>FORTIFY</t>
  </si>
  <si>
    <t>FORTITUDE</t>
  </si>
  <si>
    <t>FORTUNATE</t>
  </si>
  <si>
    <t>| adj: Lucky, well-fated</t>
  </si>
  <si>
    <t>FORTUNE#1</t>
  </si>
  <si>
    <t>| 55% noun: Fate, chance, luck, success</t>
  </si>
  <si>
    <t>FORTUNE#2</t>
  </si>
  <si>
    <t>| 35% noun: Wealth, accumulated riches</t>
  </si>
  <si>
    <t>FORTUNE#3</t>
  </si>
  <si>
    <t>| 10% idiom-noun: "Soldier of fortune"--explorer of fate, a vagabond</t>
  </si>
  <si>
    <t>FORTY</t>
  </si>
  <si>
    <t>FORUM</t>
  </si>
  <si>
    <t>FORWARD#1</t>
  </si>
  <si>
    <t>| 62% adv: Toward or at a place, point, or time in advance, ahead, onward</t>
  </si>
  <si>
    <t>FORWARD#2</t>
  </si>
  <si>
    <t>| 35% idiom-verb: 'look forward (to)'--to anticipate with pleasure--(handled  by 'look')</t>
  </si>
  <si>
    <t>FORWARD#3</t>
  </si>
  <si>
    <t>| 3% verb: Send forward</t>
  </si>
  <si>
    <t>FORWARDNESS</t>
  </si>
  <si>
    <t>FOSSILIZE</t>
  </si>
  <si>
    <t>FOSTER</t>
  </si>
  <si>
    <t>FOUGHT</t>
  </si>
  <si>
    <t>| verb: Past tense of "fight"--engaged in conflict</t>
  </si>
  <si>
    <t>FOUND#1</t>
  </si>
  <si>
    <t>| 96% verb: Located, discovered, learned, adjudged, encountered, past tense of "find"</t>
  </si>
  <si>
    <t>FOUND#2</t>
  </si>
  <si>
    <t>| 3% verb: To establish, set up--'found a college'</t>
  </si>
  <si>
    <t>FOUND#3</t>
  </si>
  <si>
    <t>| 1% noun-adj: "Founding"--establishing</t>
  </si>
  <si>
    <t>FOUNDATION</t>
  </si>
  <si>
    <t>FOUNDER#1</t>
  </si>
  <si>
    <t>FOUNDER#2</t>
  </si>
  <si>
    <t>FOUR</t>
  </si>
  <si>
    <t>FOURTEEN</t>
  </si>
  <si>
    <t>FOURTH#1</t>
  </si>
  <si>
    <t>FOX#1</t>
  </si>
  <si>
    <t>| 98% noun-adj: A sly member of the dog family</t>
  </si>
  <si>
    <t>FOX#2</t>
  </si>
  <si>
    <t>| 2% noun: A sly or clever person</t>
  </si>
  <si>
    <t>FRACTION</t>
  </si>
  <si>
    <t>FRACTURE</t>
  </si>
  <si>
    <t>FRAGILE</t>
  </si>
  <si>
    <t>FRAGRANT</t>
  </si>
  <si>
    <t>FRAIL</t>
  </si>
  <si>
    <t>FRAME#1</t>
  </si>
  <si>
    <t>FRAME#2</t>
  </si>
  <si>
    <t>FRAMEWORK</t>
  </si>
  <si>
    <t>FRANCE</t>
  </si>
  <si>
    <t>FRANCHISE</t>
  </si>
  <si>
    <t>FRANCISCO</t>
  </si>
  <si>
    <t>FRANK</t>
  </si>
  <si>
    <t>FRANTIC</t>
  </si>
  <si>
    <t>FRANTICALLY</t>
  </si>
  <si>
    <t>FRATERNAL</t>
  </si>
  <si>
    <t>FRATERNITY</t>
  </si>
  <si>
    <t>FRAUD</t>
  </si>
  <si>
    <t>FRAUDULENT</t>
  </si>
  <si>
    <t>FRAUGHT</t>
  </si>
  <si>
    <t>FREAK</t>
  </si>
  <si>
    <t>FREE#1</t>
  </si>
  <si>
    <t>| 81% adjective: Exempt from external authority, interference, restriction,  etc., unimpeded, unoccupied; provided without a charge or payment (4)</t>
  </si>
  <si>
    <t>FREE#2</t>
  </si>
  <si>
    <t>| 5% verb: To make free, set at liberty, release from bondage, restraint</t>
  </si>
  <si>
    <t>FREE#3</t>
  </si>
  <si>
    <t>| 10% adverb: "Freely"--in a free manner, openly</t>
  </si>
  <si>
    <t>FREE#4</t>
  </si>
  <si>
    <t>| 4% adjective: "Freer"--(comparative of sense 1)</t>
  </si>
  <si>
    <t>FREE#5</t>
  </si>
  <si>
    <t>| 0% adj: "Freest"--superlative of sense 1</t>
  </si>
  <si>
    <t>FREEDOM</t>
  </si>
  <si>
    <t>Noun Str</t>
  </si>
  <si>
    <t>| noun-adj: Absence of restraint, whether external--civic--or internal--  psychological</t>
  </si>
  <si>
    <t>FREEZE</t>
  </si>
  <si>
    <t>FREIGHT</t>
  </si>
  <si>
    <t>FRENCH</t>
  </si>
  <si>
    <t>FREQUENCY</t>
  </si>
  <si>
    <t>FREQUENT#1</t>
  </si>
  <si>
    <t>| 45% adj: Occurring often, habitual</t>
  </si>
  <si>
    <t>FREQUENT#2</t>
  </si>
  <si>
    <t>| 55% adv: 'frequently'--often</t>
  </si>
  <si>
    <t>FREQUENT#3</t>
  </si>
  <si>
    <t>| 0% verb: To go to habitually</t>
  </si>
  <si>
    <t>FRESH</t>
  </si>
  <si>
    <t>FRESHMAN</t>
  </si>
  <si>
    <t>FRESHMEN</t>
  </si>
  <si>
    <t>FRET</t>
  </si>
  <si>
    <t>FRETFUL</t>
  </si>
  <si>
    <t>FRICTION</t>
  </si>
  <si>
    <t>FRIDAY</t>
  </si>
  <si>
    <t>FRIEND</t>
  </si>
  <si>
    <t>| noun: Person attached to another by feelings of affection or personal regard</t>
  </si>
  <si>
    <t>FRIENDLINESS</t>
  </si>
  <si>
    <t>FRIENDLY</t>
  </si>
  <si>
    <t>| adjective: Kind, helpful, amicable</t>
  </si>
  <si>
    <t>FRIENDSHIP</t>
  </si>
  <si>
    <t>| noun: A friendly relation</t>
  </si>
  <si>
    <t>FRIGHT</t>
  </si>
  <si>
    <t>FRIGHTEN#1</t>
  </si>
  <si>
    <t>| 19% verb: To scare</t>
  </si>
  <si>
    <t>FRIGHTEN#2</t>
  </si>
  <si>
    <t>| 62% adjective: "Frightened"--scared, afraid</t>
  </si>
  <si>
    <t>FRIGHTEN#3</t>
  </si>
  <si>
    <t>| 19% adjective: "Frightening"--scary, terrifying</t>
  </si>
  <si>
    <t>FRIGHTFUL</t>
  </si>
  <si>
    <t>FRIGID</t>
  </si>
  <si>
    <t>FRINGE</t>
  </si>
  <si>
    <t>FRIVOLOUS</t>
  </si>
  <si>
    <t>FROG</t>
  </si>
  <si>
    <t>| noun-adj: A small, leaping amphibian</t>
  </si>
  <si>
    <t>FROLIC</t>
  </si>
  <si>
    <t>FROM</t>
  </si>
  <si>
    <t>| preposition: Used to express a starting point--removal or separation in  space, time, etc.--to indicate source or origin, cause or reason</t>
  </si>
  <si>
    <t>FRONT#1</t>
  </si>
  <si>
    <t>| 24% noun: The forward portion of something; specifically, the lines of battle (2)</t>
  </si>
  <si>
    <t>FRONT#2</t>
  </si>
  <si>
    <t>| 26% adj: Forward, at the front</t>
  </si>
  <si>
    <t>FRONT#3</t>
  </si>
  <si>
    <t>| 4% noun: A facade</t>
  </si>
  <si>
    <t>FRONT#4</t>
  </si>
  <si>
    <t>| 46% prep-adv: "In front (of)"--before, ahead (of)</t>
  </si>
  <si>
    <t>FRONTIER</t>
  </si>
  <si>
    <t>FROWN#1</t>
  </si>
  <si>
    <t>FROWN#2</t>
  </si>
  <si>
    <t>FROZEN</t>
  </si>
  <si>
    <t>FRUGAL</t>
  </si>
  <si>
    <t>FRUGALITY</t>
  </si>
  <si>
    <t>FRUIT</t>
  </si>
  <si>
    <t>| noun-adj.: Anything produced or accruing, effect, result or product--  usually with reference to vegetable gro</t>
  </si>
  <si>
    <t>FRUITFUL</t>
  </si>
  <si>
    <t>FRUITION</t>
  </si>
  <si>
    <t>FRUITLESS</t>
  </si>
  <si>
    <t>FRUSTRATE#1</t>
  </si>
  <si>
    <t>| 20% verb: To thwart</t>
  </si>
  <si>
    <t>FRUSTRATE#2</t>
  </si>
  <si>
    <t>| 43% adj: "Frustrated"--vexed, unsatisfied, thwarted</t>
  </si>
  <si>
    <t>FRUSTRATE#3</t>
  </si>
  <si>
    <t>| 37% adj: "Frustrating"--unsatisfying, tending to thwart</t>
  </si>
  <si>
    <t>FRUSTRATION</t>
  </si>
  <si>
    <t>| noun-adj: A condition producing or resulting from thwarted desires or plans</t>
  </si>
  <si>
    <t>FRY#1</t>
  </si>
  <si>
    <t>FRY#2</t>
  </si>
  <si>
    <t>FUCK</t>
  </si>
  <si>
    <t>FUEL</t>
  </si>
  <si>
    <t>FUGITIVE</t>
  </si>
  <si>
    <t>FULFIL#1</t>
  </si>
  <si>
    <t>FULFILL</t>
  </si>
  <si>
    <t>FULFILLMENT</t>
  </si>
  <si>
    <t>FULFILMENT#1</t>
  </si>
  <si>
    <t>FULL#1</t>
  </si>
  <si>
    <t>| 80% adjective: Complete or filled to capacity</t>
  </si>
  <si>
    <t>FULL#2</t>
  </si>
  <si>
    <t>| 2% adjective: "Fuller"--comparative</t>
  </si>
  <si>
    <t>FULL#3</t>
  </si>
  <si>
    <t>| 2% adjective: "Fullest"--superlative</t>
  </si>
  <si>
    <t>FULL#4</t>
  </si>
  <si>
    <t>| 14% adverb: "Fully"</t>
  </si>
  <si>
    <t>FULL#5</t>
  </si>
  <si>
    <t>FULL-TIME</t>
  </si>
  <si>
    <t>FULLEST</t>
  </si>
  <si>
    <t>FULLNESS</t>
  </si>
  <si>
    <t>FUMBLE</t>
  </si>
  <si>
    <t>FUME#1</t>
  </si>
  <si>
    <t>FUME#2</t>
  </si>
  <si>
    <t>FUN#1</t>
  </si>
  <si>
    <t>| 97% noun-adj: Enjoyment, enjoyable</t>
  </si>
  <si>
    <t>FUN#2</t>
  </si>
  <si>
    <t>| 3% idiom-verb: "Make fun (of)"--to tease, parody</t>
  </si>
  <si>
    <t>FUNCTION#1</t>
  </si>
  <si>
    <t>| 48% verb: To perform, act, serve, operate</t>
  </si>
  <si>
    <t>FUNCTION#2</t>
  </si>
  <si>
    <t>| 41% noun: Action, performance, or operation done commonly by a person,  thing, or institution; a mathematical relation (0)</t>
  </si>
  <si>
    <t>FUNCTION#3</t>
  </si>
  <si>
    <t>| 7% noun: Any social or public gathering or occasion</t>
  </si>
  <si>
    <t>FUNCTION#4</t>
  </si>
  <si>
    <t>| 3% noun-adj: "Functioning"--operation, operating</t>
  </si>
  <si>
    <t>FUNCTIONAL</t>
  </si>
  <si>
    <t>FUND#1</t>
  </si>
  <si>
    <t>| 66% noun-adj: A sum of money, usually earmarked</t>
  </si>
  <si>
    <t>FUND#2</t>
  </si>
  <si>
    <t>| 0% noun-adj: A supply or store of</t>
  </si>
  <si>
    <t>FUND#3</t>
  </si>
  <si>
    <t>| 34% idiom-noun: "Trust fund"--handled by "trust"</t>
  </si>
  <si>
    <t>FUNDAMENTAL</t>
  </si>
  <si>
    <t>FUNERAL</t>
  </si>
  <si>
    <t>FUNNY#1</t>
  </si>
  <si>
    <t>| 92% adj: Laughable, amusing, queer</t>
  </si>
  <si>
    <t>FUNNY#2</t>
  </si>
  <si>
    <t>| 4% adj: Comparative--'funnier'</t>
  </si>
  <si>
    <t>FUNNY#3</t>
  </si>
  <si>
    <t>| 4% adj: Superlative--'funniest'</t>
  </si>
  <si>
    <t>FUR</t>
  </si>
  <si>
    <t>FURIOUS</t>
  </si>
  <si>
    <t>FURNACE</t>
  </si>
  <si>
    <t>FURNISH</t>
  </si>
  <si>
    <t>FURNITURE</t>
  </si>
  <si>
    <t>FURTHER#1</t>
  </si>
  <si>
    <t>| 57% adj-adv: Additional, more, more extended; additionally, in addition</t>
  </si>
  <si>
    <t>FURTHER#2</t>
  </si>
  <si>
    <t>| 30% adverb: Farther, i.e., more distant</t>
  </si>
  <si>
    <t>FURTHER#3</t>
  </si>
  <si>
    <t>| 12% verb: To extend, increase, promote</t>
  </si>
  <si>
    <t>FURTHER#4</t>
  </si>
  <si>
    <t>| 1% interj-adv: Furthermore</t>
  </si>
  <si>
    <t>FURTHERMORE</t>
  </si>
  <si>
    <t>FURY</t>
  </si>
  <si>
    <t>FUSS</t>
  </si>
  <si>
    <t>FUSSY</t>
  </si>
  <si>
    <t>FUTILE</t>
  </si>
  <si>
    <t>FUTILITY</t>
  </si>
  <si>
    <t>FUTURE</t>
  </si>
  <si>
    <t>| noun adjective: Time yet to come; pertaining to it</t>
  </si>
  <si>
    <t>FUZZY</t>
  </si>
  <si>
    <t>GABON</t>
  </si>
  <si>
    <t>GAIETY</t>
  </si>
  <si>
    <t>GAILY</t>
  </si>
  <si>
    <t>GAIN#1</t>
  </si>
  <si>
    <t>| 83% verb: To get, obtain, win</t>
  </si>
  <si>
    <t>GAIN#2</t>
  </si>
  <si>
    <t>| 17% noun: Profit, advantage, progress</t>
  </si>
  <si>
    <t>GAINER</t>
  </si>
  <si>
    <t>GAIT</t>
  </si>
  <si>
    <t>GALL</t>
  </si>
  <si>
    <t>GALLANT</t>
  </si>
  <si>
    <t>GALLANTRY</t>
  </si>
  <si>
    <t>GALLERY</t>
  </si>
  <si>
    <t>GALLEY</t>
  </si>
  <si>
    <t>GALLON</t>
  </si>
  <si>
    <t>GAMBIA</t>
  </si>
  <si>
    <t>GAMBLE#1</t>
  </si>
  <si>
    <t>GAMBLE#2</t>
  </si>
  <si>
    <t>GAME#1</t>
  </si>
  <si>
    <t>| 75% noun: An amusement or competitive activity played by various persons  according to a set of rules</t>
  </si>
  <si>
    <t>GAME#2</t>
  </si>
  <si>
    <t>| 23% noun: Wild animals which are hunted for sport or profit</t>
  </si>
  <si>
    <t>GAME#3</t>
  </si>
  <si>
    <t>| 1% adjective: "Game"--spirited, courageous</t>
  </si>
  <si>
    <t>GAME#4</t>
  </si>
  <si>
    <t>| 1% idiom-verb: "Throw the game"--to arrange to lose--handled by "throw"</t>
  </si>
  <si>
    <t>GANG</t>
  </si>
  <si>
    <t>GAPE</t>
  </si>
  <si>
    <t>GARAGE</t>
  </si>
  <si>
    <t>GARDEN#1</t>
  </si>
  <si>
    <t>| noun-adj: Small plot of land where plants, especially flowers, are grown.</t>
  </si>
  <si>
    <t>GARDEN#2</t>
  </si>
  <si>
    <t>| 0% noun: "Gardening"--cultivation of plants in small plots</t>
  </si>
  <si>
    <t>GARDENER</t>
  </si>
  <si>
    <t>GARMENT</t>
  </si>
  <si>
    <t>GARNISH</t>
  </si>
  <si>
    <t>GARRISON</t>
  </si>
  <si>
    <t>GAS#1</t>
  </si>
  <si>
    <t>GAS#2</t>
  </si>
  <si>
    <t>GASH</t>
  </si>
  <si>
    <t>GASKET</t>
  </si>
  <si>
    <t>GASOLINE</t>
  </si>
  <si>
    <t>GASP#1</t>
  </si>
  <si>
    <t>GASP#2</t>
  </si>
  <si>
    <t>GATE</t>
  </si>
  <si>
    <t>GATHER#1</t>
  </si>
  <si>
    <t>| 89% verb: To collect into a group.</t>
  </si>
  <si>
    <t>GATHER#2</t>
  </si>
  <si>
    <t>| 11% noun-adj: A group or collection of things or individuals--'gathering'</t>
  </si>
  <si>
    <t>GAUDY</t>
  </si>
  <si>
    <t>GAUGE#1</t>
  </si>
  <si>
    <t>GAUGE#2</t>
  </si>
  <si>
    <t>GAVE#1</t>
  </si>
  <si>
    <t>GAY</t>
  </si>
  <si>
    <t>GAZE#1</t>
  </si>
  <si>
    <t>GAZE#2</t>
  </si>
  <si>
    <t>GAZETTE</t>
  </si>
  <si>
    <t>GEAR</t>
  </si>
  <si>
    <t>GENERAL#1</t>
  </si>
  <si>
    <t>| 43% adjective: Not limited to one, miscellaneous, not specific or definite--  dealing with all or the overall, universal aspects of the subject</t>
  </si>
  <si>
    <t>GENERAL#2</t>
  </si>
  <si>
    <t>| 48% adv: "Generally, in general"--as a rule, usually, commonly</t>
  </si>
  <si>
    <t>GENERAL#3</t>
  </si>
  <si>
    <t>| 10% noun: A very high military rank--having extended command or superior  rank (e.g. general chairman)</t>
  </si>
  <si>
    <t>GENERALISE#1</t>
  </si>
  <si>
    <t>GENERALITY</t>
  </si>
  <si>
    <t>GENERALIZATION</t>
  </si>
  <si>
    <t>GENERALIZE</t>
  </si>
  <si>
    <t>GENERATE</t>
  </si>
  <si>
    <t>GENERATION</t>
  </si>
  <si>
    <t>| noun: A set of people of the same general age group or the period of time  identified with a generation of men</t>
  </si>
  <si>
    <t>GENEROSITY</t>
  </si>
  <si>
    <t>GENEROUS</t>
  </si>
  <si>
    <t>GENETIC</t>
  </si>
  <si>
    <t>GENEVA</t>
  </si>
  <si>
    <t>Noun POLIT PLACE</t>
  </si>
  <si>
    <t>GENIAL</t>
  </si>
  <si>
    <t>GENIUS</t>
  </si>
  <si>
    <t>GENTLE</t>
  </si>
  <si>
    <t>GENTLEMAN</t>
  </si>
  <si>
    <t>| noun-adj: A man, especially one of good breeding or manners</t>
  </si>
  <si>
    <t>GENTLEMEN</t>
  </si>
  <si>
    <t>GENUINE</t>
  </si>
  <si>
    <t>GEOGRAPGHY</t>
  </si>
  <si>
    <t>GEOGRAPHIC</t>
  </si>
  <si>
    <t>GEOGRAPHICAL</t>
  </si>
  <si>
    <t>GEOMETRY</t>
  </si>
  <si>
    <t>GEORGIA</t>
  </si>
  <si>
    <t>GERM</t>
  </si>
  <si>
    <t>GERMAN</t>
  </si>
  <si>
    <t>GERMANY</t>
  </si>
  <si>
    <t>GESTURE#1</t>
  </si>
  <si>
    <t>GESTURE#2</t>
  </si>
  <si>
    <t>GET#1</t>
  </si>
  <si>
    <t xml:space="preserve">| 29% verb: To have or gain possession or control of something--to obtain,  fetch, receive, acquire--includes use in past tense meaning "have"--"she's  got brown hair"; understand </t>
  </si>
  <si>
    <t>GET#2</t>
  </si>
  <si>
    <t>| 58% verb: Become, move, cause to occur or be, have happen--"he'll get  better," "we finally got home," "get it done," "you'll get to do it"</t>
  </si>
  <si>
    <t>GET#3</t>
  </si>
  <si>
    <t>| 0% idiom-modal: "(have) got to"--must</t>
  </si>
  <si>
    <t>GET#4</t>
  </si>
  <si>
    <t>| 1% idiom-verb: "Get over"--recover from</t>
  </si>
  <si>
    <t>GET#5</t>
  </si>
  <si>
    <t>| 1% idiom-verb: "Get rid of"--get free from, destroy</t>
  </si>
  <si>
    <t>GET#6</t>
  </si>
  <si>
    <t>| 0% idiom-verb: "Get around to"--eventually consider or act on</t>
  </si>
  <si>
    <t>GET#7</t>
  </si>
  <si>
    <t>| 3% idiom-verb: "Get away"--avoid, escape--handled by "away"</t>
  </si>
  <si>
    <t>GET#8</t>
  </si>
  <si>
    <t>| 2% idiom-verb: "Get even"--have one's revenge--handled by "even"</t>
  </si>
  <si>
    <t>GET#9</t>
  </si>
  <si>
    <t>| 3% idiom-verb: "Get along"--co-exist or exist in harmony and comfort--handled  by "along"</t>
  </si>
  <si>
    <t>GET#_10</t>
  </si>
  <si>
    <t>| 0% idiom-verb: "Get down to business"--handled by "business"</t>
  </si>
  <si>
    <t>GHANA</t>
  </si>
  <si>
    <t>GHASTLY</t>
  </si>
  <si>
    <t>GHETTO</t>
  </si>
  <si>
    <t>GHOST</t>
  </si>
  <si>
    <t>GIANT#1</t>
  </si>
  <si>
    <t>| 85% noun: A human or animal extreme in size or some other aspect</t>
  </si>
  <si>
    <t>GIANT#2</t>
  </si>
  <si>
    <t>| 15% adjective: Extra large</t>
  </si>
  <si>
    <t>GIANT#3</t>
  </si>
  <si>
    <t>| 0% noun: (the baseball team)</t>
  </si>
  <si>
    <t>GIDDY</t>
  </si>
  <si>
    <t>GIFT</t>
  </si>
  <si>
    <t>GIFTED</t>
  </si>
  <si>
    <t>GIGANTIC</t>
  </si>
  <si>
    <t>GIN</t>
  </si>
  <si>
    <t>GINGER</t>
  </si>
  <si>
    <t>GINGERLY</t>
  </si>
  <si>
    <t>GIRL</t>
  </si>
  <si>
    <t>| noun: Female child or young person</t>
  </si>
  <si>
    <t>GIVE#1</t>
  </si>
  <si>
    <t>| 90% verb: To donate, provide (with), present, hand over, emit or issue,  cause to have; prone, wont--"he is given to drink" (2)</t>
  </si>
  <si>
    <t>GIVE#2</t>
  </si>
  <si>
    <t>| 6% idiom-verb: "Give up," "give in," "give way," "give ground"--yield</t>
  </si>
  <si>
    <t>GIVE#3</t>
  </si>
  <si>
    <t>| 2% verb: "Give up"--abandon hope, cease effort</t>
  </si>
  <si>
    <t>GIVE#4</t>
  </si>
  <si>
    <t>| 1% noun-adj: "Given"--specific, assumed, granted</t>
  </si>
  <si>
    <t>GIVE#5</t>
  </si>
  <si>
    <t>| 0% noun: "Giving"--providing</t>
  </si>
  <si>
    <t>GIVE#6</t>
  </si>
  <si>
    <t>| 1% idiom-verb: "Give birth"--bear offspring--handled by "birth"</t>
  </si>
  <si>
    <t>GIVE#7</t>
  </si>
  <si>
    <t>| 0% verb-idiom: "Give rise (to)"--originate, cause--handled by "rise"</t>
  </si>
  <si>
    <t>GIVEN#1</t>
  </si>
  <si>
    <t>GIVER</t>
  </si>
  <si>
    <t>GLAD#1</t>
  </si>
  <si>
    <t>| 96% adjective: Pleased</t>
  </si>
  <si>
    <t>GLAD#2</t>
  </si>
  <si>
    <t>| 4% adv: "Gladly"--with pleasure</t>
  </si>
  <si>
    <t>GLADDEN</t>
  </si>
  <si>
    <t>GLADNESS</t>
  </si>
  <si>
    <t>GLAMOROUS</t>
  </si>
  <si>
    <t>GLAMOUR</t>
  </si>
  <si>
    <t>GLANCE#1</t>
  </si>
  <si>
    <t>GLANCE#2</t>
  </si>
  <si>
    <t>GLAND</t>
  </si>
  <si>
    <t>GLARE</t>
  </si>
  <si>
    <t>GLASS</t>
  </si>
  <si>
    <t>GLEAM#1</t>
  </si>
  <si>
    <t>GLEAM#2</t>
  </si>
  <si>
    <t>GLEAN</t>
  </si>
  <si>
    <t>GLEE</t>
  </si>
  <si>
    <t>GLEN</t>
  </si>
  <si>
    <t>GLIMMER</t>
  </si>
  <si>
    <t>GLIMPSE#1</t>
  </si>
  <si>
    <t>GLIMPSE#2</t>
  </si>
  <si>
    <t>GLISTEN#1</t>
  </si>
  <si>
    <t>GLISTEN#2</t>
  </si>
  <si>
    <t>GLITTER#1</t>
  </si>
  <si>
    <t>GLITTER#2</t>
  </si>
  <si>
    <t>GLOAT</t>
  </si>
  <si>
    <t>GLOBAL</t>
  </si>
  <si>
    <t>GLOBE</t>
  </si>
  <si>
    <t>GLOOM</t>
  </si>
  <si>
    <t>GLOOMY</t>
  </si>
  <si>
    <t>GLORIFY</t>
  </si>
  <si>
    <t>GLORIOUS</t>
  </si>
  <si>
    <t>GLORY</t>
  </si>
  <si>
    <t>GLOSSY</t>
  </si>
  <si>
    <t>GLOVE</t>
  </si>
  <si>
    <t>GLOW#1</t>
  </si>
  <si>
    <t>GLOW#2</t>
  </si>
  <si>
    <t>GLUE</t>
  </si>
  <si>
    <t>GLUM</t>
  </si>
  <si>
    <t>GO#1</t>
  </si>
  <si>
    <t>SUPV VERB GO PFREQ</t>
  </si>
  <si>
    <t>| 88% verb: Indicates motion, action, change of state</t>
  </si>
  <si>
    <t>GO#2</t>
  </si>
  <si>
    <t>SUPV VERB GO</t>
  </si>
  <si>
    <t>| 6% verb: "Go on"--continue, proceed, take place</t>
  </si>
  <si>
    <t>GO#3</t>
  </si>
  <si>
    <t>SUPV VERB MOD GO</t>
  </si>
  <si>
    <t>| 5% verb: "Going to"--auxiliary indicating future tense</t>
  </si>
  <si>
    <t>GO#4</t>
  </si>
  <si>
    <t>| 0% idiom-verb: "Make, have a go" (of, at it)--try</t>
  </si>
  <si>
    <t>GO#5</t>
  </si>
  <si>
    <t>| 0% noun: "Going"</t>
  </si>
  <si>
    <t>GO#6</t>
  </si>
  <si>
    <t>| 0% idiom-adj: "On the go"</t>
  </si>
  <si>
    <t>GO#7</t>
  </si>
  <si>
    <t>| 1% idiom-verb: 'go along with'--accord, acquiesce--handled by 'along'</t>
  </si>
  <si>
    <t>GO#8</t>
  </si>
  <si>
    <t>| 0% idiom-adj: "Touch and go"--precarious--handled by "touch"</t>
  </si>
  <si>
    <t>GOAL</t>
  </si>
  <si>
    <t>| noun: Aim, end, point of achievement or success</t>
  </si>
  <si>
    <t>GOAT</t>
  </si>
  <si>
    <t>| noun: A mammal related to the sheep</t>
  </si>
  <si>
    <t>GOD</t>
  </si>
  <si>
    <t>| noun: Deity; includes exclamations employing the word "god" with varying  degrees of irreverence</t>
  </si>
  <si>
    <t>GODDAMN</t>
  </si>
  <si>
    <t>GODDESS</t>
  </si>
  <si>
    <t>GODLIKE</t>
  </si>
  <si>
    <t>GODLINESS</t>
  </si>
  <si>
    <t>GOLD</t>
  </si>
  <si>
    <t>GOLDEN</t>
  </si>
  <si>
    <t>GONE#1</t>
  </si>
  <si>
    <t>SUPV VERB GO ED</t>
  </si>
  <si>
    <t>| 77% verb: Indicates past motion, action, change of state</t>
  </si>
  <si>
    <t>GONE#2</t>
  </si>
  <si>
    <t>| 10% verb: 'gone on'--continued, proceeded, taken place</t>
  </si>
  <si>
    <t>GONE#3</t>
  </si>
  <si>
    <t>| 0% dummy:</t>
  </si>
  <si>
    <t>GONE#4</t>
  </si>
  <si>
    <t>GONE#5</t>
  </si>
  <si>
    <t>GONE#6</t>
  </si>
  <si>
    <t>GONE#7</t>
  </si>
  <si>
    <t>| 0% verb: 'gone along with'--accorded, agreed, acquiesced; handled by 'along'</t>
  </si>
  <si>
    <t>GONE#8</t>
  </si>
  <si>
    <t>GONE#9</t>
  </si>
  <si>
    <t>| 13% adj: 'gone'--absent, departed, past, dead, consumed</t>
  </si>
  <si>
    <t>GONNA</t>
  </si>
  <si>
    <t>GOOD#1</t>
  </si>
  <si>
    <t>| 89% noun-adj-adv-intj: Marks positive evaluation on a dimension specified  by context, or, occasionally, general intensification--as "a good many,"  "a good beating"</t>
  </si>
  <si>
    <t>GOOD#2</t>
  </si>
  <si>
    <t>| 1% idiom-adv: "For good"--finally, for keeps</t>
  </si>
  <si>
    <t>GOOD#3</t>
  </si>
  <si>
    <t>| 1% idiom-adv-prep: "A good deal"--to a considerable amount, extent or  degree-- handled by "deal"</t>
  </si>
  <si>
    <t>GOOD#4</t>
  </si>
  <si>
    <t>| 0% idiom-noun: "Good faith"--handled by "faith"</t>
  </si>
  <si>
    <t>GOOD-BY</t>
  </si>
  <si>
    <t>GOOD-WILL</t>
  </si>
  <si>
    <t>GOODBYE</t>
  </si>
  <si>
    <t>GOODNESS</t>
  </si>
  <si>
    <t>GOODS</t>
  </si>
  <si>
    <t>| noun: Property, possessions, products</t>
  </si>
  <si>
    <t>GOODWILL</t>
  </si>
  <si>
    <t>GORGEOUS</t>
  </si>
  <si>
    <t>GOSPEL</t>
  </si>
  <si>
    <t>GOSSIP#1</t>
  </si>
  <si>
    <t>GOSSIP#2</t>
  </si>
  <si>
    <t>GOT#1</t>
  </si>
  <si>
    <t>GOTTEN#1</t>
  </si>
  <si>
    <t>GOVERN#1</t>
  </si>
  <si>
    <t>GOVERN#2</t>
  </si>
  <si>
    <t>GOVERNMENT</t>
  </si>
  <si>
    <t>| noun adjective: A specific administrative mechanism by which a body of  people is ruled, an abstract concept of the ruling power</t>
  </si>
  <si>
    <t>GOVERNMENTAL</t>
  </si>
  <si>
    <t>GOVERNOR</t>
  </si>
  <si>
    <t>GRAB</t>
  </si>
  <si>
    <t>| verb: To seize or clutch.</t>
  </si>
  <si>
    <t>GRACE</t>
  </si>
  <si>
    <t>GRACEFUL</t>
  </si>
  <si>
    <t>GRACIOUS</t>
  </si>
  <si>
    <t>GRADE#1</t>
  </si>
  <si>
    <t>| 71% noun-adj: A mark or rating, generally academic; a stage in a systematic  progression (1); a sloping part (0)</t>
  </si>
  <si>
    <t>GRADE#2</t>
  </si>
  <si>
    <t>| 23% noun: One of the divisions by year of a school curriculum</t>
  </si>
  <si>
    <t>GRADE#3</t>
  </si>
  <si>
    <t>| 6% verb: To arrange or classify by stages, to rate or rank</t>
  </si>
  <si>
    <t>GRADUAL</t>
  </si>
  <si>
    <t>| adjective: Slow and continual.</t>
  </si>
  <si>
    <t>GRADUATE#1</t>
  </si>
  <si>
    <t>| 37% adj: Of or pertaining to, or involved in academic study beyond the  first or bachelor's degree</t>
  </si>
  <si>
    <t>GRADUATE#2</t>
  </si>
  <si>
    <t>| 32% verb: To graduate from</t>
  </si>
  <si>
    <t>GRADUATE#3</t>
  </si>
  <si>
    <t>| 30% noun: A person who has received a diploma on completing a course of  study, as in a university or school</t>
  </si>
  <si>
    <t>GRADUATE#4</t>
  </si>
  <si>
    <t>| 1% noun-adj: "Graduating"--receiving a diploma or degree</t>
  </si>
  <si>
    <t>GRADUATE#5</t>
  </si>
  <si>
    <t>| 0% adj: "Graduated"--marked with degrees for measuring</t>
  </si>
  <si>
    <t>GRADUATION</t>
  </si>
  <si>
    <t>GRAIN</t>
  </si>
  <si>
    <t>GRAMMAR</t>
  </si>
  <si>
    <t>GRAND</t>
  </si>
  <si>
    <t>GRANDCHILD</t>
  </si>
  <si>
    <t>| noun: Son or daughter of someone's son or daughter.</t>
  </si>
  <si>
    <t>GRANDCHILDREN</t>
  </si>
  <si>
    <t>Noun KIN S</t>
  </si>
  <si>
    <t>| noun: Plural of grandchild--sons or daughters of someone's son(s) or daughter(s)</t>
  </si>
  <si>
    <t>GRANDEUR</t>
  </si>
  <si>
    <t>GRANDFATHER</t>
  </si>
  <si>
    <t>| noun: Father of someone's mother or father.</t>
  </si>
  <si>
    <t>GRANDMA</t>
  </si>
  <si>
    <t>GRANDMOTHER</t>
  </si>
  <si>
    <t>| noun: Mother of someone's mother or father.</t>
  </si>
  <si>
    <t>GRANDPA</t>
  </si>
  <si>
    <t>GRANNY</t>
  </si>
  <si>
    <t>GRANT#1</t>
  </si>
  <si>
    <t>| 29% noun: Something which has been promised, land, money</t>
  </si>
  <si>
    <t>GRANT#2</t>
  </si>
  <si>
    <t>| 42% verb: To confer or give in promise, to allow, acknowledge</t>
  </si>
  <si>
    <t>GRANT#3</t>
  </si>
  <si>
    <t>| 26% adj: "Granted"--assumed, acknowledged, allowed, valid, true</t>
  </si>
  <si>
    <t>GRANULAR</t>
  </si>
  <si>
    <t>GRAPE</t>
  </si>
  <si>
    <t>GRAPPLE</t>
  </si>
  <si>
    <t>GRASP#1</t>
  </si>
  <si>
    <t>Noun DET</t>
  </si>
  <si>
    <t>GRASP#2</t>
  </si>
  <si>
    <t>GRASS</t>
  </si>
  <si>
    <t>| noun: A thin green plant, a lawn</t>
  </si>
  <si>
    <t>GRATEFUL</t>
  </si>
  <si>
    <t>GRATIFICATION</t>
  </si>
  <si>
    <t>GRATIFY</t>
  </si>
  <si>
    <t>GRATITUDE</t>
  </si>
  <si>
    <t>GRATUITOUS</t>
  </si>
  <si>
    <t>GRAVE#1</t>
  </si>
  <si>
    <t>| 70% noun-adj: Burial place</t>
  </si>
  <si>
    <t>GRAVE#2</t>
  </si>
  <si>
    <t>| 8% adjective: Serious</t>
  </si>
  <si>
    <t>GRAVE#3</t>
  </si>
  <si>
    <t>| 3% adjective: "Graver"--more serious--comparative of sense 2</t>
  </si>
  <si>
    <t>GRAVE#4</t>
  </si>
  <si>
    <t>| 3% adverb: "Gravely"--seriously</t>
  </si>
  <si>
    <t>GRAVE#5</t>
  </si>
  <si>
    <t>| 0% adjective: "Gravest"--most serious</t>
  </si>
  <si>
    <t>GRAVEST</t>
  </si>
  <si>
    <t>GRAVITATE</t>
  </si>
  <si>
    <t>GRAVITATIONAL</t>
  </si>
  <si>
    <t>GRAVITY</t>
  </si>
  <si>
    <t>GRAY</t>
  </si>
  <si>
    <t>GREASE#1</t>
  </si>
  <si>
    <t>GREASE#2</t>
  </si>
  <si>
    <t>GREAT#1</t>
  </si>
  <si>
    <t>| 63% adj: Of more than ordinary size, extent, number, degree, importance, eminence</t>
  </si>
  <si>
    <t>GREAT#2</t>
  </si>
  <si>
    <t>| 9% adj: 'greater'</t>
  </si>
  <si>
    <t>GREAT#3</t>
  </si>
  <si>
    <t>| 7% adj: 'greatest'</t>
  </si>
  <si>
    <t>GREAT#4</t>
  </si>
  <si>
    <t>| 6% adv: 'greatly'</t>
  </si>
  <si>
    <t>GREAT#5</t>
  </si>
  <si>
    <t>| 2% noun-idiom: 'great britain'</t>
  </si>
  <si>
    <t>GREAT#6</t>
  </si>
  <si>
    <t>| 12% adj-idiom: 'a great deal'--handled by "deal"</t>
  </si>
  <si>
    <t>GREATCOAT</t>
  </si>
  <si>
    <t>GREATEST</t>
  </si>
  <si>
    <t>GREATNESS</t>
  </si>
  <si>
    <t>GREECE</t>
  </si>
  <si>
    <t>GREED</t>
  </si>
  <si>
    <t>GREEK</t>
  </si>
  <si>
    <t>GREEN</t>
  </si>
  <si>
    <t>| adj: The color</t>
  </si>
  <si>
    <t>GREET#1</t>
  </si>
  <si>
    <t>GREET#2</t>
  </si>
  <si>
    <t>GRENADE</t>
  </si>
  <si>
    <t>GREW#1</t>
  </si>
  <si>
    <t>GREY</t>
  </si>
  <si>
    <t>GRIEF</t>
  </si>
  <si>
    <t>GRIEVANCE</t>
  </si>
  <si>
    <t>GRIEVE</t>
  </si>
  <si>
    <t>GRIEVOUS</t>
  </si>
  <si>
    <t>GRIM</t>
  </si>
  <si>
    <t>GRIN#1</t>
  </si>
  <si>
    <t>GRIN#2</t>
  </si>
  <si>
    <t>GRIND#1</t>
  </si>
  <si>
    <t>GRIND#2</t>
  </si>
  <si>
    <t>GRIP#1</t>
  </si>
  <si>
    <t>GRIP#2</t>
  </si>
  <si>
    <t>GRIZZLY</t>
  </si>
  <si>
    <t>GROIN</t>
  </si>
  <si>
    <t>GROOM</t>
  </si>
  <si>
    <t>GROSS#1</t>
  </si>
  <si>
    <t>GROSS#2</t>
  </si>
  <si>
    <t>GROTESQUE</t>
  </si>
  <si>
    <t>GROUND#1</t>
  </si>
  <si>
    <t>| 82% noun-adj: Surface of the earth and its immediate surroundings, the  territory or dimensions within which an action takes place, e.g. "camping  ground" (1)</t>
  </si>
  <si>
    <t>GROUND#2</t>
  </si>
  <si>
    <t>| 9% noun: Foundation, basis of an effort usually intellectual, e.g. of  an argument, "on those grounds"</t>
  </si>
  <si>
    <t>GROUND#3</t>
  </si>
  <si>
    <t>| 0% adj: "Grounded"--based</t>
  </si>
  <si>
    <t>GROUND#4</t>
  </si>
  <si>
    <t>| 3% verb: Past tense and participle of 'grind'</t>
  </si>
  <si>
    <t>GROUND#5</t>
  </si>
  <si>
    <t>| 1% idiom-verb: "Give ground"--yield--handled by "give"</t>
  </si>
  <si>
    <t>GROUNDLESS</t>
  </si>
  <si>
    <t>GROUP#1</t>
  </si>
  <si>
    <t>| noun-adj: A collection (usually small) of individuals (almost never of  things) related in some way</t>
  </si>
  <si>
    <t>GROUP#2</t>
  </si>
  <si>
    <t>| 0% noun: 'grouping'--a category or classification</t>
  </si>
  <si>
    <t>GROUP#3</t>
  </si>
  <si>
    <t>| 0% verb: To form groups</t>
  </si>
  <si>
    <t>GROVE</t>
  </si>
  <si>
    <t>GROW#1</t>
  </si>
  <si>
    <t>| 34% verb: To increase in size, intensity, etc.--especially of living things</t>
  </si>
  <si>
    <t>GROW#2</t>
  </si>
  <si>
    <t>| 29% idiom-verb: 'grow up'--to mature, attain maturity</t>
  </si>
  <si>
    <t>GROW#3</t>
  </si>
  <si>
    <t>| 22% verb: To come or become--'grow to realize,' 'grow dark'</t>
  </si>
  <si>
    <t>GROW#4</t>
  </si>
  <si>
    <t>| 3% verb: To raise (transitive)</t>
  </si>
  <si>
    <t>GROW#5</t>
  </si>
  <si>
    <t>| 11% adj-noun: 'growing'--enlarging, increasing--growth</t>
  </si>
  <si>
    <t>GROWER</t>
  </si>
  <si>
    <t>GROWL</t>
  </si>
  <si>
    <t>GROWN#1</t>
  </si>
  <si>
    <t>| 8% verb: To have increased in size, intensity, etc.</t>
  </si>
  <si>
    <t>GROWN#2</t>
  </si>
  <si>
    <t>| 5% idiom-verb: 'grown up'--to have matured, attained maturity</t>
  </si>
  <si>
    <t>GROWN#3</t>
  </si>
  <si>
    <t>| 34% verb: To have come or become--'grown to realize,' 'grown dark'</t>
  </si>
  <si>
    <t>GROWN#4</t>
  </si>
  <si>
    <t>| 0% verb: Raised (transitive)</t>
  </si>
  <si>
    <t>GROWN#5</t>
  </si>
  <si>
    <t>| 0% noun-adj: 'growing' (na)</t>
  </si>
  <si>
    <t>GROWN#6</t>
  </si>
  <si>
    <t>| 45% adj: 'grown,' 'grown up'--mature</t>
  </si>
  <si>
    <t>GROWTH</t>
  </si>
  <si>
    <t>| noun: An increase in size or extent</t>
  </si>
  <si>
    <t>GRUDGE</t>
  </si>
  <si>
    <t>GRUFF</t>
  </si>
  <si>
    <t>GRUMBLE</t>
  </si>
  <si>
    <t>GUARANTEE#1</t>
  </si>
  <si>
    <t>GUARANTEE#2</t>
  </si>
  <si>
    <t>GUARANTOR</t>
  </si>
  <si>
    <t>GUARD#1</t>
  </si>
  <si>
    <t>| 55% verb: To protect or watch out for</t>
  </si>
  <si>
    <t>GUARD#2</t>
  </si>
  <si>
    <t>| 32% noun: Someone or something that guards</t>
  </si>
  <si>
    <t>GUARDIAN</t>
  </si>
  <si>
    <t>GUARDIANSHIP</t>
  </si>
  <si>
    <t>GUATEMALA</t>
  </si>
  <si>
    <t>GUERRILLA</t>
  </si>
  <si>
    <t>GUESS#1</t>
  </si>
  <si>
    <t>| verb: To form an opinion from uncertain evidence, to estimate or conjecture,  or to think or suppose (as interjection)</t>
  </si>
  <si>
    <t>GUESS#2</t>
  </si>
  <si>
    <t>| 0% noun: A conjecture</t>
  </si>
  <si>
    <t>GUESS#3</t>
  </si>
  <si>
    <t>| 1% noun-adj: 'guessing'</t>
  </si>
  <si>
    <t>GUEST</t>
  </si>
  <si>
    <t>| noun-adj: Recipient of hospitality</t>
  </si>
  <si>
    <t>GUIDANCE</t>
  </si>
  <si>
    <t>GUIDE#1</t>
  </si>
  <si>
    <t>| 50% verb: To direct</t>
  </si>
  <si>
    <t>GUIDE#2</t>
  </si>
  <si>
    <t>| 32% noun: Someone or something that directs</t>
  </si>
  <si>
    <t>GUIDE#3</t>
  </si>
  <si>
    <t>| 14% adj: 'guided'--given direction</t>
  </si>
  <si>
    <t>GUIDE#4</t>
  </si>
  <si>
    <t>| 5% adj: 'guiding'--giving direction</t>
  </si>
  <si>
    <t>GUIDELINE</t>
  </si>
  <si>
    <t>GUIDEPOST</t>
  </si>
  <si>
    <t>GUILD</t>
  </si>
  <si>
    <t>GUILT</t>
  </si>
  <si>
    <t>GUILTY</t>
  </si>
  <si>
    <t>| adj: Culpable</t>
  </si>
  <si>
    <t>GUINEA</t>
  </si>
  <si>
    <t>GUISE</t>
  </si>
  <si>
    <t>GUITAR</t>
  </si>
  <si>
    <t>GULF</t>
  </si>
  <si>
    <t>GULLIBLE</t>
  </si>
  <si>
    <t>GULLY</t>
  </si>
  <si>
    <t>GUN</t>
  </si>
  <si>
    <t>| noun: A firearm</t>
  </si>
  <si>
    <t>GUNMEN</t>
  </si>
  <si>
    <t>GUSTO</t>
  </si>
  <si>
    <t>GUY</t>
  </si>
  <si>
    <t>| noun: Fellow, person</t>
  </si>
  <si>
    <t>GYMNAST</t>
  </si>
  <si>
    <t>GYMNASTIC</t>
  </si>
  <si>
    <t>HABIT</t>
  </si>
  <si>
    <t>| noun: Customary practice</t>
  </si>
  <si>
    <t>HABITUAL</t>
  </si>
  <si>
    <t>HACK</t>
  </si>
  <si>
    <t>HACKNEY</t>
  </si>
  <si>
    <t>HAD#1</t>
  </si>
  <si>
    <t>SUPV VERB HAV ED</t>
  </si>
  <si>
    <t>HAEMOGLOBIN#1</t>
  </si>
  <si>
    <t>HAG</t>
  </si>
  <si>
    <t>HAGGARD</t>
  </si>
  <si>
    <t>HAGGLE</t>
  </si>
  <si>
    <t>HAGUE</t>
  </si>
  <si>
    <t>HAIR#1</t>
  </si>
  <si>
    <t>| 88% noun-adj: The body covering</t>
  </si>
  <si>
    <t>HAIR#2</t>
  </si>
  <si>
    <t>| 2% noun: 'let one's hair down'-habitual demeanor</t>
  </si>
  <si>
    <t>HAITI</t>
  </si>
  <si>
    <t>HALF#1</t>
  </si>
  <si>
    <t>DET PRE PRE2</t>
  </si>
  <si>
    <t>| 36% adj: Of two equal parts of something (includes "half an acre," etc.)</t>
  </si>
  <si>
    <t>HALF#2</t>
  </si>
  <si>
    <t>| 40% noun: One of two equal parts</t>
  </si>
  <si>
    <t>HALF#3</t>
  </si>
  <si>
    <t>| 20% adv: Partly, incompletely</t>
  </si>
  <si>
    <t>HALF#4</t>
  </si>
  <si>
    <t>| 4% idiom-adv: "In half", into halves, into half as much</t>
  </si>
  <si>
    <t>HALF#5</t>
  </si>
  <si>
    <t>| 0% idiom-adj: "Half and half"--half one thing and half another</t>
  </si>
  <si>
    <t>HALF-INCH</t>
  </si>
  <si>
    <t>Noun ABS DIST</t>
  </si>
  <si>
    <t>HALFWAY</t>
  </si>
  <si>
    <t>HALL</t>
  </si>
  <si>
    <t>| noun: A corridor, or large room for public use</t>
  </si>
  <si>
    <t>HALLOWED</t>
  </si>
  <si>
    <t>HALT</t>
  </si>
  <si>
    <t>HAMBURGER</t>
  </si>
  <si>
    <t>HAMMOCK</t>
  </si>
  <si>
    <t>HAMPER</t>
  </si>
  <si>
    <t>HAMPSHIRE</t>
  </si>
  <si>
    <t>HAND#1</t>
  </si>
  <si>
    <t>| 67% noun-adj: The body part and various figurative extensionshand of cards;  role, control, custody, by met onymy, a person "all hands on deck," "he  gave her hand in marriage" (21)</t>
  </si>
  <si>
    <t>HAND#2</t>
  </si>
  <si>
    <t>| 6% verb: Deliver, give, pass</t>
  </si>
  <si>
    <t>HAND#3</t>
  </si>
  <si>
    <t>| 10% idiom-conj: "On the one hand," "on the other hand"--introduces comparison</t>
  </si>
  <si>
    <t>HAND#4</t>
  </si>
  <si>
    <t>| 2% idiom-adv: "On hand"--at one's disposal, handy, present</t>
  </si>
  <si>
    <t>HAND#5</t>
  </si>
  <si>
    <t>| 4% idiom-adv: "At hand"--present, nearby</t>
  </si>
  <si>
    <t>HAND#6</t>
  </si>
  <si>
    <t>| 1% idiom-adj: "Out of hand"--out of control</t>
  </si>
  <si>
    <t>HAND#7</t>
  </si>
  <si>
    <t>| 1% idiom-adv: "Hand (in) hand," "hand (in) glove"--closely connected</t>
  </si>
  <si>
    <t>HAND#8</t>
  </si>
  <si>
    <t>| 0% idiom-verb: "Hand down"--to deliver a judgment</t>
  </si>
  <si>
    <t>HAND#9</t>
  </si>
  <si>
    <t>| 0% idiom-adj: "In hand"--under control</t>
  </si>
  <si>
    <t>HAND#_10</t>
  </si>
  <si>
    <t>| 0% idiom-adv: "By hand"--manually</t>
  </si>
  <si>
    <t>HAND#_11</t>
  </si>
  <si>
    <t>| 0% idiom-adv-adj: "Off hand"</t>
  </si>
  <si>
    <t>HAND#_12</t>
  </si>
  <si>
    <t>| 2% idiom-verb: "Shake hands"--to greet in the western manner--handled by "shake"</t>
  </si>
  <si>
    <t>HANDFUL</t>
  </si>
  <si>
    <t>HANDICAP</t>
  </si>
  <si>
    <t>HANDLE#1</t>
  </si>
  <si>
    <t>| 83% verb: To manage, guide, have under one's jurisdiction or control</t>
  </si>
  <si>
    <t>HANDLE#2</t>
  </si>
  <si>
    <t>| 17% noun: That part of something which is meant for grasping</t>
  </si>
  <si>
    <t>HANDLE#3</t>
  </si>
  <si>
    <t>| 0% noun: 'handling'--management, dealing with</t>
  </si>
  <si>
    <t>HANDSOME</t>
  </si>
  <si>
    <t>HANDY</t>
  </si>
  <si>
    <t>HANG#1</t>
  </si>
  <si>
    <t>| 59% verb: To be suspended or to remain (intransitive)</t>
  </si>
  <si>
    <t>HANG#2</t>
  </si>
  <si>
    <t>| 18% verb: 'hang on to'--cling to, retain</t>
  </si>
  <si>
    <t>HANG#3</t>
  </si>
  <si>
    <t>| 3% verb: To suspend by the throat (transitive)</t>
  </si>
  <si>
    <t>HANG#4</t>
  </si>
  <si>
    <t>| 3% verb: To suspend or attach (transitive)</t>
  </si>
  <si>
    <t>HANG#5</t>
  </si>
  <si>
    <t>| 6% noun-adj: 'hanging'--suspended, suspension</t>
  </si>
  <si>
    <t>HANG#6</t>
  </si>
  <si>
    <t>| 6% idiom-verb: 'hang around'--linger</t>
  </si>
  <si>
    <t>HANGER</t>
  </si>
  <si>
    <t>HANKER</t>
  </si>
  <si>
    <t>HAPHAZARD</t>
  </si>
  <si>
    <t>HAPLESS</t>
  </si>
  <si>
    <t>HAPPEN#1</t>
  </si>
  <si>
    <t>| 92% verb: To take place or occur</t>
  </si>
  <si>
    <t>HAPPEN#2</t>
  </si>
  <si>
    <t>| 7% verb: 'happen (to)'--chance (to)</t>
  </si>
  <si>
    <t>HAPPEN#3</t>
  </si>
  <si>
    <t>| 0% noun: 'happening'--an event</t>
  </si>
  <si>
    <t>HAPPINESS</t>
  </si>
  <si>
    <t>| noun: The quality or state of being happy</t>
  </si>
  <si>
    <t>HAPPY#1</t>
  </si>
  <si>
    <t>| 78% adjective: Joyous, pleased.</t>
  </si>
  <si>
    <t>HAPPY#2</t>
  </si>
  <si>
    <t>| 13% adverb: "Happily"--in a joyous manner</t>
  </si>
  <si>
    <t>HAPPY#3</t>
  </si>
  <si>
    <t>| 7% adjective: "Happier," comparative of sense 1</t>
  </si>
  <si>
    <t>HAPPY#4</t>
  </si>
  <si>
    <t>| 2% adjective: "Happiest," superlative of sense 1</t>
  </si>
  <si>
    <t>HARASS</t>
  </si>
  <si>
    <t>HARASSMENT</t>
  </si>
  <si>
    <t>HARBOR#1</t>
  </si>
  <si>
    <t>HARBOR#2</t>
  </si>
  <si>
    <t>HARBOUR#1</t>
  </si>
  <si>
    <t>HARD#1</t>
  </si>
  <si>
    <t>| 47% adj: Difficult, trying, severe (especially of people)</t>
  </si>
  <si>
    <t>HARD#2</t>
  </si>
  <si>
    <t>| 4% adj: Solid, brittle, unyielding (of physical things)</t>
  </si>
  <si>
    <t>HARD#3</t>
  </si>
  <si>
    <t>| 32% adv: With much exertion, intensity, energy, force--includes 'hard  worker', where 'hard' has adverbial sense in adjectival position</t>
  </si>
  <si>
    <t>HARD#4</t>
  </si>
  <si>
    <t>| 11% adv: 'hardly'--barely</t>
  </si>
  <si>
    <t>HARD#5</t>
  </si>
  <si>
    <t>| 1% idiom-adj: 'hard up'</t>
  </si>
  <si>
    <t>HARDEN</t>
  </si>
  <si>
    <t>HARDEST</t>
  </si>
  <si>
    <t>HARDSHIP</t>
  </si>
  <si>
    <t>HARDTACK</t>
  </si>
  <si>
    <t>HARDY</t>
  </si>
  <si>
    <t>HARE</t>
  </si>
  <si>
    <t>| noun: Large rabbit</t>
  </si>
  <si>
    <t>HARM#1</t>
  </si>
  <si>
    <t>| 33% noun: Injury, damage, hurt</t>
  </si>
  <si>
    <t>HARM#2</t>
  </si>
  <si>
    <t>| 67% verb: To injure, damage, or hurt</t>
  </si>
  <si>
    <t>HARMFUL</t>
  </si>
  <si>
    <t>HARMLESS</t>
  </si>
  <si>
    <t>HARMONIOUS</t>
  </si>
  <si>
    <t>HARMONIZATION</t>
  </si>
  <si>
    <t>HARMONIZE</t>
  </si>
  <si>
    <t>HARMONY</t>
  </si>
  <si>
    <t>HARNESS</t>
  </si>
  <si>
    <t>HARSH</t>
  </si>
  <si>
    <t>HARSHEST</t>
  </si>
  <si>
    <t>HARVEST#1</t>
  </si>
  <si>
    <t>HARVEST#2</t>
  </si>
  <si>
    <t>HAS#1</t>
  </si>
  <si>
    <t>SUPV VERB HAV</t>
  </si>
  <si>
    <t>HASSLE</t>
  </si>
  <si>
    <t>HASTE</t>
  </si>
  <si>
    <t>HASTEN</t>
  </si>
  <si>
    <t>HAT</t>
  </si>
  <si>
    <t>| noun: A shaped covering for the head</t>
  </si>
  <si>
    <t>HATE#1</t>
  </si>
  <si>
    <t>| 80% verb: To dislike passionately, to detest</t>
  </si>
  <si>
    <t>HATE#2</t>
  </si>
  <si>
    <t>| 19% noun: Intense dislike, aversion, hostility</t>
  </si>
  <si>
    <t>HATE#3</t>
  </si>
  <si>
    <t>| 0% adj: 'hated'-loathed--'the hated dictator'</t>
  </si>
  <si>
    <t>HATER</t>
  </si>
  <si>
    <t>HATRED</t>
  </si>
  <si>
    <t>HAUGHTY</t>
  </si>
  <si>
    <t>HAUNT</t>
  </si>
  <si>
    <t>HAVE#1</t>
  </si>
  <si>
    <t>| 36% verb: Possess, experience, engage in, cause to happen</t>
  </si>
  <si>
    <t>HAVE#2</t>
  </si>
  <si>
    <t>SUPV VERB HAV MOD</t>
  </si>
  <si>
    <t>| 7% verb: To be compelled or under obligation to do something--"have to"</t>
  </si>
  <si>
    <t>HAVE#3</t>
  </si>
  <si>
    <t>| 55% verb: Auxiliary verb</t>
  </si>
  <si>
    <t>HAVE#4</t>
  </si>
  <si>
    <t>| 2% idiom-verb: "Have to do with"--have relevance to--handled by "do"</t>
  </si>
  <si>
    <t>HAVE#5</t>
  </si>
  <si>
    <t>| 0% idiom-verb: "Have a go (of, at, it)--handled by "go"</t>
  </si>
  <si>
    <t>HAVEN</t>
  </si>
  <si>
    <t>Noun Place</t>
  </si>
  <si>
    <t>HAVOC</t>
  </si>
  <si>
    <t>HAWAII</t>
  </si>
  <si>
    <t>HAY</t>
  </si>
  <si>
    <t>HAZARD#1</t>
  </si>
  <si>
    <t>HAZARD#2</t>
  </si>
  <si>
    <t>HAZARDOUS</t>
  </si>
  <si>
    <t>HAZE</t>
  </si>
  <si>
    <t>HAZINESS</t>
  </si>
  <si>
    <t>HAZY</t>
  </si>
  <si>
    <t>HE</t>
  </si>
  <si>
    <t>PRON DEF DEF1 Thrdp Other</t>
  </si>
  <si>
    <t>| pronoun: The male being in question, or last mentioned, or anyone, that person</t>
  </si>
  <si>
    <t>HEAD#1</t>
  </si>
  <si>
    <t>| 81% noun-adj: The body part--the analogous part of anything else--'cylinder  head', 'head of the stars'</t>
  </si>
  <si>
    <t>HEAD#2</t>
  </si>
  <si>
    <t>| 12% noun-adj: The highest in authority, to be this</t>
  </si>
  <si>
    <t>HEAD#3</t>
  </si>
  <si>
    <t>| 1% verb: To direct or lead</t>
  </si>
  <si>
    <t>HEAD#4</t>
  </si>
  <si>
    <t>| 2% verb: To set out for or be going toward--'be headed for home'</t>
  </si>
  <si>
    <t>HEAD#5</t>
  </si>
  <si>
    <t>| 0% noun: 'heading'--top line, caption</t>
  </si>
  <si>
    <t>HEAD#6</t>
  </si>
  <si>
    <t>| 0% noun-idiom: 'head start'</t>
  </si>
  <si>
    <t>HEAD#7</t>
  </si>
  <si>
    <t>| 3% adj: 'x-headed'--where x denotes properties attributed to the head.  should be hyphenated.</t>
  </si>
  <si>
    <t>HEADACHE</t>
  </si>
  <si>
    <t>HEADLIGHT</t>
  </si>
  <si>
    <t>HEADQUARTERS</t>
  </si>
  <si>
    <t>HEAL</t>
  </si>
  <si>
    <t>HEALTH</t>
  </si>
  <si>
    <t>| noun-adj: Condition of body or mind, soundness</t>
  </si>
  <si>
    <t>HEALTHFUL</t>
  </si>
  <si>
    <t>HEALTHY#1</t>
  </si>
  <si>
    <t>| 96% adj: Sound, well, not sick</t>
  </si>
  <si>
    <t>HEALTHY#2</t>
  </si>
  <si>
    <t>| 4% adj: Comparative - "healthier"</t>
  </si>
  <si>
    <t>HEALTHY#3</t>
  </si>
  <si>
    <t>| 0% adv: "Healthily" - adverb form of sense 1</t>
  </si>
  <si>
    <t>HEAP#1</t>
  </si>
  <si>
    <t>HEAP#2</t>
  </si>
  <si>
    <t>HEAR#1</t>
  </si>
  <si>
    <t>| 64% verb: To perceive sound, to listen; to pay attention (infrequent)</t>
  </si>
  <si>
    <t>HEAR#2</t>
  </si>
  <si>
    <t>| 29% verb: To be informed, to receive information, to learn</t>
  </si>
  <si>
    <t>HEAR#3</t>
  </si>
  <si>
    <t>| 1% idiom-noun: "Hearing aid"</t>
  </si>
  <si>
    <t>HEAR#4</t>
  </si>
  <si>
    <t>| 1% noun: The faculty by which sound is perceived</t>
  </si>
  <si>
    <t>HEAR#5</t>
  </si>
  <si>
    <t>| 3% noun-adj: "Hearing"--formal examination, often public</t>
  </si>
  <si>
    <t>HEARD#1</t>
  </si>
  <si>
    <t>HEARER</t>
  </si>
  <si>
    <t>HEART#1</t>
  </si>
  <si>
    <t>| 87% noun-adj: Used metaphorically to designate the conscious Emotional  and spiritual center or faculty of a human being; the physical organ (34)</t>
  </si>
  <si>
    <t>HEART#2</t>
  </si>
  <si>
    <t>| 2% idiom-adv: "To heart" - seriously</t>
  </si>
  <si>
    <t>HEART#3</t>
  </si>
  <si>
    <t>| 6% noun-adj: The center or vital part of anything non-organismic</t>
  </si>
  <si>
    <t>HEART#4</t>
  </si>
  <si>
    <t>| 1% idiom-adj: "Heart to heart" - intimate</t>
  </si>
  <si>
    <t>HEARTILY</t>
  </si>
  <si>
    <t>HEARTLESS</t>
  </si>
  <si>
    <t>HEAT#1</t>
  </si>
  <si>
    <t>| 49% noun-adj: Quality or condition of being hot</t>
  </si>
  <si>
    <t>HEAT#2</t>
  </si>
  <si>
    <t>| 23% verb: To make hot</t>
  </si>
  <si>
    <t>HEAT#3</t>
  </si>
  <si>
    <t>| 3% noun-adj: "Heating", creating heat</t>
  </si>
  <si>
    <t>HEAT#4</t>
  </si>
  <si>
    <t>| 3% idiom-adj: "In heat", in a state of sexual readiness</t>
  </si>
  <si>
    <t>HEAT#5</t>
  </si>
  <si>
    <t>| 3% idiom-prep: "In the heat of", during the peak of</t>
  </si>
  <si>
    <t>HEAT#6</t>
  </si>
  <si>
    <t>| 17% adj-adv: "Heated", hot, excited</t>
  </si>
  <si>
    <t>HEATER</t>
  </si>
  <si>
    <t>HEAVEN</t>
  </si>
  <si>
    <t>| noun: The abode of god and the righteous dead; a state or place of happiness;  includes interjections</t>
  </si>
  <si>
    <t>HEAVENLY</t>
  </si>
  <si>
    <t>HEAVY#1</t>
  </si>
  <si>
    <t>| 76% adj: Of great weight, intensity, degree, severity, etc.</t>
  </si>
  <si>
    <t>HEAVY#2</t>
  </si>
  <si>
    <t>| 18% adv: "Heavily", with great weight or force</t>
  </si>
  <si>
    <t>HEAVY#3</t>
  </si>
  <si>
    <t>| 4% adj: "Heavier", greater in weight, intensity, etc.</t>
  </si>
  <si>
    <t>HEAVY#4</t>
  </si>
  <si>
    <t>| 2% adj: "Heaviest", greatest in weight, intensity, etc.</t>
  </si>
  <si>
    <t>HECTIC</t>
  </si>
  <si>
    <t>HEDGE</t>
  </si>
  <si>
    <t>HEDONISTIC</t>
  </si>
  <si>
    <t>HEED</t>
  </si>
  <si>
    <t>HEEDLESS</t>
  </si>
  <si>
    <t>HEEL</t>
  </si>
  <si>
    <t>HEGEMONY</t>
  </si>
  <si>
    <t>HEIGHT</t>
  </si>
  <si>
    <t>HEIGHTEN</t>
  </si>
  <si>
    <t>HEINOUS</t>
  </si>
  <si>
    <t>HEIR</t>
  </si>
  <si>
    <t>HELD#1</t>
  </si>
  <si>
    <t>HELL</t>
  </si>
  <si>
    <t>HELP#1</t>
  </si>
  <si>
    <t>| 22% noun: Aid, assistance, assistants</t>
  </si>
  <si>
    <t>HELP#2</t>
  </si>
  <si>
    <t>| 75% verb: To aid, assist</t>
  </si>
  <si>
    <t>HELP#3</t>
  </si>
  <si>
    <t>SUPV Passive</t>
  </si>
  <si>
    <t>| 3% verb: To avoid or refrain from--"i can't help but . . . ," "not if  i can help it"</t>
  </si>
  <si>
    <t>HELP#4</t>
  </si>
  <si>
    <t>| 0% adj-noun: 'helping'</t>
  </si>
  <si>
    <t>HELPER</t>
  </si>
  <si>
    <t>HELPFUL</t>
  </si>
  <si>
    <t>HELPLESS</t>
  </si>
  <si>
    <t>HELPLESSNESS</t>
  </si>
  <si>
    <t>HEMISPHERE</t>
  </si>
  <si>
    <t>| noun: Half the surface of a sphere; usually referring to half of the earth</t>
  </si>
  <si>
    <t>HEMISPHERIC</t>
  </si>
  <si>
    <t>HEMOGLOBIN</t>
  </si>
  <si>
    <t>HEN</t>
  </si>
  <si>
    <t>HENCE</t>
  </si>
  <si>
    <t>| adv: Thus, therefore</t>
  </si>
  <si>
    <t>HER#1</t>
  </si>
  <si>
    <t>DET GEN</t>
  </si>
  <si>
    <t>| 51% adj: Possessive (gen)</t>
  </si>
  <si>
    <t>HER#2</t>
  </si>
  <si>
    <t>PRON DEF DEF2 Other</t>
  </si>
  <si>
    <t>| 49% pron: Objective (def2)</t>
  </si>
  <si>
    <t>HERD#1</t>
  </si>
  <si>
    <t>| 61% noun-adj: Animal group</t>
  </si>
  <si>
    <t>HERD#2</t>
  </si>
  <si>
    <t>| 35% verb: To form and maintain such groups</t>
  </si>
  <si>
    <t>HERD#3</t>
  </si>
  <si>
    <t>| 4% noun-adj: "Herding" - pertaining to the activity of herders</t>
  </si>
  <si>
    <t>HERE</t>
  </si>
  <si>
    <t>| adv: To or in this place, spot, or locality--at this point or juncture--this place.</t>
  </si>
  <si>
    <t>HEREBY</t>
  </si>
  <si>
    <t>HEREDITARY</t>
  </si>
  <si>
    <t>HERESY</t>
  </si>
  <si>
    <t>HERETOFORE</t>
  </si>
  <si>
    <t>HEREWITH</t>
  </si>
  <si>
    <t>HERITAGE</t>
  </si>
  <si>
    <t>HERO</t>
  </si>
  <si>
    <t>HEROIC</t>
  </si>
  <si>
    <t>HEROIN</t>
  </si>
  <si>
    <t>HEROINE</t>
  </si>
  <si>
    <t>HEROISM</t>
  </si>
  <si>
    <t>HERS</t>
  </si>
  <si>
    <t>PRON Thrdp Other</t>
  </si>
  <si>
    <t>HERSELF#1</t>
  </si>
  <si>
    <t>Thrdp Other</t>
  </si>
  <si>
    <t>HESITANCY</t>
  </si>
  <si>
    <t>HESITANT</t>
  </si>
  <si>
    <t>HESITATE</t>
  </si>
  <si>
    <t>HESITATION</t>
  </si>
  <si>
    <t>HIATUS</t>
  </si>
  <si>
    <t>HID#1</t>
  </si>
  <si>
    <t>HIDDEN#1</t>
  </si>
  <si>
    <t>| 52% adj: Concealed</t>
  </si>
  <si>
    <t>HIDDEN#2</t>
  </si>
  <si>
    <t>| 38% verb: Past tense of "hide"--concealed</t>
  </si>
  <si>
    <t>HIDE#1</t>
  </si>
  <si>
    <t>| 57% verb: To conceal oneself</t>
  </si>
  <si>
    <t>HIDE#2</t>
  </si>
  <si>
    <t>| 28% verb: To conceal something other than oneself</t>
  </si>
  <si>
    <t>HIDE#3</t>
  </si>
  <si>
    <t>| 3% noun: A pelt</t>
  </si>
  <si>
    <t>HIDE#4</t>
  </si>
  <si>
    <t>| 11% noun-adj: "Hiding"--concealment, e.g. "in hiding," "a hiding place"</t>
  </si>
  <si>
    <t>HIDE#5</t>
  </si>
  <si>
    <t>| 0% noun-idiom: "Hide and seek"</t>
  </si>
  <si>
    <t>HIDEOUS</t>
  </si>
  <si>
    <t>HIERARCHY</t>
  </si>
  <si>
    <t>HIGH#1</t>
  </si>
  <si>
    <t>| 39% adj: Lofty, tall, elevated, intensified, greater than usual, considerably  upward in some given scale of measurement, qualitative or quantitative,  generally sub</t>
  </si>
  <si>
    <t>HIGH#2</t>
  </si>
  <si>
    <t>| 32% idiom-noun: "High school"--a school following the ordinary grammar school</t>
  </si>
  <si>
    <t>HIGH#3</t>
  </si>
  <si>
    <t>| 10% adverb: "Highly"--in or to a high degree</t>
  </si>
  <si>
    <t>HIGH#4</t>
  </si>
  <si>
    <t>| 14% adjective: "Higher"--(comparative of sense 1)</t>
  </si>
  <si>
    <t>HIGH#5</t>
  </si>
  <si>
    <t>| 5% adjective: "Highest"--(superlative of sense 1)</t>
  </si>
  <si>
    <t>HIGH#6</t>
  </si>
  <si>
    <t>| 0% idiom-adj: "High time"--none too soon</t>
  </si>
  <si>
    <t>HIGHLIGHT</t>
  </si>
  <si>
    <t>HIGHWAY</t>
  </si>
  <si>
    <t>HILARIOUS</t>
  </si>
  <si>
    <t>HILL</t>
  </si>
  <si>
    <t>| noun: A rise, mound, small mountain</t>
  </si>
  <si>
    <t>HILLSIDE</t>
  </si>
  <si>
    <t>HILLY</t>
  </si>
  <si>
    <t>HIM</t>
  </si>
  <si>
    <t>PRON DEF DEF2 Thrdp Other</t>
  </si>
  <si>
    <t>| pronoun: Objective form of 'he'</t>
  </si>
  <si>
    <t>HIMSELF#1</t>
  </si>
  <si>
    <t>HIND</t>
  </si>
  <si>
    <t>HINDER</t>
  </si>
  <si>
    <t>HINDRANCE</t>
  </si>
  <si>
    <t>HINGE#1</t>
  </si>
  <si>
    <t>HINGE#2</t>
  </si>
  <si>
    <t>HIP</t>
  </si>
  <si>
    <t>HIRE</t>
  </si>
  <si>
    <t>HIS</t>
  </si>
  <si>
    <t>DET GEN Thrdp Other</t>
  </si>
  <si>
    <t>| pronoun: Possessive form of 'he'</t>
  </si>
  <si>
    <t>HISTORIAN</t>
  </si>
  <si>
    <t>HISTORIC</t>
  </si>
  <si>
    <t>HISTORICAL</t>
  </si>
  <si>
    <t>HISTORY</t>
  </si>
  <si>
    <t>| noun: The aggregate of past events--the branch of knowledge dealing with  past events.</t>
  </si>
  <si>
    <t>HIT#1</t>
  </si>
  <si>
    <t>| verb: To strike or collide against, present and past tense</t>
  </si>
  <si>
    <t>HIT#2</t>
  </si>
  <si>
    <t>| 0% noun: Something which makes contact or strikes its mark</t>
  </si>
  <si>
    <t>HIT#3</t>
  </si>
  <si>
    <t>| 1% verb: To discover, light upon</t>
  </si>
  <si>
    <t>HIT#4</t>
  </si>
  <si>
    <t>| 1% idiom-adj: "Hit or miss"--haphazard</t>
  </si>
  <si>
    <t>HIT#5</t>
  </si>
  <si>
    <t>| 0% idiom-verb: "Hit it off"--get along well</t>
  </si>
  <si>
    <t>HITHERTO</t>
  </si>
  <si>
    <t>Modif TIME</t>
  </si>
  <si>
    <t>HOARD</t>
  </si>
  <si>
    <t>HOBBLE</t>
  </si>
  <si>
    <t>HOLD#1</t>
  </si>
  <si>
    <t xml:space="preserve">| 67% verb: Verb denoting possession, control, or maintenance in a given  position or state, thus contain , retain; to conduct, carry on, engage  in--"hold a meeting" (11); to fill </t>
  </si>
  <si>
    <t>HOLD#2</t>
  </si>
  <si>
    <t>| 12% verb: Believe, feel, profess, say--"we hold these truths to be . . ."</t>
  </si>
  <si>
    <t>HOLD#3</t>
  </si>
  <si>
    <t>| 13% noun: Grip, control (very rarely- room, chamber)</t>
  </si>
  <si>
    <t>HOLD#4</t>
  </si>
  <si>
    <t>| 0% noun: "Holdings"--possessions</t>
  </si>
  <si>
    <t>HOLD#5</t>
  </si>
  <si>
    <t>| 0% idiom-verb: "Hold one's own"--handled by "own"</t>
  </si>
  <si>
    <t>HOLDER</t>
  </si>
  <si>
    <t>HOLE#1</t>
  </si>
  <si>
    <t>| 97% noun: Cavity, opening, aperture</t>
  </si>
  <si>
    <t>HOLE#2</t>
  </si>
  <si>
    <t>| 2% idiom-adj: "In the hole"--in the red, suffering a deficit</t>
  </si>
  <si>
    <t>HOLE#3</t>
  </si>
  <si>
    <t>| 2% idiom-adj: "In a hole"--in a tough spot, difficult situation--not handled</t>
  </si>
  <si>
    <t>HOLIDAY</t>
  </si>
  <si>
    <t>HOLLAND</t>
  </si>
  <si>
    <t>HOLLOW</t>
  </si>
  <si>
    <t>HOLLY</t>
  </si>
  <si>
    <t>HOLY</t>
  </si>
  <si>
    <t>| adj: Sacred, sinless, of god</t>
  </si>
  <si>
    <t>HOMAGE</t>
  </si>
  <si>
    <t>HOME</t>
  </si>
  <si>
    <t>| noun-adj-adv: Dwelling place - domestic - homeward</t>
  </si>
  <si>
    <t>HOMELY</t>
  </si>
  <si>
    <t>HOMEWARD</t>
  </si>
  <si>
    <t>| adverb: Toward home</t>
  </si>
  <si>
    <t>HOMOGENEOUS</t>
  </si>
  <si>
    <t>HONDURAS</t>
  </si>
  <si>
    <t>HONEST#1</t>
  </si>
  <si>
    <t>| 79% adj: Truthful, genuine, honorable</t>
  </si>
  <si>
    <t>HONEST#2</t>
  </si>
  <si>
    <t>| 13% adv: "Honestly" - in an honest manner</t>
  </si>
  <si>
    <t>HONEST#3</t>
  </si>
  <si>
    <t>| 8% adv: "Honestly" - truly, really - an intensive</t>
  </si>
  <si>
    <t>HONEY</t>
  </si>
  <si>
    <t>HONEYMOON</t>
  </si>
  <si>
    <t>HONG-KONG</t>
  </si>
  <si>
    <t>HONOR#1</t>
  </si>
  <si>
    <t>| 35% verb: To esteem, exalt, respect</t>
  </si>
  <si>
    <t>HONOR#2</t>
  </si>
  <si>
    <t>| 58% noun-adj: High regard, tokens thereof, integrity, respect</t>
  </si>
  <si>
    <t>HONOR#3</t>
  </si>
  <si>
    <t>| 8% adj: "Honored", highly regarded, respected</t>
  </si>
  <si>
    <t>HONORABLE</t>
  </si>
  <si>
    <t>HONOUR#1</t>
  </si>
  <si>
    <t>HONOURABLE#1</t>
  </si>
  <si>
    <t>HOP#1</t>
  </si>
  <si>
    <t>HOP#2</t>
  </si>
  <si>
    <t>HOPE#1</t>
  </si>
  <si>
    <t>| 74% verb: To look forward with desire and trust to something happening,  to feel that something desired may happe</t>
  </si>
  <si>
    <t>HOPE#2</t>
  </si>
  <si>
    <t>| 26% noun: The feeling that what is desired is also possible, that all  will turn out for the best, a desire or wish</t>
  </si>
  <si>
    <t>HOPEFUL</t>
  </si>
  <si>
    <t>HOPELESS</t>
  </si>
  <si>
    <t>HORDE</t>
  </si>
  <si>
    <t>HORIZON</t>
  </si>
  <si>
    <t>HORIZONTAL</t>
  </si>
  <si>
    <t>HORN#1</t>
  </si>
  <si>
    <t>| 88% noun: The animal bodypart of analogous structures; a wind instrument (1)</t>
  </si>
  <si>
    <t>HORN#2</t>
  </si>
  <si>
    <t>| 6% adj: "Horned", having bony projections</t>
  </si>
  <si>
    <t>HORN#3</t>
  </si>
  <si>
    <t>| 3% idiom-noun: "The horns of a dilemma"</t>
  </si>
  <si>
    <t>HORRIBLE</t>
  </si>
  <si>
    <t>| adj: Frightful, unpleasant</t>
  </si>
  <si>
    <t>HORRID</t>
  </si>
  <si>
    <t>HORRIFIES</t>
  </si>
  <si>
    <t>HORRIFY</t>
  </si>
  <si>
    <t>HORROR</t>
  </si>
  <si>
    <t>HORSE</t>
  </si>
  <si>
    <t>| noun: A large four footed animal</t>
  </si>
  <si>
    <t>HORSEMEN</t>
  </si>
  <si>
    <t>HORTICULTURE</t>
  </si>
  <si>
    <t>HOSPITABLE</t>
  </si>
  <si>
    <t>HOSPITAL</t>
  </si>
  <si>
    <t>| noun-adj: A place where medical care is administered</t>
  </si>
  <si>
    <t>HOSPITALITY</t>
  </si>
  <si>
    <t>HOST</t>
  </si>
  <si>
    <t>HOSTESS</t>
  </si>
  <si>
    <t>HOSTILE</t>
  </si>
  <si>
    <t>HOSTILITY</t>
  </si>
  <si>
    <t>HOT#1</t>
  </si>
  <si>
    <t>| 80% adj: High in temperature</t>
  </si>
  <si>
    <t>HOT#2</t>
  </si>
  <si>
    <t>| 7% adj: Intense, excited, exciting</t>
  </si>
  <si>
    <t>HOT#3</t>
  </si>
  <si>
    <t>| 2% adv: "Hotly", excitedly, intensely</t>
  </si>
  <si>
    <t>HOT#4</t>
  </si>
  <si>
    <t>| 5% idiom-noun: Hot dog</t>
  </si>
  <si>
    <t>HOT#5</t>
  </si>
  <si>
    <t>| 5% idiom-noun: Hot rod</t>
  </si>
  <si>
    <t>HOT#6</t>
  </si>
  <si>
    <t>| 0% idiom-adv: "Not so hot"--not too well</t>
  </si>
  <si>
    <t>HOTEL</t>
  </si>
  <si>
    <t>| noun-adj: Establishment for accommodation of travelers</t>
  </si>
  <si>
    <t>HOUR</t>
  </si>
  <si>
    <t>| noun-adj.: Specific period of time, one twenty-fourth of a day</t>
  </si>
  <si>
    <t>HOUSE#1</t>
  </si>
  <si>
    <t>| 92% noun-adj: A building or place of residence, pertaining to same</t>
  </si>
  <si>
    <t>HOUSE#2</t>
  </si>
  <si>
    <t>| 2% noun-adj: Legislative body (includes idiom "house of representatives")</t>
  </si>
  <si>
    <t>HOUSE#3</t>
  </si>
  <si>
    <t>| 1% noun: "The white house" - seat of usa executive branch</t>
  </si>
  <si>
    <t>HOUSE#4</t>
  </si>
  <si>
    <t>| 5% noun-adj: "Housing" - accommodations collectively</t>
  </si>
  <si>
    <t>HOUSE#5</t>
  </si>
  <si>
    <t>| 0% verb: To shelter, lodge, accommodate</t>
  </si>
  <si>
    <t>HOUSE#6</t>
  </si>
  <si>
    <t>| 0% idiom-noun: "Clearing house"--place where mutual claims are settled--  handled by "clear"</t>
  </si>
  <si>
    <t>HOUSEHOLD</t>
  </si>
  <si>
    <t>HOUSEKEEPER</t>
  </si>
  <si>
    <t>HOW</t>
  </si>
  <si>
    <t>LY INT</t>
  </si>
  <si>
    <t>| adverb: To what extent or degree, the manner, state or way in which</t>
  </si>
  <si>
    <t>HOWEVER</t>
  </si>
  <si>
    <t>| conj: Nevertheless, yet, on the other hand</t>
  </si>
  <si>
    <t>HUDDLE#1</t>
  </si>
  <si>
    <t>HUDDLE#2</t>
  </si>
  <si>
    <t>HUG</t>
  </si>
  <si>
    <t>HUGE</t>
  </si>
  <si>
    <t>| adj: Very large in size, extent, or degree</t>
  </si>
  <si>
    <t>HULL</t>
  </si>
  <si>
    <t>HUMAN</t>
  </si>
  <si>
    <t>| noun-adjective: Of or pertaining to homo sapiens (half the uses are with  the word "being" to designate the creature itself); the creature itself (2)</t>
  </si>
  <si>
    <t>HUMANITARIAN</t>
  </si>
  <si>
    <t>HUMANITY</t>
  </si>
  <si>
    <t>HUMBLE</t>
  </si>
  <si>
    <t>HUMIDITY</t>
  </si>
  <si>
    <t>HUMILIATE</t>
  </si>
  <si>
    <t>HUMILIATION</t>
  </si>
  <si>
    <t>HUMILITY</t>
  </si>
  <si>
    <t>HUMOR</t>
  </si>
  <si>
    <t>HUMOROUS</t>
  </si>
  <si>
    <t>HUMOUR#1</t>
  </si>
  <si>
    <t>HUNCH</t>
  </si>
  <si>
    <t>HUNDRED#1</t>
  </si>
  <si>
    <t>| 92% noun-adj: The cardinal number</t>
  </si>
  <si>
    <t>HUNDRED#2</t>
  </si>
  <si>
    <t>| 8% noun: "Hundreds"</t>
  </si>
  <si>
    <t>HUNDREDTH#1</t>
  </si>
  <si>
    <t>HUNG#1</t>
  </si>
  <si>
    <t>| 43% verb: To have suspended or attached (transitive)</t>
  </si>
  <si>
    <t>HUNG#2</t>
  </si>
  <si>
    <t>| 30% verb: To have been suspended or attached (intransitive)</t>
  </si>
  <si>
    <t>HUNG#3</t>
  </si>
  <si>
    <t>| 22% idiom-adj-adv: 'hung up'--impeded by, caught up in</t>
  </si>
  <si>
    <t>HUNG#4</t>
  </si>
  <si>
    <t>| 4% idiom-verb: 'hung on to'--clung to</t>
  </si>
  <si>
    <t>HUNGARY</t>
  </si>
  <si>
    <t>HUNGER</t>
  </si>
  <si>
    <t>HUNGRY</t>
  </si>
  <si>
    <t>| adj: Desirous of food</t>
  </si>
  <si>
    <t>HUNT#1</t>
  </si>
  <si>
    <t>| 1% noun: A chasing and killing of animals; a searching out (0)</t>
  </si>
  <si>
    <t>HUNT#2</t>
  </si>
  <si>
    <t>| 94% verb: To chase and kill animals; to search out (14)</t>
  </si>
  <si>
    <t>HUNT#3</t>
  </si>
  <si>
    <t>| 5% adj: "Hunting"--related to searching out</t>
  </si>
  <si>
    <t>HUNTER</t>
  </si>
  <si>
    <t>| noun: One who chases and kills animals</t>
  </si>
  <si>
    <t>HURL</t>
  </si>
  <si>
    <t>HURRAH</t>
  </si>
  <si>
    <t>HURRICANE</t>
  </si>
  <si>
    <t>HURRY#1</t>
  </si>
  <si>
    <t>| 28% noun: A rush (almost always "in a hurry")</t>
  </si>
  <si>
    <t>HURRY#2</t>
  </si>
  <si>
    <t>| 48% verb: To rush or cause to rush</t>
  </si>
  <si>
    <t>HURRY#3</t>
  </si>
  <si>
    <t>| 14% adv: "Hurriedly" - quickly</t>
  </si>
  <si>
    <t>HURRY#4</t>
  </si>
  <si>
    <t>| 0% adj: "Hurried" - rushed</t>
  </si>
  <si>
    <t>HURRY#5</t>
  </si>
  <si>
    <t>| 10% noun-adj: "Hurrying" - rushing</t>
  </si>
  <si>
    <t>HURT#1</t>
  </si>
  <si>
    <t>| 89% verb: To injure or harm, to cause or experience pain or distress</t>
  </si>
  <si>
    <t>HURT#2</t>
  </si>
  <si>
    <t>| 11% noun-adj: Injury or pain, injured</t>
  </si>
  <si>
    <t>HURTFUL</t>
  </si>
  <si>
    <t>HURTLE</t>
  </si>
  <si>
    <t>HUSBAND</t>
  </si>
  <si>
    <t>| noun: Male spouse</t>
  </si>
  <si>
    <t>HUSTLE</t>
  </si>
  <si>
    <t>HUSTLER</t>
  </si>
  <si>
    <t>HUT</t>
  </si>
  <si>
    <t>| noun: A small dwelling of simple construction.</t>
  </si>
  <si>
    <t>HYDROGEN</t>
  </si>
  <si>
    <t>HYGIENE</t>
  </si>
  <si>
    <t>HYMN</t>
  </si>
  <si>
    <t>HYPOCRISY</t>
  </si>
  <si>
    <t>HYPOCRITE</t>
  </si>
  <si>
    <t>HYPOTHESIS</t>
  </si>
  <si>
    <t>HYSTERIA</t>
  </si>
  <si>
    <t>HYSTERICAL</t>
  </si>
  <si>
    <t>I</t>
  </si>
  <si>
    <t>PRON DEF DEF1 Singp</t>
  </si>
  <si>
    <t>| pronoun: The nominative singular pronoun, used by a speaker in referring to himself</t>
  </si>
  <si>
    <t>I'M</t>
  </si>
  <si>
    <t>PRON DEF DEF1 Singp SUPV VERB BE</t>
  </si>
  <si>
    <t>ICE#1</t>
  </si>
  <si>
    <t>| 62% noun-adj: Frozen water, of or as cold as frozen water</t>
  </si>
  <si>
    <t>ICE#2</t>
  </si>
  <si>
    <t>| 33% idiom-noun-adj: "Ice cream"</t>
  </si>
  <si>
    <t>ICE#3</t>
  </si>
  <si>
    <t>| 5% adj: "Iced"--covered or cooled with ice</t>
  </si>
  <si>
    <t>ICE#4</t>
  </si>
  <si>
    <t>| 0% noun: "Icing" - frosting</t>
  </si>
  <si>
    <t>ICELAND</t>
  </si>
  <si>
    <t>ICY</t>
  </si>
  <si>
    <t>IDAHO</t>
  </si>
  <si>
    <t>IDEA</t>
  </si>
  <si>
    <t>| noun: Any conception existing in the mind as a result of mental activity,  an opinion, view or belief</t>
  </si>
  <si>
    <t>IDEAL#1</t>
  </si>
  <si>
    <t>| 54% noun: A concept of perfection, a principle</t>
  </si>
  <si>
    <t>IDEAL#2</t>
  </si>
  <si>
    <t>| 29% adj: Perfect, conforming to an ideal</t>
  </si>
  <si>
    <t>IDEAL#3</t>
  </si>
  <si>
    <t>| 17% adv: "Ideally"--perfectly, in conformity with an ideal</t>
  </si>
  <si>
    <t>IDEALISM</t>
  </si>
  <si>
    <t>IDENTICAL</t>
  </si>
  <si>
    <t>IDENTIFICATION</t>
  </si>
  <si>
    <t>IDENTIFY</t>
  </si>
  <si>
    <t>IDENTITY</t>
  </si>
  <si>
    <t>IDEOLOGICAL</t>
  </si>
  <si>
    <t>IDEOLOGY</t>
  </si>
  <si>
    <t>IDIOT</t>
  </si>
  <si>
    <t>IDIOTIC</t>
  </si>
  <si>
    <t>IDLE#1</t>
  </si>
  <si>
    <t>IDLE#2</t>
  </si>
  <si>
    <t>IDLENESS</t>
  </si>
  <si>
    <t>IDOL</t>
  </si>
  <si>
    <t>IDOLIZE</t>
  </si>
  <si>
    <t>IF</t>
  </si>
  <si>
    <t>| conj: In case that, granting or supposing that, even though</t>
  </si>
  <si>
    <t>IGNITION</t>
  </si>
  <si>
    <t>IGNOBLE</t>
  </si>
  <si>
    <t>IGNORANCE</t>
  </si>
  <si>
    <t>IGNORANT</t>
  </si>
  <si>
    <t>IGNORE</t>
  </si>
  <si>
    <t>ILL#1</t>
  </si>
  <si>
    <t>| 59% adj: Of unsound physical or mental health, sick</t>
  </si>
  <si>
    <t>ILL#2</t>
  </si>
  <si>
    <t>| 28% adj-adv: Objectionable, unsatisfactory, bad, adverse, poorly</t>
  </si>
  <si>
    <t>ILL#3</t>
  </si>
  <si>
    <t>| 7% noun: Evil, harm, injury, disease</t>
  </si>
  <si>
    <t>ILL#4</t>
  </si>
  <si>
    <t>| 7% adj-idiom: "Ill at ease"--uncomfortable</t>
  </si>
  <si>
    <t>ILL-DEFINED</t>
  </si>
  <si>
    <t>ILLEGAL</t>
  </si>
  <si>
    <t>ILLEGALITY</t>
  </si>
  <si>
    <t>ILLINOIS</t>
  </si>
  <si>
    <t>ILLITERATE</t>
  </si>
  <si>
    <t>ILLNESS</t>
  </si>
  <si>
    <t>| noun: Sickness of the body or mind</t>
  </si>
  <si>
    <t>ILLOGICAL</t>
  </si>
  <si>
    <t>ILLUMINATE</t>
  </si>
  <si>
    <t>ILLUMINATION</t>
  </si>
  <si>
    <t>ILLUSION</t>
  </si>
  <si>
    <t>ILLUSSION</t>
  </si>
  <si>
    <t>ILLUSTRATE</t>
  </si>
  <si>
    <t>ILLUSTRATION</t>
  </si>
  <si>
    <t>ILLUSTRIOUS</t>
  </si>
  <si>
    <t>IMAGE#1</t>
  </si>
  <si>
    <t>| 58% noun: The way a person (or organization) is seen by other people--i  am concerned about my image"</t>
  </si>
  <si>
    <t>IMAGE#2</t>
  </si>
  <si>
    <t>| 42% noun: A visual or mental representation, a picture</t>
  </si>
  <si>
    <t>IMAGERY</t>
  </si>
  <si>
    <t>IMAGINABLE</t>
  </si>
  <si>
    <t>IMAGINARY</t>
  </si>
  <si>
    <t>IMAGINATION</t>
  </si>
  <si>
    <t>IMAGINATIVE</t>
  </si>
  <si>
    <t>IMAGINE</t>
  </si>
  <si>
    <t>| verb: To form a mental image, to speculate, conjecture, suppose, or fantasize</t>
  </si>
  <si>
    <t>IMITATE</t>
  </si>
  <si>
    <t>IMITATION</t>
  </si>
  <si>
    <t>IMMACULATE</t>
  </si>
  <si>
    <t>IMMATURE</t>
  </si>
  <si>
    <t>IMMATURITY</t>
  </si>
  <si>
    <t>IMMEDIACY</t>
  </si>
  <si>
    <t>IMMEDIATE#1</t>
  </si>
  <si>
    <t>| 33% adjective: Instantaneous, in the very near future, temporally close  or adjacent, present; spatially close, near (</t>
  </si>
  <si>
    <t>IMMEDIATE#2</t>
  </si>
  <si>
    <t>| 67% adverb: "Immediately"--without delay, instantly, at once</t>
  </si>
  <si>
    <t>IMMENSE</t>
  </si>
  <si>
    <t>IMMIGRANT</t>
  </si>
  <si>
    <t>IMMIGRATE</t>
  </si>
  <si>
    <t>IMMIGRATION</t>
  </si>
  <si>
    <t>IMMINENT</t>
  </si>
  <si>
    <t>IMMOBILITY</t>
  </si>
  <si>
    <t>IMMODERATE</t>
  </si>
  <si>
    <t>IMMORAL</t>
  </si>
  <si>
    <t>IMMORALITY</t>
  </si>
  <si>
    <t>IMMORTAL</t>
  </si>
  <si>
    <t>IMMOVABLE</t>
  </si>
  <si>
    <t>IMPACT</t>
  </si>
  <si>
    <t>IMPAIR</t>
  </si>
  <si>
    <t>IMPARTIAL</t>
  </si>
  <si>
    <t>IMPARTIALITY</t>
  </si>
  <si>
    <t>IMPASSABLE</t>
  </si>
  <si>
    <t>IMPASSE</t>
  </si>
  <si>
    <t>IMPATIENCE</t>
  </si>
  <si>
    <t>IMPATIENT</t>
  </si>
  <si>
    <t>IMPEDE</t>
  </si>
  <si>
    <t>IMPEDIMENT</t>
  </si>
  <si>
    <t>IMPEL</t>
  </si>
  <si>
    <t>IMPERATIVE</t>
  </si>
  <si>
    <t>IMPERCEPTIBLE</t>
  </si>
  <si>
    <t>IMPERFECT</t>
  </si>
  <si>
    <t>IMPERIAL</t>
  </si>
  <si>
    <t>IMPERIALISM</t>
  </si>
  <si>
    <t>IMPERIALIST</t>
  </si>
  <si>
    <t>IMPERISHABLE</t>
  </si>
  <si>
    <t>IMPERSONAL</t>
  </si>
  <si>
    <t>IMPERVIOUS</t>
  </si>
  <si>
    <t>IMPETUOUS</t>
  </si>
  <si>
    <t>IMPETUS</t>
  </si>
  <si>
    <t>IMPLAUSIBILITY</t>
  </si>
  <si>
    <t>IMPLAUSIBLE</t>
  </si>
  <si>
    <t>IMPLEMENT</t>
  </si>
  <si>
    <t>IMPLEMENTATION</t>
  </si>
  <si>
    <t>IMPLICATE</t>
  </si>
  <si>
    <t>IMPLICATION</t>
  </si>
  <si>
    <t>IMPLORE</t>
  </si>
  <si>
    <t>IMPLY</t>
  </si>
  <si>
    <t>IMPORT</t>
  </si>
  <si>
    <t>IMPORTANCE</t>
  </si>
  <si>
    <t>| noun: Significance, consequence, value</t>
  </si>
  <si>
    <t>IMPORTANT</t>
  </si>
  <si>
    <t>| adjective: Significant, worthy of attention</t>
  </si>
  <si>
    <t>IMPOSE</t>
  </si>
  <si>
    <t>IMPOSITION</t>
  </si>
  <si>
    <t>IMPOSSIBILITY</t>
  </si>
  <si>
    <t>IMPOSSIBLE#1</t>
  </si>
  <si>
    <t>| 94% adjective: Not able to be done, happen, etc.</t>
  </si>
  <si>
    <t>IMPOSSIBLE#2</t>
  </si>
  <si>
    <t>| 6% noun: That which cannot be done</t>
  </si>
  <si>
    <t>IMPOSTOR</t>
  </si>
  <si>
    <t>IMPOSTURE</t>
  </si>
  <si>
    <t>IMPOTENCY</t>
  </si>
  <si>
    <t>IMPOTENT</t>
  </si>
  <si>
    <t>IMPOVERISH</t>
  </si>
  <si>
    <t>IMPRACTICAL</t>
  </si>
  <si>
    <t>IMPRECISION</t>
  </si>
  <si>
    <t>IMPRESS#1</t>
  </si>
  <si>
    <t>| 97% verb: To have a strong, usually pleasing, effect on the mind or Emotions</t>
  </si>
  <si>
    <t>IMPRESS#2</t>
  </si>
  <si>
    <t>| 3% noun: A mark, an effect produced by a strong influence</t>
  </si>
  <si>
    <t>IMPRESSION</t>
  </si>
  <si>
    <t>| noun: A mental effect, usually hazy--a perception, feeling or thought</t>
  </si>
  <si>
    <t>IMPRESSIVE</t>
  </si>
  <si>
    <t>IMPRISON</t>
  </si>
  <si>
    <t>IMPRISONMENT</t>
  </si>
  <si>
    <t>IMPROBABILITY</t>
  </si>
  <si>
    <t>IMPROBABLE</t>
  </si>
  <si>
    <t>IMPROPER</t>
  </si>
  <si>
    <t>IMPROVE#1</t>
  </si>
  <si>
    <t>| 76% verb: To make better in quality or condition</t>
  </si>
  <si>
    <t>IMPROVE#2</t>
  </si>
  <si>
    <t>| 17% verb: To become better in quality or condition</t>
  </si>
  <si>
    <t>IMPROVE#3</t>
  </si>
  <si>
    <t>| 7% adj: "Improved", bettered</t>
  </si>
  <si>
    <t>IMPROVEMENT</t>
  </si>
  <si>
    <t>IMPULSE</t>
  </si>
  <si>
    <t>IMPULSIVE</t>
  </si>
  <si>
    <t>IMPUNITY</t>
  </si>
  <si>
    <t>IMPURE</t>
  </si>
  <si>
    <t>IMPURITY</t>
  </si>
  <si>
    <t>IMPUTE</t>
  </si>
  <si>
    <t>IN</t>
  </si>
  <si>
    <t>| prep-adv: Indicates inclusion, situation, presence, action etc. within  limits--inside, within</t>
  </si>
  <si>
    <t>INABILITY</t>
  </si>
  <si>
    <t>INACCESSIBLE</t>
  </si>
  <si>
    <t>INACCURACY</t>
  </si>
  <si>
    <t>INADEQUACY</t>
  </si>
  <si>
    <t>INADEQUATE</t>
  </si>
  <si>
    <t>INANE</t>
  </si>
  <si>
    <t>INATE</t>
  </si>
  <si>
    <t>INAUGURATE</t>
  </si>
  <si>
    <t>INAUGURATION</t>
  </si>
  <si>
    <t>INC.</t>
  </si>
  <si>
    <t>INCALCULABLE</t>
  </si>
  <si>
    <t>INCAPABLE</t>
  </si>
  <si>
    <t>INCAPACITY</t>
  </si>
  <si>
    <t>INCENTIVE</t>
  </si>
  <si>
    <t>INCESSANT</t>
  </si>
  <si>
    <t>INCEST</t>
  </si>
  <si>
    <t>INCH</t>
  </si>
  <si>
    <t>INCIDENCE</t>
  </si>
  <si>
    <t>INCIDENT</t>
  </si>
  <si>
    <t>INCIDENTAL</t>
  </si>
  <si>
    <t>INCIPIENT</t>
  </si>
  <si>
    <t>INCLINATION</t>
  </si>
  <si>
    <t>INCLINE#1</t>
  </si>
  <si>
    <t>INCLINE#2</t>
  </si>
  <si>
    <t>INCLUDE</t>
  </si>
  <si>
    <t>| verb: To contain or embrace</t>
  </si>
  <si>
    <t>INCOME#1</t>
  </si>
  <si>
    <t>| 79% noun-adj: Revenue received periodically</t>
  </si>
  <si>
    <t>INCOME#2</t>
  </si>
  <si>
    <t>| 0% adj: "Incoming", coming in, arriving</t>
  </si>
  <si>
    <t>INCOME#3</t>
  </si>
  <si>
    <t>| 21% idiom-noun: "Income tax"--handled by "tax"</t>
  </si>
  <si>
    <t>INCOMPARABLE</t>
  </si>
  <si>
    <t>INCOMPATIBILITY</t>
  </si>
  <si>
    <t>INCOMPATIBLE</t>
  </si>
  <si>
    <t>INCOMPETENCE</t>
  </si>
  <si>
    <t>INCOMPETENT</t>
  </si>
  <si>
    <t>INCOMPLETE</t>
  </si>
  <si>
    <t>INCONCEIVABLE</t>
  </si>
  <si>
    <t>INCONSIDERABLE</t>
  </si>
  <si>
    <t>INCONSISTENCY</t>
  </si>
  <si>
    <t>INCONSISTENT</t>
  </si>
  <si>
    <t>INCONTESTABILITY</t>
  </si>
  <si>
    <t>INCONTESTABLE</t>
  </si>
  <si>
    <t>INCONVENIENCE</t>
  </si>
  <si>
    <t>INCONVENIENT</t>
  </si>
  <si>
    <t>INCORPORATE#1</t>
  </si>
  <si>
    <t>INCORPORATE#2</t>
  </si>
  <si>
    <t>INCORRECT</t>
  </si>
  <si>
    <t>INCREASE#1</t>
  </si>
  <si>
    <t>| 39% verb: To make greater in any respect, augment</t>
  </si>
  <si>
    <t>INCREASE#2</t>
  </si>
  <si>
    <t>| 20% noun: Growth or augmentation in numbers, etc.</t>
  </si>
  <si>
    <t>INCREASE#3</t>
  </si>
  <si>
    <t>| 11% adj: "Increased"--larger or greater</t>
  </si>
  <si>
    <t>INCREASE#4</t>
  </si>
  <si>
    <t>| 16% adj: "Increasing"--becoming larger or greater</t>
  </si>
  <si>
    <t>INCREASE#5</t>
  </si>
  <si>
    <t>| 13% adv: "Increasingly"--more and more</t>
  </si>
  <si>
    <t>INCREDIBILITY</t>
  </si>
  <si>
    <t>INCREDIBLE</t>
  </si>
  <si>
    <t>INCUMBENT#1</t>
  </si>
  <si>
    <t>INCUMBENT#2</t>
  </si>
  <si>
    <t>INCUR</t>
  </si>
  <si>
    <t>INCURABLE</t>
  </si>
  <si>
    <t>INDEBTED</t>
  </si>
  <si>
    <t>INDECENT</t>
  </si>
  <si>
    <t>INDECISION</t>
  </si>
  <si>
    <t>INDECISIVE</t>
  </si>
  <si>
    <t>INDECISIVENESS</t>
  </si>
  <si>
    <t>INDEED</t>
  </si>
  <si>
    <t>| adverb: In fact, in reality, in truth</t>
  </si>
  <si>
    <t>INDEFINITE</t>
  </si>
  <si>
    <t>INDEMNITY</t>
  </si>
  <si>
    <t>INDEPENDENCE</t>
  </si>
  <si>
    <t>| noun: Freedom, autonomy, self-reliance, liberty</t>
  </si>
  <si>
    <t>INDEPENDENT#1</t>
  </si>
  <si>
    <t>| 37% adj: Autonomous (refers to economic or political units other than  individual people)</t>
  </si>
  <si>
    <t>INDEPENDENT#2</t>
  </si>
  <si>
    <t>| 49% adj: Self-reliant, autonomous, having independence (refers to a person)</t>
  </si>
  <si>
    <t>INDEPENDENT#3</t>
  </si>
  <si>
    <t>| 14% noun-adj: Free of party constraints, someone who votes thus</t>
  </si>
  <si>
    <t>INDEPENDENT#4</t>
  </si>
  <si>
    <t>| 0% adv: "Independently", autonomously</t>
  </si>
  <si>
    <t>INDESCRIBABLE</t>
  </si>
  <si>
    <t>INDETERMINABLE</t>
  </si>
  <si>
    <t>INDETERMINATE</t>
  </si>
  <si>
    <t>INDEX</t>
  </si>
  <si>
    <t>INDIA</t>
  </si>
  <si>
    <t>INDIAN</t>
  </si>
  <si>
    <t>INDIANA</t>
  </si>
  <si>
    <t>INDICATE</t>
  </si>
  <si>
    <t>| verb: To point out, signify, or intimate</t>
  </si>
  <si>
    <t>INDICATION</t>
  </si>
  <si>
    <t>INDICATIVE</t>
  </si>
  <si>
    <t>INDICES</t>
  </si>
  <si>
    <t>INDICTMENT</t>
  </si>
  <si>
    <t>INDIES#1</t>
  </si>
  <si>
    <t>INDIES#2</t>
  </si>
  <si>
    <t>INDIFFERENCE</t>
  </si>
  <si>
    <t>INDIFFERENT</t>
  </si>
  <si>
    <t>INDIGNANT</t>
  </si>
  <si>
    <t>INDIGNATION</t>
  </si>
  <si>
    <t>INDIRECT</t>
  </si>
  <si>
    <t>INDISPENSABILITY</t>
  </si>
  <si>
    <t>INDISPENSABLE</t>
  </si>
  <si>
    <t>INDISPUTABLE</t>
  </si>
  <si>
    <t>INDISTINCT</t>
  </si>
  <si>
    <t>INDISTINGUISHABLE</t>
  </si>
  <si>
    <t>INDIVIDUAL#1</t>
  </si>
  <si>
    <t>| 70% noun: A (unique) person</t>
  </si>
  <si>
    <t>INDIVIDUAL#2</t>
  </si>
  <si>
    <t>| 27% adj: Single, particular, or pertaining to an individual or individuals</t>
  </si>
  <si>
    <t>INDIVIDUAL#3</t>
  </si>
  <si>
    <t>| 3% adv: "Individually"--singly</t>
  </si>
  <si>
    <t>INDIVIDUALITY</t>
  </si>
  <si>
    <t>INDIVISIBLE</t>
  </si>
  <si>
    <t>INDOCHINA</t>
  </si>
  <si>
    <t>INDOMITABLE</t>
  </si>
  <si>
    <t>INDONESIA</t>
  </si>
  <si>
    <t>INDUCE</t>
  </si>
  <si>
    <t>INDULGE</t>
  </si>
  <si>
    <t>INDULGENCE</t>
  </si>
  <si>
    <t>INDUSTRIAL</t>
  </si>
  <si>
    <t>INDUSTRIALISM</t>
  </si>
  <si>
    <t>INDUSTRIALIZE</t>
  </si>
  <si>
    <t>INDUSTRIOUS</t>
  </si>
  <si>
    <t>INDUSTRY</t>
  </si>
  <si>
    <t>| noun-adj: Any branch of trade, business, or manufacture</t>
  </si>
  <si>
    <t>INEFFECTIVE</t>
  </si>
  <si>
    <t>INEFFECTIVENESS</t>
  </si>
  <si>
    <t>INEFFECTUAL</t>
  </si>
  <si>
    <t>INEFFECTUALNESS</t>
  </si>
  <si>
    <t>INEFFICIENCY</t>
  </si>
  <si>
    <t>INEPT</t>
  </si>
  <si>
    <t>INEQUALITY</t>
  </si>
  <si>
    <t>INEQUITABLE</t>
  </si>
  <si>
    <t>INEQUITY</t>
  </si>
  <si>
    <t>INESTIMABLE</t>
  </si>
  <si>
    <t>INETRANS</t>
  </si>
  <si>
    <t>INEVITABILITY</t>
  </si>
  <si>
    <t>INEVITABLE</t>
  </si>
  <si>
    <t>| adj: Unavoidable, certain to happen</t>
  </si>
  <si>
    <t>INEXACT</t>
  </si>
  <si>
    <t>INEXCUSABLE</t>
  </si>
  <si>
    <t>INEXPEDIENT</t>
  </si>
  <si>
    <t>INEXPENSIVE</t>
  </si>
  <si>
    <t>INEXPLICABLE</t>
  </si>
  <si>
    <t>INFALLIBILITY</t>
  </si>
  <si>
    <t>INFALLIBLE</t>
  </si>
  <si>
    <t>INFAMOUS</t>
  </si>
  <si>
    <t>INFANT</t>
  </si>
  <si>
    <t>INFANTRY</t>
  </si>
  <si>
    <t>INFECT</t>
  </si>
  <si>
    <t>INFECTION</t>
  </si>
  <si>
    <t>INFER</t>
  </si>
  <si>
    <t>INFERENCE</t>
  </si>
  <si>
    <t>INFERIOR</t>
  </si>
  <si>
    <t>INFERIORITY</t>
  </si>
  <si>
    <t>INFEST</t>
  </si>
  <si>
    <t>INFILTRATION</t>
  </si>
  <si>
    <t>INFINITE</t>
  </si>
  <si>
    <t>INFIRMITY</t>
  </si>
  <si>
    <t>INFLAME</t>
  </si>
  <si>
    <t>INFLATE</t>
  </si>
  <si>
    <t>INFLATION</t>
  </si>
  <si>
    <t>INFLATIONARY</t>
  </si>
  <si>
    <t>INFLEXIBLE</t>
  </si>
  <si>
    <t>INFLICT</t>
  </si>
  <si>
    <t>INFLUENCE#1</t>
  </si>
  <si>
    <t>| 50% noun: Power to produce effects</t>
  </si>
  <si>
    <t>INFLUENCE#2</t>
  </si>
  <si>
    <t>| 48% verb: To exercise such power</t>
  </si>
  <si>
    <t>INFLUENTIAL</t>
  </si>
  <si>
    <t>INFLUX</t>
  </si>
  <si>
    <t>INFORM#1</t>
  </si>
  <si>
    <t>| 64% verb: To notify, to give information to</t>
  </si>
  <si>
    <t>INFORM#2</t>
  </si>
  <si>
    <t>| 36% adj: "Informed"--having information, knowledge, or education</t>
  </si>
  <si>
    <t>INFORMAL</t>
  </si>
  <si>
    <t>INFORMATION</t>
  </si>
  <si>
    <t>| noun-adj: Facts, data, knowledge</t>
  </si>
  <si>
    <t>INFRACTION</t>
  </si>
  <si>
    <t>INFREQUENT</t>
  </si>
  <si>
    <t>INFRINGEMENT</t>
  </si>
  <si>
    <t>INFURIATE</t>
  </si>
  <si>
    <t>INGENIOUS</t>
  </si>
  <si>
    <t>INGENUITY</t>
  </si>
  <si>
    <t>INGRATITUDE</t>
  </si>
  <si>
    <t>INHABIT</t>
  </si>
  <si>
    <t>INHABITANT</t>
  </si>
  <si>
    <t>INHERENT</t>
  </si>
  <si>
    <t>INHERIT</t>
  </si>
  <si>
    <t>INHIBIT</t>
  </si>
  <si>
    <t>INHIBITION</t>
  </si>
  <si>
    <t>INHUMANE</t>
  </si>
  <si>
    <t>INITIAL</t>
  </si>
  <si>
    <t>INITIATE</t>
  </si>
  <si>
    <t>INITIATIVE</t>
  </si>
  <si>
    <t>INJECT</t>
  </si>
  <si>
    <t>INJUNCTION</t>
  </si>
  <si>
    <t>INJURE</t>
  </si>
  <si>
    <t>INJURIOUS</t>
  </si>
  <si>
    <t>INJURY</t>
  </si>
  <si>
    <t>INJUSTICE</t>
  </si>
  <si>
    <t>Noun ABS ABS@ POLIT</t>
  </si>
  <si>
    <t>INLAND</t>
  </si>
  <si>
    <t>INNER</t>
  </si>
  <si>
    <t>INNING</t>
  </si>
  <si>
    <t>INNOCENCE</t>
  </si>
  <si>
    <t>INNOCENT</t>
  </si>
  <si>
    <t>INNOVATE</t>
  </si>
  <si>
    <t>INNOVATION</t>
  </si>
  <si>
    <t>INNOVATIVE</t>
  </si>
  <si>
    <t>INNUMERABLE</t>
  </si>
  <si>
    <t>INORDINATE</t>
  </si>
  <si>
    <t>INQUIRE</t>
  </si>
  <si>
    <t>INQUIRY</t>
  </si>
  <si>
    <t>INQUISITIVE</t>
  </si>
  <si>
    <t>INSANE</t>
  </si>
  <si>
    <t>INSECT</t>
  </si>
  <si>
    <t>INSECURE</t>
  </si>
  <si>
    <t>INSECURITY</t>
  </si>
  <si>
    <t>INSENSIBLE</t>
  </si>
  <si>
    <t>INSEPARABLE</t>
  </si>
  <si>
    <t>INSERT#1</t>
  </si>
  <si>
    <t>INSERT#2</t>
  </si>
  <si>
    <t>INSIDE#1</t>
  </si>
  <si>
    <t>| 43% prep: In, within</t>
  </si>
  <si>
    <t>INSIDE#2</t>
  </si>
  <si>
    <t>| 41% adv: Within</t>
  </si>
  <si>
    <t>INSIDE#3</t>
  </si>
  <si>
    <t>| 7% adj: Internal</t>
  </si>
  <si>
    <t>INSIDE#4</t>
  </si>
  <si>
    <t>| 9% noun: The part within, interior</t>
  </si>
  <si>
    <t>INSIDIOUS</t>
  </si>
  <si>
    <t>INSIGHT</t>
  </si>
  <si>
    <t>INSIGNIFICANT</t>
  </si>
  <si>
    <t>INSINUATE</t>
  </si>
  <si>
    <t>INSINUATION</t>
  </si>
  <si>
    <t>INSIST</t>
  </si>
  <si>
    <t>| verb: To be emphatic or persistent in asserting or demanding</t>
  </si>
  <si>
    <t>INSISTENCE</t>
  </si>
  <si>
    <t>INSISTENT</t>
  </si>
  <si>
    <t>INSOLENCE</t>
  </si>
  <si>
    <t>INSOLENT</t>
  </si>
  <si>
    <t>INSOLUABLE</t>
  </si>
  <si>
    <t>INSPECT</t>
  </si>
  <si>
    <t>INSPECTION</t>
  </si>
  <si>
    <t>INSPIRATION</t>
  </si>
  <si>
    <t>INSPIRATIONAL</t>
  </si>
  <si>
    <t>INSPIRE#1</t>
  </si>
  <si>
    <t>INSPIRE#2</t>
  </si>
  <si>
    <t>INSTABILITY</t>
  </si>
  <si>
    <t>INSTABLE</t>
  </si>
  <si>
    <t>INSTALL</t>
  </si>
  <si>
    <t>INSTALLATION</t>
  </si>
  <si>
    <t>INSTANCE#1</t>
  </si>
  <si>
    <t>| 27% noun: A representative example.</t>
  </si>
  <si>
    <t>INSTANCE#2</t>
  </si>
  <si>
    <t>| 73% idiom-adverb: 'for instance'--for example</t>
  </si>
  <si>
    <t>INSTANT</t>
  </si>
  <si>
    <t>INSTANTLY</t>
  </si>
  <si>
    <t>INSTEAD#1</t>
  </si>
  <si>
    <t>| 26% adverb: Rather, in lieu.</t>
  </si>
  <si>
    <t>INSTEAD#2</t>
  </si>
  <si>
    <t>| 73% idiom-prep.: "Instead of"--rather than, in lieu of</t>
  </si>
  <si>
    <t>INSTIGATE</t>
  </si>
  <si>
    <t>INSTINCT</t>
  </si>
  <si>
    <t>INSTINCTIVE</t>
  </si>
  <si>
    <t>INSTINCTUAL</t>
  </si>
  <si>
    <t>INSTITUTE#1</t>
  </si>
  <si>
    <t>| 91% noun-adj: An organization with a social, educational, etc., purpose</t>
  </si>
  <si>
    <t>INSTITUTE#2</t>
  </si>
  <si>
    <t>| 9% verb: To establish or initiate</t>
  </si>
  <si>
    <t>INSTITUTION</t>
  </si>
  <si>
    <t>| noun: An established pattern of behavior, an organization</t>
  </si>
  <si>
    <t>INSTITUTIONAL</t>
  </si>
  <si>
    <t>INSTRUCT</t>
  </si>
  <si>
    <t>INSTRUCTION</t>
  </si>
  <si>
    <t>INSTRUCTOR</t>
  </si>
  <si>
    <t>| noun: One who teaches</t>
  </si>
  <si>
    <t>INSTRUMENT</t>
  </si>
  <si>
    <t>| noun: A device for making music (18); a tool or implement (3)</t>
  </si>
  <si>
    <t>INSTRUMENTAL</t>
  </si>
  <si>
    <t>INSUBORDINATION</t>
  </si>
  <si>
    <t>INSUFFICIENCY</t>
  </si>
  <si>
    <t>INSUFFICIENT</t>
  </si>
  <si>
    <t>INSULATION</t>
  </si>
  <si>
    <t>INSULT</t>
  </si>
  <si>
    <t>INSURANCE</t>
  </si>
  <si>
    <t>| noun: The system or act of insuring by contract against loss</t>
  </si>
  <si>
    <t>INSURE</t>
  </si>
  <si>
    <t>INSURRECTION</t>
  </si>
  <si>
    <t>INTACT</t>
  </si>
  <si>
    <t>INTANGIBLE</t>
  </si>
  <si>
    <t>INTEGRATE</t>
  </si>
  <si>
    <t>INTEGRATION</t>
  </si>
  <si>
    <t>| noun: The bringing together of various races, especially black and white;  the bringing of previously separated elements into one uniform system (10)</t>
  </si>
  <si>
    <t>INTEGRITY</t>
  </si>
  <si>
    <t>INTELLECT</t>
  </si>
  <si>
    <t>INTELLECTUAL#1</t>
  </si>
  <si>
    <t>| 60% adj: Of or pertaining to the intellect</t>
  </si>
  <si>
    <t>INTELLECTUAL#2</t>
  </si>
  <si>
    <t>| 24% noun: Person with intellectual interests or tastes</t>
  </si>
  <si>
    <t>INTELLECTUAL#3</t>
  </si>
  <si>
    <t>| 10% adv: "Intellectually"--cerebrally</t>
  </si>
  <si>
    <t>INTELLIGENCE</t>
  </si>
  <si>
    <t>| noun-adj: Ability to learn or understand</t>
  </si>
  <si>
    <t>INTELLIGENT</t>
  </si>
  <si>
    <t>| adj: Having knowledge, understanding, or awareness</t>
  </si>
  <si>
    <t>INTELLIGIBLE</t>
  </si>
  <si>
    <t>INTEND#1</t>
  </si>
  <si>
    <t>| 95% verb: To have as plan or purpose</t>
  </si>
  <si>
    <t>INTEND#2</t>
  </si>
  <si>
    <t>| 0% adj: "Intended"--meant;planned</t>
  </si>
  <si>
    <t>INTENSE</t>
  </si>
  <si>
    <t>| adj: Very strong, fervent</t>
  </si>
  <si>
    <t>INTENSIFY</t>
  </si>
  <si>
    <t>INTENSITY</t>
  </si>
  <si>
    <t>INTENSIVE</t>
  </si>
  <si>
    <t>INTENT</t>
  </si>
  <si>
    <t>INTENTION</t>
  </si>
  <si>
    <t>INTERACT</t>
  </si>
  <si>
    <t>INTERCEDE</t>
  </si>
  <si>
    <t>INTERCOURSE</t>
  </si>
  <si>
    <t>INTERDEPENDENCE</t>
  </si>
  <si>
    <t>INTEREST#1</t>
  </si>
  <si>
    <t>| 63% noun: Curiosity, concern, involvement, stake</t>
  </si>
  <si>
    <t>INTEREST#2</t>
  </si>
  <si>
    <t>| 4% noun: The cost of borrowing money</t>
  </si>
  <si>
    <t>INTEREST#3</t>
  </si>
  <si>
    <t>| 5% verb: To arouse interest</t>
  </si>
  <si>
    <t>INTEREST#4</t>
  </si>
  <si>
    <t>| 28% adj: 'interesting'--productive of a feeling of interest</t>
  </si>
  <si>
    <t>INTERESTED#1</t>
  </si>
  <si>
    <t>| 2% verb: To arouse interest</t>
  </si>
  <si>
    <t>INTERESTED#2</t>
  </si>
  <si>
    <t>| 98% adj: "Interested"--characterized by a feeling of interest</t>
  </si>
  <si>
    <t>INTERFERE</t>
  </si>
  <si>
    <t>INTERFERENCE</t>
  </si>
  <si>
    <t>INTERIM</t>
  </si>
  <si>
    <t>INTERIOR</t>
  </si>
  <si>
    <t>INTERMEDIATE</t>
  </si>
  <si>
    <t>INTERNAL</t>
  </si>
  <si>
    <t>INTERNATIONAL#1</t>
  </si>
  <si>
    <t>| 97% adj: Between or among countries</t>
  </si>
  <si>
    <t>INTERNATIONAL#2</t>
  </si>
  <si>
    <t>| 3% adv: "Internationally"--between or among countries</t>
  </si>
  <si>
    <t>INTERNATIONAL-COURT</t>
  </si>
  <si>
    <t>INTERPERSONAL</t>
  </si>
  <si>
    <t>INTERPLANETARY</t>
  </si>
  <si>
    <t>INTERPOSE</t>
  </si>
  <si>
    <t>INTERPRET</t>
  </si>
  <si>
    <t>INTERPRETATION</t>
  </si>
  <si>
    <t>INTERRUPT</t>
  </si>
  <si>
    <t>INTERRUPTION</t>
  </si>
  <si>
    <t>INTERSTATE</t>
  </si>
  <si>
    <t>INTERTWINE</t>
  </si>
  <si>
    <t>INTERVAL</t>
  </si>
  <si>
    <t>INTERVENE</t>
  </si>
  <si>
    <t>INTERVENTION</t>
  </si>
  <si>
    <t>INTERVIEW#1</t>
  </si>
  <si>
    <t>INTERVIEW#2</t>
  </si>
  <si>
    <t>INTERVIEWER</t>
  </si>
  <si>
    <t>INTIMACY</t>
  </si>
  <si>
    <t>INTIMATE</t>
  </si>
  <si>
    <t>INTIMIDATE</t>
  </si>
  <si>
    <t>INTO</t>
  </si>
  <si>
    <t>| prep: Indicates motion or direction toward the inner part of a place or  thing, entrance or inclusion within limits</t>
  </si>
  <si>
    <t>INTOLERABLE</t>
  </si>
  <si>
    <t>INTOLERANCE</t>
  </si>
  <si>
    <t>INTOXICATE</t>
  </si>
  <si>
    <t>INTRANSIGENT</t>
  </si>
  <si>
    <t>INTRICATE</t>
  </si>
  <si>
    <t>INTRIGUE</t>
  </si>
  <si>
    <t>INTRODUCE</t>
  </si>
  <si>
    <t>INTRODUCTION</t>
  </si>
  <si>
    <t>INTRUDE</t>
  </si>
  <si>
    <t>INTRUDER</t>
  </si>
  <si>
    <t>INTRUSION</t>
  </si>
  <si>
    <t>INTRUST</t>
  </si>
  <si>
    <t>INTUITION</t>
  </si>
  <si>
    <t>INTUITIVE</t>
  </si>
  <si>
    <t>INUNDATE</t>
  </si>
  <si>
    <t>INUNDATED</t>
  </si>
  <si>
    <t>INVADE</t>
  </si>
  <si>
    <t>INVADER</t>
  </si>
  <si>
    <t>INVALID</t>
  </si>
  <si>
    <t>INVALUABLE</t>
  </si>
  <si>
    <t>INVARIABLE</t>
  </si>
  <si>
    <t>INVARIABLY</t>
  </si>
  <si>
    <t>INVASION</t>
  </si>
  <si>
    <t>INVENT</t>
  </si>
  <si>
    <t>INVENTION</t>
  </si>
  <si>
    <t>INVENTIVE</t>
  </si>
  <si>
    <t>INVENTOR</t>
  </si>
  <si>
    <t>INVENTORY</t>
  </si>
  <si>
    <t>INVEST</t>
  </si>
  <si>
    <t>INVESTIGATE</t>
  </si>
  <si>
    <t>INVESTIGATION</t>
  </si>
  <si>
    <t>INVESTMENT</t>
  </si>
  <si>
    <t>INVESTOR</t>
  </si>
  <si>
    <t>INVETERATE</t>
  </si>
  <si>
    <t>INVINCIBLE</t>
  </si>
  <si>
    <t>INVIOLABLE</t>
  </si>
  <si>
    <t>INVIOLATE</t>
  </si>
  <si>
    <t>INVISIBLE</t>
  </si>
  <si>
    <t>INVITATION</t>
  </si>
  <si>
    <t>INVITE#1</t>
  </si>
  <si>
    <t>| verb: To ask to a dinner, party, or for a visit or other social event;  more generally, to ask, request, call for (9)</t>
  </si>
  <si>
    <t>INVITE#2</t>
  </si>
  <si>
    <t>| 0% adj: 'inviting'--alluring, tempting</t>
  </si>
  <si>
    <t>INVOLUNTARY</t>
  </si>
  <si>
    <t>INVOLVE#1</t>
  </si>
  <si>
    <t>| 6% verb: To engage or cause to become involved</t>
  </si>
  <si>
    <t>INVOLVE#2</t>
  </si>
  <si>
    <t>| 52% verb-adj: 'involved'--engaged in, occupied or wrapped up with, Emotionally  tied to, concerned</t>
  </si>
  <si>
    <t>INVOLVE#3</t>
  </si>
  <si>
    <t>| 25% verb: To include as an integral part, entail, be a matter of, "this  involves work"</t>
  </si>
  <si>
    <t>INVOLVE#4</t>
  </si>
  <si>
    <t>| 13% verb-adj: 'involved'--of relevance, included as an integral part, in question</t>
  </si>
  <si>
    <t>INVOLVE#5</t>
  </si>
  <si>
    <t>| 4% adj-adv: 'involved'--complicated</t>
  </si>
  <si>
    <t>INVOLVEMENT</t>
  </si>
  <si>
    <t>INVULNERABLE</t>
  </si>
  <si>
    <t>INWARD</t>
  </si>
  <si>
    <t>IOWA</t>
  </si>
  <si>
    <t>IRAN</t>
  </si>
  <si>
    <t>IRAQ</t>
  </si>
  <si>
    <t>IRELAND</t>
  </si>
  <si>
    <t>IRISH</t>
  </si>
  <si>
    <t>IRK</t>
  </si>
  <si>
    <t>IRON#1</t>
  </si>
  <si>
    <t>| 73% adj-noun: The metal fe, made of this metal, or having to do with its  production--'the iron industry'; the instrument used for pressing clothes  (1); a branding iron (1)</t>
  </si>
  <si>
    <t>IRON#2</t>
  </si>
  <si>
    <t>| 23% verb: To press one's clothes</t>
  </si>
  <si>
    <t>IRON#3</t>
  </si>
  <si>
    <t>| 3% idiom: The 'iron curtain'</t>
  </si>
  <si>
    <t>IRON#4</t>
  </si>
  <si>
    <t>| 0% noun: "Ironing"--pressing clothes</t>
  </si>
  <si>
    <t>IRON#5</t>
  </si>
  <si>
    <t>| 0% noun: "Irons"--chains, shackles</t>
  </si>
  <si>
    <t>IRON-CURTAIN</t>
  </si>
  <si>
    <t>IRONIC</t>
  </si>
  <si>
    <t>IRONY</t>
  </si>
  <si>
    <t>IRRATIONAL</t>
  </si>
  <si>
    <t>IRREFUTABLE</t>
  </si>
  <si>
    <t>IRREGULAR</t>
  </si>
  <si>
    <t>IRREGULARITY</t>
  </si>
  <si>
    <t>IRRESISTIBLE</t>
  </si>
  <si>
    <t>IRRESPONSIBLE</t>
  </si>
  <si>
    <t>IRRIGATE</t>
  </si>
  <si>
    <t>IRRITABLE</t>
  </si>
  <si>
    <t>IRRITATION</t>
  </si>
  <si>
    <t>IS#1</t>
  </si>
  <si>
    <t>ISLAND</t>
  </si>
  <si>
    <t>| noun-adj: A tract of land completely surrounded by water and not large  enough to be called a continent</t>
  </si>
  <si>
    <t>ISOLATE#1</t>
  </si>
  <si>
    <t>ISOLATE#2</t>
  </si>
  <si>
    <t>ISOLATIONISM</t>
  </si>
  <si>
    <t>ISRAEL</t>
  </si>
  <si>
    <t>ISSUANCE</t>
  </si>
  <si>
    <t>ISSUE#1</t>
  </si>
  <si>
    <t>| 91% noun: A point in question or a matter that is in dispute</t>
  </si>
  <si>
    <t>ISSUE#2</t>
  </si>
  <si>
    <t>| 5% noun: That which is printed or published and distributed</t>
  </si>
  <si>
    <t>ISSUE#3</t>
  </si>
  <si>
    <t>| 4% verb: To go, pass, or flow out, come forth, discharge, emit</t>
  </si>
  <si>
    <t>IT</t>
  </si>
  <si>
    <t>PRON INDEF Thrdp Impers</t>
  </si>
  <si>
    <t>| pron-explet: Used to represent a thing, group, idea, or action understood,  previously mentioned, or about to be mentioned</t>
  </si>
  <si>
    <t>IT'S#1</t>
  </si>
  <si>
    <t>PRON INDEF SUPV VERB BE Thrdp PFREQ Impe</t>
  </si>
  <si>
    <t>| 91% contraction: A contraction of 'it is' (with 'is' used as a copula  to connect the pronoun 'it' with a predicate adjective or nominative for  amplifica</t>
  </si>
  <si>
    <t>IT'S#2</t>
  </si>
  <si>
    <t>PRON INDEF SUPV VERB HAV Thrdp Impers</t>
  </si>
  <si>
    <t>| 6% contraction: A contraction of 'it has' (used with the past participle  to form the perfect tense)</t>
  </si>
  <si>
    <t>IT'S#3</t>
  </si>
  <si>
    <t>PRON INDEF SUPV VERB BE Thrdp Impers</t>
  </si>
  <si>
    <t>| 4% contraction: A contraction of 'it is' (used with the present participle  of another verb to form the progressive tense)</t>
  </si>
  <si>
    <t>ITALIAN</t>
  </si>
  <si>
    <t>ITALY</t>
  </si>
  <si>
    <t>ITEM</t>
  </si>
  <si>
    <t>ITS</t>
  </si>
  <si>
    <t>DET GEN Thrdp Impers</t>
  </si>
  <si>
    <t>| pronoun: The possessive form of 'it' (used as an attributive adjective).</t>
  </si>
  <si>
    <t>ITSELF#1</t>
  </si>
  <si>
    <t>Thrdp Impers</t>
  </si>
  <si>
    <t>IVORY-COAST</t>
  </si>
  <si>
    <t>JACKET</t>
  </si>
  <si>
    <t>JAGGED</t>
  </si>
  <si>
    <t>JAIL#1</t>
  </si>
  <si>
    <t>| 96% noun: Prison</t>
  </si>
  <si>
    <t>JAIL#2</t>
  </si>
  <si>
    <t>| 4% verb: To imprison</t>
  </si>
  <si>
    <t>JAMAICA</t>
  </si>
  <si>
    <t>JANITOR</t>
  </si>
  <si>
    <t>JANUARY</t>
  </si>
  <si>
    <t>JAPAN</t>
  </si>
  <si>
    <t>JAPANESE</t>
  </si>
  <si>
    <t>JAR#1</t>
  </si>
  <si>
    <t>JAR#2</t>
  </si>
  <si>
    <t>JAW</t>
  </si>
  <si>
    <t>JAZZ</t>
  </si>
  <si>
    <t>JEALOUS</t>
  </si>
  <si>
    <t>JEALOUSY</t>
  </si>
  <si>
    <t>JEEP</t>
  </si>
  <si>
    <t>JEER</t>
  </si>
  <si>
    <t>JEOPARDISE#1</t>
  </si>
  <si>
    <t>JEOPARDIZE</t>
  </si>
  <si>
    <t>JEOPARDY</t>
  </si>
  <si>
    <t>JERK#1</t>
  </si>
  <si>
    <t>JERK#2</t>
  </si>
  <si>
    <t>JERSEY</t>
  </si>
  <si>
    <t>JEST</t>
  </si>
  <si>
    <t>JET</t>
  </si>
  <si>
    <t>JEW</t>
  </si>
  <si>
    <t>JEWEL</t>
  </si>
  <si>
    <t>JEWISH</t>
  </si>
  <si>
    <t>JITTERY</t>
  </si>
  <si>
    <t>JOB</t>
  </si>
  <si>
    <t>| noun: Piece of work, task, occupation</t>
  </si>
  <si>
    <t>JOBLESS</t>
  </si>
  <si>
    <t>JOIN#1</t>
  </si>
  <si>
    <t>| 59% verb: To become a member of a group or organization</t>
  </si>
  <si>
    <t>JOIN#2</t>
  </si>
  <si>
    <t>| 33% verb: To unite with, agree with, come together--"let us join together,"  "i join you in praising him"; to get or come together in an informal way--'i'll</t>
  </si>
  <si>
    <t>JOIN#3</t>
  </si>
  <si>
    <t>| 3% verb: To connect, engage (objects)</t>
  </si>
  <si>
    <t>JOINER</t>
  </si>
  <si>
    <t>JOINT</t>
  </si>
  <si>
    <t>JOINTLY</t>
  </si>
  <si>
    <t>JOKE#1</t>
  </si>
  <si>
    <t>| 85% noun-adj: A jest, funny story</t>
  </si>
  <si>
    <t>JOKE#2</t>
  </si>
  <si>
    <t>| 10% verb: To jest, be funny</t>
  </si>
  <si>
    <t>JOKE#3</t>
  </si>
  <si>
    <t>| 5% adv: "Jokingly", humorously</t>
  </si>
  <si>
    <t>JOKER</t>
  </si>
  <si>
    <t>JOLLY</t>
  </si>
  <si>
    <t>JORDAN</t>
  </si>
  <si>
    <t>JOURNAL</t>
  </si>
  <si>
    <t>JOURNALIST</t>
  </si>
  <si>
    <t>JOURNEY#1</t>
  </si>
  <si>
    <t>| 96% noun: A trip, travel, traveling</t>
  </si>
  <si>
    <t>JOURNEY#2</t>
  </si>
  <si>
    <t>| 4% verb: To travel</t>
  </si>
  <si>
    <t>JOY</t>
  </si>
  <si>
    <t>| noun: Bliss, happiness</t>
  </si>
  <si>
    <t>JOYFUL</t>
  </si>
  <si>
    <t>JOYOUS</t>
  </si>
  <si>
    <t>JUBILANT</t>
  </si>
  <si>
    <t>JUBILEE</t>
  </si>
  <si>
    <t>JUDGE#1</t>
  </si>
  <si>
    <t>| 49% verb: To form an opinion, estimate, generally moral or evaluative,  usually about human matters; to pass sentence in a court of law (2)</t>
  </si>
  <si>
    <t>JUDGE#2</t>
  </si>
  <si>
    <t>| 41% noun: An appointed legal arbitrator</t>
  </si>
  <si>
    <t>JUDGE#3</t>
  </si>
  <si>
    <t>| 10% noun: A person who evaluates or has the ability to evaluate--"he is  a judge of character"</t>
  </si>
  <si>
    <t>JUDGMENT#1</t>
  </si>
  <si>
    <t>| 79% noun: A decision, opinion, evaluation, verdict</t>
  </si>
  <si>
    <t>JUDGMENT#2</t>
  </si>
  <si>
    <t>| 21% noun: The faculty or capacity of decision</t>
  </si>
  <si>
    <t>JUDICIAL</t>
  </si>
  <si>
    <t>JUDICIOUS</t>
  </si>
  <si>
    <t>JUG</t>
  </si>
  <si>
    <t>JUICE</t>
  </si>
  <si>
    <t>JUICY</t>
  </si>
  <si>
    <t>JULY</t>
  </si>
  <si>
    <t>JUMP#1</t>
  </si>
  <si>
    <t>| 95% verb: To leap; to rise or increase suddenly (1)</t>
  </si>
  <si>
    <t>JUMP#2</t>
  </si>
  <si>
    <t>| 5% noun-adj: A sudden increase, a large gap or increment; a leap, the  act of leaping (2)</t>
  </si>
  <si>
    <t>JUMPY</t>
  </si>
  <si>
    <t>JUNCTURE</t>
  </si>
  <si>
    <t>JUNE</t>
  </si>
  <si>
    <t>JUNGLE</t>
  </si>
  <si>
    <t>| noun: Tropical land overgrown with vegetation</t>
  </si>
  <si>
    <t>JUNIOR#1</t>
  </si>
  <si>
    <t>| 84% noun-adj: Third year in college or high school, pertaining to same  or to person in that position, junior high school or college or pertaining to it</t>
  </si>
  <si>
    <t>JUNIOR#2</t>
  </si>
  <si>
    <t>| 16% adj: Second in age, experience, status</t>
  </si>
  <si>
    <t>JUNK</t>
  </si>
  <si>
    <t>JUNTA</t>
  </si>
  <si>
    <t>JURISDICTION</t>
  </si>
  <si>
    <t>JUROR</t>
  </si>
  <si>
    <t>JURY</t>
  </si>
  <si>
    <t>JUST#1</t>
  </si>
  <si>
    <t>| 69% adv: Only, merely, simply, usually with sense of emphasis--"we just  can't do it"</t>
  </si>
  <si>
    <t>JUST#2</t>
  </si>
  <si>
    <t>| 28% adv: Almost exactly or precisely at some time (most frequent), place,  position or condition, generally with a sense of proximity--"it just happened  a minute ago," "just over the hill</t>
  </si>
  <si>
    <t>JUST#3</t>
  </si>
  <si>
    <t>| 1% adj: Fair, equitable, rightful</t>
  </si>
  <si>
    <t>JUST#4</t>
  </si>
  <si>
    <t>| 0% adv: "Justly"--fairly, equitably, rightfully</t>
  </si>
  <si>
    <t>JUSTICE</t>
  </si>
  <si>
    <t>JUSTIFIABLE</t>
  </si>
  <si>
    <t>JUSTIFIABLY</t>
  </si>
  <si>
    <t>JUSTIFICATION</t>
  </si>
  <si>
    <t>JUSTIFY</t>
  </si>
  <si>
    <t>JUVENILE</t>
  </si>
  <si>
    <t>KANSAS</t>
  </si>
  <si>
    <t>KEEL</t>
  </si>
  <si>
    <t>KEEN</t>
  </si>
  <si>
    <t>KEEP#1</t>
  </si>
  <si>
    <t>| 79% verb: Cause to remain, continue, persist in some state or activity--  "keep alert," "keep your eyes open"; hold, possess, retain, maintain,  manage, "keep the peace," "don'</t>
  </si>
  <si>
    <t>KEEP#2</t>
  </si>
  <si>
    <t>| 4% verb: Bar, restrain, prevent, preserve against</t>
  </si>
  <si>
    <t>KEEP#3</t>
  </si>
  <si>
    <t>| 9% verb-idiom: "Keep up (with)," "keep it up"--maintain an order, level, pace</t>
  </si>
  <si>
    <t>KEEP#4</t>
  </si>
  <si>
    <t>| 2% verb: Observe, fulfill--keep a promise or engagement</t>
  </si>
  <si>
    <t>KEEP#5</t>
  </si>
  <si>
    <t>| 0% noun: Custody, care</t>
  </si>
  <si>
    <t>KEEP#6</t>
  </si>
  <si>
    <t>| 1% noun: Accord, conformity--"in keeping with"</t>
  </si>
  <si>
    <t>KEEP#7</t>
  </si>
  <si>
    <t>| 1% verb-idiom: "Keep (an) eye (on)"--handled by "eye"</t>
  </si>
  <si>
    <t>KEEP#8</t>
  </si>
  <si>
    <t>| 0% idiom-verb: "Keep watch"--handled by "watch"</t>
  </si>
  <si>
    <t>KEEPER</t>
  </si>
  <si>
    <t>KENTUCKY</t>
  </si>
  <si>
    <t>KENYA</t>
  </si>
  <si>
    <t>KEPT#1</t>
  </si>
  <si>
    <t>KEY</t>
  </si>
  <si>
    <t>KEYBOARD</t>
  </si>
  <si>
    <t>KICK#1</t>
  </si>
  <si>
    <t>| 75% verb: To strike with one's foot</t>
  </si>
  <si>
    <t>KICK#2</t>
  </si>
  <si>
    <t>| 13% idiom-verb: 'kick off'--eject, expel, commence</t>
  </si>
  <si>
    <t>KICK#3</t>
  </si>
  <si>
    <t>| 3% noun: The act of, or the blow from kicking</t>
  </si>
  <si>
    <t>KICK#4</t>
  </si>
  <si>
    <t>| 6% verb-idiom: 'kick out'--eject, expel</t>
  </si>
  <si>
    <t>KID#1</t>
  </si>
  <si>
    <t>| 97% noun: A child</t>
  </si>
  <si>
    <t>KID#2</t>
  </si>
  <si>
    <t>| 3% verb: To jest</t>
  </si>
  <si>
    <t>KIDNAP</t>
  </si>
  <si>
    <t>KIDNEY</t>
  </si>
  <si>
    <t>KILL#1</t>
  </si>
  <si>
    <t>| 98% verb: To deprive of life; figuratively</t>
  </si>
  <si>
    <t>KILL#2</t>
  </si>
  <si>
    <t>| 2% noun: "Kill," "killing"--slaying, murder</t>
  </si>
  <si>
    <t>KILLER</t>
  </si>
  <si>
    <t>KILOMETER</t>
  </si>
  <si>
    <t>KILOMETRE#1</t>
  </si>
  <si>
    <t>KIN</t>
  </si>
  <si>
    <t>KIND#1</t>
  </si>
  <si>
    <t>| 66% noun: A particular or representative type, species, character, or  quality of something</t>
  </si>
  <si>
    <t>KIND#2</t>
  </si>
  <si>
    <t>| 16% adj: Benevolent, charitable--"kind," "kindly"</t>
  </si>
  <si>
    <t>KIND#3</t>
  </si>
  <si>
    <t>| 16% idiom-adv: "Kind of"--rather, sort of</t>
  </si>
  <si>
    <t>KIND#4</t>
  </si>
  <si>
    <t>| 0% idiom-adv: "In kind"--in like manner</t>
  </si>
  <si>
    <t>KIND#5</t>
  </si>
  <si>
    <t>| 0% adv: "Kindly"--benevolently, charitably</t>
  </si>
  <si>
    <t>KINDLE</t>
  </si>
  <si>
    <t>KINDNESS</t>
  </si>
  <si>
    <t>KINDRED</t>
  </si>
  <si>
    <t>KING</t>
  </si>
  <si>
    <t>| noun-adj: A male sovereign or monarch</t>
  </si>
  <si>
    <t>KINGDOM</t>
  </si>
  <si>
    <t>| noun: Region ruled by a king</t>
  </si>
  <si>
    <t>KISS#1</t>
  </si>
  <si>
    <t>KISS#2</t>
  </si>
  <si>
    <t>KITCHEN</t>
  </si>
  <si>
    <t>| noun-adj: A room equipped for cooking</t>
  </si>
  <si>
    <t>KITTEN</t>
  </si>
  <si>
    <t>KNEE</t>
  </si>
  <si>
    <t>KNEEL</t>
  </si>
  <si>
    <t>KNELT</t>
  </si>
  <si>
    <t>KNEW</t>
  </si>
  <si>
    <t>| verb: Past tense of 'know'</t>
  </si>
  <si>
    <t>KNIFE#1</t>
  </si>
  <si>
    <t>| 97% noun-adj: Single-bladed cutting instrument</t>
  </si>
  <si>
    <t>KNIFE#2</t>
  </si>
  <si>
    <t>| 3% verb: To stab</t>
  </si>
  <si>
    <t>KNIT</t>
  </si>
  <si>
    <t>KNIVES#1</t>
  </si>
  <si>
    <t>S</t>
  </si>
  <si>
    <t>KNOCK#1</t>
  </si>
  <si>
    <t>| 36% verb: To strike, rap, collide, rattle, to criticize (1)</t>
  </si>
  <si>
    <t>KNOCK#2</t>
  </si>
  <si>
    <t>| 21% noun: A blow, rap, rattling, beating, or rapping; criticism (0)</t>
  </si>
  <si>
    <t>KNOCK#3</t>
  </si>
  <si>
    <t>| 39% verb: To knock down, over or out--to topple, dislodge, defeat, make unconscious</t>
  </si>
  <si>
    <t>KNOCK#4</t>
  </si>
  <si>
    <t>| 4% idiom-verb: "(to) knock off"--to quit</t>
  </si>
  <si>
    <t>KNOCKER</t>
  </si>
  <si>
    <t>KNOW#1</t>
  </si>
  <si>
    <t>| 92% verb: To perceive, understand, be acquainted with, to have fixed in  the mind, to be cognizant or aware of</t>
  </si>
  <si>
    <t>KNOW#2</t>
  </si>
  <si>
    <t>| 7% idiom-interj: 'you know'--essentially meaningless interjection</t>
  </si>
  <si>
    <t>KNOW#3</t>
  </si>
  <si>
    <t>| 1% noun-adj: "Knowing"--having knowledge or information, shrewd, deliberate</t>
  </si>
  <si>
    <t>KNOW#4</t>
  </si>
  <si>
    <t>| 0% adv: "Knowingly"--in a shrewd, informed or deliberate manner</t>
  </si>
  <si>
    <t>KNOW-HOW</t>
  </si>
  <si>
    <t>KNOWLEDGE</t>
  </si>
  <si>
    <t>| noun-adj: Familiarity with or understanding of facts, principles, etc.--  what is known</t>
  </si>
  <si>
    <t>KNOWN#1</t>
  </si>
  <si>
    <t>| 82% verb: Past participle of 'know' sense 1</t>
  </si>
  <si>
    <t>KNOWN#2</t>
  </si>
  <si>
    <t>| 3% adj: Recognized</t>
  </si>
  <si>
    <t>KOREA</t>
  </si>
  <si>
    <t>KOREAN</t>
  </si>
  <si>
    <t>KREMLIN</t>
  </si>
  <si>
    <t>KUWAIT</t>
  </si>
  <si>
    <t>LAB</t>
  </si>
  <si>
    <t>LABEL#1</t>
  </si>
  <si>
    <t>LABEL#2</t>
  </si>
  <si>
    <t>LABOR#1</t>
  </si>
  <si>
    <t>| 69% noun: Hard work, effort, wage workers</t>
  </si>
  <si>
    <t>LABOR#2</t>
  </si>
  <si>
    <t>| 25% noun-adj: Specifically used to denote political office, party or organization--  secretary of labor, labor unions, labor party, labor movement</t>
  </si>
  <si>
    <t>LABOR#3</t>
  </si>
  <si>
    <t>| 2% verb: To do hard work</t>
  </si>
  <si>
    <t>LABOR#4</t>
  </si>
  <si>
    <t>| 2% adj: "Laboring"--working hard</t>
  </si>
  <si>
    <t>LABORATORY</t>
  </si>
  <si>
    <t>LABORER</t>
  </si>
  <si>
    <t>LABOUR#1</t>
  </si>
  <si>
    <t>LABOURER#1</t>
  </si>
  <si>
    <t>LACK#1</t>
  </si>
  <si>
    <t>| 70% noun: Dearth, need, absence, deficit</t>
  </si>
  <si>
    <t>LACK#2</t>
  </si>
  <si>
    <t>| 11% verb: To need, be deficient in</t>
  </si>
  <si>
    <t>LACK#3</t>
  </si>
  <si>
    <t>| 19% adj: "Lacking"--wanting, absent, deficient (in)</t>
  </si>
  <si>
    <t>LAD</t>
  </si>
  <si>
    <t>LADDER</t>
  </si>
  <si>
    <t>LADY</t>
  </si>
  <si>
    <t>| noun-adjective: Polite term for a female, female.</t>
  </si>
  <si>
    <t>LAG</t>
  </si>
  <si>
    <t>LAID#1</t>
  </si>
  <si>
    <t>| 72% verb: Past tense of "lay"--put, placed, set down; misuse for the past  tense of "lie"--reclined (6); had sexual intercourse with (1); produced  eggs (0); knocked down, incapacit</t>
  </si>
  <si>
    <t>LAID#2</t>
  </si>
  <si>
    <t>| 28% idiom-verb: "Laid off"--discharged employees</t>
  </si>
  <si>
    <t>LAIN</t>
  </si>
  <si>
    <t>LAKE</t>
  </si>
  <si>
    <t>| noun: A body of water surrounded by land</t>
  </si>
  <si>
    <t>LAMB</t>
  </si>
  <si>
    <t>LAME</t>
  </si>
  <si>
    <t>LAMENT</t>
  </si>
  <si>
    <t>LAMENTABLE</t>
  </si>
  <si>
    <t>LAND#1</t>
  </si>
  <si>
    <t>| 87% noun: Ground, earth, area, country</t>
  </si>
  <si>
    <t>LAND#2</t>
  </si>
  <si>
    <t>| 13% verb: To arrive, debark, deliver</t>
  </si>
  <si>
    <t>LAND#3</t>
  </si>
  <si>
    <t>| 0% noun-adj: 'landing'--arrival or place of arrival</t>
  </si>
  <si>
    <t>LANDLORD</t>
  </si>
  <si>
    <t>LANDMARK</t>
  </si>
  <si>
    <t>LANDSCAPE</t>
  </si>
  <si>
    <t>LANE</t>
  </si>
  <si>
    <t>LANGUAGE</t>
  </si>
  <si>
    <t>| noun: Any set or system of verbal or visual symbols used in a more or  less uniform fashion by a number of people to communicate with one another</t>
  </si>
  <si>
    <t>LANGUISH</t>
  </si>
  <si>
    <t>LAOS</t>
  </si>
  <si>
    <t>LAPSE</t>
  </si>
  <si>
    <t>LARGE#1</t>
  </si>
  <si>
    <t>| 79% adj: Big, considerable, great</t>
  </si>
  <si>
    <t>LARGE#2</t>
  </si>
  <si>
    <t>| 7% adj: 'larger'--bigger</t>
  </si>
  <si>
    <t>LARGE#3</t>
  </si>
  <si>
    <t>| 7% adj: 'largest'--biggest</t>
  </si>
  <si>
    <t>LARGE#4</t>
  </si>
  <si>
    <t>| 6% adv: 'largely'--principally, chiefly, mostly</t>
  </si>
  <si>
    <t>LARGE#5</t>
  </si>
  <si>
    <t>| 1% idiom-adv: 'by and large'--on the whole</t>
  </si>
  <si>
    <t>LARGE-SCALE</t>
  </si>
  <si>
    <t>Modif DIM</t>
  </si>
  <si>
    <t>LAST#1</t>
  </si>
  <si>
    <t>| 45% adj: Previous, past, prior, most recent</t>
  </si>
  <si>
    <t>LAST#2</t>
  </si>
  <si>
    <t>| 28% adj-adv: Final, finally</t>
  </si>
  <si>
    <t>LAST#3</t>
  </si>
  <si>
    <t>| 16% idiom-adv: "At . . .," "at long last"--finally</t>
  </si>
  <si>
    <t>LAST#4</t>
  </si>
  <si>
    <t>| 6% verb: Endure, remain</t>
  </si>
  <si>
    <t>LAST#5</t>
  </si>
  <si>
    <t>| 4% adj: "Lasting"--enduring, remaining</t>
  </si>
  <si>
    <t>LATE#1</t>
  </si>
  <si>
    <t>| 57% adj-adv: "Later"--at a more advanced time</t>
  </si>
  <si>
    <t>LATE#2</t>
  </si>
  <si>
    <t>| 17% adj-adv: Occurring at or belonging to an advanced time, period, stage,  hour, etc.</t>
  </si>
  <si>
    <t>LATE#3</t>
  </si>
  <si>
    <t>| 11% adv: "Lately"--"of late"--recently, not long since</t>
  </si>
  <si>
    <t>LATE#4</t>
  </si>
  <si>
    <t>| 9% adj: Occurring, coming, or being after the usual or proper time, tardy</t>
  </si>
  <si>
    <t>LATE#5</t>
  </si>
  <si>
    <t>| 3% adj: Recently deceased</t>
  </si>
  <si>
    <t>LATE#6</t>
  </si>
  <si>
    <t>| 2% adj: "Latest"--most recent, current, coming after all others</t>
  </si>
  <si>
    <t>LATENT</t>
  </si>
  <si>
    <t>LATIN</t>
  </si>
  <si>
    <t>LATTER#1</t>
  </si>
  <si>
    <t>| 67% pron: The last mentioned of a series</t>
  </si>
  <si>
    <t>LATTER#2</t>
  </si>
  <si>
    <t>| 33% adj: Later, more recent, last mentioned</t>
  </si>
  <si>
    <t>LAUDABLE</t>
  </si>
  <si>
    <t>LAUGH#1</t>
  </si>
  <si>
    <t>| 3% noun: Expression of mirth or amusement</t>
  </si>
  <si>
    <t>LAUGH#2</t>
  </si>
  <si>
    <t>| 40% verb: To express mirth or amusement by laughter</t>
  </si>
  <si>
    <t>LAUGH#3</t>
  </si>
  <si>
    <t>| 10% verb-idiom: "Laugh at" - ridicule, deride</t>
  </si>
  <si>
    <t>LAUGH#4</t>
  </si>
  <si>
    <t>| 1% verb-idiom: "Laugh off" - dismiss as inconsequential</t>
  </si>
  <si>
    <t>LAUGH#5</t>
  </si>
  <si>
    <t>| 2% noun-adj: "Laughing" - laughter, expressive of amusement</t>
  </si>
  <si>
    <t>LAUGH#6</t>
  </si>
  <si>
    <t>| 45% noun: Same as sense 1, but inserted into text as editorial comment,  parenthesized.</t>
  </si>
  <si>
    <t>LAUGHTER</t>
  </si>
  <si>
    <t>| noun: The act or sound of laughing, an expression of amusement.</t>
  </si>
  <si>
    <t>LAUNCH</t>
  </si>
  <si>
    <t>LAVATORY</t>
  </si>
  <si>
    <t>LAVISH</t>
  </si>
  <si>
    <t>LAW</t>
  </si>
  <si>
    <t>| noun adjective: The set of rules set up in a society and enforced by its  government; any set of rules governing a given system, such as those of  science (1); relate</t>
  </si>
  <si>
    <t>LAWFUL</t>
  </si>
  <si>
    <t>LAWLESS</t>
  </si>
  <si>
    <t>LAWN</t>
  </si>
  <si>
    <t>LAWYER</t>
  </si>
  <si>
    <t>| noun: A person whose profession is to conduct lawsuits for clients in  a court of law or advise them in other legal matters.</t>
  </si>
  <si>
    <t>LAY#1</t>
  </si>
  <si>
    <t>| 85% verb: Past tense of "lie"--reclined, was or remained at a horizontal  position; was or remained in a specified place or condition (4); had intercourse  with (0)</t>
  </si>
  <si>
    <t>LAY#2</t>
  </si>
  <si>
    <t>| 10% verb: To place or put; to have intercourse with (4); to produce eggs  (0); to knock or press down (0)</t>
  </si>
  <si>
    <t>LAY#3</t>
  </si>
  <si>
    <t>| 1% idiom-verb: "Lay off"--discharge employees</t>
  </si>
  <si>
    <t>LAY#4</t>
  </si>
  <si>
    <t>| 1% noun-adj: Non-professional; not clergy (0)</t>
  </si>
  <si>
    <t>LAYER</t>
  </si>
  <si>
    <t>LAZILY</t>
  </si>
  <si>
    <t>LAZY</t>
  </si>
  <si>
    <t>LEAD#1</t>
  </si>
  <si>
    <t>| 42% verb: To supply direction, orientation, guidance, to be in the vanguard</t>
  </si>
  <si>
    <t>LEAD#2</t>
  </si>
  <si>
    <t>| 33% verb: To produce some effect, to result in, induce--"oppression leads  to violence"; to go towards (concrete)--"all roads lead to rome" (6)</t>
  </si>
  <si>
    <t>LEAD#3</t>
  </si>
  <si>
    <t>| 6% noun-adj: 'lead,' 'leading'--fact or position of leadership; the heavy metal (0)</t>
  </si>
  <si>
    <t>LEAD#4</t>
  </si>
  <si>
    <t>| 6% adj: Front, foremost, outstanding</t>
  </si>
  <si>
    <t>LEAD#5</t>
  </si>
  <si>
    <t>| 13% verb: To manage or carry on--"i lead my life as best i can"</t>
  </si>
  <si>
    <t>LEAD#6</t>
  </si>
  <si>
    <t>| 0% idiom-noun: "A leading question"--a loaded question</t>
  </si>
  <si>
    <t>LEADER</t>
  </si>
  <si>
    <t>| noun: One who guides or leads others</t>
  </si>
  <si>
    <t>LEADERSHIP</t>
  </si>
  <si>
    <t>| noun: Control, direction, or the quality or role of giving direction or  exercising control.</t>
  </si>
  <si>
    <t>LEAF</t>
  </si>
  <si>
    <t>LEAGUE#1</t>
  </si>
  <si>
    <t>| 86% noun: An association or alliance</t>
  </si>
  <si>
    <t>LEAGUE#2</t>
  </si>
  <si>
    <t>| 5% idiom: "In league with", allied with</t>
  </si>
  <si>
    <t>LEAGUE#3</t>
  </si>
  <si>
    <t>| 10% noun: Distance measure</t>
  </si>
  <si>
    <t>LEAGUE-OF-NATIONS</t>
  </si>
  <si>
    <t>LEAK</t>
  </si>
  <si>
    <t>LEAKAGE</t>
  </si>
  <si>
    <t>LEAN#1</t>
  </si>
  <si>
    <t>| 57% verb: To incline or bend from a vertical position, often resting on  something for support (mostly physical)</t>
  </si>
  <si>
    <t>LEAN#2</t>
  </si>
  <si>
    <t>| 26% adj: Thin</t>
  </si>
  <si>
    <t>LEAN#3</t>
  </si>
  <si>
    <t>| 9% idiom-verb: "Lean on"--depend or rely on</t>
  </si>
  <si>
    <t>LEAN#4</t>
  </si>
  <si>
    <t>| 9% noun: "Leaning"--inclination, tendency</t>
  </si>
  <si>
    <t>LEAP#1</t>
  </si>
  <si>
    <t>LEAP#2</t>
  </si>
  <si>
    <t>LEARN#1</t>
  </si>
  <si>
    <t>| 90% verb: To acquire knowledge of or skill in by study, instruction, or experience</t>
  </si>
  <si>
    <t>LEARN#2</t>
  </si>
  <si>
    <t>| 9% noun: 'learning,' knowledge acquired, or the process of acquiring knowledge</t>
  </si>
  <si>
    <t>LEARN#3</t>
  </si>
  <si>
    <t>| 0% adj: "Learned," knowledgeable, erudite</t>
  </si>
  <si>
    <t>LEARNER</t>
  </si>
  <si>
    <t>LEAST#1</t>
  </si>
  <si>
    <t>| 87% idiom-adv: 'at least'--at any rate, at lowest estimate</t>
  </si>
  <si>
    <t>LEAST#2</t>
  </si>
  <si>
    <t>Modif EST</t>
  </si>
  <si>
    <t>| 8% adj-adv: Slightest, to the smallest degree</t>
  </si>
  <si>
    <t>LEAST#3</t>
  </si>
  <si>
    <t>| 4% idiom-adv: '(not) in the least,' (not) at all</t>
  </si>
  <si>
    <t>LEAST#4</t>
  </si>
  <si>
    <t>| 2% idiom-interject: 'to say the least'</t>
  </si>
  <si>
    <t>LEATHER</t>
  </si>
  <si>
    <t>LEAVE#1</t>
  </si>
  <si>
    <t>| 89% verb: Depart, quit, abandon, bequeath, cause to remain</t>
  </si>
  <si>
    <t>LEAVE#2</t>
  </si>
  <si>
    <t>| 9% noun: Plural of "leaf"</t>
  </si>
  <si>
    <t>LEAVE#3</t>
  </si>
  <si>
    <t>| 1% noun: Departure, farewell</t>
  </si>
  <si>
    <t>LEAVE#4</t>
  </si>
  <si>
    <t>| 1% noun: Permission to do something, or the time in which such permission  is in force</t>
  </si>
  <si>
    <t>LEBANON</t>
  </si>
  <si>
    <t>LECTURE#1</t>
  </si>
  <si>
    <t>LECTURE#2</t>
  </si>
  <si>
    <t>LED#1</t>
  </si>
  <si>
    <t>LEDGE</t>
  </si>
  <si>
    <t>LEDGER</t>
  </si>
  <si>
    <t>LEFT#1</t>
  </si>
  <si>
    <t>| 7% noun-adj: Physical direction, vs. "right"</t>
  </si>
  <si>
    <t>LEFT#2</t>
  </si>
  <si>
    <t>| 3% noun: Political left</t>
  </si>
  <si>
    <t>LEFT#3</t>
  </si>
  <si>
    <t>| 75% verb: Departed, quit, abandoned, bequeathed, caused to remain</t>
  </si>
  <si>
    <t>LEFT#4</t>
  </si>
  <si>
    <t>| 13% adj: Remaining - "there is only one left"</t>
  </si>
  <si>
    <t>LEFT#5</t>
  </si>
  <si>
    <t>| 0% idiom-adj: "Left over"--excess</t>
  </si>
  <si>
    <t>LEG</t>
  </si>
  <si>
    <t>| noun-adjective: Lower limb of body or pertaining to same.</t>
  </si>
  <si>
    <t>LEGAL</t>
  </si>
  <si>
    <t>LEGEND</t>
  </si>
  <si>
    <t>LEGION#1</t>
  </si>
  <si>
    <t>| 98% idiom-noun: "American legion"</t>
  </si>
  <si>
    <t>LEGION#2</t>
  </si>
  <si>
    <t>| 3% noun-adj: A multitude; an army division (0); numerous (0)</t>
  </si>
  <si>
    <t>LEGISLATION</t>
  </si>
  <si>
    <t>| noun: A law or body of laws enacted</t>
  </si>
  <si>
    <t>LEGISLATIVE</t>
  </si>
  <si>
    <t>LEGISLATOR</t>
  </si>
  <si>
    <t>LEGISLATURE</t>
  </si>
  <si>
    <t>LEGITIMACY</t>
  </si>
  <si>
    <t>LEGITIMATE</t>
  </si>
  <si>
    <t>LEISURE</t>
  </si>
  <si>
    <t>LEMON</t>
  </si>
  <si>
    <t>LEMONADE</t>
  </si>
  <si>
    <t>LEND</t>
  </si>
  <si>
    <t>LENGTH#1</t>
  </si>
  <si>
    <t>| 33% noun: The extent or duration of something from end to end, beginning  to end, top to bottom, etc.</t>
  </si>
  <si>
    <t>LENGTH#2</t>
  </si>
  <si>
    <t>| 50% idiom-adv: "At length"--after a time, finally</t>
  </si>
  <si>
    <t>LENGTH#3</t>
  </si>
  <si>
    <t>| 17% idiom-adv: "At length"--at or to the full extent, completely</t>
  </si>
  <si>
    <t>LENGTHY</t>
  </si>
  <si>
    <t>LENINISM</t>
  </si>
  <si>
    <t>LENT</t>
  </si>
  <si>
    <t>LESS#1</t>
  </si>
  <si>
    <t>| 75% adv-adj: To a smaller extent, amount, or degree, not so large, great or much</t>
  </si>
  <si>
    <t>LESS#2</t>
  </si>
  <si>
    <t>| 3% adv-idiom: 'much less'--let alone, not even considering, of even less  possibility</t>
  </si>
  <si>
    <t>LESS#3</t>
  </si>
  <si>
    <t>| 20% idiom-adv: "More or less"--to an extent, approximately</t>
  </si>
  <si>
    <t>LESS#4</t>
  </si>
  <si>
    <t>| 3% adj: "Lesser"--smaller, less important</t>
  </si>
  <si>
    <t>LESSEN</t>
  </si>
  <si>
    <t>LESSON</t>
  </si>
  <si>
    <t>| noun: Something from which one learns or should learn</t>
  </si>
  <si>
    <t>LEST</t>
  </si>
  <si>
    <t>LET#1</t>
  </si>
  <si>
    <t>| 63% verb: To allow, release, relax control, lease</t>
  </si>
  <si>
    <t>LET#2</t>
  </si>
  <si>
    <t>| 33% verb: Used as an auxiliary in the hortatory</t>
  </si>
  <si>
    <t>LET#3</t>
  </si>
  <si>
    <t>| 1% idiom-verb: "Let down"--to disappoint or be disappointed</t>
  </si>
  <si>
    <t>LET#4</t>
  </si>
  <si>
    <t>| 0% idiom: "Let alone"--not to mention, handled by "alone"</t>
  </si>
  <si>
    <t>LET'S</t>
  </si>
  <si>
    <t>PRON DEF DEF2 SUPV VERB MOD S</t>
  </si>
  <si>
    <t>LETTER#1</t>
  </si>
  <si>
    <t>| 90% noun: A communication in writing or printing addressed to a person  or a number of persons</t>
  </si>
  <si>
    <t>LETTER#2</t>
  </si>
  <si>
    <t>| 6% noun: One of the marks or signs conventionally used in writing and  printing to represent speech sounds</t>
  </si>
  <si>
    <t>LETTER#3</t>
  </si>
  <si>
    <t>| 3% noun: "Letters"--literature</t>
  </si>
  <si>
    <t>LETTER#4</t>
  </si>
  <si>
    <t>| 1% verb: To mark with letters</t>
  </si>
  <si>
    <t>LETTER#5</t>
  </si>
  <si>
    <t>| 0% noun: "Lettering"--a series of letters inscribed, the act of inscribing letters</t>
  </si>
  <si>
    <t>LEVEL#1</t>
  </si>
  <si>
    <t>| 98% noun: Degree of quality, quantity, intensity, abstract plane--"speak  to him on his own level"; a flat, horizontal piece of land, etc. (0); horizontalit</t>
  </si>
  <si>
    <t>LEVEL#2</t>
  </si>
  <si>
    <t>| 1% verb: To make flat or horizontal, to aim</t>
  </si>
  <si>
    <t>LEVEL#3</t>
  </si>
  <si>
    <t>| 1% adj: Flat, horizontal</t>
  </si>
  <si>
    <t>LIABILITY</t>
  </si>
  <si>
    <t>LIABLE</t>
  </si>
  <si>
    <t>LIAR</t>
  </si>
  <si>
    <t>LIBERAL#1</t>
  </si>
  <si>
    <t>| 23% adj: "Liberal education," "liberal arts"</t>
  </si>
  <si>
    <t>LIBERAL#2</t>
  </si>
  <si>
    <t>| 77% noun-adj: Political-social viewpoint, innovative, progressive, democratic;  generous (1)</t>
  </si>
  <si>
    <t>LIBERAL#3</t>
  </si>
  <si>
    <t>| 0% adv: "Liberally" - freely, generously</t>
  </si>
  <si>
    <t>LIBERALISM</t>
  </si>
  <si>
    <t>LIBERALITY</t>
  </si>
  <si>
    <t>LIBERALIZE</t>
  </si>
  <si>
    <t>LIBERATE</t>
  </si>
  <si>
    <t>LIBERATION</t>
  </si>
  <si>
    <t>LIBERIA</t>
  </si>
  <si>
    <t>LIBERTY</t>
  </si>
  <si>
    <t>LIBRARY</t>
  </si>
  <si>
    <t>| noun: A place set apart to contain books and other literary material for  reading, study, or reference.</t>
  </si>
  <si>
    <t>LIBYA</t>
  </si>
  <si>
    <t>LICENSE</t>
  </si>
  <si>
    <t>LICK</t>
  </si>
  <si>
    <t>LIE#1</t>
  </si>
  <si>
    <t>| 64% verb: To recline, remain at a horizontal, be located</t>
  </si>
  <si>
    <t>LIE#2</t>
  </si>
  <si>
    <t>| 20% verb: To tell falsehoods</t>
  </si>
  <si>
    <t>LIE#3</t>
  </si>
  <si>
    <t>| 9% noun: A falsehood</t>
  </si>
  <si>
    <t>LIEUTENANT</t>
  </si>
  <si>
    <t>LIFE</t>
  </si>
  <si>
    <t>| noun-adj: General or particular conditions of existence, a lifetime, living</t>
  </si>
  <si>
    <t>LIFELESS</t>
  </si>
  <si>
    <t>LIFELONG</t>
  </si>
  <si>
    <t>LIFETIME</t>
  </si>
  <si>
    <t>LIFT</t>
  </si>
  <si>
    <t>LIGHT#1</t>
  </si>
  <si>
    <t>| 69% noun-adj: Illumination, opposite of darkness; various metaphorical  extensions--"i am the light" (8); compounds--"light bulb" (1)</t>
  </si>
  <si>
    <t>LIGHT#2</t>
  </si>
  <si>
    <t>| 10% verb: To ignite, turn on</t>
  </si>
  <si>
    <t>LIGHT#3</t>
  </si>
  <si>
    <t>| 5% adj: Not dark, bright, pale (includes -er, -est)</t>
  </si>
  <si>
    <t>LIGHT#4</t>
  </si>
  <si>
    <t>| 4% adj: Not heavy (includes -er, -est)</t>
  </si>
  <si>
    <t>LIGHT#5</t>
  </si>
  <si>
    <t>| 1% idiom: "Make light" of</t>
  </si>
  <si>
    <t>LIGHT#6</t>
  </si>
  <si>
    <t>| 2% adv: 'lightly'--delicately, without effort, not heavily</t>
  </si>
  <si>
    <t>LIGHT#7</t>
  </si>
  <si>
    <t>| 1% adj: 'lighted'--afire</t>
  </si>
  <si>
    <t>LIGHT#8</t>
  </si>
  <si>
    <t>| 7% prep: "In light of," "in the light of," in view of, considering, with  this in mind</t>
  </si>
  <si>
    <t>LIGHTEN</t>
  </si>
  <si>
    <t>LIGHTNING</t>
  </si>
  <si>
    <t>| noun: A flash of light, or a sudden illumination of the heavens, caused  by the discharge of atmospheric electricity.</t>
  </si>
  <si>
    <t>LIGNITE</t>
  </si>
  <si>
    <t>LIKABLE</t>
  </si>
  <si>
    <t>LIKE#1</t>
  </si>
  <si>
    <t>| 51% adj-prep-conj: Having the same characteristics as, similar to, resembling,  analogous to, in or after the manner of, for example, just as, such as</t>
  </si>
  <si>
    <t>LIKE#2</t>
  </si>
  <si>
    <t>| 47% verb: To derive pleasure from, to find agreeable or congenial, to  feel attracted to someone or som</t>
  </si>
  <si>
    <t>LIKE#3</t>
  </si>
  <si>
    <t>| 2% noun: "Liking"--the attraction to, pleasure in, or enjoyment of something  or someone, fancy or inclination</t>
  </si>
  <si>
    <t>LIKELIHOOD</t>
  </si>
  <si>
    <t>LIKELINESS</t>
  </si>
  <si>
    <t>LIKELY#1</t>
  </si>
  <si>
    <t>| 63% adverb: Probably</t>
  </si>
  <si>
    <t>LIKELY#2</t>
  </si>
  <si>
    <t>| 37% adjective: Probably destined, apt</t>
  </si>
  <si>
    <t>LIKEWISE</t>
  </si>
  <si>
    <t>LIMB</t>
  </si>
  <si>
    <t>LIMIT#1</t>
  </si>
  <si>
    <t>| 42% noun: The final or furthest bound or point as to extent, amount, procedure</t>
  </si>
  <si>
    <t>LIMIT#2</t>
  </si>
  <si>
    <t>| 19% verb: To restrict by or confine within limits</t>
  </si>
  <si>
    <t>LIMIT#3</t>
  </si>
  <si>
    <t>| 37% adj: "Limited"--confined within limits, circumscribed or narrow</t>
  </si>
  <si>
    <t>LIMIT#4</t>
  </si>
  <si>
    <t>| 2% adj: "Limiting"--restricting</t>
  </si>
  <si>
    <t>LIMITATION</t>
  </si>
  <si>
    <t>LIMITLESS</t>
  </si>
  <si>
    <t>LIMOUSINE</t>
  </si>
  <si>
    <t>LIMP</t>
  </si>
  <si>
    <t>LINE#1</t>
  </si>
  <si>
    <t>| 87% noun-adj: A mark long in proportion to its breadth, or resembling  same; all noun or adjective senses</t>
  </si>
  <si>
    <t>LINE#2</t>
  </si>
  <si>
    <t>| 9% verb: All verb senses</t>
  </si>
  <si>
    <t>LINE#3</t>
  </si>
  <si>
    <t>| 4% idiom-verb: "Draw the line"--impose a restriction--handled by "draw"</t>
  </si>
  <si>
    <t>LINGUIST</t>
  </si>
  <si>
    <t>LINK#1</t>
  </si>
  <si>
    <t>LINK#2</t>
  </si>
  <si>
    <t>LION</t>
  </si>
  <si>
    <t>| noun: The king of beasts</t>
  </si>
  <si>
    <t>LIONESS</t>
  </si>
  <si>
    <t>LIP</t>
  </si>
  <si>
    <t>LIQUID</t>
  </si>
  <si>
    <t>LIQUIDATE</t>
  </si>
  <si>
    <t>LIQUIDATION</t>
  </si>
  <si>
    <t>LIQUOR</t>
  </si>
  <si>
    <t>LIST#1</t>
  </si>
  <si>
    <t>LIST#2</t>
  </si>
  <si>
    <t>LISTEN</t>
  </si>
  <si>
    <t>| verb: Attend closely for the purpose of hearing</t>
  </si>
  <si>
    <t>LISTENER</t>
  </si>
  <si>
    <t>LIT</t>
  </si>
  <si>
    <t>LITERAL</t>
  </si>
  <si>
    <t>LITERALLY</t>
  </si>
  <si>
    <t>LITERALNESS</t>
  </si>
  <si>
    <t>LITERARY</t>
  </si>
  <si>
    <t>LITERATURE</t>
  </si>
  <si>
    <t>LITIGANT</t>
  </si>
  <si>
    <t>LITIGATION</t>
  </si>
  <si>
    <t>LITTER</t>
  </si>
  <si>
    <t>LITTLE</t>
  </si>
  <si>
    <t>| adj-adv: Small in degree, may refer to size, duration, number, etc.</t>
  </si>
  <si>
    <t>LIVE#1</t>
  </si>
  <si>
    <t>| 79% verb: Exist, be alive, reside</t>
  </si>
  <si>
    <t>LIVE#2</t>
  </si>
  <si>
    <t>| 13% noun-adj: Pertaining to the process or conditions of life, livelihood--  "he makes a good living," "my living conditions"</t>
  </si>
  <si>
    <t>LIVE#3</t>
  </si>
  <si>
    <t>| 2% adj: 'live'--'living'--alive</t>
  </si>
  <si>
    <t>LIVE#4</t>
  </si>
  <si>
    <t>| 0% adj: 'live'--in person--'live music'</t>
  </si>
  <si>
    <t>LIVE#5</t>
  </si>
  <si>
    <t>| 6% noun: Plural of 'life'</t>
  </si>
  <si>
    <t>LIVE#6</t>
  </si>
  <si>
    <t>| 1% idiom-verb: 'live up to'--satisfy expectations</t>
  </si>
  <si>
    <t>LIVELIHOOD</t>
  </si>
  <si>
    <t>LIVELY</t>
  </si>
  <si>
    <t>| adj: Animated</t>
  </si>
  <si>
    <t>LIVER</t>
  </si>
  <si>
    <t>LIVERY</t>
  </si>
  <si>
    <t>LIVESTOCK</t>
  </si>
  <si>
    <t>LOAD#1</t>
  </si>
  <si>
    <t>| 71% noun: A burden</t>
  </si>
  <si>
    <t>LOAD#2</t>
  </si>
  <si>
    <t>| 12% verb: To put on, fill, burden; bias (0)</t>
  </si>
  <si>
    <t>LOAD#3</t>
  </si>
  <si>
    <t>| 15% adj: "Loaded"--biased (loaded question, dice)</t>
  </si>
  <si>
    <t>LOAD#4</t>
  </si>
  <si>
    <t>| 3% adj: 'loads of' a great quantity, much</t>
  </si>
  <si>
    <t>LOAD#5</t>
  </si>
  <si>
    <t>| 0% adj: "Loaded"--filled, burdened</t>
  </si>
  <si>
    <t>LOAD#6</t>
  </si>
  <si>
    <t>| 0% noun-adj: "Loading"--filling</t>
  </si>
  <si>
    <t>LOAN#1</t>
  </si>
  <si>
    <t>| 90% noun: Something lent or furnished on condition of being returned,  especially a sum of money</t>
  </si>
  <si>
    <t>LOAN#2</t>
  </si>
  <si>
    <t>| 10% verb: The act of lending, a grant of the temporary use of something</t>
  </si>
  <si>
    <t>LOBBY</t>
  </si>
  <si>
    <t>LOCAL</t>
  </si>
  <si>
    <t>| adj: Pertaining to or characteristic of a small district</t>
  </si>
  <si>
    <t>LOCALE</t>
  </si>
  <si>
    <t>LOCATE</t>
  </si>
  <si>
    <t>LOCATION</t>
  </si>
  <si>
    <t>LOCK#1</t>
  </si>
  <si>
    <t>LOCK#2</t>
  </si>
  <si>
    <t>LODGE</t>
  </si>
  <si>
    <t>| noun-adj: "Lodge," "lodging"--an abode; secret society (1)</t>
  </si>
  <si>
    <t>LOG</t>
  </si>
  <si>
    <t>LOGIC</t>
  </si>
  <si>
    <t>LOGICAL</t>
  </si>
  <si>
    <t>LONDON</t>
  </si>
  <si>
    <t>LONE#1</t>
  </si>
  <si>
    <t>| 97% adj: "Lonely" - sad and alone</t>
  </si>
  <si>
    <t>LONE#2</t>
  </si>
  <si>
    <t>| 3% adj: Single, solitary</t>
  </si>
  <si>
    <t>LONELINESS</t>
  </si>
  <si>
    <t>LONELY</t>
  </si>
  <si>
    <t>LONER</t>
  </si>
  <si>
    <t>LONESOME</t>
  </si>
  <si>
    <t>LONG#1</t>
  </si>
  <si>
    <t>| 78% adj-adv: Having considerable extent in space or time, of a particular  extent--"twelve feet long"</t>
  </si>
  <si>
    <t>LONG#2</t>
  </si>
  <si>
    <t>| 15% adv-idiom: Expresses termination of an action or state--'no longer,'  'any longer'</t>
  </si>
  <si>
    <t>LONG#3</t>
  </si>
  <si>
    <t>| 2% verb: To yearn</t>
  </si>
  <si>
    <t>LONG#4</t>
  </si>
  <si>
    <t>| 1% noun: 'longing'--an intense desire</t>
  </si>
  <si>
    <t>LONG#5</t>
  </si>
  <si>
    <t>| 2% adj: 'longer'--comparative of sense 1</t>
  </si>
  <si>
    <t>LONG#6</t>
  </si>
  <si>
    <t>| 0% adj: 'longest'--superlative of sense 1</t>
  </si>
  <si>
    <t>LONG#7</t>
  </si>
  <si>
    <t>| 0% idiom-adv: "At long last"--finally--handled by "last"</t>
  </si>
  <si>
    <t>LONG#8</t>
  </si>
  <si>
    <t>| 0% idiom-noun: "Long shot"--an undertaking unlikely of success--handled by "shot"</t>
  </si>
  <si>
    <t>LONG-RANGE</t>
  </si>
  <si>
    <t>LONG-STANDING</t>
  </si>
  <si>
    <t>LONG-TERM</t>
  </si>
  <si>
    <t>LONGEVITY</t>
  </si>
  <si>
    <t>LOOK#1</t>
  </si>
  <si>
    <t>| 38% verb: To gaze, glance, set eyes upon in order to see, to give someone  or something a glance, to use the sight in seeking, examining, watching</t>
  </si>
  <si>
    <t>LOOK#2</t>
  </si>
  <si>
    <t>| 41% verb: To appear, to seem to one's eye or mind</t>
  </si>
  <si>
    <t>LOOK#3</t>
  </si>
  <si>
    <t>| 1% noun: A glance, gaze, visual search or examination</t>
  </si>
  <si>
    <t>LOOK#4</t>
  </si>
  <si>
    <t>| 2% noun: Aspect, mein, appearance, expression</t>
  </si>
  <si>
    <t>LOOK#5</t>
  </si>
  <si>
    <t>| 1% verb-idiom: "Look back"--to review the past, return in thought, recollect  reminisce</t>
  </si>
  <si>
    <t>LOOK#6</t>
  </si>
  <si>
    <t>| 11% verb-idiom: "Look for"--to seek or search for, be on watch or expecting</t>
  </si>
  <si>
    <t>LOOK#7</t>
  </si>
  <si>
    <t>| 2% verb-idiom: "Look out for"--to be on guard against, to be concerned about</t>
  </si>
  <si>
    <t>LOOK#8</t>
  </si>
  <si>
    <t>| 1% verb-idiom: "Look up to"--to respect or esteem</t>
  </si>
  <si>
    <t>LOOK#9</t>
  </si>
  <si>
    <t>| 1% verb-idiom: "Look upon"--to regard or consider</t>
  </si>
  <si>
    <t>LOOK#_10</t>
  </si>
  <si>
    <t>| 1% verb-idiom: "Look forward (to)"--to anticipate in the future, expect</t>
  </si>
  <si>
    <t>LOOK#_11</t>
  </si>
  <si>
    <t>| 1% verb-idiom: "Look after"--to minister to, care for, concern oneself with</t>
  </si>
  <si>
    <t>LOOM</t>
  </si>
  <si>
    <t>LOOP</t>
  </si>
  <si>
    <t>LOOSE</t>
  </si>
  <si>
    <t>LOOSENESS</t>
  </si>
  <si>
    <t>LORD</t>
  </si>
  <si>
    <t>| noun: The supreme being or his secular counterpart, one who has dominion  over others, a master, chief, or ruler.</t>
  </si>
  <si>
    <t>LOSE#1</t>
  </si>
  <si>
    <t>| 77% verb: To come to be without</t>
  </si>
  <si>
    <t>LOSE#2</t>
  </si>
  <si>
    <t>| 20% verb: To be defeated, to fail</t>
  </si>
  <si>
    <t>LOSE#3</t>
  </si>
  <si>
    <t>| 2% idiom-verb: "Lose (one's) mind"--lose one's sanity--handled by mind</t>
  </si>
  <si>
    <t>LOSER</t>
  </si>
  <si>
    <t>LOSS</t>
  </si>
  <si>
    <t>| noun: Detriment or disadvantage from failure to keep, have, or get- or  that which is lost</t>
  </si>
  <si>
    <t>LOST#1</t>
  </si>
  <si>
    <t>| 59% verb-adj: Past tense of "lose"--came to be without, no longer owned  by-- "we lost our jobs," "we are lost"</t>
  </si>
  <si>
    <t>LOST#2</t>
  </si>
  <si>
    <t>| 6% verb: Past tense of "lose"--failed, was defeated</t>
  </si>
  <si>
    <t>LOST#3</t>
  </si>
  <si>
    <t>| 31% adj: Missing, confused, immersed, without knowledge of where one is  (of people)--"i am lost"--"he was lost in thought"</t>
  </si>
  <si>
    <t>LOST#4</t>
  </si>
  <si>
    <t>| 0% adj: "Lost on (someone)"--wasted, without effect</t>
  </si>
  <si>
    <t>LOST#5</t>
  </si>
  <si>
    <t>| 0% idiom-verb: "Lost (one's) mind"--lost one's sanity--handled by "mind"</t>
  </si>
  <si>
    <t>LOT#1</t>
  </si>
  <si>
    <t>| 91% adv-adj-noun: A great deal (colloq.), much, many</t>
  </si>
  <si>
    <t>LOT#2</t>
  </si>
  <si>
    <t>| 2% noun: Fate or destiny</t>
  </si>
  <si>
    <t>LOT#3</t>
  </si>
  <si>
    <t>| 1% noun: A portion of land</t>
  </si>
  <si>
    <t>LOT#4</t>
  </si>
  <si>
    <t>| 1% noun: A set of objects or people or individual members of the set often  traded or used to decide some question</t>
  </si>
  <si>
    <t>LOT#5</t>
  </si>
  <si>
    <t>| 5% idiom-noun: "A whole lot," "an awful lot"--many, plenty--handled by  "whole" and "awful"</t>
  </si>
  <si>
    <t>LOUD#1</t>
  </si>
  <si>
    <t>| 56% adj: Intense, often harsh, usually refers to sound</t>
  </si>
  <si>
    <t>LOUD#2</t>
  </si>
  <si>
    <t>| 12% adj: "Louder" - comparative</t>
  </si>
  <si>
    <t>LOUD#3</t>
  </si>
  <si>
    <t>| 0% adj: "Loudest" - superlative</t>
  </si>
  <si>
    <t>LOUD#4</t>
  </si>
  <si>
    <t>| 16% adv: "Loudly"</t>
  </si>
  <si>
    <t>LOUD#5</t>
  </si>
  <si>
    <t>| 12% idiom-adv: "Out loud" - aloud</t>
  </si>
  <si>
    <t>LOUISIANA</t>
  </si>
  <si>
    <t>LOVE#1</t>
  </si>
  <si>
    <t>| 48% verb: To have affection or strong liking for, especially for one of  opposite sex</t>
  </si>
  <si>
    <t>LOVE#2</t>
  </si>
  <si>
    <t>| 30% noun: The affection</t>
  </si>
  <si>
    <t>LOVE#3</t>
  </si>
  <si>
    <t>| 12% idiom-adj: 'in love'--enamored</t>
  </si>
  <si>
    <t>LOVE#4</t>
  </si>
  <si>
    <t>| 4% adj: 'loving'--feeling or showing love</t>
  </si>
  <si>
    <t>LOVE#5</t>
  </si>
  <si>
    <t>| 1% idiom-verb: 'make love'</t>
  </si>
  <si>
    <t>LOVE#6</t>
  </si>
  <si>
    <t>| 1% idiom-noun: 'love life'--one's sexual or romantic relations</t>
  </si>
  <si>
    <t>LOVE#7</t>
  </si>
  <si>
    <t>| 5% idiom-verb: 'fall in love'--handled by "fall" and "fell"</t>
  </si>
  <si>
    <t>LOVELESS</t>
  </si>
  <si>
    <t>LOVELINESS</t>
  </si>
  <si>
    <t>LOVELY</t>
  </si>
  <si>
    <t>| adj: Pleasant, attractive</t>
  </si>
  <si>
    <t>LOVER#1</t>
  </si>
  <si>
    <t>| 41% noun: A person in love, or involved in a sexual relationship, usually the man</t>
  </si>
  <si>
    <t>LOVER#2</t>
  </si>
  <si>
    <t>| 59% noun: A person with a strong liking for something--"a music lover,"  "a lover of nature"</t>
  </si>
  <si>
    <t>LOW#1</t>
  </si>
  <si>
    <t>| 84% adv-adj: Of little height, value or extent, not refined, below average</t>
  </si>
  <si>
    <t>LOW#2</t>
  </si>
  <si>
    <t>| 14% adv-adj: 'lowest'--superlative of sense 1.</t>
  </si>
  <si>
    <t>LOW-COST</t>
  </si>
  <si>
    <t>LOW-INCOME</t>
  </si>
  <si>
    <t>LOWER#1</t>
  </si>
  <si>
    <t>Modif ER</t>
  </si>
  <si>
    <t>| 60% adj-adv: Of less height, value, or extent, less refined (comparative of "low")</t>
  </si>
  <si>
    <t>LOWER#2</t>
  </si>
  <si>
    <t>| 36% verb: To reduce, let down</t>
  </si>
  <si>
    <t>LOWER#3</t>
  </si>
  <si>
    <t>| 4% noun: "Lowering"--reduction</t>
  </si>
  <si>
    <t>LOWLY</t>
  </si>
  <si>
    <t>LOYAL</t>
  </si>
  <si>
    <t>LOYALTY</t>
  </si>
  <si>
    <t>LUCID</t>
  </si>
  <si>
    <t>LUCK</t>
  </si>
  <si>
    <t>| noun: Fortune, fate, good fortune</t>
  </si>
  <si>
    <t>LUCKILY</t>
  </si>
  <si>
    <t>LUCKY</t>
  </si>
  <si>
    <t>LUCRATIVE</t>
  </si>
  <si>
    <t>LUDICROUS</t>
  </si>
  <si>
    <t>LUGGAGE</t>
  </si>
  <si>
    <t>LULL</t>
  </si>
  <si>
    <t>LUMINOUS</t>
  </si>
  <si>
    <t>LUNATIC</t>
  </si>
  <si>
    <t>LUNCH</t>
  </si>
  <si>
    <t>LUNCHEON</t>
  </si>
  <si>
    <t>LUNG</t>
  </si>
  <si>
    <t>LURE</t>
  </si>
  <si>
    <t>LURK</t>
  </si>
  <si>
    <t>LUST</t>
  </si>
  <si>
    <t>LUSTER</t>
  </si>
  <si>
    <t>LUSTROUS</t>
  </si>
  <si>
    <t>LUXEMBERG</t>
  </si>
  <si>
    <t>LUXURIANT</t>
  </si>
  <si>
    <t>LUXURIOUS</t>
  </si>
  <si>
    <t>LUXURY</t>
  </si>
  <si>
    <t>LYING#1</t>
  </si>
  <si>
    <t>| 88% verb: To maintain a prostrate position (of people), to be located (of things)</t>
  </si>
  <si>
    <t>LYING#2</t>
  </si>
  <si>
    <t>SUPV ING</t>
  </si>
  <si>
    <t>| 6% verb: To tell a falsehood</t>
  </si>
  <si>
    <t>LYING#3</t>
  </si>
  <si>
    <t>| 6% noun: The act of telling a falsehood</t>
  </si>
  <si>
    <t>LYRIC</t>
  </si>
  <si>
    <t>LYRICAL</t>
  </si>
  <si>
    <t>MA</t>
  </si>
  <si>
    <t>MACHINE</t>
  </si>
  <si>
    <t>| noun-adj: Mechanical apparatus; organized group controlling a party or  other organization (1)</t>
  </si>
  <si>
    <t>MACHINERY</t>
  </si>
  <si>
    <t>MAD#1</t>
  </si>
  <si>
    <t>| 85% adj: Angry or annoyed</t>
  </si>
  <si>
    <t>MAD#2</t>
  </si>
  <si>
    <t>| 10% adj-noun: Insane, crazy, those who are insane or crazy</t>
  </si>
  <si>
    <t>MAD#3</t>
  </si>
  <si>
    <t>| 3% adv: "Madly," used mostly figuratively, for emphasis--"he is madly in love"</t>
  </si>
  <si>
    <t>MADAGASCAR</t>
  </si>
  <si>
    <t>MADAME</t>
  </si>
  <si>
    <t>MADE#1</t>
  </si>
  <si>
    <t>MADMAN</t>
  </si>
  <si>
    <t>MADNESS</t>
  </si>
  <si>
    <t>MAGAZINE</t>
  </si>
  <si>
    <t>MAGIC</t>
  </si>
  <si>
    <t>MAGICAL</t>
  </si>
  <si>
    <t>MAGICIAN</t>
  </si>
  <si>
    <t>MAGNETIC</t>
  </si>
  <si>
    <t>MAGNIFICENCE</t>
  </si>
  <si>
    <t>MAGNIFICENT</t>
  </si>
  <si>
    <t>MAGNIFY</t>
  </si>
  <si>
    <t>MAGNITUDE</t>
  </si>
  <si>
    <t>MAHOGANY</t>
  </si>
  <si>
    <t>MAID</t>
  </si>
  <si>
    <t>MAIDEN</t>
  </si>
  <si>
    <t>MAIL#1</t>
  </si>
  <si>
    <t>MAIL#2</t>
  </si>
  <si>
    <t>MAIN#1</t>
  </si>
  <si>
    <t>| 74% adj: Principal, chief</t>
  </si>
  <si>
    <t>MAIN#2</t>
  </si>
  <si>
    <t>| 26% adv: "Mainly," "in the main"--principally, chiefly</t>
  </si>
  <si>
    <t>MAINE</t>
  </si>
  <si>
    <t>MAINLAND</t>
  </si>
  <si>
    <t>MAINTAIN#1</t>
  </si>
  <si>
    <t>| 86% verb: To preserve, continue, retain, keep in good condition</t>
  </si>
  <si>
    <t>MAINTAIN#2</t>
  </si>
  <si>
    <t>| 14% verb: To assert, contend</t>
  </si>
  <si>
    <t>MAINTENANCE</t>
  </si>
  <si>
    <t>MAJESTIC</t>
  </si>
  <si>
    <t>MAJESTY</t>
  </si>
  <si>
    <t>MAJOR#1</t>
  </si>
  <si>
    <t>| 56% adj: Principal, chief--"the major aim of this project"</t>
  </si>
  <si>
    <t>MAJOR#2</t>
  </si>
  <si>
    <t>| 28% noun: Principal field of study, or a person in it--'a math major';  military rank (3)</t>
  </si>
  <si>
    <t>MAJOR#3</t>
  </si>
  <si>
    <t>| 16% verb: To take a certain area as one's major</t>
  </si>
  <si>
    <t>MAJORITY</t>
  </si>
  <si>
    <t>| noun: The number greater than half or the excess of this greater number--state  of being major or greater, superiority.</t>
  </si>
  <si>
    <t>MAKE#1</t>
  </si>
  <si>
    <t xml:space="preserve">| 77% verb: Create, produce, execute, construct; cause to be--"make him  happy," "make sure" (112); earn, acquire, attain--"make money" (72); become,  comprise--"he will make </t>
  </si>
  <si>
    <t>MAKE#2</t>
  </si>
  <si>
    <t>| 12% verb: Coerce, force to, cause to--"make him go"</t>
  </si>
  <si>
    <t>MAKE#3</t>
  </si>
  <si>
    <t>| 1% idiom-verb: "Make it"--succeed</t>
  </si>
  <si>
    <t>MAKE#4</t>
  </si>
  <si>
    <t>| 1% verb: "Make out"--decipher (6); survive--"he'll make out" (2); complete--"make  out a list (1)</t>
  </si>
  <si>
    <t>MAKE#5</t>
  </si>
  <si>
    <t>| 1% idiom-verb: "Make up (one's) mind"--decide</t>
  </si>
  <si>
    <t>MAKE#6</t>
  </si>
  <si>
    <t>| 0% verb: "Make up (for)"--compensate, make reparation</t>
  </si>
  <si>
    <t>MAKE#7</t>
  </si>
  <si>
    <t>| 3% idiom-verb: "Make friends," "make a friend"</t>
  </si>
  <si>
    <t>MAKE#8</t>
  </si>
  <si>
    <t>| 0% noun: "Making"--creation, production, execution</t>
  </si>
  <si>
    <t>MAKE#9</t>
  </si>
  <si>
    <t>| 0% noun: "Makings"--ingredients</t>
  </si>
  <si>
    <t>MAKE#_10</t>
  </si>
  <si>
    <t>| 0% idiom-verb: "Make fun (of)"--mock (handled by fun)</t>
  </si>
  <si>
    <t>MAKE#_11</t>
  </si>
  <si>
    <t>| 0% idiom-verb: "Make ends meet" (handled by meet)</t>
  </si>
  <si>
    <t>MAKE#_12</t>
  </si>
  <si>
    <t>| 0% idiom-verb: "Make a go (of, at it)"--(handled by go)</t>
  </si>
  <si>
    <t>MAKE#_13</t>
  </si>
  <si>
    <t>| 0% idiom-verb: "Make love" (handled by love)</t>
  </si>
  <si>
    <t>MAKE#_14</t>
  </si>
  <si>
    <t>| 0% idiom-verb: "Make sense" (handled by sense)</t>
  </si>
  <si>
    <t>MAKE#_15</t>
  </si>
  <si>
    <t>| 0% idiom-verb: "Make light (of)" (handled by light)</t>
  </si>
  <si>
    <t>MAKE#_16</t>
  </si>
  <si>
    <t>| 1% idiom-verb: "Make peace" (handled by peace)</t>
  </si>
  <si>
    <t>MAKER</t>
  </si>
  <si>
    <t>MALADJUSTED</t>
  </si>
  <si>
    <t>MALADJUSTMENT</t>
  </si>
  <si>
    <t>MALADY</t>
  </si>
  <si>
    <t>MALAYA</t>
  </si>
  <si>
    <t>MALAYSIA</t>
  </si>
  <si>
    <t>| noun-adj: Consisting of men or boys; a male plant, person, animal; masculine</t>
  </si>
  <si>
    <t>MALI</t>
  </si>
  <si>
    <t>MALICE</t>
  </si>
  <si>
    <t>MALICIOUS</t>
  </si>
  <si>
    <t>MALIGNANT</t>
  </si>
  <si>
    <t>MALTA</t>
  </si>
  <si>
    <t>MAMA</t>
  </si>
  <si>
    <t>MAN#1</t>
  </si>
  <si>
    <t>| noun: An adult male person, a given type of such a person--"a working  man," "the common man"; mankind, humanity (24); used as an interjection  in slang (5)</t>
  </si>
  <si>
    <t>MAN#2</t>
  </si>
  <si>
    <t>| 0% verb: To furnish with men</t>
  </si>
  <si>
    <t>MAN#3</t>
  </si>
  <si>
    <t>| 0% adj: "Manned"--furnished with men</t>
  </si>
  <si>
    <t>MANAGE#1</t>
  </si>
  <si>
    <t>| 26% verb: To handle, control, get along.</t>
  </si>
  <si>
    <t>MANAGE#2</t>
  </si>
  <si>
    <t>| 69% verb-idiom: "Manage to"--to succeed in accomplishing, contrive</t>
  </si>
  <si>
    <t>MANAGE#3</t>
  </si>
  <si>
    <t>| 6% adjective: "Managing"--directing, in charge</t>
  </si>
  <si>
    <t>MANAGEABLE</t>
  </si>
  <si>
    <t>MANAGEMENT</t>
  </si>
  <si>
    <t>MANAGER</t>
  </si>
  <si>
    <t>MANAGERIAL</t>
  </si>
  <si>
    <t>MANCHESTER</t>
  </si>
  <si>
    <t>MANEUVER</t>
  </si>
  <si>
    <t>MANGLE</t>
  </si>
  <si>
    <t>MANIFEST#1</t>
  </si>
  <si>
    <t>MANIFEST#2</t>
  </si>
  <si>
    <t>MANIFESTATION</t>
  </si>
  <si>
    <t>MANIPULATE</t>
  </si>
  <si>
    <t>MANIPULATION</t>
  </si>
  <si>
    <t>MANKIND</t>
  </si>
  <si>
    <t>MANLY</t>
  </si>
  <si>
    <t>MANNER#1</t>
  </si>
  <si>
    <t>| 85% noun: A way of acting, a mode of procedure, a sort, kind, or style</t>
  </si>
  <si>
    <t>MANNER#2</t>
  </si>
  <si>
    <t>| 8% noun-adj: Social conduct or rules of conduct as shown in the prevalent  customs--"manners"</t>
  </si>
  <si>
    <t>MANNER#3</t>
  </si>
  <si>
    <t>| 2% adj: "Mannered"--having manners of a specific sort</t>
  </si>
  <si>
    <t>MANNER#4</t>
  </si>
  <si>
    <t>| 0% adj: "Mannered"--affected</t>
  </si>
  <si>
    <t>MANOEUVRE#1</t>
  </si>
  <si>
    <t>MANPOWER</t>
  </si>
  <si>
    <t>MANSION</t>
  </si>
  <si>
    <t>MANSLAUGHTER</t>
  </si>
  <si>
    <t>MANTLE</t>
  </si>
  <si>
    <t>MANUFACTURE</t>
  </si>
  <si>
    <t>MANUFACTURER</t>
  </si>
  <si>
    <t>MANURE</t>
  </si>
  <si>
    <t>MANY#1</t>
  </si>
  <si>
    <t>| 79% adj: A considerable number</t>
  </si>
  <si>
    <t>MANY#2</t>
  </si>
  <si>
    <t>| 20% pron: Many persons or things</t>
  </si>
  <si>
    <t>MAP</t>
  </si>
  <si>
    <t>MAPLE</t>
  </si>
  <si>
    <t>MAR#1</t>
  </si>
  <si>
    <t>MAR#2</t>
  </si>
  <si>
    <t>MARBLE</t>
  </si>
  <si>
    <t>MARCH#1</t>
  </si>
  <si>
    <t>| 55% noun-adj: The month</t>
  </si>
  <si>
    <t>MARCH#2</t>
  </si>
  <si>
    <t>| 29% verb: To walk with measured tread</t>
  </si>
  <si>
    <t>MARCH#3</t>
  </si>
  <si>
    <t>| 16% noun-adj: A parade or the accompanying music; a metaphorical advance--  "the march of progress" (2)</t>
  </si>
  <si>
    <t>MARCHER</t>
  </si>
  <si>
    <t>MARE</t>
  </si>
  <si>
    <t>MARGINAL</t>
  </si>
  <si>
    <t>MARINE#1</t>
  </si>
  <si>
    <t>MARINE#2</t>
  </si>
  <si>
    <t>MARITAL</t>
  </si>
  <si>
    <t>MARITIME</t>
  </si>
  <si>
    <t>MARK#1</t>
  </si>
  <si>
    <t>| 47% noun-adj: A symbol, indication, differentiated by a sign</t>
  </si>
  <si>
    <t>MARK#2</t>
  </si>
  <si>
    <t>| 9% adv-adj: "Marked," "markedly"--considerable, conspicuously</t>
  </si>
  <si>
    <t>MARK#3</t>
  </si>
  <si>
    <t>| 34% verb: To label, indicate, make a sign, to characterize</t>
  </si>
  <si>
    <t>MARK#4</t>
  </si>
  <si>
    <t>| 3% idiom-verb: "Mark time," to wait</t>
  </si>
  <si>
    <t>MARK#5</t>
  </si>
  <si>
    <t>| 3% noun-adj: "Marking(s)"--a written or visual pattern</t>
  </si>
  <si>
    <t>MARKER</t>
  </si>
  <si>
    <t>MARKET#1</t>
  </si>
  <si>
    <t>| 43% noun-adj: A place where goods are bought and sold, trade, business,  demand for a commodity</t>
  </si>
  <si>
    <t>MARKET#2</t>
  </si>
  <si>
    <t>| 14% noun-adj: "Marketing"--the activity of buying, or that of selling</t>
  </si>
  <si>
    <t>MARKET#3</t>
  </si>
  <si>
    <t>| 43% idiom-noun: "Common market"--handled by "common"</t>
  </si>
  <si>
    <t>MARKSMAN</t>
  </si>
  <si>
    <t>MARRIAGE</t>
  </si>
  <si>
    <t>| noun-adj: Act of marrying or state of being married</t>
  </si>
  <si>
    <t>MARROW</t>
  </si>
  <si>
    <t>MARRY#1</t>
  </si>
  <si>
    <t>| 83% verb: To take a husband or wife</t>
  </si>
  <si>
    <t>MARRY#2</t>
  </si>
  <si>
    <t>| 17% adj: "Married"--wedded</t>
  </si>
  <si>
    <t>MARSH</t>
  </si>
  <si>
    <t>MARSHALL</t>
  </si>
  <si>
    <t>MARSHALL-PLAN</t>
  </si>
  <si>
    <t>MARVEL</t>
  </si>
  <si>
    <t>MARVELOUS</t>
  </si>
  <si>
    <t>MARXISM</t>
  </si>
  <si>
    <t>MARYLAND</t>
  </si>
  <si>
    <t>MASCULINE</t>
  </si>
  <si>
    <t>MASS#1</t>
  </si>
  <si>
    <t>| 64% noun-adj: Large quantity or size, majority, widespread</t>
  </si>
  <si>
    <t>MASS#2</t>
  </si>
  <si>
    <t>| 21% noun: "The masses"--the lower class, population at large</t>
  </si>
  <si>
    <t>MASS#3</t>
  </si>
  <si>
    <t>| 3% verb: To form or collect into a mass</t>
  </si>
  <si>
    <t>MASS#4</t>
  </si>
  <si>
    <t>| 12% noun: Abbreviation for massachusetts</t>
  </si>
  <si>
    <t>MASSACHUSETTS</t>
  </si>
  <si>
    <t>MASSACRE</t>
  </si>
  <si>
    <t>MASSES</t>
  </si>
  <si>
    <t>MASSIVE</t>
  </si>
  <si>
    <t>MAST</t>
  </si>
  <si>
    <t>MASTER#1</t>
  </si>
  <si>
    <t>| 79% noun-adj: Person or thing which exercises control or is of the greatest  importance</t>
  </si>
  <si>
    <t>MASTER#2</t>
  </si>
  <si>
    <t>| 21% verb: To gain control of someone or something</t>
  </si>
  <si>
    <t>MASTERFUL</t>
  </si>
  <si>
    <t>MASTERY</t>
  </si>
  <si>
    <t>MAT</t>
  </si>
  <si>
    <t>MATCH#1</t>
  </si>
  <si>
    <t>MATCH#2</t>
  </si>
  <si>
    <t>MATCHLESS</t>
  </si>
  <si>
    <t>MATE#1</t>
  </si>
  <si>
    <t>MATE#2</t>
  </si>
  <si>
    <t>MATERIAL#1</t>
  </si>
  <si>
    <t>| 81% noun: The substance of which something is composed</t>
  </si>
  <si>
    <t>MATERIAL#2</t>
  </si>
  <si>
    <t>| 16% adj: Of the physical, corporal, real</t>
  </si>
  <si>
    <t>MATERIAL#3</t>
  </si>
  <si>
    <t>| 1% adv: "Materially"--substantially</t>
  </si>
  <si>
    <t>MATERNAL</t>
  </si>
  <si>
    <t>MATERNITY</t>
  </si>
  <si>
    <t>MATH</t>
  </si>
  <si>
    <t>MATHEMATICAL</t>
  </si>
  <si>
    <t>MATHEMATICS</t>
  </si>
  <si>
    <t>MATRICULATE</t>
  </si>
  <si>
    <t>MATTER#1</t>
  </si>
  <si>
    <t>| 40% noun: Subject, thing, affair, concern, set of circumstances, material  (abstract); physical material (0)</t>
  </si>
  <si>
    <t>MATTER#2</t>
  </si>
  <si>
    <t>| 23% adv-adj: "No matter"--regardless of</t>
  </si>
  <si>
    <t>MATTER#3</t>
  </si>
  <si>
    <t>| 10% noun: "A matter of"--a case or case in point of a subject or thing,  an issue--"it's a matter of politics," "in a matter of minutes"</t>
  </si>
  <si>
    <t>MATTER#4</t>
  </si>
  <si>
    <t>| 12% verb: To be significant</t>
  </si>
  <si>
    <t>MATTER#5</t>
  </si>
  <si>
    <t>| 7% adj: "(be) the matter (with)"--amiss with</t>
  </si>
  <si>
    <t>MATTER#6</t>
  </si>
  <si>
    <t>| 1% idiom: "For that matter"--as far as that is concerned</t>
  </si>
  <si>
    <t>MATTER#7</t>
  </si>
  <si>
    <t>| 5% idiom: "As a matter of fact"</t>
  </si>
  <si>
    <t>MATURE#1</t>
  </si>
  <si>
    <t>| 54% adj: Developed, adult</t>
  </si>
  <si>
    <t>MATURE#2</t>
  </si>
  <si>
    <t>| 31% verb: To develop, become mature, come to fruition</t>
  </si>
  <si>
    <t>MATURE#3</t>
  </si>
  <si>
    <t>| 12% noun-adj: "Maturing"--developing, maturation</t>
  </si>
  <si>
    <t>MATURITY</t>
  </si>
  <si>
    <t>MAURITIUS</t>
  </si>
  <si>
    <t>MAXIM</t>
  </si>
  <si>
    <t>MAXIMIZATION</t>
  </si>
  <si>
    <t>MAXIMIZE</t>
  </si>
  <si>
    <t>MAXIMUM</t>
  </si>
  <si>
    <t>MAY#1</t>
  </si>
  <si>
    <t>SUPV VERB MOD PFREQ</t>
  </si>
  <si>
    <t>| 97% verb: Used to express possibility, opportunity, permission, or wish</t>
  </si>
  <si>
    <t>MAY#2</t>
  </si>
  <si>
    <t>| 3% noun: The fifth month of the year</t>
  </si>
  <si>
    <t>MAYBE</t>
  </si>
  <si>
    <t>| adverb: Perhaps.</t>
  </si>
  <si>
    <t>MAYOR</t>
  </si>
  <si>
    <t>MCGOVERN</t>
  </si>
  <si>
    <t>ME</t>
  </si>
  <si>
    <t>PRON DEF DEF2 Singp</t>
  </si>
  <si>
    <t>| pronoun: Objective form of 'i'</t>
  </si>
  <si>
    <t>MEAGER</t>
  </si>
  <si>
    <t>MEAL</t>
  </si>
  <si>
    <t>| noun: An occasion when food is taken, or the food itself</t>
  </si>
  <si>
    <t>MEAN#1</t>
  </si>
  <si>
    <t>| 71% verb: To intend, indicate, signify, imply--occurs 170 times in the  phrase "i mean," used conversationally to connote precision or emphasis</t>
  </si>
  <si>
    <t>MEAN#2</t>
  </si>
  <si>
    <t>| 3% adj: Base, despicable, selfish, common</t>
  </si>
  <si>
    <t>MEAN#3</t>
  </si>
  <si>
    <t>| 5% noun: "Meaning"--sense, significance, purport</t>
  </si>
  <si>
    <t>MEAN#4</t>
  </si>
  <si>
    <t>| 13% noun: Agency, instrument, method, or financial resources--"through  various means," "by means of a carriage"</t>
  </si>
  <si>
    <t>MEAN#5</t>
  </si>
  <si>
    <t>| 1% idiom-adv: "By no means"--not at all</t>
  </si>
  <si>
    <t>MEAN#6</t>
  </si>
  <si>
    <t>| 0% idiom-adv: "By all means"--certainly</t>
  </si>
  <si>
    <t>MEAN#7</t>
  </si>
  <si>
    <t>| 0% noun-adj: Average</t>
  </si>
  <si>
    <t>MEAN#8</t>
  </si>
  <si>
    <t>| 0% idiom-verb: "Mean business"--to intend serious effort--handled by "business"</t>
  </si>
  <si>
    <t>MEANING</t>
  </si>
  <si>
    <t>MEANINGFUL</t>
  </si>
  <si>
    <t>MEANINGLESS</t>
  </si>
  <si>
    <t>MEANT</t>
  </si>
  <si>
    <t>| verb: Past tense of mean--to have signified, indicated, implied, intended</t>
  </si>
  <si>
    <t>MEANTIME</t>
  </si>
  <si>
    <t>MEANWHILE</t>
  </si>
  <si>
    <t>CONJ CONJ2 LY</t>
  </si>
  <si>
    <t>| adverb: In the intervening time, at the same time.</t>
  </si>
  <si>
    <t>MEASURABLE</t>
  </si>
  <si>
    <t>MEASURE#1</t>
  </si>
  <si>
    <t>| 56% noun: Action, means--"emergency measures"</t>
  </si>
  <si>
    <t>MEASURE#2</t>
  </si>
  <si>
    <t>| 16% verb: To quantify, guage, to be of a specified dimension</t>
  </si>
  <si>
    <t>MEASURE#3</t>
  </si>
  <si>
    <t>| 9% noun: Unit, degree, index of quantity or degree</t>
  </si>
  <si>
    <t>MEASURE#4</t>
  </si>
  <si>
    <t>| 6% verb: "Measure up to"--to meet (a standard)</t>
  </si>
  <si>
    <t>MEASURE#5</t>
  </si>
  <si>
    <t>| 3% noun: "Measuring"--act of quantifying, etc.</t>
  </si>
  <si>
    <t>MEASURE#6</t>
  </si>
  <si>
    <t>| 3% adj: "Measuring"--pertaining to measurement--"measuring cup"; "measured"--having  undergone measurement (0)</t>
  </si>
  <si>
    <t>MEASURE#7</t>
  </si>
  <si>
    <t>| 3% adj: 'measured'--deliberate, slow, steady</t>
  </si>
  <si>
    <t>MEASURELESS</t>
  </si>
  <si>
    <t>MEASUREMENT</t>
  </si>
  <si>
    <t>MEAT</t>
  </si>
  <si>
    <t>| noun: The flesh of animals</t>
  </si>
  <si>
    <t>MECHANIC</t>
  </si>
  <si>
    <t>MECHANISM</t>
  </si>
  <si>
    <t>MEDAL</t>
  </si>
  <si>
    <t>MEDDLE</t>
  </si>
  <si>
    <t>MEDIA</t>
  </si>
  <si>
    <t>MEDIATE</t>
  </si>
  <si>
    <t>MEDIATION</t>
  </si>
  <si>
    <t>MEDIATOR</t>
  </si>
  <si>
    <t>MEDICAL</t>
  </si>
  <si>
    <t>| adjective: Pertaining to medicine</t>
  </si>
  <si>
    <t>MEDICARE</t>
  </si>
  <si>
    <t>| noun: The federal program</t>
  </si>
  <si>
    <t>MEDICINE#1</t>
  </si>
  <si>
    <t>| 76% noun: Substance used in treating disease</t>
  </si>
  <si>
    <t>MEDICINE#2</t>
  </si>
  <si>
    <t>| 22% noun: Medicine as a field</t>
  </si>
  <si>
    <t>MEDIEVAL</t>
  </si>
  <si>
    <t>MEDIOCRE</t>
  </si>
  <si>
    <t>MEDITATION</t>
  </si>
  <si>
    <t>MEDITERRANEAN</t>
  </si>
  <si>
    <t>MEDIUM</t>
  </si>
  <si>
    <t>MEEK</t>
  </si>
  <si>
    <t>MEET#1</t>
  </si>
  <si>
    <t>| 43% verb: Having to do with persons--to encounter, to be in the physical  presence of, to group with (of people)</t>
  </si>
  <si>
    <t>MEET#2</t>
  </si>
  <si>
    <t>| 17% verb: Pertaining to the abstract, to be confronted with, to solve,  to pay, to fulfill (of things)--"he tried to meet the challenge," "money  to meet the needs"</t>
  </si>
  <si>
    <t>MEET#3</t>
  </si>
  <si>
    <t>| 1% idiom-verb: "Make ends meet"--live within one's means</t>
  </si>
  <si>
    <t>MEET#4</t>
  </si>
  <si>
    <t>| 37% noun-adj: A "meeting"--a convocation, a social or political event</t>
  </si>
  <si>
    <t>MEET#5</t>
  </si>
  <si>
    <t>| 1% idiom: A "meeting of the minds"--agreement</t>
  </si>
  <si>
    <t>MELANCHOLY</t>
  </si>
  <si>
    <t>MELLOW</t>
  </si>
  <si>
    <t>MELODRAMATIC</t>
  </si>
  <si>
    <t>MELODY</t>
  </si>
  <si>
    <t>MELT</t>
  </si>
  <si>
    <t>MEMBER</t>
  </si>
  <si>
    <t>| noun: An element of a set, usually a person in a group</t>
  </si>
  <si>
    <t>MEMBERSHIP</t>
  </si>
  <si>
    <t>| noun: The relation holding between an element and a set to which it belongs,  the credentials for belonging, or the members collectively.</t>
  </si>
  <si>
    <t>MEMORABLE</t>
  </si>
  <si>
    <t>MEMORY#1</t>
  </si>
  <si>
    <t>| 68% noun: The faculty of remembering</t>
  </si>
  <si>
    <t>MEMORY#2</t>
  </si>
  <si>
    <t>| 32% noun: Any particular act or experience as remembered</t>
  </si>
  <si>
    <t>MEN</t>
  </si>
  <si>
    <t>| noun: Human beings, especially males</t>
  </si>
  <si>
    <t>MENACE</t>
  </si>
  <si>
    <t>MEND</t>
  </si>
  <si>
    <t>MENIAL</t>
  </si>
  <si>
    <t>MENTAL</t>
  </si>
  <si>
    <t>| adjective: Of or pertaining to mind.</t>
  </si>
  <si>
    <t>MENTALITY</t>
  </si>
  <si>
    <t>MENTION#1</t>
  </si>
  <si>
    <t>| 97% verb: To speak of casually, to refer to, include passingly.</t>
  </si>
  <si>
    <t>MENTION#2</t>
  </si>
  <si>
    <t>| 3% noun: A reference to</t>
  </si>
  <si>
    <t>MENTOR</t>
  </si>
  <si>
    <t>MERCHANDISE</t>
  </si>
  <si>
    <t>MERCHANT</t>
  </si>
  <si>
    <t>| noun: Tradesman</t>
  </si>
  <si>
    <t>MERCHANTILE</t>
  </si>
  <si>
    <t>MERCIFUL</t>
  </si>
  <si>
    <t>MERCILESS</t>
  </si>
  <si>
    <t>MERCY</t>
  </si>
  <si>
    <t>MERE#1</t>
  </si>
  <si>
    <t>| 38% adjective: Only this and nothing else, nothing more than, such and no more</t>
  </si>
  <si>
    <t>MERE#2</t>
  </si>
  <si>
    <t>| 62% adverb: 'merely'--not otherwise than, simply, barely, only.</t>
  </si>
  <si>
    <t>MERGE</t>
  </si>
  <si>
    <t>MERGER</t>
  </si>
  <si>
    <t>MERIT#1</t>
  </si>
  <si>
    <t>MERIT#2</t>
  </si>
  <si>
    <t>MERITORIOUS</t>
  </si>
  <si>
    <t>MERRILY</t>
  </si>
  <si>
    <t>MERRIMENT</t>
  </si>
  <si>
    <t>MERRY</t>
  </si>
  <si>
    <t>MESH</t>
  </si>
  <si>
    <t>MESS#1</t>
  </si>
  <si>
    <t>| 81% noun: A shambles, a jumble, a state of trouble; a place for meals (0)</t>
  </si>
  <si>
    <t>MESS#2</t>
  </si>
  <si>
    <t>| 10% verb: Make a mess of</t>
  </si>
  <si>
    <t>MESS#3</t>
  </si>
  <si>
    <t>| 10% verb: "Mess with," "mess around with" - putter around, fool with</t>
  </si>
  <si>
    <t>MESSAGE</t>
  </si>
  <si>
    <t>| noun: Any notice or communication sent from one person to another .</t>
  </si>
  <si>
    <t>MESSENGER</t>
  </si>
  <si>
    <t>MET#1</t>
  </si>
  <si>
    <t>METAL</t>
  </si>
  <si>
    <t>METAPHYSICAL</t>
  </si>
  <si>
    <t>METAPHYSICS</t>
  </si>
  <si>
    <t>METEOR</t>
  </si>
  <si>
    <t>METEORITE</t>
  </si>
  <si>
    <t>METER</t>
  </si>
  <si>
    <t>METHOD</t>
  </si>
  <si>
    <t>| noun: A manner or mode of proceeding</t>
  </si>
  <si>
    <t>METHODICAL</t>
  </si>
  <si>
    <t>METICULOUS</t>
  </si>
  <si>
    <t>METROPOLIS</t>
  </si>
  <si>
    <t>METROPOLITAN</t>
  </si>
  <si>
    <t>MEXICAN</t>
  </si>
  <si>
    <t>MEXICO</t>
  </si>
  <si>
    <t>MICE</t>
  </si>
  <si>
    <t>MICHIGAN</t>
  </si>
  <si>
    <t>MIDDLE</t>
  </si>
  <si>
    <t>| noun-adj: Between the extremes, center, central</t>
  </si>
  <si>
    <t>MIDDLE-CLASS</t>
  </si>
  <si>
    <t>MIDNIGHT</t>
  </si>
  <si>
    <t>MIDST</t>
  </si>
  <si>
    <t>MIGHT#1</t>
  </si>
  <si>
    <t>SUPV VERB MOD ED PFREQ</t>
  </si>
  <si>
    <t>| 98% verb: Auxiliary verb, past tense of 'may'</t>
  </si>
  <si>
    <t>MIGHT#2</t>
  </si>
  <si>
    <t>| 2% noun: Force or power of any kind.</t>
  </si>
  <si>
    <t>MIGHTY</t>
  </si>
  <si>
    <t>MIGRATION</t>
  </si>
  <si>
    <t>MILD</t>
  </si>
  <si>
    <t>MILE</t>
  </si>
  <si>
    <t>| noun: A measure of distance.</t>
  </si>
  <si>
    <t>MILITARY</t>
  </si>
  <si>
    <t>| noun-adj: Of, for, or pertaining to the army, armed forces, affairs of  war, or to the soldiers themselves</t>
  </si>
  <si>
    <t>MILITIA</t>
  </si>
  <si>
    <t>MILK</t>
  </si>
  <si>
    <t>MILL#1</t>
  </si>
  <si>
    <t>| 25% noun-adj: "Mill"--tool, building, or factory</t>
  </si>
  <si>
    <t>MILL#2</t>
  </si>
  <si>
    <t>| 0% verb: "Mill around," "mill about" - move aimlessly</t>
  </si>
  <si>
    <t>MILL#3</t>
  </si>
  <si>
    <t>| 0% noun-adj: "Milling"--work done with or in a mill</t>
  </si>
  <si>
    <t>MILLER</t>
  </si>
  <si>
    <t>MILLION</t>
  </si>
  <si>
    <t>| noun: The cardinal number</t>
  </si>
  <si>
    <t>MILLIONTH#1</t>
  </si>
  <si>
    <t>MIND#1</t>
  </si>
  <si>
    <t>| 55% noun: The organization of mental processes, particularly intellectual processes</t>
  </si>
  <si>
    <t>MIND#2</t>
  </si>
  <si>
    <t>| 6% noun: Will, intentions, plans--"change one's mind"</t>
  </si>
  <si>
    <t>MIND#3</t>
  </si>
  <si>
    <t>| 2% verb: Pay attention to; obey--"mind your master;" tend--"mind the children"</t>
  </si>
  <si>
    <t>MIND#4</t>
  </si>
  <si>
    <t>| 6% verb: Be bothered by--"will he mind if i take it?"</t>
  </si>
  <si>
    <t>MIND#5</t>
  </si>
  <si>
    <t>| 2% adj: "Minded"--having a certain kind of mind, inclined or disposed  ("politically minded")</t>
  </si>
  <si>
    <t>MIND#6</t>
  </si>
  <si>
    <t>| 3% idiom: "Never mind"--don't bother, don't worry, pay no attention</t>
  </si>
  <si>
    <t>MIND#7</t>
  </si>
  <si>
    <t>| 9% idiom-adj: "On (one's) mind"--persistantly, naggingly present or conscious</t>
  </si>
  <si>
    <t>MIND#8</t>
  </si>
  <si>
    <t>| 1% idiom-adj: "Out of or off (one's) mind"--removed from consciousness</t>
  </si>
  <si>
    <t>MIND#9</t>
  </si>
  <si>
    <t>| 0% idiom-verb: "Lose (one's) mind"--lose one's sanity</t>
  </si>
  <si>
    <t>MIND#_10</t>
  </si>
  <si>
    <t>| 1% idiom-noun: "Right mind"--sanity</t>
  </si>
  <si>
    <t>MIND#_11</t>
  </si>
  <si>
    <t>| 4% idiom: "In mind"--consciously, in one's thoughts</t>
  </si>
  <si>
    <t>MIND#_12</t>
  </si>
  <si>
    <t>| 5% idiom-verb: "Make (made) up (one's) mind"--handled by "make"</t>
  </si>
  <si>
    <t>MIND#_13</t>
  </si>
  <si>
    <t>| 1% idiom-verb: "Bring to mind"--to become conscious of--handled by "bring"</t>
  </si>
  <si>
    <t>MIND#_14</t>
  </si>
  <si>
    <t>| 1% idiom-noun: "Meeting of the minds"--handled by "meet"</t>
  </si>
  <si>
    <t>MINDFUL</t>
  </si>
  <si>
    <t>MINE#1</t>
  </si>
  <si>
    <t>PRON Singp</t>
  </si>
  <si>
    <t>| 60% pron: The absolute form of "my"</t>
  </si>
  <si>
    <t>MINE#2</t>
  </si>
  <si>
    <t>| 32% noun-adj: A pit or excavation from which ores, precious stones, etc.  are extracted</t>
  </si>
  <si>
    <t>MINE#3</t>
  </si>
  <si>
    <t>| 5% noun: An explosive charge</t>
  </si>
  <si>
    <t>MINE#4</t>
  </si>
  <si>
    <t>| 1% noun-adj: "Mining"--the activity of extracting ores, etc. from a mine;  "mined"--extracted from a mine</t>
  </si>
  <si>
    <t>MINER</t>
  </si>
  <si>
    <t>MINERAL</t>
  </si>
  <si>
    <t>MINGLE</t>
  </si>
  <si>
    <t>MINIMAL</t>
  </si>
  <si>
    <t>MINIMIZE</t>
  </si>
  <si>
    <t>MINIMUM</t>
  </si>
  <si>
    <t>MINISTER#1</t>
  </si>
  <si>
    <t>| 65% idiom-noun: "Prime minister"--executive head of government</t>
  </si>
  <si>
    <t>MINISTER#2</t>
  </si>
  <si>
    <t>| 16% noun: Person in charge of a department of state, a diplomatic officer</t>
  </si>
  <si>
    <t>MINISTER#3</t>
  </si>
  <si>
    <t>| 16% noun: Person authorized to conduct religious worship</t>
  </si>
  <si>
    <t>MINISTER#4</t>
  </si>
  <si>
    <t>| 3% verb: To care for, aid, service</t>
  </si>
  <si>
    <t>MINISTERIAL</t>
  </si>
  <si>
    <t>MINISTRY</t>
  </si>
  <si>
    <t>MINNESOTA</t>
  </si>
  <si>
    <t>MINOR</t>
  </si>
  <si>
    <t>MINORITY</t>
  </si>
  <si>
    <t>MINT</t>
  </si>
  <si>
    <t>MINUS</t>
  </si>
  <si>
    <t>MINUTE</t>
  </si>
  <si>
    <t>| noun: Exactly or approximately 60 seconds, any short space of time or an instant</t>
  </si>
  <si>
    <t>MINUTEMEN</t>
  </si>
  <si>
    <t>MIRACLE</t>
  </si>
  <si>
    <t>MIRACULOUS</t>
  </si>
  <si>
    <t>MIRROR</t>
  </si>
  <si>
    <t>MIRTH</t>
  </si>
  <si>
    <t>MISBEHAVE</t>
  </si>
  <si>
    <t>MISBEHAVIOR</t>
  </si>
  <si>
    <t>MISCARRIAGE</t>
  </si>
  <si>
    <t>MISCHIEF</t>
  </si>
  <si>
    <t>MISCHIEVOUS</t>
  </si>
  <si>
    <t>MISER</t>
  </si>
  <si>
    <t>MISERABLE</t>
  </si>
  <si>
    <t>MISERY</t>
  </si>
  <si>
    <t>MISFORTUNE</t>
  </si>
  <si>
    <t>MISGUIDE#1</t>
  </si>
  <si>
    <t>MISGUIDE#2</t>
  </si>
  <si>
    <t>MISHANDLE</t>
  </si>
  <si>
    <t>MISHAP</t>
  </si>
  <si>
    <t>MISINFORM</t>
  </si>
  <si>
    <t>MISINFORMED</t>
  </si>
  <si>
    <t>MISLEAD</t>
  </si>
  <si>
    <t>MISLED</t>
  </si>
  <si>
    <t>MISMANAGEMENT</t>
  </si>
  <si>
    <t>MISREPRESENT</t>
  </si>
  <si>
    <t>MISS#1</t>
  </si>
  <si>
    <t>| 80% verb: To fail to do or take advantage of, to escape, to notice or  regret the absence of</t>
  </si>
  <si>
    <t>MISS#2</t>
  </si>
  <si>
    <t>| 8% noun: An unmarried girl</t>
  </si>
  <si>
    <t>MISS#3</t>
  </si>
  <si>
    <t>| 8% adj: "Missing"--absent, lacking</t>
  </si>
  <si>
    <t>MISS#4</t>
  </si>
  <si>
    <t>| 0% noun: "Miss."--abbreviation for mississippi</t>
  </si>
  <si>
    <t>MISS#5</t>
  </si>
  <si>
    <t>| 1% idiom-adj: "Hit or miss"--haphazard--handled by "hit"</t>
  </si>
  <si>
    <t>MISSILE</t>
  </si>
  <si>
    <t>| noun-adj: A weapon or object projected so as to strike a distant object,  especially a self-propelled rocket-like weapon</t>
  </si>
  <si>
    <t>MISSION</t>
  </si>
  <si>
    <t>MISSIONARY</t>
  </si>
  <si>
    <t>MISSISSIPPI</t>
  </si>
  <si>
    <t>MISSOURI</t>
  </si>
  <si>
    <t>MIST</t>
  </si>
  <si>
    <t>MISTAKE#1</t>
  </si>
  <si>
    <t>| 93% noun: An error</t>
  </si>
  <si>
    <t>MISTAKE#2</t>
  </si>
  <si>
    <t>| 3% idiom-adverb: "By mistake," accidentally</t>
  </si>
  <si>
    <t>MISTAKE#3</t>
  </si>
  <si>
    <t>| 3% verb: To 'mistake' one thing for another --to confuse</t>
  </si>
  <si>
    <t>MISTAKEN</t>
  </si>
  <si>
    <t>MISTER</t>
  </si>
  <si>
    <t>MISTOOK</t>
  </si>
  <si>
    <t>MISTREAT</t>
  </si>
  <si>
    <t>MISTREATMENT</t>
  </si>
  <si>
    <t>MISTRESS</t>
  </si>
  <si>
    <t>MISTRUST</t>
  </si>
  <si>
    <t>MISUNDERSTAND</t>
  </si>
  <si>
    <t>MISUNDERSTANDING</t>
  </si>
  <si>
    <t>MISUNDERSTOOD</t>
  </si>
  <si>
    <t>MISUSE</t>
  </si>
  <si>
    <t>MITIGATE</t>
  </si>
  <si>
    <t>MIX#1</t>
  </si>
  <si>
    <t>| 53% verb: To combine, mingle</t>
  </si>
  <si>
    <t>MIX#2</t>
  </si>
  <si>
    <t>| 10% adj: "Mixed"--mingled</t>
  </si>
  <si>
    <t>MIX#3</t>
  </si>
  <si>
    <t>| 33% idiom-adj: "Mixed up"--mentally confused</t>
  </si>
  <si>
    <t>MIX#4</t>
  </si>
  <si>
    <t>| 3% idiom-adj: "Mixed up with"--involved with</t>
  </si>
  <si>
    <t>MIX#5</t>
  </si>
  <si>
    <t>| 3% noun: Blend, combination, hodgepodge, pot pourri</t>
  </si>
  <si>
    <t>MIXTURE</t>
  </si>
  <si>
    <t>MOAN</t>
  </si>
  <si>
    <t>MOB</t>
  </si>
  <si>
    <t>MOBILE</t>
  </si>
  <si>
    <t>MOBILITY</t>
  </si>
  <si>
    <t>MOBILIZE</t>
  </si>
  <si>
    <t>MOCK</t>
  </si>
  <si>
    <t>MOCKERY</t>
  </si>
  <si>
    <t>MODE</t>
  </si>
  <si>
    <t>MODERATE</t>
  </si>
  <si>
    <t>MODERATION</t>
  </si>
  <si>
    <t>MODERN#1</t>
  </si>
  <si>
    <t>| adjective: Of or characteristic of the present or recent time, hence,  new-fashioned, contemporary</t>
  </si>
  <si>
    <t>MODERN#2</t>
  </si>
  <si>
    <t>| 0% noun: Modern people</t>
  </si>
  <si>
    <t>MODERNITY</t>
  </si>
  <si>
    <t>MODERNIZATION</t>
  </si>
  <si>
    <t>MODEST</t>
  </si>
  <si>
    <t>MODESTY</t>
  </si>
  <si>
    <t>MODIFICATION</t>
  </si>
  <si>
    <t>MODIFY</t>
  </si>
  <si>
    <t>MOISTURE</t>
  </si>
  <si>
    <t>MOLD#1</t>
  </si>
  <si>
    <t>MOLD#2</t>
  </si>
  <si>
    <t>MOLECULAR</t>
  </si>
  <si>
    <t>MOLEST</t>
  </si>
  <si>
    <t>MOMENT</t>
  </si>
  <si>
    <t>| noun: An indefinitely short space of time, the present or any other particular  instant</t>
  </si>
  <si>
    <t>MOMENTARY</t>
  </si>
  <si>
    <t>MOMENTOUS</t>
  </si>
  <si>
    <t>MOMENTUM</t>
  </si>
  <si>
    <t>MONARCH</t>
  </si>
  <si>
    <t>MONARCHY</t>
  </si>
  <si>
    <t>MONDAY</t>
  </si>
  <si>
    <t>MONETARY</t>
  </si>
  <si>
    <t>| adjective: Pertaining to money or finance</t>
  </si>
  <si>
    <t>MONEY</t>
  </si>
  <si>
    <t>| noun-adj: Currency, medium of exchange, wealth</t>
  </si>
  <si>
    <t>MONGOLIA</t>
  </si>
  <si>
    <t>MONITOR</t>
  </si>
  <si>
    <t>MONKEY</t>
  </si>
  <si>
    <t>| noun: The primate</t>
  </si>
  <si>
    <t>MONOPOLY</t>
  </si>
  <si>
    <t>MONOTONOUS</t>
  </si>
  <si>
    <t>MONOTONY</t>
  </si>
  <si>
    <t>MONSTER</t>
  </si>
  <si>
    <t>| noun: A grotesque or unusually large animate or inanimate object</t>
  </si>
  <si>
    <t>MONSTROUS</t>
  </si>
  <si>
    <t>MONTANA</t>
  </si>
  <si>
    <t>MONTH#1</t>
  </si>
  <si>
    <t>| noun: One twelfth of a calendar year</t>
  </si>
  <si>
    <t>MONTH#2</t>
  </si>
  <si>
    <t>| 0% adv-adj: "Monthly"--once a month</t>
  </si>
  <si>
    <t>MONTH#3</t>
  </si>
  <si>
    <t>| 0% idiom-adj: "(n) month(s) old"--phrase used to specify n--handled by "old"</t>
  </si>
  <si>
    <t>MONUMENT</t>
  </si>
  <si>
    <t>MONUMENTAL</t>
  </si>
  <si>
    <t>MOOD</t>
  </si>
  <si>
    <t>MOODY</t>
  </si>
  <si>
    <t>MOON</t>
  </si>
  <si>
    <t>MORAL</t>
  </si>
  <si>
    <t>| adj-noun: Pertaining to character, conduct, intentions, etc. viewed ethically--principles,  concern for principle</t>
  </si>
  <si>
    <t>MORALE</t>
  </si>
  <si>
    <t>MORALISTIC</t>
  </si>
  <si>
    <t>MORALITY</t>
  </si>
  <si>
    <t>MORE</t>
  </si>
  <si>
    <t>DET PRE PRE2 PRON LY ER</t>
  </si>
  <si>
    <t>| adv-adj-pron: A general intensifier--it takes its specific meaning - and  part of speech - from the word modified; and often the word modified is  implied ra</t>
  </si>
  <si>
    <t>MOREOVER</t>
  </si>
  <si>
    <t>MORNING</t>
  </si>
  <si>
    <t>| noun-adj: The early part of the day</t>
  </si>
  <si>
    <t>MOROCCO</t>
  </si>
  <si>
    <t>MORTALITY</t>
  </si>
  <si>
    <t>MORTAR</t>
  </si>
  <si>
    <t>MORTGAGE#1</t>
  </si>
  <si>
    <t>MORTGAGE#2</t>
  </si>
  <si>
    <t>MORTIFY</t>
  </si>
  <si>
    <t>MOSCOW</t>
  </si>
  <si>
    <t>MOST#1</t>
  </si>
  <si>
    <t>DET PRE PRE2 EST Modif</t>
  </si>
  <si>
    <t>| 63% adj-adv: Greatest in number, size, extent, nearly all, in the greatest degree.</t>
  </si>
  <si>
    <t>MOST#2</t>
  </si>
  <si>
    <t>| 26% pron: The greatest quantity or amount, the majority.</t>
  </si>
  <si>
    <t>MOST#3</t>
  </si>
  <si>
    <t>| 8% adv: 'mostly'--chiefly.</t>
  </si>
  <si>
    <t>MOST#4</t>
  </si>
  <si>
    <t>| 2% idiom-adv: "For the most part"--handled by "part"</t>
  </si>
  <si>
    <t>MOTEL</t>
  </si>
  <si>
    <t>MOTH</t>
  </si>
  <si>
    <t>MOTHER</t>
  </si>
  <si>
    <t>| noun: Female parent</t>
  </si>
  <si>
    <t>MOTION</t>
  </si>
  <si>
    <t>MOTIONLESS</t>
  </si>
  <si>
    <t>MOTIVATE</t>
  </si>
  <si>
    <t>MOTIVATED</t>
  </si>
  <si>
    <t>MOTIVATION</t>
  </si>
  <si>
    <t>MOTIVE</t>
  </si>
  <si>
    <t>MOTLEY</t>
  </si>
  <si>
    <t>MOTOR</t>
  </si>
  <si>
    <t>MOTORIST</t>
  </si>
  <si>
    <t>MOTTLED</t>
  </si>
  <si>
    <t>MOUND</t>
  </si>
  <si>
    <t>MOUNT#1</t>
  </si>
  <si>
    <t>MOUNT#2</t>
  </si>
  <si>
    <t>MOUNTAIN</t>
  </si>
  <si>
    <t>| noun: A large abrupt elevation of the earth's surface</t>
  </si>
  <si>
    <t>MOURN#1</t>
  </si>
  <si>
    <t>MOURN#2</t>
  </si>
  <si>
    <t>MOURNER</t>
  </si>
  <si>
    <t>MOUSE</t>
  </si>
  <si>
    <t>MOUTH#1</t>
  </si>
  <si>
    <t>| 93% noun: Oral cavity containing the tongue and teeth</t>
  </si>
  <si>
    <t>MOUTH#2</t>
  </si>
  <si>
    <t>| 4% noun: An opening affording entrance or exit</t>
  </si>
  <si>
    <t>MOUTH#3</t>
  </si>
  <si>
    <t>| 0% verb: To move the lips or speak, usually excessively or loudly</t>
  </si>
  <si>
    <t>MOUTH#4</t>
  </si>
  <si>
    <t>| 3% idiom-verb: "Shoot . . . mouth off" to talk indiscreetly--handled by "shoot"</t>
  </si>
  <si>
    <t>MOVABLE</t>
  </si>
  <si>
    <t>MOVE#1</t>
  </si>
  <si>
    <t>| 82% verb: To change or cause to change place or position, to set in motion</t>
  </si>
  <si>
    <t>MOVE#2</t>
  </si>
  <si>
    <t>| 12% noun-adj: "Move," "moving"--changing or causing to change place or  position, an action, often strategic</t>
  </si>
  <si>
    <t>MOVE#3</t>
  </si>
  <si>
    <t>| 2% verb: To rouse by appeal to the mind or Emotions, to influence</t>
  </si>
  <si>
    <t>MOVE#4</t>
  </si>
  <si>
    <t>| 0% adj: "Moving"--arousing the Emotions</t>
  </si>
  <si>
    <t>MOVE#5</t>
  </si>
  <si>
    <t>| 1% idiom-adj: "On the move"--busy, progressing, going from place to place</t>
  </si>
  <si>
    <t>MOVEMENT</t>
  </si>
  <si>
    <t>| noun: The act, process, or result of moving</t>
  </si>
  <si>
    <t>MOVER</t>
  </si>
  <si>
    <t>NOUN</t>
  </si>
  <si>
    <t>MOVIE</t>
  </si>
  <si>
    <t>MOZAMBIQUE</t>
  </si>
  <si>
    <t>MPH</t>
  </si>
  <si>
    <t>MR.</t>
  </si>
  <si>
    <t>MRS.</t>
  </si>
  <si>
    <t>MS.</t>
  </si>
  <si>
    <t>MUCH</t>
  </si>
  <si>
    <t>DET PRE PRE2 PRON LY</t>
  </si>
  <si>
    <t>| pron-adj-adv: Being of great quantity, amount, measure or degree</t>
  </si>
  <si>
    <t>MUD</t>
  </si>
  <si>
    <t>| noun: A slimy, sticky mixture of dirt with water.</t>
  </si>
  <si>
    <t>MUDDLE</t>
  </si>
  <si>
    <t>MUDDY</t>
  </si>
  <si>
    <t>MUFFLE#1</t>
  </si>
  <si>
    <t>MUFFLE#2</t>
  </si>
  <si>
    <t>MULE</t>
  </si>
  <si>
    <t>MULTILATERAL-FORCE</t>
  </si>
  <si>
    <t>MULTIPLE</t>
  </si>
  <si>
    <t>MULTIPLICATION</t>
  </si>
  <si>
    <t>MULTIPLY</t>
  </si>
  <si>
    <t>MULTITUDE</t>
  </si>
  <si>
    <t>MUMBLE</t>
  </si>
  <si>
    <t>MUNDANE</t>
  </si>
  <si>
    <t>MUNICIPAL</t>
  </si>
  <si>
    <t>MUNICIPALITY</t>
  </si>
  <si>
    <t>MUNITION</t>
  </si>
  <si>
    <t>MURDER#1</t>
  </si>
  <si>
    <t>MURDER#2</t>
  </si>
  <si>
    <t>MURDERER</t>
  </si>
  <si>
    <t>MURDEROUS</t>
  </si>
  <si>
    <t>MURKY</t>
  </si>
  <si>
    <t>MURMUR#1</t>
  </si>
  <si>
    <t>MURMUR#2</t>
  </si>
  <si>
    <t>MUSCLE</t>
  </si>
  <si>
    <t>MUSCULAR</t>
  </si>
  <si>
    <t>MUSEUM</t>
  </si>
  <si>
    <t>MUSIC</t>
  </si>
  <si>
    <t>| noun: An art of sound in time, the actual sounds employed in this art</t>
  </si>
  <si>
    <t>MUSICAL</t>
  </si>
  <si>
    <t>MUSICIAN</t>
  </si>
  <si>
    <t>| noun: Person who plays a musical instrument</t>
  </si>
  <si>
    <t>MUST#1</t>
  </si>
  <si>
    <t>| verb: An element of the auxiliary denoting obligation, requirement, urgency</t>
  </si>
  <si>
    <t>MUST#2</t>
  </si>
  <si>
    <t>| 0% noun: Something necessary or required</t>
  </si>
  <si>
    <t>MUSTER</t>
  </si>
  <si>
    <t>MUTTER</t>
  </si>
  <si>
    <t>MUTTON</t>
  </si>
  <si>
    <t>MUTUAL#1</t>
  </si>
  <si>
    <t>| 91% adjective: Common, joint, reciprocal, reciprocated.</t>
  </si>
  <si>
    <t>MUTUAL#2</t>
  </si>
  <si>
    <t>| 9% adverb: "Mutually"--jointly, reciprocally</t>
  </si>
  <si>
    <t>MY</t>
  </si>
  <si>
    <t>DET GEN Singp</t>
  </si>
  <si>
    <t>| adjective: Possessive form of 'i'</t>
  </si>
  <si>
    <t>MYRIAD</t>
  </si>
  <si>
    <t>MYSELF#1</t>
  </si>
  <si>
    <t>Self Singp</t>
  </si>
  <si>
    <t>MYSELF&gt;#1</t>
  </si>
  <si>
    <t>PRON DEF DEF3 PFREQ</t>
  </si>
  <si>
    <t>| 96% pron: First person singular pronoun--reflexive or intensive form</t>
  </si>
  <si>
    <t>MYSELF&gt;#2</t>
  </si>
  <si>
    <t>| 4% idiom-adj-adv: "By myself"--alone or without help</t>
  </si>
  <si>
    <t>MYSELF&gt;#3</t>
  </si>
  <si>
    <t>| 0% idiom-adj: "Beside myself"--almost out of one's senses with fear or  other Emotion</t>
  </si>
  <si>
    <t>MYSTERIOUS</t>
  </si>
  <si>
    <t>MYSTERY</t>
  </si>
  <si>
    <t>MYSTIC</t>
  </si>
  <si>
    <t>MYSTICAL</t>
  </si>
  <si>
    <t>MYTH</t>
  </si>
  <si>
    <t>NAG#1</t>
  </si>
  <si>
    <t>NAG#2</t>
  </si>
  <si>
    <t>NAIL#1</t>
  </si>
  <si>
    <t>NAIL#2</t>
  </si>
  <si>
    <t>NAIVE</t>
  </si>
  <si>
    <t>NAKED</t>
  </si>
  <si>
    <t>NAME#1</t>
  </si>
  <si>
    <t>| 80% noun: Words by which a person or thing is known or designated</t>
  </si>
  <si>
    <t>NAME#2</t>
  </si>
  <si>
    <t>| 12% verb: To identify, call, designate</t>
  </si>
  <si>
    <t>NAME#3</t>
  </si>
  <si>
    <t>| 1% noun: "Naming"--designation</t>
  </si>
  <si>
    <t>NAME#4</t>
  </si>
  <si>
    <t>| 4% idiom: "In (one's) name"; "in the name of"--with appeal to, on behalf of</t>
  </si>
  <si>
    <t>NAME#5</t>
  </si>
  <si>
    <t>| 3% noun: Reputation</t>
  </si>
  <si>
    <t>NAME#6</t>
  </si>
  <si>
    <t>| 2% adv: "Namely"--to wit</t>
  </si>
  <si>
    <t>NARRATIVE</t>
  </si>
  <si>
    <t>NARROW</t>
  </si>
  <si>
    <t>NASTY</t>
  </si>
  <si>
    <t>NATION</t>
  </si>
  <si>
    <t>| noun: A country or people of a country, political unit</t>
  </si>
  <si>
    <t>NATIONAL</t>
  </si>
  <si>
    <t>| adjective: Of or pertaining to, or maintained by a nation as an organized  whole or independent political unit</t>
  </si>
  <si>
    <t>NATIONALISM</t>
  </si>
  <si>
    <t>NATIONALIST</t>
  </si>
  <si>
    <t>NATIONALISTIC</t>
  </si>
  <si>
    <t>NATIONALITY</t>
  </si>
  <si>
    <t>NATIVE#1</t>
  </si>
  <si>
    <t>| 50% adj: Indigenous</t>
  </si>
  <si>
    <t>NATIVE#2</t>
  </si>
  <si>
    <t>| 50% noun: One of the original inhabitants of a place</t>
  </si>
  <si>
    <t>NATURAL#1</t>
  </si>
  <si>
    <t>| 37% adj: Not artificial, coming from or having to do with nature</t>
  </si>
  <si>
    <t>NATURAL#2</t>
  </si>
  <si>
    <t>| 63% adv: "Naturally", not artificially, understandably</t>
  </si>
  <si>
    <t>NATURALIZATION</t>
  </si>
  <si>
    <t>NATURE#1</t>
  </si>
  <si>
    <t>| 72% noun: Inherent quality or character</t>
  </si>
  <si>
    <t>NATURE#2</t>
  </si>
  <si>
    <t>| 26% noun: The natural world</t>
  </si>
  <si>
    <t>NAUGHTY</t>
  </si>
  <si>
    <t>NAVAL</t>
  </si>
  <si>
    <t>NAVIGABLE</t>
  </si>
  <si>
    <t>NAVIGATION</t>
  </si>
  <si>
    <t>NAVY</t>
  </si>
  <si>
    <t>NAY</t>
  </si>
  <si>
    <t>NAZI</t>
  </si>
  <si>
    <t>NEAR#1</t>
  </si>
  <si>
    <t>| 59% prep: Close to</t>
  </si>
  <si>
    <t>NEAR#2</t>
  </si>
  <si>
    <t>| 6% adj: Close, imminent</t>
  </si>
  <si>
    <t>NEAR#3</t>
  </si>
  <si>
    <t>| 4% adv: Nearby, close</t>
  </si>
  <si>
    <t>NEAR#4</t>
  </si>
  <si>
    <t>| 9% adv-adj: "Nearer"--comparative--closer</t>
  </si>
  <si>
    <t>NEAR#5</t>
  </si>
  <si>
    <t>| 1% adv-adj: "Nearest"--superlative--closest</t>
  </si>
  <si>
    <t>NEAR#6</t>
  </si>
  <si>
    <t>| 19% adv: "Nearly"--almost</t>
  </si>
  <si>
    <t>NEAR#7</t>
  </si>
  <si>
    <t>| 2% verb: To approach</t>
  </si>
  <si>
    <t>NEARBY</t>
  </si>
  <si>
    <t>| adv-adj.: Neighboring, adjacent, close.</t>
  </si>
  <si>
    <t>NEAT</t>
  </si>
  <si>
    <t>NEBRASKA</t>
  </si>
  <si>
    <t>NEBULOUS</t>
  </si>
  <si>
    <t>NECESSARILY</t>
  </si>
  <si>
    <t>NECESSARY#1</t>
  </si>
  <si>
    <t>| 84% adj: Essential, required</t>
  </si>
  <si>
    <t>NECESSARY#2</t>
  </si>
  <si>
    <t>| 16% adv: "Necessarily"--of necessity</t>
  </si>
  <si>
    <t>NECESSARY#3</t>
  </si>
  <si>
    <t>| 0% noun: Essentials</t>
  </si>
  <si>
    <t>NECESSITATE</t>
  </si>
  <si>
    <t>NECESSITY</t>
  </si>
  <si>
    <t>| noun: Need, something indispensible or required</t>
  </si>
  <si>
    <t>NECK</t>
  </si>
  <si>
    <t>| noun: Part of the body of a man or an animal which connects the head to the trunk;</t>
  </si>
  <si>
    <t>NEED#1</t>
  </si>
  <si>
    <t>| 67% verb: To want, lack, require, have (to)</t>
  </si>
  <si>
    <t>NEED#2</t>
  </si>
  <si>
    <t>| 29% noun: Lack of something wanted, requirement, exigency</t>
  </si>
  <si>
    <t>NEED#3</t>
  </si>
  <si>
    <t>| 3% adj: "Needed"--wanted, requisite</t>
  </si>
  <si>
    <t>NEEDLE#1</t>
  </si>
  <si>
    <t>NEEDLE#2</t>
  </si>
  <si>
    <t>NEEDY</t>
  </si>
  <si>
    <t>NEGATE</t>
  </si>
  <si>
    <t>NEGATION</t>
  </si>
  <si>
    <t>NEGATIVE</t>
  </si>
  <si>
    <t>NEGLECT#1</t>
  </si>
  <si>
    <t>NEGLECT#2</t>
  </si>
  <si>
    <t>NEGLIGENCE</t>
  </si>
  <si>
    <t>NEGLIGENT</t>
  </si>
  <si>
    <t>NEGLIGIBLE</t>
  </si>
  <si>
    <t>NEGOTIATE</t>
  </si>
  <si>
    <t>NEGOTIATION</t>
  </si>
  <si>
    <t>NEGOTIATOR</t>
  </si>
  <si>
    <t>NEGRO</t>
  </si>
  <si>
    <t>NEIGHBOR#1</t>
  </si>
  <si>
    <t>| 93% noun-adj: A person or thing that is near another; one's fellow human being (1)</t>
  </si>
  <si>
    <t>NEIGHBOR#2</t>
  </si>
  <si>
    <t>| 7% adjective: "Neighboring"--living or situated near, adjacent</t>
  </si>
  <si>
    <t>NEIGHBORHOOD</t>
  </si>
  <si>
    <t>| noun-adj: A vicinity, locality, community; pertaining to same</t>
  </si>
  <si>
    <t>NEIGHBOUR#1</t>
  </si>
  <si>
    <t>NEIGHBOURHOOD#1</t>
  </si>
  <si>
    <t>NEITHER</t>
  </si>
  <si>
    <t>DET PRE PRE1 CONJ CONJ2 PRON LY</t>
  </si>
  <si>
    <t>| adj-pron-conj: Not either</t>
  </si>
  <si>
    <t>NEPAL</t>
  </si>
  <si>
    <t>NEPHEW</t>
  </si>
  <si>
    <t>NERVE</t>
  </si>
  <si>
    <t>NERVOUS</t>
  </si>
  <si>
    <t>| adj: Uneasy, excitable; pertaining to the nerves (1)</t>
  </si>
  <si>
    <t>NERVOUSNESS</t>
  </si>
  <si>
    <t>NEST</t>
  </si>
  <si>
    <t>NETHERLANDS</t>
  </si>
  <si>
    <t>NETWORK</t>
  </si>
  <si>
    <t>NEUROSIS</t>
  </si>
  <si>
    <t>NEUROTIC</t>
  </si>
  <si>
    <t>NEUTRAL</t>
  </si>
  <si>
    <t>NEUTRALISM</t>
  </si>
  <si>
    <t>NEUTRALITY</t>
  </si>
  <si>
    <t>NEUTRALIZE</t>
  </si>
  <si>
    <t>NEVADA</t>
  </si>
  <si>
    <t>NEVER</t>
  </si>
  <si>
    <t>| adv: Not ever, not at all</t>
  </si>
  <si>
    <t>NEVERTHELESS</t>
  </si>
  <si>
    <t>| adv: Nonetheless, however</t>
  </si>
  <si>
    <t>NEW#1</t>
  </si>
  <si>
    <t>| 71% adj: Of recent origin, appearance, or development, novel</t>
  </si>
  <si>
    <t>NEW#2</t>
  </si>
  <si>
    <t>| 5% noun: "News"--tidings, reports of recent events</t>
  </si>
  <si>
    <t>NEW#3</t>
  </si>
  <si>
    <t>| 0% adj: "Newer"--comparative</t>
  </si>
  <si>
    <t>NEW#4</t>
  </si>
  <si>
    <t>| 0% adj: "Newest"--superlative</t>
  </si>
  <si>
    <t>NEW#5</t>
  </si>
  <si>
    <t>| 1% adv: "Newly"--recently</t>
  </si>
  <si>
    <t>NEW#6</t>
  </si>
  <si>
    <t>| 0% idiom-noun-adj: New england</t>
  </si>
  <si>
    <t>NEW#7</t>
  </si>
  <si>
    <t>| 8% idiom-noun-adj: New york</t>
  </si>
  <si>
    <t>NEW#8</t>
  </si>
  <si>
    <t>| 1% idiom-verb: "Break (broke, broken) the news"--handled by "break"</t>
  </si>
  <si>
    <t>NEW#9</t>
  </si>
  <si>
    <t>| 1% idiom-noun: "New deal"--handled by "deal"</t>
  </si>
  <si>
    <t>NEW-MEXICAO</t>
  </si>
  <si>
    <t>NEWBORN</t>
  </si>
  <si>
    <t>NEWCOMER</t>
  </si>
  <si>
    <t>NEWSMEN</t>
  </si>
  <si>
    <t>NEWSPAPER</t>
  </si>
  <si>
    <t>| noun-adj: Periodical containing current news and events</t>
  </si>
  <si>
    <t>NEWSPAPERMAN</t>
  </si>
  <si>
    <t>NEXT#1</t>
  </si>
  <si>
    <t>| 81% adj-adv: Immediately succeeding in some sequence, usually temporal-- 95 percent</t>
  </si>
  <si>
    <t>NEXT#2</t>
  </si>
  <si>
    <t>| 16% prep: "Next to"--beside (spatial); important, next to the teachers")  (1), or almost ("next to useless") (1)</t>
  </si>
  <si>
    <t>NEXT#3</t>
  </si>
  <si>
    <t>| 2% idiom-adj-adv: "Next door"--handled by "door"</t>
  </si>
  <si>
    <t>NICARAGUA</t>
  </si>
  <si>
    <t>NICE#1</t>
  </si>
  <si>
    <t>| 86% adj: Pleasant, pleasing, agreeable</t>
  </si>
  <si>
    <t>NICE#2</t>
  </si>
  <si>
    <t>| 5% adj: "Nicer"--comparative of sense 1</t>
  </si>
  <si>
    <t>NICE#3</t>
  </si>
  <si>
    <t>| 0% adj: "Nicest"--superlative of sense 1</t>
  </si>
  <si>
    <t>NICE#4</t>
  </si>
  <si>
    <t>| 10% adv: "Nicely"--pleasantly, agreeably</t>
  </si>
  <si>
    <t>NICHE</t>
  </si>
  <si>
    <t>NICKEL</t>
  </si>
  <si>
    <t>NICKNAME</t>
  </si>
  <si>
    <t>NIGERIA</t>
  </si>
  <si>
    <t>NIGERS</t>
  </si>
  <si>
    <t>NIGGER</t>
  </si>
  <si>
    <t>| noun-adj: Negro, vulgar term used by negrophobes</t>
  </si>
  <si>
    <t>NIGHT#1</t>
  </si>
  <si>
    <t>| noun-adj: Period of darkness between sunset and sunrise, relating to same</t>
  </si>
  <si>
    <t>NIGHT#2</t>
  </si>
  <si>
    <t>| 0% adv: "Nightly", at night or every night</t>
  </si>
  <si>
    <t>NIGHTMARE</t>
  </si>
  <si>
    <t>NIHILISM</t>
  </si>
  <si>
    <t>NIHILISTIC</t>
  </si>
  <si>
    <t>NIMBLE</t>
  </si>
  <si>
    <t>NINE</t>
  </si>
  <si>
    <t>| noun-adj: The number</t>
  </si>
  <si>
    <t>NINETEEN</t>
  </si>
  <si>
    <t>NINETEENTH#1</t>
  </si>
  <si>
    <t>NINETIETH#1</t>
  </si>
  <si>
    <t>NINETY</t>
  </si>
  <si>
    <t>NINTH#1</t>
  </si>
  <si>
    <t>NIX</t>
  </si>
  <si>
    <t>NIXON</t>
  </si>
  <si>
    <t>NO#1</t>
  </si>
  <si>
    <t>| 42% adj: Not any</t>
  </si>
  <si>
    <t>NO#2</t>
  </si>
  <si>
    <t>| 49% adv: Used as interjection expressing refusal, denial, etc., or with  comparatives meaning "not at all"</t>
  </si>
  <si>
    <t>NO#3</t>
  </si>
  <si>
    <t>| 0% noun: "A no"</t>
  </si>
  <si>
    <t>NO#4</t>
  </si>
  <si>
    <t>| 0% adj: "No"--abbreviation for number</t>
  </si>
  <si>
    <t>NO#5</t>
  </si>
  <si>
    <t>| 5% idiom-pron: "No one"</t>
  </si>
  <si>
    <t>NO#6</t>
  </si>
  <si>
    <t>| 4% idiom-adv: "No longer"--expresses termination of a state or action--  handled by "long"</t>
  </si>
  <si>
    <t>NO#7</t>
  </si>
  <si>
    <t>| 0% idiom-adv: "By no means"--not at all--handled by "mean"</t>
  </si>
  <si>
    <t>NOBILITY</t>
  </si>
  <si>
    <t>NOBLE</t>
  </si>
  <si>
    <t>NOBLEMAN</t>
  </si>
  <si>
    <t>NOBODY</t>
  </si>
  <si>
    <t>PRON DEF DEF4 LY Other</t>
  </si>
  <si>
    <t>| pron: No person, a person of no importance</t>
  </si>
  <si>
    <t>NOD#1</t>
  </si>
  <si>
    <t>NOD#2</t>
  </si>
  <si>
    <t>NOISE</t>
  </si>
  <si>
    <t>| noun: Sound, usually discordant</t>
  </si>
  <si>
    <t>NOISELESS</t>
  </si>
  <si>
    <t>NOMINAL</t>
  </si>
  <si>
    <t>NOMINATE</t>
  </si>
  <si>
    <t>NOMINATION</t>
  </si>
  <si>
    <t>NON</t>
  </si>
  <si>
    <t>NON-FICTION</t>
  </si>
  <si>
    <t>NON-INTERVENTION</t>
  </si>
  <si>
    <t>NON-PROLIFERATION</t>
  </si>
  <si>
    <t>NON-VIOLENCE</t>
  </si>
  <si>
    <t>NON-VIOLENT</t>
  </si>
  <si>
    <t>NONALIGNED</t>
  </si>
  <si>
    <t>NONCHALANT</t>
  </si>
  <si>
    <t>NONE</t>
  </si>
  <si>
    <t>PRON LY Impers</t>
  </si>
  <si>
    <t>| pronoun: Not one, not any.</t>
  </si>
  <si>
    <t>NONETHELESS</t>
  </si>
  <si>
    <t>NONSENSE</t>
  </si>
  <si>
    <t>NONSPECIFIC</t>
  </si>
  <si>
    <t>NONVERBAL</t>
  </si>
  <si>
    <t>NOON</t>
  </si>
  <si>
    <t>NOPE</t>
  </si>
  <si>
    <t>NOR</t>
  </si>
  <si>
    <t>| conjunction: Used in negative phrases--negative or</t>
  </si>
  <si>
    <t>NORM</t>
  </si>
  <si>
    <t>NORMAL</t>
  </si>
  <si>
    <t>| adjective: Usual, regular, customary, average, conforming to a norm</t>
  </si>
  <si>
    <t>NORTH#1</t>
  </si>
  <si>
    <t>| 92% noun-adv-adj: Compass direction, in, of, to, toward or facing this  direction; used in titles of various nations and geographic regions, as  "north vietnam," "north dakota" (7)</t>
  </si>
  <si>
    <t>NORTH#2</t>
  </si>
  <si>
    <t>| 6% noun: The northern part of the u.s.</t>
  </si>
  <si>
    <t>NORTHEAST</t>
  </si>
  <si>
    <t>NORTHERLY</t>
  </si>
  <si>
    <t>NORTHERN</t>
  </si>
  <si>
    <t>NORTHERN-RHODESIA</t>
  </si>
  <si>
    <t>NORTHWEST</t>
  </si>
  <si>
    <t>NORWAY</t>
  </si>
  <si>
    <t>NOSE</t>
  </si>
  <si>
    <t>| noun-adj: The organ of smell;</t>
  </si>
  <si>
    <t>NOSEY</t>
  </si>
  <si>
    <t>NOT</t>
  </si>
  <si>
    <t>| adv: Expresses negation</t>
  </si>
  <si>
    <t>NOTABLE</t>
  </si>
  <si>
    <t>NOTE#1</t>
  </si>
  <si>
    <t>| 56% noun: Memorandum, letter, annotation (16); mark of some quality, condition  or fact (9); tone, hint (4); musical tone (4)</t>
  </si>
  <si>
    <t>NOTE#2</t>
  </si>
  <si>
    <t>| 44% verb: To notice, recognize</t>
  </si>
  <si>
    <t>NOTE#3</t>
  </si>
  <si>
    <t>| 0% adj: "Noted," "of note"--important, distinguished</t>
  </si>
  <si>
    <t>NOTEWORTHY</t>
  </si>
  <si>
    <t>NOTHING</t>
  </si>
  <si>
    <t>PRON INDEF LY Impers</t>
  </si>
  <si>
    <t>| noun-adv: Not anything--not a thing, not at all</t>
  </si>
  <si>
    <t>NOTICE#1</t>
  </si>
  <si>
    <t>| 86% verb: To perceive, to recognize, to note</t>
  </si>
  <si>
    <t>NOTICE#2</t>
  </si>
  <si>
    <t>| 14% noun: Perception, recognition, information, announcement, warning</t>
  </si>
  <si>
    <t>NOTICEABLE</t>
  </si>
  <si>
    <t>NOTION</t>
  </si>
  <si>
    <t>NOTORIETY</t>
  </si>
  <si>
    <t>NOTORIOUS</t>
  </si>
  <si>
    <t>NOTWITHSTANDING</t>
  </si>
  <si>
    <t>NOURISH</t>
  </si>
  <si>
    <t>NOURISHMENT</t>
  </si>
  <si>
    <t>NOVEL</t>
  </si>
  <si>
    <t>NOVELIST</t>
  </si>
  <si>
    <t>NOVELTY</t>
  </si>
  <si>
    <t>NOVEMBER</t>
  </si>
  <si>
    <t>NOVICE</t>
  </si>
  <si>
    <t>NOW</t>
  </si>
  <si>
    <t>| adv: At the present time--or used to introduce certain types of remarks,  particularly in tales ('now there once was . . .)</t>
  </si>
  <si>
    <t>NOWHERE</t>
  </si>
  <si>
    <t>LY Noun</t>
  </si>
  <si>
    <t>NUCLEAR</t>
  </si>
  <si>
    <t>| adjective: Pertaining to nuclear weapons or energy</t>
  </si>
  <si>
    <t>NUCLEI</t>
  </si>
  <si>
    <t>NUCLEUS</t>
  </si>
  <si>
    <t>NUDE</t>
  </si>
  <si>
    <t>NUISANCE</t>
  </si>
  <si>
    <t>NULLIFICATION</t>
  </si>
  <si>
    <t>NULLIFY</t>
  </si>
  <si>
    <t>NUMBER#1</t>
  </si>
  <si>
    <t>| 25% idiom-adj: "A number of", several, many</t>
  </si>
  <si>
    <t>NUMBER#2</t>
  </si>
  <si>
    <t>| 19% noun: "Number (numeral)," pronoun referring to specific item designated  by numeral, e.g. "number three . . ."</t>
  </si>
  <si>
    <t>NUMBER#3</t>
  </si>
  <si>
    <t>| 54% noun: Amount of units, quantity</t>
  </si>
  <si>
    <t>NUMBER#4</t>
  </si>
  <si>
    <t>| 1% verb: To assign numbers to, to count, to comprise</t>
  </si>
  <si>
    <t>NUMERICAL</t>
  </si>
  <si>
    <t>NUMEROUS</t>
  </si>
  <si>
    <t>NURSE#1</t>
  </si>
  <si>
    <t>| 63% noun: A medical aid, usually female</t>
  </si>
  <si>
    <t>NURSE#2</t>
  </si>
  <si>
    <t>| 5% verb: To care for, foster, cherish, nurture</t>
  </si>
  <si>
    <t>NURSE#3</t>
  </si>
  <si>
    <t>| 16% noun: "Nursing"--the profession of a nurse</t>
  </si>
  <si>
    <t>NURSE#4</t>
  </si>
  <si>
    <t>| 16% idiom-noun: "Nursing home"...a residence equipped to care for invalids</t>
  </si>
  <si>
    <t>NURTURE</t>
  </si>
  <si>
    <t>NUT</t>
  </si>
  <si>
    <t>NUTRIENT</t>
  </si>
  <si>
    <t>NUTRITION</t>
  </si>
  <si>
    <t>NUTS</t>
  </si>
  <si>
    <t>NYASALAND</t>
  </si>
  <si>
    <t>O'CLOCK</t>
  </si>
  <si>
    <t>OAK</t>
  </si>
  <si>
    <t>OAS</t>
  </si>
  <si>
    <t>OASIS</t>
  </si>
  <si>
    <t>OAT</t>
  </si>
  <si>
    <t>OATH</t>
  </si>
  <si>
    <t>OBEDIENCE</t>
  </si>
  <si>
    <t>OBEDIENT</t>
  </si>
  <si>
    <t>OBEY</t>
  </si>
  <si>
    <t>| verb: To comply</t>
  </si>
  <si>
    <t>OBJECT#1</t>
  </si>
  <si>
    <t>| 59% noun: A visible or tangible thing</t>
  </si>
  <si>
    <t>OBJECT#2</t>
  </si>
  <si>
    <t>| 19% noun: A goal, desired outcome, focal point</t>
  </si>
  <si>
    <t>OBJECT#3</t>
  </si>
  <si>
    <t>| 19% verb: To voice aversion</t>
  </si>
  <si>
    <t>OBJECTION</t>
  </si>
  <si>
    <t>OBJECTIVE#1</t>
  </si>
  <si>
    <t>| 83% noun: Aim or goal</t>
  </si>
  <si>
    <t>OBJECTIVE#2</t>
  </si>
  <si>
    <t>| 17% adj: Unbiased</t>
  </si>
  <si>
    <t>OBJECTIVE#3</t>
  </si>
  <si>
    <t>| 0% adv: "Objectively"--in an unbiased manner</t>
  </si>
  <si>
    <t>OBLIGATION</t>
  </si>
  <si>
    <t>OBLIGE</t>
  </si>
  <si>
    <t>OBLIQUE</t>
  </si>
  <si>
    <t>OBLITERATE</t>
  </si>
  <si>
    <t>OBNOXIOUS</t>
  </si>
  <si>
    <t>OBSCURE</t>
  </si>
  <si>
    <t>OBSCURITY</t>
  </si>
  <si>
    <t>OBSERVANCE</t>
  </si>
  <si>
    <t>OBSERVATION</t>
  </si>
  <si>
    <t>OBSERVE</t>
  </si>
  <si>
    <t>| verb: To perceive or regard with attention, to remark, to notice</t>
  </si>
  <si>
    <t>OBSERVER</t>
  </si>
  <si>
    <t>OBSOLETE</t>
  </si>
  <si>
    <t>OBSTACLE</t>
  </si>
  <si>
    <t>OBSTINATE</t>
  </si>
  <si>
    <t>OBSTRUCT</t>
  </si>
  <si>
    <t>OBSTRUCTION</t>
  </si>
  <si>
    <t>OBTAIN</t>
  </si>
  <si>
    <t>| verb: To acquire, to procure</t>
  </si>
  <si>
    <t>OBTAINABLE</t>
  </si>
  <si>
    <t>OBVIOUS</t>
  </si>
  <si>
    <t>| adj: Easily perceived or understood, not needed to be said, patent</t>
  </si>
  <si>
    <t>OCCASION#1</t>
  </si>
  <si>
    <t>| 82% noun: Particular time or event; opportunity (1); cause (0)</t>
  </si>
  <si>
    <t>OCCASION#2</t>
  </si>
  <si>
    <t>| 7% verb: To give cause for, to bring about</t>
  </si>
  <si>
    <t>OCCASION#3</t>
  </si>
  <si>
    <t>| 11% adv: "On occasion", "upon occasion", occasionally, from time to time</t>
  </si>
  <si>
    <t>OCCASIONAL</t>
  </si>
  <si>
    <t>| adj: Infrequent, once in a while</t>
  </si>
  <si>
    <t>OCCUPATION</t>
  </si>
  <si>
    <t>OCCUPATIONAL</t>
  </si>
  <si>
    <t>OCCUPY</t>
  </si>
  <si>
    <t>OCCUR#1</t>
  </si>
  <si>
    <t>| 86% verb: To happen, take place</t>
  </si>
  <si>
    <t>OCCUR#2</t>
  </si>
  <si>
    <t>| 14% verb: 'occur to'--dawn on</t>
  </si>
  <si>
    <t>OCCURRENCE</t>
  </si>
  <si>
    <t>OCEAN</t>
  </si>
  <si>
    <t>OCTOBER</t>
  </si>
  <si>
    <t>ODD</t>
  </si>
  <si>
    <t>ODDITY</t>
  </si>
  <si>
    <t>ODDS</t>
  </si>
  <si>
    <t>ODOR</t>
  </si>
  <si>
    <t>ODOUR#1</t>
  </si>
  <si>
    <t>OF</t>
  </si>
  <si>
    <t>| prep: Indicates inclusion in a class, possession, derivation, cause relation</t>
  </si>
  <si>
    <t>OFF</t>
  </si>
  <si>
    <t>| adv-prep: No longer supported or attached, removed from, refraining from,  deviating from, not up to usual standard, away</t>
  </si>
  <si>
    <t>OFFENCE</t>
  </si>
  <si>
    <t>OFFEND</t>
  </si>
  <si>
    <t>OFFENDER</t>
  </si>
  <si>
    <t>OFFENSIVE</t>
  </si>
  <si>
    <t>| noun-adj: Characterized by attack, physically or on the sensibilities</t>
  </si>
  <si>
    <t>OFFER#1</t>
  </si>
  <si>
    <t>| 84% verb: To present, propose, give</t>
  </si>
  <si>
    <t>OFFER#2</t>
  </si>
  <si>
    <t>| 6% noun: A presentation, proposal</t>
  </si>
  <si>
    <t>OFFER#3</t>
  </si>
  <si>
    <t>| 11% noun: "Offering", something presented, a donation</t>
  </si>
  <si>
    <t>OFFICE#1</t>
  </si>
  <si>
    <t>| 60% noun-adj: Room or building where business is transacted; a branch  of an organization (8)</t>
  </si>
  <si>
    <t>OFFICE#2</t>
  </si>
  <si>
    <t>| 34% noun: Position of duty, trust or authority</t>
  </si>
  <si>
    <t>OFFICE#3</t>
  </si>
  <si>
    <t>| 6% idiom-noun: "Post office"--handled by "post"</t>
  </si>
  <si>
    <t>OFFICER</t>
  </si>
  <si>
    <t>| noun: One who holds a position of rank or authority in an organi- zation,  especially a policeman.</t>
  </si>
  <si>
    <t>OFFICIAL#1</t>
  </si>
  <si>
    <t>| 69% noun: A person granted some authority</t>
  </si>
  <si>
    <t>OFFICIAL#2</t>
  </si>
  <si>
    <t>| 3% adv: "Officially"--formally, authoritatively</t>
  </si>
  <si>
    <t>OFFICIAL#3</t>
  </si>
  <si>
    <t>| 28% adj: Authoritative, formal, adopted by the government in power</t>
  </si>
  <si>
    <t>OFFICIATE</t>
  </si>
  <si>
    <t>OFFSET</t>
  </si>
  <si>
    <t>OFFSHORE</t>
  </si>
  <si>
    <t>OFFSPRING</t>
  </si>
  <si>
    <t>OFTEN</t>
  </si>
  <si>
    <t>| adverb: Many times, frequently</t>
  </si>
  <si>
    <t>OHIO</t>
  </si>
  <si>
    <t>OIL</t>
  </si>
  <si>
    <t>OKAY</t>
  </si>
  <si>
    <t>| adjective: All right</t>
  </si>
  <si>
    <t>OKLAHOMA</t>
  </si>
  <si>
    <t>OLD#1</t>
  </si>
  <si>
    <t>| 67% adjective: Aged, long standing, prior, used affectionately toward  something or someone known a long time</t>
  </si>
  <si>
    <t>OLD#2</t>
  </si>
  <si>
    <t>| 13% idiom-adj.: "(n) year(s), month(s) old"--phrase used to specify (n)</t>
  </si>
  <si>
    <t>OLD#3</t>
  </si>
  <si>
    <t>| 15% adjective: "Older"--comparative</t>
  </si>
  <si>
    <t>OLD#4</t>
  </si>
  <si>
    <t>| 4% adjective: "Oldest"--superlative</t>
  </si>
  <si>
    <t>OMINOUS</t>
  </si>
  <si>
    <t>OMISSION</t>
  </si>
  <si>
    <t>OMIT</t>
  </si>
  <si>
    <t>ON</t>
  </si>
  <si>
    <t>| prep-adv: Indicates position above, contact place, condition, occasion, subject</t>
  </si>
  <si>
    <t>ONCE#1</t>
  </si>
  <si>
    <t>| 79% adverb: One time, at one time, when</t>
  </si>
  <si>
    <t>ONCE#2</t>
  </si>
  <si>
    <t>| 14% idiom-adv: 'at once'--immediately, at the same time--"do it at once"--"he  is at once brilliant and slow"</t>
  </si>
  <si>
    <t>ONCE#3</t>
  </si>
  <si>
    <t>| 6% idiom: 'once upon a time'--used to introduce tales, stories</t>
  </si>
  <si>
    <t>ONCE#4</t>
  </si>
  <si>
    <t>| 0% idiom: 'once and for all'--with decision and finality</t>
  </si>
  <si>
    <t>ONE#1</t>
  </si>
  <si>
    <t>| 32% adj: Single; of a single nature; a certain, first, only</t>
  </si>
  <si>
    <t>ONE#2</t>
  </si>
  <si>
    <t>PRON DEF DEF4 INDEF Other</t>
  </si>
  <si>
    <t>| 61% pron: A single person or thing</t>
  </si>
  <si>
    <t>ONE#3</t>
  </si>
  <si>
    <t>| 2% idiom: 'one another'--each other, handled by 'another'</t>
  </si>
  <si>
    <t>ONE#4</t>
  </si>
  <si>
    <t>| 4% idiom-pron: 'no one'--handled by "no"</t>
  </si>
  <si>
    <t>ONE#5</t>
  </si>
  <si>
    <t>| 0% idiom: "On the one hand"--introduces comparison--handled by "hand"</t>
  </si>
  <si>
    <t>ONESELF#1</t>
  </si>
  <si>
    <t>Thrdp</t>
  </si>
  <si>
    <t>ONION</t>
  </si>
  <si>
    <t>ONLY#1</t>
  </si>
  <si>
    <t>| 21% adj: Sole, single</t>
  </si>
  <si>
    <t>ONLY#2</t>
  </si>
  <si>
    <t>| 74% adv: Solely, merely, exclusively</t>
  </si>
  <si>
    <t>ONLY#3</t>
  </si>
  <si>
    <t>| 1% conj: But, were it not that</t>
  </si>
  <si>
    <t>ONSET</t>
  </si>
  <si>
    <t>ONTO</t>
  </si>
  <si>
    <t>ONWARD</t>
  </si>
  <si>
    <t>OPEN#1</t>
  </si>
  <si>
    <t>| 36% adj-adv-noun: Not closed - exposed, accessible, frank, public, in the open</t>
  </si>
  <si>
    <t>OPEN#2</t>
  </si>
  <si>
    <t>| 3% adv: "Openly"--publicly, in the open</t>
  </si>
  <si>
    <t>OPEN#3</t>
  </si>
  <si>
    <t>| 5% verb: To become open</t>
  </si>
  <si>
    <t>OPEN#4</t>
  </si>
  <si>
    <t>| 39% verb: To render open</t>
  </si>
  <si>
    <t>OPEN#5</t>
  </si>
  <si>
    <t>| 3% verb: To begin, commence, inaugurate</t>
  </si>
  <si>
    <t>OPEN#6</t>
  </si>
  <si>
    <t>| 5% noun: "Opening"--a space, gap, hiatus, hole; vacant position (1)</t>
  </si>
  <si>
    <t>OPEN#7</t>
  </si>
  <si>
    <t>| 2% noun-adj: "Opening" - beginning, inaugural</t>
  </si>
  <si>
    <t>OPERA</t>
  </si>
  <si>
    <t>OPERATE#1</t>
  </si>
  <si>
    <t>| 65% verb: To work, perform, function, manage</t>
  </si>
  <si>
    <t>OPERATE#2</t>
  </si>
  <si>
    <t>| 24% verb: To perform surgery</t>
  </si>
  <si>
    <t>OPERATE#3</t>
  </si>
  <si>
    <t>| 9% noun-adj: "Operating"--pertaining to surgery (2); functioning (1)</t>
  </si>
  <si>
    <t>OPERATION#1</t>
  </si>
  <si>
    <t>| 50% noun-adj: Medical remedy involving surgery</t>
  </si>
  <si>
    <t>OPERATION#2</t>
  </si>
  <si>
    <t>| 31% noun: The state of functioning, a transaction or scheme</t>
  </si>
  <si>
    <t>OPERATIONAL</t>
  </si>
  <si>
    <t>OPERATIVE</t>
  </si>
  <si>
    <t>OPERATOR</t>
  </si>
  <si>
    <t>OPINION</t>
  </si>
  <si>
    <t>| noun: Judgment, sentiment, feeling, etc.</t>
  </si>
  <si>
    <t>OPINIONATED</t>
  </si>
  <si>
    <t>OPPONENT</t>
  </si>
  <si>
    <t>| noun: Adversary</t>
  </si>
  <si>
    <t>OPPORTUNE</t>
  </si>
  <si>
    <t>OPPORTUNITY</t>
  </si>
  <si>
    <t>| noun: A good position, chance or prospect</t>
  </si>
  <si>
    <t>OPPOSE#1</t>
  </si>
  <si>
    <t>| 41% verb: To resist, combat, place opposite</t>
  </si>
  <si>
    <t>OPPOSE#2</t>
  </si>
  <si>
    <t>| 47% adj: "Opposed", against, contrary</t>
  </si>
  <si>
    <t>OPPOSE#3</t>
  </si>
  <si>
    <t>| 13% adj: "Opposing", contending, opposite</t>
  </si>
  <si>
    <t>OPPOSITE</t>
  </si>
  <si>
    <t>| noun-adj: Anything symmetrically opposed, antithetical</t>
  </si>
  <si>
    <t>OPPOSITION</t>
  </si>
  <si>
    <t>| noun-adj: Anything that opposes</t>
  </si>
  <si>
    <t>OPPRESS</t>
  </si>
  <si>
    <t>OPPRESSION</t>
  </si>
  <si>
    <t>OPPRESSIVE</t>
  </si>
  <si>
    <t>OPTIMAL</t>
  </si>
  <si>
    <t>OPTIMISM</t>
  </si>
  <si>
    <t>OPTIMISTIC</t>
  </si>
  <si>
    <t>OPTIONAL</t>
  </si>
  <si>
    <t>OR</t>
  </si>
  <si>
    <t>| conj.: Used to connect words, phrases, or clauses representing alternatives.</t>
  </si>
  <si>
    <t>ORAL</t>
  </si>
  <si>
    <t>ORANGE</t>
  </si>
  <si>
    <t>ORATOR</t>
  </si>
  <si>
    <t>ORCHESTRA</t>
  </si>
  <si>
    <t>ORDAIN</t>
  </si>
  <si>
    <t>ORDEAL</t>
  </si>
  <si>
    <t>ORDER#1</t>
  </si>
  <si>
    <t>| 48% conj: In order to, that or for</t>
  </si>
  <si>
    <t>ORDER#2</t>
  </si>
  <si>
    <t>| 18% noun: Condition or sequence in general, proper condition or sequence,  an arrangement or system of arrangement, an organization</t>
  </si>
  <si>
    <t>ORDER#3</t>
  </si>
  <si>
    <t>| 17% noun: Command, directive, request</t>
  </si>
  <si>
    <t>ORDER#4</t>
  </si>
  <si>
    <t>| 7% verb: To command, direct, request; to arrange methodically or properly (2)</t>
  </si>
  <si>
    <t>ORDER#5</t>
  </si>
  <si>
    <t>| 4% adj-noun: "Orderly"--methodical, systematic; a soldier or hospital attendant (1)</t>
  </si>
  <si>
    <t>ORDER#6</t>
  </si>
  <si>
    <t>| 2% adj: "Ordered"--methodically or suitably arranged</t>
  </si>
  <si>
    <t>ORDER#7</t>
  </si>
  <si>
    <t>| 1% noun: "Ordering"--commanding, requesting; arranging methodically or properly (2)</t>
  </si>
  <si>
    <t>ORDER#8</t>
  </si>
  <si>
    <t>| 1% idiom-adj: "Out of order"--not functioning, disabled</t>
  </si>
  <si>
    <t>ORDINANCE</t>
  </si>
  <si>
    <t>ORDINARY</t>
  </si>
  <si>
    <t>| adj: Common, usual, plain</t>
  </si>
  <si>
    <t>ORE</t>
  </si>
  <si>
    <t>OREGON</t>
  </si>
  <si>
    <t>ORGAN</t>
  </si>
  <si>
    <t>ORGANIC</t>
  </si>
  <si>
    <t>ORGANISE#1</t>
  </si>
  <si>
    <t>ORGANIZATION</t>
  </si>
  <si>
    <t>| noun: A body of people organized for a purpose--"the veteran's organization";  the quality of having order, being organized, organizing (23)</t>
  </si>
  <si>
    <t>ORGANIZE#1</t>
  </si>
  <si>
    <t>| 75% verb: To establish, to systematize</t>
  </si>
  <si>
    <t>ORGANIZE#2</t>
  </si>
  <si>
    <t>| 25% adj: "Organized", systematic, orderly</t>
  </si>
  <si>
    <t>ORIENT#1</t>
  </si>
  <si>
    <t>ORIENT#2</t>
  </si>
  <si>
    <t>ORIGIN</t>
  </si>
  <si>
    <t>ORIGINAL</t>
  </si>
  <si>
    <t>| adj: Earliest; prototypical, innovative, novel</t>
  </si>
  <si>
    <t>ORIGINALITY</t>
  </si>
  <si>
    <t>ORIGINATE</t>
  </si>
  <si>
    <t>ORLEANS</t>
  </si>
  <si>
    <t>ORNAMENT#1</t>
  </si>
  <si>
    <t>ORNAMENT#2</t>
  </si>
  <si>
    <t>ORPHAN</t>
  </si>
  <si>
    <t>ORTHODOX</t>
  </si>
  <si>
    <t>OSTENSIBLY</t>
  </si>
  <si>
    <t>OSTRACIZE</t>
  </si>
  <si>
    <t>OTHER#1</t>
  </si>
  <si>
    <t>| 56% adj: Further, additional, different, alternate, remaining</t>
  </si>
  <si>
    <t>OTHER#2</t>
  </si>
  <si>
    <t>PRON Impers</t>
  </si>
  <si>
    <t>| 7% pron: An "other," generally refers to things, not people</t>
  </si>
  <si>
    <t>OTHER#3</t>
  </si>
  <si>
    <t>PRON DEF DEF4 Handels Other</t>
  </si>
  <si>
    <t>| 21% pron: "Others"--refers almost always to people</t>
  </si>
  <si>
    <t>OTHER#4</t>
  </si>
  <si>
    <t>| 2% idiom-prep: "Other than"--besides</t>
  </si>
  <si>
    <t>OTHER#5</t>
  </si>
  <si>
    <t>| 0% adv: "The other day, night, evening, etc."--a day (night, etc.) or two ago</t>
  </si>
  <si>
    <t>OTHER#6</t>
  </si>
  <si>
    <t>| 9% idiom: "Each other"--handled by "each"</t>
  </si>
  <si>
    <t>OTHER#7</t>
  </si>
  <si>
    <t>| 2% idiom-adv: "On the other hand"--obversely, alternatively "handled by "hand"</t>
  </si>
  <si>
    <t>OTHER#8</t>
  </si>
  <si>
    <t>| 0% idiom-adv: "Somehow or other"--by whatever means possible--handled by "somehow"</t>
  </si>
  <si>
    <t>OTHER#9</t>
  </si>
  <si>
    <t>| 2% idiom-adv: "In other words"--handled by "word"</t>
  </si>
  <si>
    <t>OTHERWISE</t>
  </si>
  <si>
    <t>| adv-adj: Alternatively, also, differently; different</t>
  </si>
  <si>
    <t>OTTER</t>
  </si>
  <si>
    <t>OUGHT</t>
  </si>
  <si>
    <t>| verb (modal): Should</t>
  </si>
  <si>
    <t>OUR</t>
  </si>
  <si>
    <t>| pronoun: Possessive form of 'we' 'belonging to us'</t>
  </si>
  <si>
    <t>OURS</t>
  </si>
  <si>
    <t>OURSELVES#1</t>
  </si>
  <si>
    <t>S Plrlp</t>
  </si>
  <si>
    <t>OUST</t>
  </si>
  <si>
    <t>OUT</t>
  </si>
  <si>
    <t>| prep-adv: Outside of, away from, empty--into existence, activity, or public notice</t>
  </si>
  <si>
    <t>OUTBACK</t>
  </si>
  <si>
    <t>OUTBREAK</t>
  </si>
  <si>
    <t>OUTBURST</t>
  </si>
  <si>
    <t>OUTCAST</t>
  </si>
  <si>
    <t>OUTCOME</t>
  </si>
  <si>
    <t>OUTCRY</t>
  </si>
  <si>
    <t>OUTDATED</t>
  </si>
  <si>
    <t>OUTDOOR</t>
  </si>
  <si>
    <t>OUTER</t>
  </si>
  <si>
    <t>OUTFIT#1</t>
  </si>
  <si>
    <t>OUTFIT#2</t>
  </si>
  <si>
    <t>OUTGOING</t>
  </si>
  <si>
    <t>OUTLAW</t>
  </si>
  <si>
    <t>OUTLINE#1</t>
  </si>
  <si>
    <t>OUTLINE#2</t>
  </si>
  <si>
    <t>OUTLIVE</t>
  </si>
  <si>
    <t>OUTLOOK</t>
  </si>
  <si>
    <t>OUTPOST</t>
  </si>
  <si>
    <t>OUTPUT#1</t>
  </si>
  <si>
    <t>OUTPUT#2</t>
  </si>
  <si>
    <t>OUTRAGE</t>
  </si>
  <si>
    <t>OUTRAGEOUS</t>
  </si>
  <si>
    <t>OUTREACH</t>
  </si>
  <si>
    <t>OUTRIGHT</t>
  </si>
  <si>
    <t>OUTRUN</t>
  </si>
  <si>
    <t>OUTSET</t>
  </si>
  <si>
    <t>OUTSIDE#1</t>
  </si>
  <si>
    <t>PREP PFREQ</t>
  </si>
  <si>
    <t>| 84% adv-adj-prep: Acting, being, or performing beyond an enclosure, especially  something familiar, either concrete--a house--or abstract--a group, etc.</t>
  </si>
  <si>
    <t>OUTSIDE#2</t>
  </si>
  <si>
    <t>| 9% noun: The outer side, something external, the space beyond a boundary</t>
  </si>
  <si>
    <t>OUTSIDE#3</t>
  </si>
  <si>
    <t>| 6% prep: "Outside of"--with the exception of, in addition to</t>
  </si>
  <si>
    <t>OUTSIDER</t>
  </si>
  <si>
    <t>OUTSPOKEN</t>
  </si>
  <si>
    <t>OUTSTANDING</t>
  </si>
  <si>
    <t>OUTWARD</t>
  </si>
  <si>
    <t>OUTWIT</t>
  </si>
  <si>
    <t>OVAL</t>
  </si>
  <si>
    <t>OVER#1</t>
  </si>
  <si>
    <t>| 61% prep-adv: Above, on, across, upon, with motion verb indicates a change  in place or position--"he went over the fields," "it fell over"</t>
  </si>
  <si>
    <t>OVER#2</t>
  </si>
  <si>
    <t>| 8% prep: In reference to, concerning--"he cried over her leaving"</t>
  </si>
  <si>
    <t>OVER#3</t>
  </si>
  <si>
    <t>| 5% adj: Terminated--"i wish this job were over"</t>
  </si>
  <si>
    <t>OVER#4</t>
  </si>
  <si>
    <t>| 3% adv: Repeatedly--"i do this over and over"</t>
  </si>
  <si>
    <t>OVER#5</t>
  </si>
  <si>
    <t>| 5% prep: More than--"over ten men"</t>
  </si>
  <si>
    <t>OVER#6</t>
  </si>
  <si>
    <t>| 3% prep: During--"over the last two months"</t>
  </si>
  <si>
    <t>OVER#7</t>
  </si>
  <si>
    <t>| 9% idiom-adv: "All over"--in all places, covering--"he was red all over,"  "there was war all over europe"</t>
  </si>
  <si>
    <t>OVER#8</t>
  </si>
  <si>
    <t>| 2% idiom-verb: "Get over"--recover from--handled by "get"</t>
  </si>
  <si>
    <t>OVER#9</t>
  </si>
  <si>
    <t>| 2% idiom-verb: "Take over"--gain control--handled by "take"</t>
  </si>
  <si>
    <t>OVER#_10</t>
  </si>
  <si>
    <t>| 1% idiom-adj: "Left over"--in excess--handled by "left"</t>
  </si>
  <si>
    <t>OVER#_11</t>
  </si>
  <si>
    <t>| 0% idiom-verb: "Double over"--to bend over in the middle--handled by "double"</t>
  </si>
  <si>
    <t>OVERALL</t>
  </si>
  <si>
    <t>OVERBEARING</t>
  </si>
  <si>
    <t>OVERCAME</t>
  </si>
  <si>
    <t>OVERCOME</t>
  </si>
  <si>
    <t>OVERCROWDING</t>
  </si>
  <si>
    <t>OVERFLOW</t>
  </si>
  <si>
    <t>OVERHAUL</t>
  </si>
  <si>
    <t>OVERJOY</t>
  </si>
  <si>
    <t>OVERJOYED</t>
  </si>
  <si>
    <t>OVERLAND</t>
  </si>
  <si>
    <t>OVERLAP</t>
  </si>
  <si>
    <t>OVERLOOK</t>
  </si>
  <si>
    <t>OVERLY</t>
  </si>
  <si>
    <t>OVERLYING</t>
  </si>
  <si>
    <t>OVERNIGHT</t>
  </si>
  <si>
    <t>OVERNIGHTER</t>
  </si>
  <si>
    <t>OVERPOWER</t>
  </si>
  <si>
    <t>OVERRIDE</t>
  </si>
  <si>
    <t>OVERRODE</t>
  </si>
  <si>
    <t>OVERRUN</t>
  </si>
  <si>
    <t>OVERSEA</t>
  </si>
  <si>
    <t>OVERSEER</t>
  </si>
  <si>
    <t>OVERSIGHT</t>
  </si>
  <si>
    <t>OVERSIMPLIFICATION</t>
  </si>
  <si>
    <t>OVERSIMPLIFY</t>
  </si>
  <si>
    <t>OVERTHROW</t>
  </si>
  <si>
    <t>OVERTHROWN</t>
  </si>
  <si>
    <t>Noun ED</t>
  </si>
  <si>
    <t>OVERTURE</t>
  </si>
  <si>
    <t>OVERTURES</t>
  </si>
  <si>
    <t>OVERTURN</t>
  </si>
  <si>
    <t>OVERWHELM</t>
  </si>
  <si>
    <t>OVERWHELMING</t>
  </si>
  <si>
    <t>OVERWORKED</t>
  </si>
  <si>
    <t>OWE</t>
  </si>
  <si>
    <t>OWN#1</t>
  </si>
  <si>
    <t>| 6% verb: To possess</t>
  </si>
  <si>
    <t>OWN#2</t>
  </si>
  <si>
    <t>DET GEN PFREQ</t>
  </si>
  <si>
    <t>| 88% adj: Belonging or pertaining to oneself or itself--'our own'</t>
  </si>
  <si>
    <t>OWN#3</t>
  </si>
  <si>
    <t>| 4% adj-adv: 'on one's own'--independent, on one's own initiative and resources,  alone</t>
  </si>
  <si>
    <t>OWN#4</t>
  </si>
  <si>
    <t>| 0% idiom-verb: 'hold one's own'--to keep up</t>
  </si>
  <si>
    <t>OWNER</t>
  </si>
  <si>
    <t>| noun: One who owns, a proprietor</t>
  </si>
  <si>
    <t>OWNERSHIP</t>
  </si>
  <si>
    <t>OXEN</t>
  </si>
  <si>
    <t>PACE#1</t>
  </si>
  <si>
    <t>| 52% noun: Rate of movement, speed, activity, performance</t>
  </si>
  <si>
    <t>PACE#2</t>
  </si>
  <si>
    <t>| 30% noun: The length of step in walking, manner of stepping</t>
  </si>
  <si>
    <t>PACE#3</t>
  </si>
  <si>
    <t>| 17% verb: To move with slow or measured steps</t>
  </si>
  <si>
    <t>PACE#4</t>
  </si>
  <si>
    <t>| 0% noun: "Paces"--act or performance, as in "she put her pupils through  their paces"--to show or cause to show ability or skill</t>
  </si>
  <si>
    <t>PACIFIC#1</t>
  </si>
  <si>
    <t>PACIFIC#2</t>
  </si>
  <si>
    <t>PACIFICATION</t>
  </si>
  <si>
    <t>PACIFY</t>
  </si>
  <si>
    <t>PACK#1</t>
  </si>
  <si>
    <t>| 52% noun-adj: A bundle prepared to be carried or something used for carrying  it--package, packet, a bunch of objects or animals</t>
  </si>
  <si>
    <t>PACK#2</t>
  </si>
  <si>
    <t>| 38% verb: To bundle together, put up for preservation or transportation, crowd</t>
  </si>
  <si>
    <t>PACK#3</t>
  </si>
  <si>
    <t>| 5% adj: "Packed"--crowded or crammed together, formed together closely  or into a pack</t>
  </si>
  <si>
    <t>PACK#4</t>
  </si>
  <si>
    <t>| 5% noun-adj: "Packing"--filling, cramming, storing</t>
  </si>
  <si>
    <t>PACKAGE</t>
  </si>
  <si>
    <t>PACT</t>
  </si>
  <si>
    <t>PAGE#1</t>
  </si>
  <si>
    <t>PAGE#2</t>
  </si>
  <si>
    <t>PAID#1</t>
  </si>
  <si>
    <t>PAIN</t>
  </si>
  <si>
    <t>| noun: Bodily or psychological suffering</t>
  </si>
  <si>
    <t>PAINFUL</t>
  </si>
  <si>
    <t>PAINSTAKING</t>
  </si>
  <si>
    <t>PAINT#1</t>
  </si>
  <si>
    <t>| 22% noun-adj: A colored liquid coating substance</t>
  </si>
  <si>
    <t>PAINT#2</t>
  </si>
  <si>
    <t>| 39% verb: To apply this substance, or represent with a paintbrush</t>
  </si>
  <si>
    <t>PAINT#3</t>
  </si>
  <si>
    <t>| 5% adj: "Painted"--covered with or represented in paint</t>
  </si>
  <si>
    <t>PAINT#4</t>
  </si>
  <si>
    <t>| 7% noun-adj: 'painting' . . . a hobby or profession</t>
  </si>
  <si>
    <t>PAINT#5</t>
  </si>
  <si>
    <t>| 27% noun: 'painting' . . . the end product of an artist's work</t>
  </si>
  <si>
    <t>PAINTER</t>
  </si>
  <si>
    <t>PAIR</t>
  </si>
  <si>
    <t>PAKISTAN</t>
  </si>
  <si>
    <t>PALACE</t>
  </si>
  <si>
    <t>PALATABLE</t>
  </si>
  <si>
    <t>PALATIAL</t>
  </si>
  <si>
    <t>PALE</t>
  </si>
  <si>
    <t>PALISTINE</t>
  </si>
  <si>
    <t>PALTRY</t>
  </si>
  <si>
    <t>PAMPER</t>
  </si>
  <si>
    <t>PAN#1</t>
  </si>
  <si>
    <t>PAN#2</t>
  </si>
  <si>
    <t>PAN-AMERICAN</t>
  </si>
  <si>
    <t>PANACEA</t>
  </si>
  <si>
    <t>PANAMA</t>
  </si>
  <si>
    <t>PANDEMONIUM</t>
  </si>
  <si>
    <t>PANIC</t>
  </si>
  <si>
    <t>PAPA</t>
  </si>
  <si>
    <t>PAPER</t>
  </si>
  <si>
    <t>| noun-adj: Fibrous substance, in various forms</t>
  </si>
  <si>
    <t>PARACHUTE#1</t>
  </si>
  <si>
    <t>| 94% noun: Large umbrella-shaped cloth used to slow the descent of an object  or person dropped from an airplane.</t>
  </si>
  <si>
    <t>PARACHUTE#2</t>
  </si>
  <si>
    <t>| 6% verb: To jump at a high altitude, using the apparatus above.</t>
  </si>
  <si>
    <t>PARACHUTER</t>
  </si>
  <si>
    <t>PARADE#1</t>
  </si>
  <si>
    <t>PARADE#2</t>
  </si>
  <si>
    <t>PARADISE</t>
  </si>
  <si>
    <t>PARAGUAY</t>
  </si>
  <si>
    <t>PARALLEL</t>
  </si>
  <si>
    <t>PARALYSIS</t>
  </si>
  <si>
    <t>PARALYZED</t>
  </si>
  <si>
    <t>PARAMETER</t>
  </si>
  <si>
    <t>PARAMOUNT</t>
  </si>
  <si>
    <t>PARANOID</t>
  </si>
  <si>
    <t>PARASITE</t>
  </si>
  <si>
    <t>PARDON#1</t>
  </si>
  <si>
    <t>PARDON#2</t>
  </si>
  <si>
    <t>PARENT</t>
  </si>
  <si>
    <t>| noun: One who has offspring</t>
  </si>
  <si>
    <t>PARENTAL</t>
  </si>
  <si>
    <t>PARIS</t>
  </si>
  <si>
    <t>PARISH</t>
  </si>
  <si>
    <t>PARITY</t>
  </si>
  <si>
    <t>PARK#1</t>
  </si>
  <si>
    <t>PARK#2</t>
  </si>
  <si>
    <t>PARKWAY</t>
  </si>
  <si>
    <t>PARLIAMENT</t>
  </si>
  <si>
    <t>PARLIAMENTARY</t>
  </si>
  <si>
    <t>PARLOR</t>
  </si>
  <si>
    <t>PARLOUR#1</t>
  </si>
  <si>
    <t>PART#1</t>
  </si>
  <si>
    <t>| 59% noun: A piece, portion or aspect of something</t>
  </si>
  <si>
    <t>PART#10</t>
  </si>
  <si>
    <t>PART#2</t>
  </si>
  <si>
    <t>| 8% noun: A role, one's function, share of work--"to do one's part"</t>
  </si>
  <si>
    <t>PART#3</t>
  </si>
  <si>
    <t>| 1% verb: To separate or divide</t>
  </si>
  <si>
    <t>PART#4</t>
  </si>
  <si>
    <t>| 5% idiom-adv: "In . . . part"--partly, to some extent, to . . . extent</t>
  </si>
  <si>
    <t>PART#5</t>
  </si>
  <si>
    <t>| 4% idiom-adv: "For the most part"--in general, by and large</t>
  </si>
  <si>
    <t>PART#6</t>
  </si>
  <si>
    <t>| 1% noun: A side of an issue</t>
  </si>
  <si>
    <t>PART#7</t>
  </si>
  <si>
    <t>| 12% idiom-prep: "On (the) part (of x)," "on (x's) part"--by or from x</t>
  </si>
  <si>
    <t>PART#8</t>
  </si>
  <si>
    <t>| 1% idiom-adv: "For (x's) part"--as far as x is concerned</t>
  </si>
  <si>
    <t>PART#9</t>
  </si>
  <si>
    <t>| 6% adv: Partly</t>
  </si>
  <si>
    <t>PART#_10</t>
  </si>
  <si>
    <t>| 1% noun-adj: "Parting"--farewell, separation</t>
  </si>
  <si>
    <t>PARTAKE</t>
  </si>
  <si>
    <t>PARTIAL</t>
  </si>
  <si>
    <t>PARTICIPANT</t>
  </si>
  <si>
    <t>| noun: One who participates or shares</t>
  </si>
  <si>
    <t>PARTICIPATE#1</t>
  </si>
  <si>
    <t>| 95% verb: To partake of, to share in some action</t>
  </si>
  <si>
    <t>PARTICIPATE#2</t>
  </si>
  <si>
    <t>| 5% adj: "Participating"--sharing in some action</t>
  </si>
  <si>
    <t>PARTICIPATION</t>
  </si>
  <si>
    <t>PARTICLE</t>
  </si>
  <si>
    <t>PARTICULAR#1</t>
  </si>
  <si>
    <t>| 33% adj-noun: Specific, unique, special; a specific aspect or detail</t>
  </si>
  <si>
    <t>PARTICULAR#2</t>
  </si>
  <si>
    <t>| 1% adj: Fussy, choosy</t>
  </si>
  <si>
    <t>PARTICULAR#3</t>
  </si>
  <si>
    <t>| 22% idiom-adv: 'in particular'--specifically, especially</t>
  </si>
  <si>
    <t>PARTICULAR#4</t>
  </si>
  <si>
    <t>| 43% adv: "Particularly,"--especially</t>
  </si>
  <si>
    <t>PARTISAN</t>
  </si>
  <si>
    <t>PARTISANSHIP</t>
  </si>
  <si>
    <t>PARTITION</t>
  </si>
  <si>
    <t>PARTNER</t>
  </si>
  <si>
    <t>| noun: One of two or more associated as joint principals in carrying on  some action, etc.</t>
  </si>
  <si>
    <t>PARTNERSHIP</t>
  </si>
  <si>
    <t>PARTOOK</t>
  </si>
  <si>
    <t>PARTY#1</t>
  </si>
  <si>
    <t>| 58% noun-adj: Organized political group</t>
  </si>
  <si>
    <t>PARTY#2</t>
  </si>
  <si>
    <t>| 32% noun-adj: A social gathering</t>
  </si>
  <si>
    <t>PARTY#3</t>
  </si>
  <si>
    <t>| 7% noun: A group of people acting together; an individual viewed as a  participant in some process</t>
  </si>
  <si>
    <t>PARTY#4</t>
  </si>
  <si>
    <t>| 1% idiom-verb: "Throw a party"--handled by "throw"</t>
  </si>
  <si>
    <t>PASS#1</t>
  </si>
  <si>
    <t>| 60% verb: Indicates a general sense of motion in relationship to the speaker,  thus, in particular, circulate, leave behind, exceed</t>
  </si>
  <si>
    <t>PASS#2</t>
  </si>
  <si>
    <t>| 11% verb-adj: To undergo successfully ("pass an exam")</t>
  </si>
  <si>
    <t>PASS#3</t>
  </si>
  <si>
    <t>| 9% verb: Of time--to spend or elapse</t>
  </si>
  <si>
    <t>PASS#4</t>
  </si>
  <si>
    <t>| 4% verb: To ratify or be ratified--"to pass a law"</t>
  </si>
  <si>
    <t>PASS#5</t>
  </si>
  <si>
    <t>| 1% adj: "Passing"--transient, moving by</t>
  </si>
  <si>
    <t>PASS#6</t>
  </si>
  <si>
    <t>| 3% verb: "Pass through"--to undergo, experience</t>
  </si>
  <si>
    <t>PASS#7</t>
  </si>
  <si>
    <t>| 3% verb: "Pass over"--to omit, disregard</t>
  </si>
  <si>
    <t>PASS#8</t>
  </si>
  <si>
    <t>| 3% verb: "Pass away"--to die</t>
  </si>
  <si>
    <t>PASS#9</t>
  </si>
  <si>
    <t>| 1% verb: "Pass up"--to refuse, forego</t>
  </si>
  <si>
    <t>PASS#_10</t>
  </si>
  <si>
    <t>| 1% verb: "Pass off"--to take place, be accepted or cause to be accepted as genuine</t>
  </si>
  <si>
    <t>PASS#_11</t>
  </si>
  <si>
    <t>| 0% verb: "Pass out"--to become unconscious</t>
  </si>
  <si>
    <t>PASS#_12</t>
  </si>
  <si>
    <t>| 1% noun: A certificate or other token giving permission or authorization;  a route of access (0)</t>
  </si>
  <si>
    <t>PASS#_13</t>
  </si>
  <si>
    <t>| 1% noun: "Passing"--disappearance, death</t>
  </si>
  <si>
    <t>PASS#_14</t>
  </si>
  <si>
    <t>| 3% idiom-verb: "Come to pass"--happen--handled by "come"</t>
  </si>
  <si>
    <t>PASSAGE</t>
  </si>
  <si>
    <t>PASSE</t>
  </si>
  <si>
    <t>PASSENGER</t>
  </si>
  <si>
    <t>PASSION</t>
  </si>
  <si>
    <t>PASSIONATE</t>
  </si>
  <si>
    <t>PASSIVE</t>
  </si>
  <si>
    <t>PASSPORT</t>
  </si>
  <si>
    <t>PAST#1</t>
  </si>
  <si>
    <t>| 63% adj: Previous, preceding</t>
  </si>
  <si>
    <t>PAST#2</t>
  </si>
  <si>
    <t>| 6% prep: Beyond, after</t>
  </si>
  <si>
    <t>PAST#3</t>
  </si>
  <si>
    <t>| 25% noun: Time gone by, past career, history</t>
  </si>
  <si>
    <t>PAST#4</t>
  </si>
  <si>
    <t>| 4% adv: By, beyond</t>
  </si>
  <si>
    <t>PASTE#1</t>
  </si>
  <si>
    <t>PASTE#2</t>
  </si>
  <si>
    <t>PASTOR</t>
  </si>
  <si>
    <t>PASTORAL</t>
  </si>
  <si>
    <t>PASTURE</t>
  </si>
  <si>
    <t>PATCH#1</t>
  </si>
  <si>
    <t>PATCH#2</t>
  </si>
  <si>
    <t>PATENT</t>
  </si>
  <si>
    <t>PATERNAL</t>
  </si>
  <si>
    <t>PATERNALISM</t>
  </si>
  <si>
    <t>PATH</t>
  </si>
  <si>
    <t>| noun: A trodden footway, a route or course</t>
  </si>
  <si>
    <t>PATHETIC</t>
  </si>
  <si>
    <t>PATIENCE</t>
  </si>
  <si>
    <t>PATIENT#1</t>
  </si>
  <si>
    <t>| 74% noun: Human or animal (0) under treatment</t>
  </si>
  <si>
    <t>PATIENT#2</t>
  </si>
  <si>
    <t>| 26% adj: Unhurried, considerate, understanding</t>
  </si>
  <si>
    <t>PATIENT#3</t>
  </si>
  <si>
    <t>| 0% adv: "Patiently"--in an understanding or unhurried manner</t>
  </si>
  <si>
    <t>PATRIOT</t>
  </si>
  <si>
    <t>PATRIOTIC</t>
  </si>
  <si>
    <t>PATRIOTISM</t>
  </si>
  <si>
    <t>PATROL#1</t>
  </si>
  <si>
    <t>PATROL#2</t>
  </si>
  <si>
    <t>PATRON</t>
  </si>
  <si>
    <t>PATRONAGE</t>
  </si>
  <si>
    <t>PATRONIZE</t>
  </si>
  <si>
    <t>PATTERN</t>
  </si>
  <si>
    <t>| noun-adj: Any phenomenon, arrangement, condition, etc. that suggests or  reveals a design or regularity.</t>
  </si>
  <si>
    <t>PAUPER</t>
  </si>
  <si>
    <t>PAUSE#1</t>
  </si>
  <si>
    <t>PAUSE#2</t>
  </si>
  <si>
    <t>PAY#1</t>
  </si>
  <si>
    <t>| 80% verb: To give or yield as recompense or return</t>
  </si>
  <si>
    <t>PAY#2</t>
  </si>
  <si>
    <t>| 4% noun-adj: Remuneration, return</t>
  </si>
  <si>
    <t>PAY#3</t>
  </si>
  <si>
    <t>| 8% verb-idiom: "Pay attention"</t>
  </si>
  <si>
    <t>PAY#4</t>
  </si>
  <si>
    <t>| 2% verb: Pay a visit or call</t>
  </si>
  <si>
    <t>PAY#5</t>
  </si>
  <si>
    <t>| 2% verb: To offer or give (tribute, honors, etc.)</t>
  </si>
  <si>
    <t>PAY#6</t>
  </si>
  <si>
    <t>| 3% adj: "Paid"--receiving pay, hired, as "a paid hand"</t>
  </si>
  <si>
    <t>PAY#7</t>
  </si>
  <si>
    <t>| 1% idiom-verb: "Pay one's respects"--visit, call on formally--handled by "respect"</t>
  </si>
  <si>
    <t>PAYABLE</t>
  </si>
  <si>
    <t>PAYER</t>
  </si>
  <si>
    <t>PAYMENT</t>
  </si>
  <si>
    <t>| noun: The act of paying, also that which is paid.</t>
  </si>
  <si>
    <t>PAYROLL</t>
  </si>
  <si>
    <t>PEA</t>
  </si>
  <si>
    <t>PEACE#1</t>
  </si>
  <si>
    <t>| 59% noun: The attainment or state of freedom from any strife, tranquility</t>
  </si>
  <si>
    <t>PEACE#2</t>
  </si>
  <si>
    <t>| 11% idiom-verb: "Make peace," to end strife</t>
  </si>
  <si>
    <t>PEACE#3</t>
  </si>
  <si>
    <t>| 30% idiom-noun: "Peace corps"--handled by "corps"</t>
  </si>
  <si>
    <t>PEACEABLE</t>
  </si>
  <si>
    <t>PEACEFUL</t>
  </si>
  <si>
    <t>| adjective: Possessing, enjoying, or marked by peace.</t>
  </si>
  <si>
    <t>PEACETIME</t>
  </si>
  <si>
    <t>PEACOCK</t>
  </si>
  <si>
    <t>PEAK#1</t>
  </si>
  <si>
    <t>PEAK#2</t>
  </si>
  <si>
    <t>PEARL</t>
  </si>
  <si>
    <t>PEASANT</t>
  </si>
  <si>
    <t>| noun-adj: A tiller of the soil, rustic</t>
  </si>
  <si>
    <t>PECULIAR</t>
  </si>
  <si>
    <t>PECUNIARY</t>
  </si>
  <si>
    <t>PEEL#1</t>
  </si>
  <si>
    <t>PEEL#2</t>
  </si>
  <si>
    <t>PEER</t>
  </si>
  <si>
    <t>PEERLESS</t>
  </si>
  <si>
    <t>PELVIC</t>
  </si>
  <si>
    <t>PELVIS</t>
  </si>
  <si>
    <t>PEN</t>
  </si>
  <si>
    <t>PENAL</t>
  </si>
  <si>
    <t>PENALTY</t>
  </si>
  <si>
    <t>PENCIL</t>
  </si>
  <si>
    <t>PEND#1</t>
  </si>
  <si>
    <t>PEND#2</t>
  </si>
  <si>
    <t>PENETRATE</t>
  </si>
  <si>
    <t>PENETRATION</t>
  </si>
  <si>
    <t>PENINSULA</t>
  </si>
  <si>
    <t>PENNSYLVANIA</t>
  </si>
  <si>
    <t>PENNY</t>
  </si>
  <si>
    <t>PENSION</t>
  </si>
  <si>
    <t>PENTAGON</t>
  </si>
  <si>
    <t>PEONY</t>
  </si>
  <si>
    <t>PEOPLE#1</t>
  </si>
  <si>
    <t>| noun: Human beings, whether individually--as persons--or collectively  --as a community, group, type, race, tribe, or nation (less frequent)</t>
  </si>
  <si>
    <t>PEOPLE#2</t>
  </si>
  <si>
    <t>| 0% verb: To populate</t>
  </si>
  <si>
    <t>PER</t>
  </si>
  <si>
    <t>PERCEIVE</t>
  </si>
  <si>
    <t>PERCENT</t>
  </si>
  <si>
    <t>PERCENTAGE</t>
  </si>
  <si>
    <t>PERCEPTION</t>
  </si>
  <si>
    <t>PERFECT#1</t>
  </si>
  <si>
    <t>| 56% adv: 'perfectly'--in a perfect manner, totally</t>
  </si>
  <si>
    <t>PERFECT#2</t>
  </si>
  <si>
    <t>| 42% adj: Complete, sound, flawless, ideal</t>
  </si>
  <si>
    <t>PERFECT#3</t>
  </si>
  <si>
    <t>| 3% verb: To make perfect, complete</t>
  </si>
  <si>
    <t>PERFECTION</t>
  </si>
  <si>
    <t>PERFECTIONISM</t>
  </si>
  <si>
    <t>PERFECTIONIST</t>
  </si>
  <si>
    <t>PERFORM</t>
  </si>
  <si>
    <t>PERFORMANCE</t>
  </si>
  <si>
    <t>PERFORMER</t>
  </si>
  <si>
    <t>PERFUME</t>
  </si>
  <si>
    <t>PERHAPS</t>
  </si>
  <si>
    <t>| adverb: Maybe, possibly</t>
  </si>
  <si>
    <t>PERIL</t>
  </si>
  <si>
    <t>PERILOUS</t>
  </si>
  <si>
    <t>PERIOD</t>
  </si>
  <si>
    <t>| noun: Interval of time.</t>
  </si>
  <si>
    <t>PERISH</t>
  </si>
  <si>
    <t>PERISHABLE</t>
  </si>
  <si>
    <t>PERMANENCE</t>
  </si>
  <si>
    <t>PERMANENT</t>
  </si>
  <si>
    <t>PERMISSIBLE</t>
  </si>
  <si>
    <t>PERMISSION</t>
  </si>
  <si>
    <t>PERMIT#1</t>
  </si>
  <si>
    <t>| 94% verb: To allow, to make possible</t>
  </si>
  <si>
    <t>PERMIT#2</t>
  </si>
  <si>
    <t>| 6% noun: A written license</t>
  </si>
  <si>
    <t>PERNICIOUS</t>
  </si>
  <si>
    <t>PERPETUAL</t>
  </si>
  <si>
    <t>PERPETUATE</t>
  </si>
  <si>
    <t>PERPLEX</t>
  </si>
  <si>
    <t>PERPLEXITY</t>
  </si>
  <si>
    <t>PERSECUTE</t>
  </si>
  <si>
    <t>PERSECUTION</t>
  </si>
  <si>
    <t>PERSEVERANCE</t>
  </si>
  <si>
    <t>PERSEVERE</t>
  </si>
  <si>
    <t>PERSIA</t>
  </si>
  <si>
    <t>PERSIAN</t>
  </si>
  <si>
    <t>Modif PLACE ECON POLIT</t>
  </si>
  <si>
    <t>PERSIST</t>
  </si>
  <si>
    <t>PERSISTENCE</t>
  </si>
  <si>
    <t>PERSISTENT</t>
  </si>
  <si>
    <t>PERSON</t>
  </si>
  <si>
    <t>| noun: An individual human being, a man or woman</t>
  </si>
  <si>
    <t>PERSONAL#1</t>
  </si>
  <si>
    <t>| adj: Of or pertaining to a particular individual or person</t>
  </si>
  <si>
    <t>PERSONAL#2</t>
  </si>
  <si>
    <t>| 1% adv: "Personally"--as regards oneself, in person</t>
  </si>
  <si>
    <t>PERSONALITY</t>
  </si>
  <si>
    <t>| noun: Personal existence or identity, an individual's characteristics.</t>
  </si>
  <si>
    <t>PERSONNEL</t>
  </si>
  <si>
    <t>PERSPECTIVE</t>
  </si>
  <si>
    <t>PERSUADE</t>
  </si>
  <si>
    <t>PERSUASION</t>
  </si>
  <si>
    <t>PERSUASIVE</t>
  </si>
  <si>
    <t>PERTINENT</t>
  </si>
  <si>
    <t>PERTURB</t>
  </si>
  <si>
    <t>PERU</t>
  </si>
  <si>
    <t>PERVADE</t>
  </si>
  <si>
    <t>PERVERSE</t>
  </si>
  <si>
    <t>PERVERT</t>
  </si>
  <si>
    <t>PESSIMISM</t>
  </si>
  <si>
    <t>PESSIMISTIC</t>
  </si>
  <si>
    <t>PEST</t>
  </si>
  <si>
    <t>PET</t>
  </si>
  <si>
    <t>PETITION#1</t>
  </si>
  <si>
    <t>PETITION#2</t>
  </si>
  <si>
    <t>PETITIONER</t>
  </si>
  <si>
    <t>PETTY</t>
  </si>
  <si>
    <t>PHASE</t>
  </si>
  <si>
    <t>PHENOMENA</t>
  </si>
  <si>
    <t>PHENOMENON</t>
  </si>
  <si>
    <t>PHILADELPHIA</t>
  </si>
  <si>
    <t>PHILIPPINES</t>
  </si>
  <si>
    <t>PHILOSOPHER</t>
  </si>
  <si>
    <t>PHILOSOPHIC</t>
  </si>
  <si>
    <t>PHILOSOPHICAL</t>
  </si>
  <si>
    <t>PHILOSOPHY</t>
  </si>
  <si>
    <t>PHOBIA</t>
  </si>
  <si>
    <t>PHONE#1</t>
  </si>
  <si>
    <t>PHONE#2</t>
  </si>
  <si>
    <t>PHOTO</t>
  </si>
  <si>
    <t>PHOTOGRAPH#1</t>
  </si>
  <si>
    <t>PHOTOGRAPH#2</t>
  </si>
  <si>
    <t>PHOTOGRAPHIC</t>
  </si>
  <si>
    <t>PHRASE</t>
  </si>
  <si>
    <t>PHYSICAL#1</t>
  </si>
  <si>
    <t>| 73% adjective: Of or pertaining to the body--also, of or pertaining to  natural or material things</t>
  </si>
  <si>
    <t>PHYSICAL#2</t>
  </si>
  <si>
    <t>| 27% adverb: "Physically"--bodily, materially</t>
  </si>
  <si>
    <t>PHYSICIAN</t>
  </si>
  <si>
    <t>PHYSICIST</t>
  </si>
  <si>
    <t>PHYSICS</t>
  </si>
  <si>
    <t>PIANO</t>
  </si>
  <si>
    <t>| noun: A musical instrument</t>
  </si>
  <si>
    <t>PICK#1</t>
  </si>
  <si>
    <t>| 32% verb: To choose or select; to dig, scratch, or probe at (6); to pluck  (fruit) (6)</t>
  </si>
  <si>
    <t>PICK#2</t>
  </si>
  <si>
    <t>| 59% verb: "To pick up"--take up, gather or acquire; to give a ride to--  "i went and picked him up at the station" (11); to become more frequent  or rapid (0); to tidy (0); to be</t>
  </si>
  <si>
    <t>PICK#3</t>
  </si>
  <si>
    <t>| 9% idiom-verb: "(to) pick on, a fight"--to tease, bully, encourage a fight</t>
  </si>
  <si>
    <t>PICK#4</t>
  </si>
  <si>
    <t>| 0% adj: "Picked"--selected</t>
  </si>
  <si>
    <t>PICK#5</t>
  </si>
  <si>
    <t>| 1% noun: Pointed tool</t>
  </si>
  <si>
    <t>PICTURE</t>
  </si>
  <si>
    <t>| noun: A visual representation--a painting, drawing, photograph, movie mental image</t>
  </si>
  <si>
    <t>PICTURESQUE</t>
  </si>
  <si>
    <t>PIE</t>
  </si>
  <si>
    <t>PIECE#1</t>
  </si>
  <si>
    <t>| 92% noun-adj: A part, section, bit, fragment, specimen or example of something.  vivaldi' (6)</t>
  </si>
  <si>
    <t>PIECE#2</t>
  </si>
  <si>
    <t>| 3% noun: A coin</t>
  </si>
  <si>
    <t>PIECE#3</t>
  </si>
  <si>
    <t>| 1% verb: To add pieces, put together, enlarge, extend</t>
  </si>
  <si>
    <t>PIECE#4</t>
  </si>
  <si>
    <t>| 1% verb: "Go to pieces"--suffer a breakdown</t>
  </si>
  <si>
    <t>PIECE#5</t>
  </si>
  <si>
    <t>| 0% idiom-adv: "All of a piece"--the same</t>
  </si>
  <si>
    <t>PIETY</t>
  </si>
  <si>
    <t>PIG</t>
  </si>
  <si>
    <t>| noun: A swine.</t>
  </si>
  <si>
    <t>PIGMENT</t>
  </si>
  <si>
    <t>PILE#1</t>
  </si>
  <si>
    <t>| 69% verb: To accumulate</t>
  </si>
  <si>
    <t>PILE#2</t>
  </si>
  <si>
    <t>| 28% noun: A heap or stack of something</t>
  </si>
  <si>
    <t>PILE#3</t>
  </si>
  <si>
    <t>| 3% verb: "Pile (down) (out)"--to swarm</t>
  </si>
  <si>
    <t>PILGRIMAGE</t>
  </si>
  <si>
    <t>PILL</t>
  </si>
  <si>
    <t>PILLOW</t>
  </si>
  <si>
    <t>PILOT</t>
  </si>
  <si>
    <t>PIN#1</t>
  </si>
  <si>
    <t>PIN#2</t>
  </si>
  <si>
    <t>PINCH#1</t>
  </si>
  <si>
    <t>PINCH#2</t>
  </si>
  <si>
    <t>PINK</t>
  </si>
  <si>
    <t>PINNACLE</t>
  </si>
  <si>
    <t>PIONEER</t>
  </si>
  <si>
    <t>PIOUS</t>
  </si>
  <si>
    <t>PISTOL</t>
  </si>
  <si>
    <t>PISTON</t>
  </si>
  <si>
    <t>PIT#1</t>
  </si>
  <si>
    <t>PIT#2</t>
  </si>
  <si>
    <t>PITCH#1</t>
  </si>
  <si>
    <t>PITCH#2</t>
  </si>
  <si>
    <t>PITIFUL</t>
  </si>
  <si>
    <t>PITILESS</t>
  </si>
  <si>
    <t>PITY#1</t>
  </si>
  <si>
    <t>PITY#2</t>
  </si>
  <si>
    <t>PLACE#1</t>
  </si>
  <si>
    <t>| 80% noun: Particular portion of space, position, locality, location in  a continuum, rank</t>
  </si>
  <si>
    <t>PLACE#2</t>
  </si>
  <si>
    <t>| 11% verb: To put something in position, to arrange, to dispose</t>
  </si>
  <si>
    <t>PLACE#3</t>
  </si>
  <si>
    <t>| 2% idiom-adv: "(in the) n-th place"</t>
  </si>
  <si>
    <t>PLACE#4</t>
  </si>
  <si>
    <t>| 7% idiom: "Take place"</t>
  </si>
  <si>
    <t>PLACEMENT</t>
  </si>
  <si>
    <t>PLACID</t>
  </si>
  <si>
    <t>PLAGUE#1</t>
  </si>
  <si>
    <t>PLAGUE#2</t>
  </si>
  <si>
    <t>PLAIN#1</t>
  </si>
  <si>
    <t>| 58% adj: Obvious, clear, uncomplicated, simple</t>
  </si>
  <si>
    <t>PLAIN#2</t>
  </si>
  <si>
    <t>| 23% noun: Flat expanse of land</t>
  </si>
  <si>
    <t>PLAIN#3</t>
  </si>
  <si>
    <t>| 16% adv: "Plainly"--clearly, simply</t>
  </si>
  <si>
    <t>PLAIN#4</t>
  </si>
  <si>
    <t>| 3% adj: "Plainer"--comparative of sense 1</t>
  </si>
  <si>
    <t>PLAIN#5</t>
  </si>
  <si>
    <t>| 0% adj: "Plainest"--superlative of sense 1</t>
  </si>
  <si>
    <t>PLAINTIFF</t>
  </si>
  <si>
    <t>PLAN#1</t>
  </si>
  <si>
    <t>| 57% noun: An organized program for some action</t>
  </si>
  <si>
    <t>PLAN#2</t>
  </si>
  <si>
    <t>| 35% verb: To construct such a program</t>
  </si>
  <si>
    <t>PLAN#3</t>
  </si>
  <si>
    <t>| 8% noun-adj: "Planning"--the act of constructing such programs</t>
  </si>
  <si>
    <t>PLAN#4</t>
  </si>
  <si>
    <t>| 1% adj: "Planned"--prepared in advance, programmed for</t>
  </si>
  <si>
    <t>PLANE#1</t>
  </si>
  <si>
    <t>| 88% noun: Airplane</t>
  </si>
  <si>
    <t>PLANE#2</t>
  </si>
  <si>
    <t>| 9% noun: A level</t>
  </si>
  <si>
    <t>PLANE#3</t>
  </si>
  <si>
    <t>| 0% verb: To level</t>
  </si>
  <si>
    <t>PLANER</t>
  </si>
  <si>
    <t>PLANET</t>
  </si>
  <si>
    <t>PLANNER</t>
  </si>
  <si>
    <t>PLANT#1</t>
  </si>
  <si>
    <t>| 42% verb: To put or set in the ground for growth, also to establish (0)  or implant (0)</t>
  </si>
  <si>
    <t>PLANT#2</t>
  </si>
  <si>
    <t>| 26% noun-adj: The buildings, equipment, etc., for a particular operation  or institution</t>
  </si>
  <si>
    <t>PLANT#3</t>
  </si>
  <si>
    <t>| 21% noun: Member of the vegetable group of living organisms</t>
  </si>
  <si>
    <t>PLANT#4</t>
  </si>
  <si>
    <t>| 8% noun-adj: "Planting"--setting in the ground, establishing, implanting</t>
  </si>
  <si>
    <t>PLANT#5</t>
  </si>
  <si>
    <t>| 0% adj: "Planted"--set in the ground, established, implanted</t>
  </si>
  <si>
    <t>PLANTATION</t>
  </si>
  <si>
    <t>PLANTER</t>
  </si>
  <si>
    <t>PLAQUE</t>
  </si>
  <si>
    <t>PLASTIC</t>
  </si>
  <si>
    <t>PLASTICITY</t>
  </si>
  <si>
    <t>PLATE</t>
  </si>
  <si>
    <t>PLATFORM#1</t>
  </si>
  <si>
    <t>| 57% noun: A declaration of the principles for which a group of persons stands.</t>
  </si>
  <si>
    <t>PLATFORM#2</t>
  </si>
  <si>
    <t>| 43% noun: A raised, flat, horizontal surface.</t>
  </si>
  <si>
    <t>PLATONISM</t>
  </si>
  <si>
    <t>PLAUSIBILITY</t>
  </si>
  <si>
    <t>PLAUSIBLE</t>
  </si>
  <si>
    <t>PLAY#1</t>
  </si>
  <si>
    <t>| 87% verb: To perform some activity for recreation--playing games, sports,  also, playing a musical instrument (27)</t>
  </si>
  <si>
    <t>PLAY#2</t>
  </si>
  <si>
    <t>| 6% noun-adj: A dramatic work for the theatre; any activity, generally  creative or recreational--"the free play of the mind" (0)</t>
  </si>
  <si>
    <t>PLAY#3</t>
  </si>
  <si>
    <t>| 6% verb: "To play a part or role"--to serve a function--"he played an  important role in the meeting." specific</t>
  </si>
  <si>
    <t>PLAY#4</t>
  </si>
  <si>
    <t>| 1% idiom-verb: "Play (it) by ear"--improvise</t>
  </si>
  <si>
    <t>PLAY#5</t>
  </si>
  <si>
    <t>| 0% idiom-noun: "Double play"--a baseball play in which two people are  put out --handled by "double"</t>
  </si>
  <si>
    <t>PLAYER</t>
  </si>
  <si>
    <t>| noun: Participant in an activity</t>
  </si>
  <si>
    <t>PLAYFUL</t>
  </si>
  <si>
    <t>PLAYMATE</t>
  </si>
  <si>
    <t>PLAYTHING</t>
  </si>
  <si>
    <t>PLEA</t>
  </si>
  <si>
    <t>PLEAD</t>
  </si>
  <si>
    <t>PLEASANT#1</t>
  </si>
  <si>
    <t>| adj: Agreeable, enjoyable</t>
  </si>
  <si>
    <t>PLEASANT#2</t>
  </si>
  <si>
    <t>| 0% adv: "Pleasantly"--agreeably</t>
  </si>
  <si>
    <t>PLEASANTRY</t>
  </si>
  <si>
    <t>PLEASE#1</t>
  </si>
  <si>
    <t>| 70% adv: Shortened form of adverb phrase 'if you please.' cooperation  or obliging action.</t>
  </si>
  <si>
    <t>PLEASE#2</t>
  </si>
  <si>
    <t>| 23% verb: To satisfy, to make enjoyable for</t>
  </si>
  <si>
    <t>PLEASE#3</t>
  </si>
  <si>
    <t>| 5% adj: "Pleasing"--satisfying, pleasurable</t>
  </si>
  <si>
    <t>PLEASE#4</t>
  </si>
  <si>
    <t>| 3% verb: To will, like, desire..."to do what one pleases"</t>
  </si>
  <si>
    <t>PLEASED#1</t>
  </si>
  <si>
    <t>| 92% adj: Satisfied, happy</t>
  </si>
  <si>
    <t>PLEASED#2</t>
  </si>
  <si>
    <t>| 3% verb: To make enjoyable for, to satisfy (past tense)</t>
  </si>
  <si>
    <t>PLEASED#3</t>
  </si>
  <si>
    <t>| 5% verb: Willed, liked, desired . . . "he did what he pleased"</t>
  </si>
  <si>
    <t>PLEASURABLE</t>
  </si>
  <si>
    <t>PLEASURE</t>
  </si>
  <si>
    <t>| noun: Enjoyment, satisfaction, delight</t>
  </si>
  <si>
    <t>PLEDGE</t>
  </si>
  <si>
    <t>PLENIPOTENTIARY</t>
  </si>
  <si>
    <t>PLENTIFUL</t>
  </si>
  <si>
    <t>PLENTY</t>
  </si>
  <si>
    <t>| noun-adj: A full or abundant supply, more than sufficient, ample.</t>
  </si>
  <si>
    <t>PLIGHT</t>
  </si>
  <si>
    <t>PLOD</t>
  </si>
  <si>
    <t>PLOT#1</t>
  </si>
  <si>
    <t>PLOT#2</t>
  </si>
  <si>
    <t>PLOW#1</t>
  </si>
  <si>
    <t>PLOW#2</t>
  </si>
  <si>
    <t>PLUG#1</t>
  </si>
  <si>
    <t>PLUG#2</t>
  </si>
  <si>
    <t>PLUMBER</t>
  </si>
  <si>
    <t>PLUNDER</t>
  </si>
  <si>
    <t>PLUNGE#1</t>
  </si>
  <si>
    <t>PLUNGE#2</t>
  </si>
  <si>
    <t>PLURAL</t>
  </si>
  <si>
    <t>PLUS</t>
  </si>
  <si>
    <t>PLYWOOD</t>
  </si>
  <si>
    <t>POCKET</t>
  </si>
  <si>
    <t>| noun: A piece of fabric in a garment forming a pouch, a recess; a small,  isolated instance (3)</t>
  </si>
  <si>
    <t>POD</t>
  </si>
  <si>
    <t>POEM</t>
  </si>
  <si>
    <t>POET</t>
  </si>
  <si>
    <t>POETIC</t>
  </si>
  <si>
    <t>POETRY</t>
  </si>
  <si>
    <t>POIGNANT</t>
  </si>
  <si>
    <t>POINT#1</t>
  </si>
  <si>
    <t>| 34% noun: Temporal or spatial (much less frequent) location, level, degree,  stage; a dot, sharp end (infrequent)</t>
  </si>
  <si>
    <t>POINT#2</t>
  </si>
  <si>
    <t>| 27% noun: Observation, argument, main idea, purpose, thrust, gist, meaning</t>
  </si>
  <si>
    <t>POINT#3</t>
  </si>
  <si>
    <t>| 23% verb: To observe, note, indicate, call attention to, emphasize</t>
  </si>
  <si>
    <t>POINT#4</t>
  </si>
  <si>
    <t>| 1% verb: To aim</t>
  </si>
  <si>
    <t>POINT#5</t>
  </si>
  <si>
    <t>| 0% adv: "Pointedly"--incisively</t>
  </si>
  <si>
    <t>POINT#6</t>
  </si>
  <si>
    <t>| 1% adj: "Pointed"--incisive, penetrating, cutting</t>
  </si>
  <si>
    <t>POINT#7</t>
  </si>
  <si>
    <t>| 2% noun: Distinguishing feature or characteristic, usually of a person--  'good points'</t>
  </si>
  <si>
    <t>POINT#8</t>
  </si>
  <si>
    <t>| 9% idiom-noun: "Point of view"--viewpoint (handled by view)</t>
  </si>
  <si>
    <t>POINTER</t>
  </si>
  <si>
    <t>POINTLESS</t>
  </si>
  <si>
    <t>POISE#1</t>
  </si>
  <si>
    <t>POISE#2</t>
  </si>
  <si>
    <t>POISON</t>
  </si>
  <si>
    <t>POISONOUS</t>
  </si>
  <si>
    <t>POLAND</t>
  </si>
  <si>
    <t>POLARIA</t>
  </si>
  <si>
    <t>POLARIZE</t>
  </si>
  <si>
    <t>POLE#1</t>
  </si>
  <si>
    <t>| 94% noun: A long, slender shaft</t>
  </si>
  <si>
    <t>POLE#2</t>
  </si>
  <si>
    <t>| 3% noun: The end of an axis, an extreme</t>
  </si>
  <si>
    <t>POLICE</t>
  </si>
  <si>
    <t>| noun-adjective: Of or pertaining to officers of the law.</t>
  </si>
  <si>
    <t>POLICEMAN</t>
  </si>
  <si>
    <t>POLICEMEN</t>
  </si>
  <si>
    <t>POLICY</t>
  </si>
  <si>
    <t>| noun-adj: Course of action</t>
  </si>
  <si>
    <t>POLISH</t>
  </si>
  <si>
    <t>POLITE</t>
  </si>
  <si>
    <t>POLITENESS</t>
  </si>
  <si>
    <t>POLITICAL</t>
  </si>
  <si>
    <t>| adj: Pertaining to or involving politics</t>
  </si>
  <si>
    <t>POLITICIAN</t>
  </si>
  <si>
    <t>| noun: One versed or experienced in politics</t>
  </si>
  <si>
    <t>POLITICS</t>
  </si>
  <si>
    <t>| noun: The theory or practice of managing affairs of public policy, and  conducting political affairs, the general activity associated with gaining  and maintaining public of</t>
  </si>
  <si>
    <t>POLL</t>
  </si>
  <si>
    <t>POLLUTE</t>
  </si>
  <si>
    <t>POLLUTION</t>
  </si>
  <si>
    <t>POMP</t>
  </si>
  <si>
    <t>POMPOUS</t>
  </si>
  <si>
    <t>POND</t>
  </si>
  <si>
    <t>PONDER</t>
  </si>
  <si>
    <t>PONY</t>
  </si>
  <si>
    <t>POOL#1</t>
  </si>
  <si>
    <t>POOL#2</t>
  </si>
  <si>
    <t>POOR#1</t>
  </si>
  <si>
    <t>| 44% adj: Destitute of some normal or desirable quality, unfortunate</t>
  </si>
  <si>
    <t>POOR#2</t>
  </si>
  <si>
    <t>| 30% adj: Lacking material goods</t>
  </si>
  <si>
    <t>POOR#3</t>
  </si>
  <si>
    <t>| 3% adj: "Poorer"--comparative of senses 1 and 2</t>
  </si>
  <si>
    <t>POOR#4</t>
  </si>
  <si>
    <t>| 0% adj: "Poorest"--superlative of senses 1 and 2</t>
  </si>
  <si>
    <t>POOR#5</t>
  </si>
  <si>
    <t>| 8% noun: Those wanting in material goods</t>
  </si>
  <si>
    <t>POOR#6</t>
  </si>
  <si>
    <t>| 8% adv: "Poorly"--badly, in an unsatisfactory manner</t>
  </si>
  <si>
    <t>POPE</t>
  </si>
  <si>
    <t>POPULAR</t>
  </si>
  <si>
    <t>POPULARITY</t>
  </si>
  <si>
    <t>POPULATE</t>
  </si>
  <si>
    <t>POPULATION</t>
  </si>
  <si>
    <t>| noun: The body of inhabitants of a given locality</t>
  </si>
  <si>
    <t>POPULOUS</t>
  </si>
  <si>
    <t>PORCH</t>
  </si>
  <si>
    <t>PORT</t>
  </si>
  <si>
    <t>PORTABLE</t>
  </si>
  <si>
    <t>PORTER</t>
  </si>
  <si>
    <t>PORTION</t>
  </si>
  <si>
    <t>PORTRAIT</t>
  </si>
  <si>
    <t>PORTUGAL</t>
  </si>
  <si>
    <t>PORTUGUESE</t>
  </si>
  <si>
    <t>Modif ECON POLIT PLACE</t>
  </si>
  <si>
    <t>POSE#1</t>
  </si>
  <si>
    <t>POSE#2</t>
  </si>
  <si>
    <t>POSITION#1</t>
  </si>
  <si>
    <t>| 87% noun: Status, situation, attitude</t>
  </si>
  <si>
    <t>POSITION#2</t>
  </si>
  <si>
    <t>| 13% noun: Location, posture</t>
  </si>
  <si>
    <t>POSITIVE</t>
  </si>
  <si>
    <t>POSITIVENESS</t>
  </si>
  <si>
    <t>POSITIVITY</t>
  </si>
  <si>
    <t>POSSE</t>
  </si>
  <si>
    <t>POSSESS</t>
  </si>
  <si>
    <t>POSSESSION</t>
  </si>
  <si>
    <t>POSSESSIVE</t>
  </si>
  <si>
    <t>POSSESSOR</t>
  </si>
  <si>
    <t>POSSIBILITY</t>
  </si>
  <si>
    <t>| noun: That which is within the powers of performance, attainment, conception, etc.</t>
  </si>
  <si>
    <t>POSSIBLE</t>
  </si>
  <si>
    <t>| adjective: That which may or can be, exist, happen, be done, etc.</t>
  </si>
  <si>
    <t>POSSIBLY</t>
  </si>
  <si>
    <t>POST#1</t>
  </si>
  <si>
    <t>| 39% noun-adj: A piece of timber firmly fixed upright, a pillar; a station  for trading, soldiers, etc. (2)</t>
  </si>
  <si>
    <t>POST#2</t>
  </si>
  <si>
    <t>| 18% idiom-noun: "Post office"--a governmental department concerned with mail</t>
  </si>
  <si>
    <t>POST#3</t>
  </si>
  <si>
    <t>| 14% noun: A position, as of employment</t>
  </si>
  <si>
    <t>POST#4</t>
  </si>
  <si>
    <t>| 7% verb: To affix to a post, wall, etc. for public notices; publicly (0);  to mail (0)</t>
  </si>
  <si>
    <t>POSTER</t>
  </si>
  <si>
    <t>POSTERITY</t>
  </si>
  <si>
    <t>POSTPONE#1</t>
  </si>
  <si>
    <t>POSTPONE#2</t>
  </si>
  <si>
    <t>POSTPONEMENT</t>
  </si>
  <si>
    <t>POSTURE</t>
  </si>
  <si>
    <t>POSTWAR</t>
  </si>
  <si>
    <t>POT</t>
  </si>
  <si>
    <t>| noun-adj: A container used for cooking or serving</t>
  </si>
  <si>
    <t>POTENCY</t>
  </si>
  <si>
    <t>POTENT</t>
  </si>
  <si>
    <t>POTENTIAL</t>
  </si>
  <si>
    <t>| noun-adj: That which is possible or latent, not actual or manifest</t>
  </si>
  <si>
    <t>POTENTIALITY</t>
  </si>
  <si>
    <t>POULTRY</t>
  </si>
  <si>
    <t>POUND#1</t>
  </si>
  <si>
    <t>| 73% noun: A unit of weight; the monetary unit of several countries (11)</t>
  </si>
  <si>
    <t>POUND#2</t>
  </si>
  <si>
    <t>| 27% verb: To strike heavily or repeatedly, pommel</t>
  </si>
  <si>
    <t>POUND#3</t>
  </si>
  <si>
    <t>| 0% noun: Enclosure for animals</t>
  </si>
  <si>
    <t>POUR</t>
  </si>
  <si>
    <t>| verb: To cause to flow or flood, to give or come forth freely or abundantly</t>
  </si>
  <si>
    <t>POUT</t>
  </si>
  <si>
    <t>POVERTY</t>
  </si>
  <si>
    <t>| noun: Quality or state of being poor--need, destitution</t>
  </si>
  <si>
    <t>POWDER</t>
  </si>
  <si>
    <t>POWER#1</t>
  </si>
  <si>
    <t>| 71% noun-adj: Control, influence, strength, ability, faculty; physical energy (14)</t>
  </si>
  <si>
    <t>POWER#2</t>
  </si>
  <si>
    <t>| 23% noun: Nation, group or individual having power</t>
  </si>
  <si>
    <t>POWERFUL</t>
  </si>
  <si>
    <t>| adj: Having or exerting great force</t>
  </si>
  <si>
    <t>POWERLESS</t>
  </si>
  <si>
    <t>PRACTICABLE</t>
  </si>
  <si>
    <t>PRACTICAL#1</t>
  </si>
  <si>
    <t>| 79% adj-adv: Of, pertaining to, or manifested in practice or action, useful</t>
  </si>
  <si>
    <t>PRACTICAL#2</t>
  </si>
  <si>
    <t>| 21% adverb: 'practically'--almost, just about.</t>
  </si>
  <si>
    <t>PRACTICE#1</t>
  </si>
  <si>
    <t>| 61% verb: To repeatedly or customarily perform an act or custom, often  for the sake of improvement</t>
  </si>
  <si>
    <t>PRACTICE#2</t>
  </si>
  <si>
    <t>| 37% noun-adj: A regular action or custom, the regular performance of that action</t>
  </si>
  <si>
    <t>PRACTISE#1</t>
  </si>
  <si>
    <t>PRAIRIE</t>
  </si>
  <si>
    <t>PRAISE#1</t>
  </si>
  <si>
    <t>PRAISE#2</t>
  </si>
  <si>
    <t>PRANCE</t>
  </si>
  <si>
    <t>PRAY</t>
  </si>
  <si>
    <t>| verb: To offer devout petition</t>
  </si>
  <si>
    <t>PRAYER</t>
  </si>
  <si>
    <t>| noun: The act, practice, or instance of praying, entreaty, earnest request</t>
  </si>
  <si>
    <t>PRE-WAR</t>
  </si>
  <si>
    <t>PREACH</t>
  </si>
  <si>
    <t>PREACHER</t>
  </si>
  <si>
    <t>PRECARIOUS</t>
  </si>
  <si>
    <t>PRECAUTION</t>
  </si>
  <si>
    <t>PRECEDE#1</t>
  </si>
  <si>
    <t>PRECEDE#2</t>
  </si>
  <si>
    <t>PRECEDENT</t>
  </si>
  <si>
    <t>PRECEPT</t>
  </si>
  <si>
    <t>PRECINCT</t>
  </si>
  <si>
    <t>PRECIOUS</t>
  </si>
  <si>
    <t>PRECIPITATE</t>
  </si>
  <si>
    <t>PRECISE</t>
  </si>
  <si>
    <t>PRECISION</t>
  </si>
  <si>
    <t>PREDECESSOR</t>
  </si>
  <si>
    <t>PREDICAMENT</t>
  </si>
  <si>
    <t>PREDICT</t>
  </si>
  <si>
    <t>PREDICTABLE</t>
  </si>
  <si>
    <t>PREDICTION</t>
  </si>
  <si>
    <t>PREDOMINANT</t>
  </si>
  <si>
    <t>PREDOMINATE</t>
  </si>
  <si>
    <t>PREEMINENT</t>
  </si>
  <si>
    <t>PREFER</t>
  </si>
  <si>
    <t>| verb: Like better, have preference for</t>
  </si>
  <si>
    <t>PREFERABLE</t>
  </si>
  <si>
    <t>PREFERABLY</t>
  </si>
  <si>
    <t>PREFERENCE</t>
  </si>
  <si>
    <t>PREGNANCY</t>
  </si>
  <si>
    <t>PREGNANT</t>
  </si>
  <si>
    <t>| adjective: Being with young, also teeming with or full of.</t>
  </si>
  <si>
    <t>PREJUDICE</t>
  </si>
  <si>
    <t>PREJUDICIAL</t>
  </si>
  <si>
    <t>PRELIMINARY</t>
  </si>
  <si>
    <t>PRELUDE</t>
  </si>
  <si>
    <t>PREMATURE</t>
  </si>
  <si>
    <t>PREMIER</t>
  </si>
  <si>
    <t>PREMISE</t>
  </si>
  <si>
    <t>PREMISES</t>
  </si>
  <si>
    <t>PREMIUM</t>
  </si>
  <si>
    <t>PREOCCUPATION</t>
  </si>
  <si>
    <t>PREOCCUPY</t>
  </si>
  <si>
    <t>PREPARATION</t>
  </si>
  <si>
    <t>PREPARATORY</t>
  </si>
  <si>
    <t>PREPARE#1</t>
  </si>
  <si>
    <t>| 73% verb: To put things or oneself in readiness, to compose beforehand</t>
  </si>
  <si>
    <t>PREPARE#2</t>
  </si>
  <si>
    <t>| 26% adj: "Prepared"--ready</t>
  </si>
  <si>
    <t>PREPOSTEROUS</t>
  </si>
  <si>
    <t>PREREQUISITE</t>
  </si>
  <si>
    <t>PRESCRIBE</t>
  </si>
  <si>
    <t>PRESCRIPTION</t>
  </si>
  <si>
    <t>PRESENCE</t>
  </si>
  <si>
    <t>PRESENT#1</t>
  </si>
  <si>
    <t>| 39% adj: Current, near in time--"the present policy"</t>
  </si>
  <si>
    <t>PRESENT#2</t>
  </si>
  <si>
    <t>| 17% adv: Currently, shortly--"presently," "at present"</t>
  </si>
  <si>
    <t>PRESENT#3</t>
  </si>
  <si>
    <t>| 20% verb: To bestow, proffer, show, introduce, manifest</t>
  </si>
  <si>
    <t>PRESENT#4</t>
  </si>
  <si>
    <t>| 12% adj: At the designated place, not absent, spatially near--"he was present"</t>
  </si>
  <si>
    <t>PRESENT#5</t>
  </si>
  <si>
    <t>| 7% noun: A gift</t>
  </si>
  <si>
    <t>PRESENT#6</t>
  </si>
  <si>
    <t>| 3% noun: This point in time, the current time or era--"the present"</t>
  </si>
  <si>
    <t>PRESENT-DAY</t>
  </si>
  <si>
    <t>PRESENTATION</t>
  </si>
  <si>
    <t>PRESERVATION</t>
  </si>
  <si>
    <t>PRESERVE</t>
  </si>
  <si>
    <t>PRESIDE</t>
  </si>
  <si>
    <t>PRESIDENCY</t>
  </si>
  <si>
    <t>PRESIDENT</t>
  </si>
  <si>
    <t>| noun: Highest officer of a country or other body.</t>
  </si>
  <si>
    <t>PRESIDENT-ELECT</t>
  </si>
  <si>
    <t>PRESIDENTIAL</t>
  </si>
  <si>
    <t>PRESS#1</t>
  </si>
  <si>
    <t>| 30% noun-adj: The body of newsmen, news media</t>
  </si>
  <si>
    <t>PRESS#2</t>
  </si>
  <si>
    <t>| 10% noun: A mechanical device for crushing or printing</t>
  </si>
  <si>
    <t>PRESS#3</t>
  </si>
  <si>
    <t>| 43% verb: To exert pressure physically or verbally</t>
  </si>
  <si>
    <t>PRESS#4</t>
  </si>
  <si>
    <t>| 8% adj: "Pressed"--under pressure, strained</t>
  </si>
  <si>
    <t>PRESS#5</t>
  </si>
  <si>
    <t>| 5% adj: "Pressing"--urgent</t>
  </si>
  <si>
    <t>PRESSURE#1</t>
  </si>
  <si>
    <t>| 86% noun-adj: The exertion of psychological, social, or political forces  upon an individual or group, "he could not stand the pressure so he quit";  the physical exer</t>
  </si>
  <si>
    <t>PRESSURE#2</t>
  </si>
  <si>
    <t>| 14% verb: To attempt to influence or force</t>
  </si>
  <si>
    <t>PRESTIGE</t>
  </si>
  <si>
    <t>PRESUMABLY</t>
  </si>
  <si>
    <t>PRESUME</t>
  </si>
  <si>
    <t>PRESUMPTION</t>
  </si>
  <si>
    <t>PRESUMPTUOUS</t>
  </si>
  <si>
    <t>PRETENCE</t>
  </si>
  <si>
    <t>PRETEND</t>
  </si>
  <si>
    <t>| verb: To hold out the appearance of being, doing, having, feeling, etc., feign.</t>
  </si>
  <si>
    <t>PRETENSE</t>
  </si>
  <si>
    <t>PRETENSION</t>
  </si>
  <si>
    <t>PRETENTIOUS</t>
  </si>
  <si>
    <t>PRETEXT</t>
  </si>
  <si>
    <t>PRETTILY</t>
  </si>
  <si>
    <t>PRETTY#1</t>
  </si>
  <si>
    <t>| 88% adv: Quite, very, fairly, to some degree</t>
  </si>
  <si>
    <t>PRETTY#2</t>
  </si>
  <si>
    <t>| 11% adj: Pleasing to the eye</t>
  </si>
  <si>
    <t>PRETTY#3</t>
  </si>
  <si>
    <t>| 0% adv: "Prettily"--pleasingly</t>
  </si>
  <si>
    <t>PRETTY#4</t>
  </si>
  <si>
    <t>| 1% adj: "Prettier"--comparative of sense 1</t>
  </si>
  <si>
    <t>PRETTY#5</t>
  </si>
  <si>
    <t>| 1% adj: "Prettiest--superlative of sense 1</t>
  </si>
  <si>
    <t>PREVAIL</t>
  </si>
  <si>
    <t>PREVALENCE</t>
  </si>
  <si>
    <t>PREVALENT</t>
  </si>
  <si>
    <t>PREVENT</t>
  </si>
  <si>
    <t>| verb: Hinder, keep from occurring</t>
  </si>
  <si>
    <t>PREVENTION</t>
  </si>
  <si>
    <t>PREVENTIVE</t>
  </si>
  <si>
    <t>PREVIOUS</t>
  </si>
  <si>
    <t>| adjective: Prior, coming before something else.</t>
  </si>
  <si>
    <t>PREY</t>
  </si>
  <si>
    <t>PRICE</t>
  </si>
  <si>
    <t>| noun-adj: Cost--usually in money but figuratively in sacrifice (3), of  or pertaining to determining a price</t>
  </si>
  <si>
    <t>PRICELESS</t>
  </si>
  <si>
    <t>PRIDE</t>
  </si>
  <si>
    <t>PRIEST</t>
  </si>
  <si>
    <t>| noun: One authorized or ordained to perform religious rites</t>
  </si>
  <si>
    <t>PRIMARILY</t>
  </si>
  <si>
    <t>PRIMARY#1</t>
  </si>
  <si>
    <t>| 51% adj: First, most fundamental, primitive, central, important, etc.</t>
  </si>
  <si>
    <t>PRIMARY#2</t>
  </si>
  <si>
    <t>| 47% adv: "Primarily"--in the first place, originally, fundamentally, mainly</t>
  </si>
  <si>
    <t>PRIMARY#3</t>
  </si>
  <si>
    <t>| 2% noun: An election to select a party candidate</t>
  </si>
  <si>
    <t>PRIME</t>
  </si>
  <si>
    <t>PRIMITIVE</t>
  </si>
  <si>
    <t>PRINCE</t>
  </si>
  <si>
    <t>| noun: The one of highest rank, a sovereign, a title of nobility.</t>
  </si>
  <si>
    <t>PRINCESS</t>
  </si>
  <si>
    <t>PRINCIPAL#1</t>
  </si>
  <si>
    <t>| 32% adj: Chief or most important</t>
  </si>
  <si>
    <t>PRINCIPAL#2</t>
  </si>
  <si>
    <t>| 44% noun: A leader, chief, or head</t>
  </si>
  <si>
    <t>PRINCIPAL#3</t>
  </si>
  <si>
    <t>| 0% adv: "Principally"--mainly</t>
  </si>
  <si>
    <t>PRINCIPLE#1</t>
  </si>
  <si>
    <t>| 92% noun: Law of moral conduct or physical occurrence</t>
  </si>
  <si>
    <t>PRINCIPLE#2</t>
  </si>
  <si>
    <t>| 5% noun: 'man of principle,' etc.--moral person</t>
  </si>
  <si>
    <t>PRINCIPLE#3</t>
  </si>
  <si>
    <t>| 1% adv: 'in principle'--theoretically</t>
  </si>
  <si>
    <t>PRINCIPLE#4</t>
  </si>
  <si>
    <t>| 0% adj: Principled--having principles</t>
  </si>
  <si>
    <t>PRINT#1</t>
  </si>
  <si>
    <t>PRINT#2</t>
  </si>
  <si>
    <t>PRIOR</t>
  </si>
  <si>
    <t>PRIORITY</t>
  </si>
  <si>
    <t>PRISON#1</t>
  </si>
  <si>
    <t>| 90% noun-adjective: A place for punitive confinement</t>
  </si>
  <si>
    <t>PRISON#2</t>
  </si>
  <si>
    <t>| 10% idiom-noun-adj: "Prison camp"--a place for military confinement of  enemy armed forces</t>
  </si>
  <si>
    <t>PRISONER</t>
  </si>
  <si>
    <t>PRIVACY</t>
  </si>
  <si>
    <t>PRIVATE#1</t>
  </si>
  <si>
    <t>| 95% adj: Relating to a particular person or group of people, not public</t>
  </si>
  <si>
    <t>PRIVATE#2</t>
  </si>
  <si>
    <t>| 3% idiom-noun: "Private eye," "private detective"</t>
  </si>
  <si>
    <t>PRIVATE#3</t>
  </si>
  <si>
    <t>| 2% noun: Genitals</t>
  </si>
  <si>
    <t>PRIVATE#4</t>
  </si>
  <si>
    <t>| 0% adv: "Privately"--not in public</t>
  </si>
  <si>
    <t>PRIVATE#5</t>
  </si>
  <si>
    <t>| 0% noun: Lowest rank of enlisted man in the u.s. armed forces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</si>
  <si>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</si>
  <si>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</si>
  <si>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</si>
  <si>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</si>
  <si>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</si>
  <si>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</si>
  <si>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</si>
  <si>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</si>
  <si>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| adjective: With statistical or estimated likelihood, likely</t>
  </si>
  <si>
    <t>PROBATION</t>
  </si>
  <si>
    <t>PROBATIONARY</t>
  </si>
  <si>
    <t>PROBE</t>
  </si>
  <si>
    <t>PROBLEM</t>
  </si>
  <si>
    <t>| noun: A question or matter involving doubt or difficulty, a question proposed  for discussion or solution</t>
  </si>
  <si>
    <t>PROCEDURAL</t>
  </si>
  <si>
    <t>PROCEDURE</t>
  </si>
  <si>
    <t>PROCEED#1</t>
  </si>
  <si>
    <t>| 86% verb: To move, pass, or go forward or onward, to advance, to begin or carry on</t>
  </si>
  <si>
    <t>PROCEED#2</t>
  </si>
  <si>
    <t>| 10% noun: "Proceedings"--a transaction, the course of procedure</t>
  </si>
  <si>
    <t>PROCEED#3</t>
  </si>
  <si>
    <t>| 3% noun: "Proceeds"--that which results or accrues from some action</t>
  </si>
  <si>
    <t>PROCESS#1</t>
  </si>
  <si>
    <t>| 97% noun: A series of actions directed towards some end, pertaining to  this series of actions ("processi</t>
  </si>
  <si>
    <t>PROCESS#2</t>
  </si>
  <si>
    <t>| 3% verb: To prepare by some particular series of actions</t>
  </si>
  <si>
    <t>PROCLAIM</t>
  </si>
  <si>
    <t>PROCLAMATION</t>
  </si>
  <si>
    <t>PROCRASTINATE</t>
  </si>
  <si>
    <t>PROCRASTINATION</t>
  </si>
  <si>
    <t>PROCTOR</t>
  </si>
  <si>
    <t>PROCURE</t>
  </si>
  <si>
    <t>PROCUREMENT</t>
  </si>
  <si>
    <t>PROD</t>
  </si>
  <si>
    <t>PRODIGIOUS</t>
  </si>
  <si>
    <t>PRODIGY</t>
  </si>
  <si>
    <t>PRODUCE#1</t>
  </si>
  <si>
    <t>| 89% verb: To bring into existence or sight, create, make</t>
  </si>
  <si>
    <t>PRODUCE#2</t>
  </si>
  <si>
    <t>| 11% noun: Products (agricultural)</t>
  </si>
  <si>
    <t>PRODUCER</t>
  </si>
  <si>
    <t>PRODUCT</t>
  </si>
  <si>
    <t>| noun: Something produced</t>
  </si>
  <si>
    <t>PRODUCTION</t>
  </si>
  <si>
    <t>| noun: Act of producing, creation, manufacture</t>
  </si>
  <si>
    <t>PRODUCTIVE</t>
  </si>
  <si>
    <t>PRODUCTIVITY</t>
  </si>
  <si>
    <t>PROFESS</t>
  </si>
  <si>
    <t>PROFESSION</t>
  </si>
  <si>
    <t>| noun: Technically specialized vocation</t>
  </si>
  <si>
    <t>PROFESSIONAL</t>
  </si>
  <si>
    <t>PROFESSOR</t>
  </si>
  <si>
    <t>| noun: A college-level teacher</t>
  </si>
  <si>
    <t>PROFFER</t>
  </si>
  <si>
    <t>PROFICIENT</t>
  </si>
  <si>
    <t>PROFIT#1</t>
  </si>
  <si>
    <t>PROFIT#2</t>
  </si>
  <si>
    <t>PROFITABLE</t>
  </si>
  <si>
    <t>PROFITEER</t>
  </si>
  <si>
    <t>PROFOUND</t>
  </si>
  <si>
    <t>PROGRAM#1</t>
  </si>
  <si>
    <t>| noun-adj: A plan for action of some kind, or the action itself</t>
  </si>
  <si>
    <t>PROGRAM#2</t>
  </si>
  <si>
    <t>| 0% verb: To prepare a program for (computer or otherwise)</t>
  </si>
  <si>
    <t>PROGRAM#3</t>
  </si>
  <si>
    <t>| 1% noun-adj: "Programming," "programmed"--the act of making a program,  pertaining to a program, planned</t>
  </si>
  <si>
    <t>PROGRAMME#1</t>
  </si>
  <si>
    <t>PROGRAMMER</t>
  </si>
  <si>
    <t>PROGRESS#1</t>
  </si>
  <si>
    <t>| 70% noun: Advancement of situation towards a goal</t>
  </si>
  <si>
    <t>PROGRESS#2</t>
  </si>
  <si>
    <t>| 27% verb: To move towards a goal or generally forward</t>
  </si>
  <si>
    <t>PROGRESS#3</t>
  </si>
  <si>
    <t>| 3% idiom-adj: "In progress"--under way</t>
  </si>
  <si>
    <t>PROGRESSIVE</t>
  </si>
  <si>
    <t>PROHIBIT</t>
  </si>
  <si>
    <t>PROHIBITION</t>
  </si>
  <si>
    <t>PROHIBITIVE</t>
  </si>
  <si>
    <t>PROJECT#1</t>
  </si>
  <si>
    <t>| 91% noun-adj: Large or major undertaking</t>
  </si>
  <si>
    <t>PROJECT#2</t>
  </si>
  <si>
    <t>| 4% verb: To forecast, look forward, extrapolate, externalize onto, place  onto (abstract)</t>
  </si>
  <si>
    <t>PROJECT#3</t>
  </si>
  <si>
    <t>| 2% adj: "Projected"--predicted, externalized</t>
  </si>
  <si>
    <t>PROJECT#4</t>
  </si>
  <si>
    <t>| 2% adj: "Projecting"--standing out, forecasting, externalizing thoughts  or feelings, casting an image</t>
  </si>
  <si>
    <t>PROLIFIC</t>
  </si>
  <si>
    <t>PROLONG</t>
  </si>
  <si>
    <t>PROMINENCE</t>
  </si>
  <si>
    <t>PROMINENT</t>
  </si>
  <si>
    <t>PROMISE#1</t>
  </si>
  <si>
    <t>| 32% noun-adj: A declaration of intent made by one person or set of persons  to another</t>
  </si>
  <si>
    <t>PROMISE#2</t>
  </si>
  <si>
    <t>| 48% verb: To make such a declaration</t>
  </si>
  <si>
    <t>PROMISE#3</t>
  </si>
  <si>
    <t>| 6% noun: Indication of possible future excellence or achievement</t>
  </si>
  <si>
    <t>PROMISE#4</t>
  </si>
  <si>
    <t>| 8% adj: "Promising"--giving indication of possible future excellence or achievement</t>
  </si>
  <si>
    <t>PROMISE#5</t>
  </si>
  <si>
    <t>| 1% adj: "Promised"--pledged</t>
  </si>
  <si>
    <t>PROMOTE</t>
  </si>
  <si>
    <t>PROMOTER</t>
  </si>
  <si>
    <t>PROMOTION</t>
  </si>
  <si>
    <t>PROMPT#1</t>
  </si>
  <si>
    <t>PROMPT#2</t>
  </si>
  <si>
    <t>PROMPTLY</t>
  </si>
  <si>
    <t>PROMULGATE</t>
  </si>
  <si>
    <t>PROOF</t>
  </si>
  <si>
    <t>PROPAGANDA</t>
  </si>
  <si>
    <t>PROPER</t>
  </si>
  <si>
    <t>| adjective: Correct, legitimate, acceptable</t>
  </si>
  <si>
    <t>PROPERTY</t>
  </si>
  <si>
    <t>| noun-adj: Real estate, possessions</t>
  </si>
  <si>
    <t>PROPHECY</t>
  </si>
  <si>
    <t>PROPHESIZE</t>
  </si>
  <si>
    <t>PROPHET</t>
  </si>
  <si>
    <t>PROPITIOUS</t>
  </si>
  <si>
    <t>PROPONENT</t>
  </si>
  <si>
    <t>PROPORTION</t>
  </si>
  <si>
    <t>PROPORTIONAL</t>
  </si>
  <si>
    <t>PROPORTIONATE</t>
  </si>
  <si>
    <t>PROPOSAL</t>
  </si>
  <si>
    <t>| noun: A plan or scheme proposed.</t>
  </si>
  <si>
    <t>PROPOSE#1</t>
  </si>
  <si>
    <t>| verb: To offer or suggest for consideration</t>
  </si>
  <si>
    <t>PROPOSE#2</t>
  </si>
  <si>
    <t>| 0% adj: "Proposed"--suggested</t>
  </si>
  <si>
    <t>PROPOSITION</t>
  </si>
  <si>
    <t>PROPRIETARY</t>
  </si>
  <si>
    <t>PROPRIETOR</t>
  </si>
  <si>
    <t>PROPRIETY</t>
  </si>
  <si>
    <t>PROSE</t>
  </si>
  <si>
    <t>PROSECUTE</t>
  </si>
  <si>
    <t>PROSECUTION</t>
  </si>
  <si>
    <t>PROSPECT</t>
  </si>
  <si>
    <t>PROSPECTIVE</t>
  </si>
  <si>
    <t>PROSPER</t>
  </si>
  <si>
    <t>PROSPERITY</t>
  </si>
  <si>
    <t>PROSPEROUS</t>
  </si>
  <si>
    <t>PROTECT</t>
  </si>
  <si>
    <t>| verb: To defend or guard from attack, damage, loss, etc.</t>
  </si>
  <si>
    <t>PROTECTION</t>
  </si>
  <si>
    <t>| noun: Safeguard</t>
  </si>
  <si>
    <t>PROTECTIVE</t>
  </si>
  <si>
    <t>PROTECTOR</t>
  </si>
  <si>
    <t>PROTEST#1</t>
  </si>
  <si>
    <t>PROTEST#2</t>
  </si>
  <si>
    <t>PROTESTANT</t>
  </si>
  <si>
    <t>PROTOCOL</t>
  </si>
  <si>
    <t>PROTRACTED</t>
  </si>
  <si>
    <t>PROUD</t>
  </si>
  <si>
    <t>| adj: Filled with pride</t>
  </si>
  <si>
    <t>PROVE#1</t>
  </si>
  <si>
    <t>| 65% verb: To establish beyond all reasonable doubt</t>
  </si>
  <si>
    <t>PROVE#2</t>
  </si>
  <si>
    <t>| 33% verb: Turn out (to be)--"prove difficult," "prove to be"</t>
  </si>
  <si>
    <t>PROVE#3</t>
  </si>
  <si>
    <t>| 2% adj: "Proven"--demonstrated, certain</t>
  </si>
  <si>
    <t>PROVEN#1</t>
  </si>
  <si>
    <t>PROVIDE#1</t>
  </si>
  <si>
    <t>| 97% verb: To furnish, supply, afford</t>
  </si>
  <si>
    <t>PROVIDE#2</t>
  </si>
  <si>
    <t>| 3% conj: "Provided," "providing"--on the condition or understanding (that)</t>
  </si>
  <si>
    <t>PROVIDENCE</t>
  </si>
  <si>
    <t>PROVINCE</t>
  </si>
  <si>
    <t>PROVINCIAL</t>
  </si>
  <si>
    <t>PROVISION</t>
  </si>
  <si>
    <t>PROVISIONAL</t>
  </si>
  <si>
    <t>PROVOCATION</t>
  </si>
  <si>
    <t>PROVOKE</t>
  </si>
  <si>
    <t>PROWESS</t>
  </si>
  <si>
    <t>PROWL</t>
  </si>
  <si>
    <t>PRUDENCE</t>
  </si>
  <si>
    <t>PRUDENT</t>
  </si>
  <si>
    <t>PRUSSIA</t>
  </si>
  <si>
    <t>PRUSSIAN</t>
  </si>
  <si>
    <t>PRY</t>
  </si>
  <si>
    <t>PSYCHIATRIST</t>
  </si>
  <si>
    <t>| noun: A physician who treats mental disorders</t>
  </si>
  <si>
    <t>PSYCHOLOGICAL</t>
  </si>
  <si>
    <t>PSYCHOLOGIST</t>
  </si>
  <si>
    <t>PSYCHOLOGY</t>
  </si>
  <si>
    <t>PTA</t>
  </si>
  <si>
    <t>PUBLIC#1</t>
  </si>
  <si>
    <t>| 83% adj: Not private, of the people</t>
  </si>
  <si>
    <t>PUBLIC#2</t>
  </si>
  <si>
    <t>| 9% noun: The people collectively</t>
  </si>
  <si>
    <t>PUBLIC#3</t>
  </si>
  <si>
    <t>| 9% adv: "Publicly"--in public</t>
  </si>
  <si>
    <t>PUBLICATION</t>
  </si>
  <si>
    <t>PUBLICITY</t>
  </si>
  <si>
    <t>PUBLISH</t>
  </si>
  <si>
    <t>PULL</t>
  </si>
  <si>
    <t>| verb: To tug at, draw, drag, move</t>
  </si>
  <si>
    <t>PULLEY</t>
  </si>
  <si>
    <t>PULSE</t>
  </si>
  <si>
    <t>PUMP#1</t>
  </si>
  <si>
    <t>PUMP#2</t>
  </si>
  <si>
    <t>PUNCH</t>
  </si>
  <si>
    <t>PUNCTUAL</t>
  </si>
  <si>
    <t>PUNISH</t>
  </si>
  <si>
    <t>PUNISHMENT</t>
  </si>
  <si>
    <t>PUNY</t>
  </si>
  <si>
    <t>PUPIL</t>
  </si>
  <si>
    <t>PUPPY</t>
  </si>
  <si>
    <t>PURCHASE#1</t>
  </si>
  <si>
    <t>PURCHASE#2</t>
  </si>
  <si>
    <t>PURE</t>
  </si>
  <si>
    <t>PURELY</t>
  </si>
  <si>
    <t>PURIFICATION</t>
  </si>
  <si>
    <t>PURIFY</t>
  </si>
  <si>
    <t>PURITY</t>
  </si>
  <si>
    <t>PURPLE</t>
  </si>
  <si>
    <t>PURPOSE#1</t>
  </si>
  <si>
    <t>| noun: Reason for acting or being.</t>
  </si>
  <si>
    <t>PURPOSE#2</t>
  </si>
  <si>
    <t>| 1% adv: "On purpose," "purposely"--with intent</t>
  </si>
  <si>
    <t>PURPOSEFUL</t>
  </si>
  <si>
    <t>PURR</t>
  </si>
  <si>
    <t>PURSUANT</t>
  </si>
  <si>
    <t>PURSUE</t>
  </si>
  <si>
    <t>| verb: To chase, follow, follow up</t>
  </si>
  <si>
    <t>PURSUER</t>
  </si>
  <si>
    <t>PURSUIT</t>
  </si>
  <si>
    <t>PUSH#1</t>
  </si>
  <si>
    <t>| 89% verb-adj: To exert force or pressure on something (or someone) in  order to move it (them)</t>
  </si>
  <si>
    <t>PUSH#2</t>
  </si>
  <si>
    <t>| 5% noun: A shove, or the act of shoving ("pushing")</t>
  </si>
  <si>
    <t>PUSH#3</t>
  </si>
  <si>
    <t>| 6% idiom-verb: "Push around"--to bully</t>
  </si>
  <si>
    <t>PUT#1</t>
  </si>
  <si>
    <t>| 98% verb: To place, present, or thrust something</t>
  </si>
  <si>
    <t>PUT#2</t>
  </si>
  <si>
    <t>| 1% verb: 'put out'--to extinguish or expel</t>
  </si>
  <si>
    <t>PUT#3</t>
  </si>
  <si>
    <t>| 0% verb: 'put out'--to depart</t>
  </si>
  <si>
    <t>PUT#4</t>
  </si>
  <si>
    <t>| 0% verb: 'put up with'--to bear or suffer, to tolerate</t>
  </si>
  <si>
    <t>PUT#5</t>
  </si>
  <si>
    <t>| 0% verb: 'put off'--postpone, delay; divert</t>
  </si>
  <si>
    <t>PUT#6</t>
  </si>
  <si>
    <t>| 0% verb: 'put through'--to have accepted; judged and passed</t>
  </si>
  <si>
    <t>PUZZLE#1</t>
  </si>
  <si>
    <t>PUZZLE#2</t>
  </si>
  <si>
    <t>PUZZLEMENT</t>
  </si>
  <si>
    <t>QUAINT</t>
  </si>
  <si>
    <t>QUALIFICATION</t>
  </si>
  <si>
    <t>QUALIFY#1</t>
  </si>
  <si>
    <t>| 28% verb: To meet some set of standards, ensure satisfaction of such standards</t>
  </si>
  <si>
    <t>QUALIFY#2</t>
  </si>
  <si>
    <t>| 16% verb: To impose conditions on the validity of a statement</t>
  </si>
  <si>
    <t>QUALIFY#3</t>
  </si>
  <si>
    <t>| 56% adj: "Qualified" - competent, certifiable</t>
  </si>
  <si>
    <t>QUALITY#1</t>
  </si>
  <si>
    <t>| 56% noun: Attribute, characteristic, character, property</t>
  </si>
  <si>
    <t>QUALITY#2</t>
  </si>
  <si>
    <t>| 26% noun-adj: Excellence, merit, value; excellent, meritorious, of high standard</t>
  </si>
  <si>
    <t>QUALM</t>
  </si>
  <si>
    <t>QUANDARY</t>
  </si>
  <si>
    <t>QUANTITATIVE</t>
  </si>
  <si>
    <t>QUANTITY</t>
  </si>
  <si>
    <t>QUARREL#1</t>
  </si>
  <si>
    <t>QUARREL#2</t>
  </si>
  <si>
    <t>QUARRELSOME</t>
  </si>
  <si>
    <t>QUARTER#1</t>
  </si>
  <si>
    <t>| 56% noun: The fraction - one fourth</t>
  </si>
  <si>
    <t>QUARTER#2</t>
  </si>
  <si>
    <t>| 36% noun: District, area, housing</t>
  </si>
  <si>
    <t>QUARTER#3</t>
  </si>
  <si>
    <t>| 4% verb: To provide with housing</t>
  </si>
  <si>
    <t>QUARTER#4</t>
  </si>
  <si>
    <t>| 4% adv: "Quarterly" - four times a year</t>
  </si>
  <si>
    <t>QUARTET</t>
  </si>
  <si>
    <t>QUEEN</t>
  </si>
  <si>
    <t>QUEER</t>
  </si>
  <si>
    <t>QUENCH</t>
  </si>
  <si>
    <t>QUEST</t>
  </si>
  <si>
    <t>QUESTION#1</t>
  </si>
  <si>
    <t>| 89% noun: A request for information, problem, unresolved issue</t>
  </si>
  <si>
    <t>QUESTION#2</t>
  </si>
  <si>
    <t>| 10% verb: To ask, interrogate, raise doubts</t>
  </si>
  <si>
    <t>QUESTION#3</t>
  </si>
  <si>
    <t>| 1% noun-adj: "Questioning"--inquiring</t>
  </si>
  <si>
    <t>QUESTION#4</t>
  </si>
  <si>
    <t>| 0% adv: "Questioningly"--inquisitively</t>
  </si>
  <si>
    <t>QUESTION#5</t>
  </si>
  <si>
    <t>| 0% idiom-noun: "Leading question"--loaded question--handled by "lead"</t>
  </si>
  <si>
    <t>QUESTIONABLE</t>
  </si>
  <si>
    <t>QUESTIONER</t>
  </si>
  <si>
    <t>QUESTIONNAIRE</t>
  </si>
  <si>
    <t>QUIBBLE</t>
  </si>
  <si>
    <t>QUICK</t>
  </si>
  <si>
    <t>| adj: Fast, speedy</t>
  </si>
  <si>
    <t>QUICKEN</t>
  </si>
  <si>
    <t>QUIET#1</t>
  </si>
  <si>
    <t>| 69% adj-noun: Noiseless, silent, silence</t>
  </si>
  <si>
    <t>QUIET#2</t>
  </si>
  <si>
    <t>| 7% verb: To silence</t>
  </si>
  <si>
    <t>QUIET#3</t>
  </si>
  <si>
    <t>| 22% adv: Silently, noiselessly</t>
  </si>
  <si>
    <t>QUIET#4</t>
  </si>
  <si>
    <t>| 1% adj: "Quieter"</t>
  </si>
  <si>
    <t>QUIT</t>
  </si>
  <si>
    <t>| verb: To stop, cease, give up; to leave (2)</t>
  </si>
  <si>
    <t>QUITE</t>
  </si>
  <si>
    <t>| adv: Considerably, to a considerable extent, entirely.</t>
  </si>
  <si>
    <t>QUITTER</t>
  </si>
  <si>
    <t>QUOTE#1</t>
  </si>
  <si>
    <t>QUOTE#2</t>
  </si>
  <si>
    <t>RABBIT</t>
  </si>
  <si>
    <t>| noun: A burrowing rodent of the hare family</t>
  </si>
  <si>
    <t>RACE#1</t>
  </si>
  <si>
    <t>| 71% noun-adj: A major group of persons united by descent--pertaining to  groupings of this sort</t>
  </si>
  <si>
    <t>RACE#2</t>
  </si>
  <si>
    <t>| 11% noun-adj: Contest involving running, politically (10), or physically (1)</t>
  </si>
  <si>
    <t>RACE#3</t>
  </si>
  <si>
    <t>| 11% verb: To run or move rapidly, usually competitively</t>
  </si>
  <si>
    <t>RACE#4</t>
  </si>
  <si>
    <t>| 2% idiom-noun: 'rat race'--the normal life situation of western man</t>
  </si>
  <si>
    <t>RACE#5</t>
  </si>
  <si>
    <t>| 4% noun-adj: 'racing'</t>
  </si>
  <si>
    <t>RACER</t>
  </si>
  <si>
    <t>RACIAL</t>
  </si>
  <si>
    <t>| adjective: Concerning relations between races, e.g., 'racial discrimina-  tion', or characteristic of a race of people.</t>
  </si>
  <si>
    <t>RADAR</t>
  </si>
  <si>
    <t>RADIANCE</t>
  </si>
  <si>
    <t>RADIANT</t>
  </si>
  <si>
    <t>RADIATE</t>
  </si>
  <si>
    <t>RADIATION</t>
  </si>
  <si>
    <t>RADICAL</t>
  </si>
  <si>
    <t>RADIO</t>
  </si>
  <si>
    <t>| noun-adj: The wireless</t>
  </si>
  <si>
    <t>RADIOACTIVE</t>
  </si>
  <si>
    <t>RADIUS</t>
  </si>
  <si>
    <t>RAG</t>
  </si>
  <si>
    <t>RAGE</t>
  </si>
  <si>
    <t>RAGGED</t>
  </si>
  <si>
    <t>RAID</t>
  </si>
  <si>
    <t>RAIL</t>
  </si>
  <si>
    <t>RAILROAD</t>
  </si>
  <si>
    <t>RAILWAY</t>
  </si>
  <si>
    <t>RAIN#1</t>
  </si>
  <si>
    <t>| 71% noun-adj: Water that falls in drops from the sky</t>
  </si>
  <si>
    <t>RAIN#2</t>
  </si>
  <si>
    <t>| 29% verb: To fall (as drops of water from the sky)</t>
  </si>
  <si>
    <t>RAISE#1</t>
  </si>
  <si>
    <t>| 57% verb: To elevate, to make rise, to increase in number or volume; in  relation to money</t>
  </si>
  <si>
    <t>RAISE#2</t>
  </si>
  <si>
    <t>supv</t>
  </si>
  <si>
    <t>| 14% verb: To grow, to bring to maturity</t>
  </si>
  <si>
    <t>RAISE#3</t>
  </si>
  <si>
    <t>| 3% noun: An increase, a salary increase</t>
  </si>
  <si>
    <t>RAISE#4</t>
  </si>
  <si>
    <t>| 19% verb: To introduce, bring forward--"raise the question"</t>
  </si>
  <si>
    <t>RAISE#5</t>
  </si>
  <si>
    <t>| 3% idiom-verb: "Raise hell," "raise hob,"--to cause trouble, make things difficult</t>
  </si>
  <si>
    <t>RAISE#6</t>
  </si>
  <si>
    <t>| 1% adj: "Raised"--elevated</t>
  </si>
  <si>
    <t>RAKE#1</t>
  </si>
  <si>
    <t>RAKE#2</t>
  </si>
  <si>
    <t>RALLY</t>
  </si>
  <si>
    <t>RAMBLE</t>
  </si>
  <si>
    <t>RAMPANT</t>
  </si>
  <si>
    <t>RAN#1</t>
  </si>
  <si>
    <t>RANCH</t>
  </si>
  <si>
    <t>RANCHER</t>
  </si>
  <si>
    <t>RANDOM</t>
  </si>
  <si>
    <t>RANG</t>
  </si>
  <si>
    <t>RANGE#1</t>
  </si>
  <si>
    <t>| 81% noun: Scope, series</t>
  </si>
  <si>
    <t>RANGE#2</t>
  </si>
  <si>
    <t>| 13% verb: To extend, rank</t>
  </si>
  <si>
    <t>RANGE#3</t>
  </si>
  <si>
    <t>| 0% noun: Kitchen stove</t>
  </si>
  <si>
    <t>RANGE#4</t>
  </si>
  <si>
    <t>| 6% noun-adj: Open land</t>
  </si>
  <si>
    <t>RANGER</t>
  </si>
  <si>
    <t>RAPID#1</t>
  </si>
  <si>
    <t>| 39% adj: Quick, fast</t>
  </si>
  <si>
    <t>RAPID#2</t>
  </si>
  <si>
    <t>| 58% adv: "Rapidly"--quickly</t>
  </si>
  <si>
    <t>RAPID#3</t>
  </si>
  <si>
    <t>| 3% noun: Section of a river where the current runs swiftly</t>
  </si>
  <si>
    <t>RAPPORT</t>
  </si>
  <si>
    <t>RAPPROACHMENT</t>
  </si>
  <si>
    <t>RAPT</t>
  </si>
  <si>
    <t>RAPTURE</t>
  </si>
  <si>
    <t>RARE#1</t>
  </si>
  <si>
    <t>| 65% adj: Exceptional, very unusual</t>
  </si>
  <si>
    <t>RARE#2</t>
  </si>
  <si>
    <t>| 35% adv: "Rarely"--seldom</t>
  </si>
  <si>
    <t>RARE#3</t>
  </si>
  <si>
    <t>| 0% adj: "Rarer"--more unusual</t>
  </si>
  <si>
    <t>RASCAL</t>
  </si>
  <si>
    <t>RASH</t>
  </si>
  <si>
    <t>RAT</t>
  </si>
  <si>
    <t>RATE#1</t>
  </si>
  <si>
    <t>RATE#2</t>
  </si>
  <si>
    <t>RATHER#1</t>
  </si>
  <si>
    <t>| 44% adv: Instead, on the contrary, instead of, "rather than," etc.</t>
  </si>
  <si>
    <t>RATHER#2</t>
  </si>
  <si>
    <t>| 38% adv: To an extent, in a measure; shades of meaning vary from 'somewhat'  to 'quite'</t>
  </si>
  <si>
    <t>RATHER#3</t>
  </si>
  <si>
    <t>| 13% adv: Sooner, more willingly, readily, preferably</t>
  </si>
  <si>
    <t>RATHER#4</t>
  </si>
  <si>
    <t>| 3% adv: More correctly, precisely</t>
  </si>
  <si>
    <t>RATIFICATION</t>
  </si>
  <si>
    <t>RATIFY</t>
  </si>
  <si>
    <t>SUPV POLIT</t>
  </si>
  <si>
    <t>RATIO</t>
  </si>
  <si>
    <t>RATION</t>
  </si>
  <si>
    <t>RATIONAL</t>
  </si>
  <si>
    <t>RATIONALIZE</t>
  </si>
  <si>
    <t>RATTLE#1</t>
  </si>
  <si>
    <t>RATTLE#2</t>
  </si>
  <si>
    <t>RAVAGE</t>
  </si>
  <si>
    <t>RAVE</t>
  </si>
  <si>
    <t>RAW</t>
  </si>
  <si>
    <t>RAZOR</t>
  </si>
  <si>
    <t>RE-ESTABLISH</t>
  </si>
  <si>
    <t>RE-ESTABLISHMENT</t>
  </si>
  <si>
    <t>REACH#1</t>
  </si>
  <si>
    <t>| 80% verb: To attain, arrive at, come to, get to, extend to</t>
  </si>
  <si>
    <t>REACH#2</t>
  </si>
  <si>
    <t>| 6% verb: To establish communication with</t>
  </si>
  <si>
    <t>REACH#3</t>
  </si>
  <si>
    <t>| 11% verb: To extend the hand, to extend</t>
  </si>
  <si>
    <t>REACH#4</t>
  </si>
  <si>
    <t>| 1% noun: The extent of reach, arm's length, an extent or expanse</t>
  </si>
  <si>
    <t>REACT</t>
  </si>
  <si>
    <t>REACTION</t>
  </si>
  <si>
    <t>| noun: Response</t>
  </si>
  <si>
    <t>REACTIONARY</t>
  </si>
  <si>
    <t>REACTIVATE</t>
  </si>
  <si>
    <t>REACTIVE</t>
  </si>
  <si>
    <t>READ#1</t>
  </si>
  <si>
    <t>| 78% verb: To apprehend the meaning of something written, to pronounce  a text out loud (infrequent)</t>
  </si>
  <si>
    <t>READ#2</t>
  </si>
  <si>
    <t>| 21% noun-adj: Material thus apprehended, an occasion or the practise of reading</t>
  </si>
  <si>
    <t>READ#3</t>
  </si>
  <si>
    <t>| 1% idiom-verb: "Sight read"--not handled</t>
  </si>
  <si>
    <t>READER</t>
  </si>
  <si>
    <t>| noun: A person (or machine) who reads</t>
  </si>
  <si>
    <t>READILY</t>
  </si>
  <si>
    <t>READINESS</t>
  </si>
  <si>
    <t>READJUSTMENT</t>
  </si>
  <si>
    <t>READY#1</t>
  </si>
  <si>
    <t>| 95% adj: Completely prepared, likely at any moment, prompt or quick in  action, manifestation, etc.; set, able to be used, etc.</t>
  </si>
  <si>
    <t>READY#2</t>
  </si>
  <si>
    <t>| 5% adv: "Readily"</t>
  </si>
  <si>
    <t>REAFFIRM</t>
  </si>
  <si>
    <t>REAL#1</t>
  </si>
  <si>
    <t>| 79% adv: Actually or in fact--genuinely, truly (as an intensifier usually  with adjectives--'that was really nice')</t>
  </si>
  <si>
    <t>REAL#2</t>
  </si>
  <si>
    <t>| 20% adj: Actual, true, genuine</t>
  </si>
  <si>
    <t>REAL#3</t>
  </si>
  <si>
    <t>| 0% idiom-noun-adj: "Real estate"--property in the form of buildings and land</t>
  </si>
  <si>
    <t>REALISATION#1</t>
  </si>
  <si>
    <t>REALISE#1</t>
  </si>
  <si>
    <t>REALISM</t>
  </si>
  <si>
    <t>REALISTIC</t>
  </si>
  <si>
    <t>REALISTICALLY</t>
  </si>
  <si>
    <t>REALITY</t>
  </si>
  <si>
    <t>| noun: Actuality, the true state of affairs, the way things are</t>
  </si>
  <si>
    <t>REALIZATION</t>
  </si>
  <si>
    <t>REALIZE#1</t>
  </si>
  <si>
    <t>| 88% verb: To apprehend, come to see or know</t>
  </si>
  <si>
    <t>REALIZE#2</t>
  </si>
  <si>
    <t>| 11% verb: To make real, see come true or happen--"he realized his dreams"</t>
  </si>
  <si>
    <t>REALM</t>
  </si>
  <si>
    <t>REAP</t>
  </si>
  <si>
    <t>REAR#1</t>
  </si>
  <si>
    <t>REAR#2</t>
  </si>
  <si>
    <t>REARMAMENT</t>
  </si>
  <si>
    <t>REARRANGEMENT</t>
  </si>
  <si>
    <t>REASON#1</t>
  </si>
  <si>
    <t>| 95% noun: The basis or cause of an act or event or a statement given in  justification</t>
  </si>
  <si>
    <t>REASON#2</t>
  </si>
  <si>
    <t>| 2% noun: "Reason," "reasoning"--the uses of mental powers, common sense and logic</t>
  </si>
  <si>
    <t>REASON#3</t>
  </si>
  <si>
    <t>| 3% verb: To think or argue in a logical manner</t>
  </si>
  <si>
    <t>REASONABLE</t>
  </si>
  <si>
    <t>| adj: Sensible, moderate, rational</t>
  </si>
  <si>
    <t>REASSERT</t>
  </si>
  <si>
    <t>REASSURANCE</t>
  </si>
  <si>
    <t>REASSURE</t>
  </si>
  <si>
    <t>REBATE</t>
  </si>
  <si>
    <t>REBEL#1</t>
  </si>
  <si>
    <t>REBEL#2</t>
  </si>
  <si>
    <t>REBELLION</t>
  </si>
  <si>
    <t>REBELLIOUS</t>
  </si>
  <si>
    <t>REBUFF</t>
  </si>
  <si>
    <t>REBUILD</t>
  </si>
  <si>
    <t>REBUKE</t>
  </si>
  <si>
    <t>REBUT</t>
  </si>
  <si>
    <t>RECALCITRANT</t>
  </si>
  <si>
    <t>RECALL#1</t>
  </si>
  <si>
    <t>RECALL#2</t>
  </si>
  <si>
    <t>RECEDE</t>
  </si>
  <si>
    <t>RECEIPT</t>
  </si>
  <si>
    <t>RECEIVE</t>
  </si>
  <si>
    <t>| verb: To get, accept, admit, apprehend</t>
  </si>
  <si>
    <t>RECEIVER</t>
  </si>
  <si>
    <t>RECENT</t>
  </si>
  <si>
    <t>| adj: Of a time just before the present</t>
  </si>
  <si>
    <t>RECEPTION</t>
  </si>
  <si>
    <t>RECEPTIVE</t>
  </si>
  <si>
    <t>RECESS</t>
  </si>
  <si>
    <t>RECESSION</t>
  </si>
  <si>
    <t>RECIPROCAL</t>
  </si>
  <si>
    <t>RECKLESS</t>
  </si>
  <si>
    <t>RECKLESSNESS</t>
  </si>
  <si>
    <t>RECLAIM</t>
  </si>
  <si>
    <t>RECLAMATION</t>
  </si>
  <si>
    <t>RECLINE</t>
  </si>
  <si>
    <t>RECOGNISE#1</t>
  </si>
  <si>
    <t>RECOGNITION</t>
  </si>
  <si>
    <t>RECOGNIZE</t>
  </si>
  <si>
    <t>| verb: To perceive, identify, acknowledge</t>
  </si>
  <si>
    <t>RECOIL</t>
  </si>
  <si>
    <t>RECOMMEND</t>
  </si>
  <si>
    <t>RECOMMENDATION</t>
  </si>
  <si>
    <t>RECOMPENSE</t>
  </si>
  <si>
    <t>RECONCILE</t>
  </si>
  <si>
    <t>RECONCILIATION</t>
  </si>
  <si>
    <t>RECONSIDER</t>
  </si>
  <si>
    <t>RECONSIDERATION</t>
  </si>
  <si>
    <t>RECONSTITUTE</t>
  </si>
  <si>
    <t>RECONSTRUCT</t>
  </si>
  <si>
    <t>RECONSTRUCTION</t>
  </si>
  <si>
    <t>RECORD#1</t>
  </si>
  <si>
    <t>| 62% noun-adj: An account in writing or the like delineating a set of historical  facts, generally used in reference to one person's or group of persons'  (a government, racial grou</t>
  </si>
  <si>
    <t>RECORD#2</t>
  </si>
  <si>
    <t>| 29% noun-adj: "Record," "recording"--a disk or tape imprinted with sound,  the act of such imprinting</t>
  </si>
  <si>
    <t>RECORD#3</t>
  </si>
  <si>
    <t>| 9% verb: To set down in writing, to imprint sound on a disk or tape</t>
  </si>
  <si>
    <t>RECORD#4</t>
  </si>
  <si>
    <t>| 0% adj: "Recorded"--set down in writing or in sound</t>
  </si>
  <si>
    <t>RECOURSE</t>
  </si>
  <si>
    <t>RECOVER</t>
  </si>
  <si>
    <t>RECOVERY</t>
  </si>
  <si>
    <t>RECREATE</t>
  </si>
  <si>
    <t>RECREATION</t>
  </si>
  <si>
    <t>RECRIMINATE</t>
  </si>
  <si>
    <t>RECRUIT#1</t>
  </si>
  <si>
    <t>RECRUIT#2</t>
  </si>
  <si>
    <t>RECRUITMENT</t>
  </si>
  <si>
    <t>RECTITUDE</t>
  </si>
  <si>
    <t>RECTOR</t>
  </si>
  <si>
    <t>RECUR</t>
  </si>
  <si>
    <t>RECURRENCE</t>
  </si>
  <si>
    <t>RECURRENT</t>
  </si>
  <si>
    <t>RED</t>
  </si>
  <si>
    <t>| adjective: Distinguished by red color, of that color</t>
  </si>
  <si>
    <t>REDEEM</t>
  </si>
  <si>
    <t>REDEMPTION</t>
  </si>
  <si>
    <t>REDEVELOPMENT</t>
  </si>
  <si>
    <t>REDHEAD</t>
  </si>
  <si>
    <t>REDRESS</t>
  </si>
  <si>
    <t>REDS</t>
  </si>
  <si>
    <t>REDUCE</t>
  </si>
  <si>
    <t>| verb: To diminish, degrade, subdue</t>
  </si>
  <si>
    <t>REDUCTION</t>
  </si>
  <si>
    <t>REDUNDANCY</t>
  </si>
  <si>
    <t>REDUNDANT</t>
  </si>
  <si>
    <t>REEF</t>
  </si>
  <si>
    <t>REEMPLOY</t>
  </si>
  <si>
    <t>REESTABLISH</t>
  </si>
  <si>
    <t>REEXAMINE</t>
  </si>
  <si>
    <t>REFER</t>
  </si>
  <si>
    <t>| verb: To direct attention or a person to someone or something; to mention  or allude to</t>
  </si>
  <si>
    <t>REFERENCE</t>
  </si>
  <si>
    <t>| noun: An allusion; direction to some source of information, or a source  of information</t>
  </si>
  <si>
    <t>REFINE</t>
  </si>
  <si>
    <t>REFINEMENT</t>
  </si>
  <si>
    <t>REFLECT</t>
  </si>
  <si>
    <t>REFLECTION</t>
  </si>
  <si>
    <t>REFLEX</t>
  </si>
  <si>
    <t>REFORM#1</t>
  </si>
  <si>
    <t>REFORM#2</t>
  </si>
  <si>
    <t>REFRAIN</t>
  </si>
  <si>
    <t>REFRIGERATOR</t>
  </si>
  <si>
    <t>REFUGE</t>
  </si>
  <si>
    <t>REFUGEE</t>
  </si>
  <si>
    <t>REFUND#1</t>
  </si>
  <si>
    <t>REFUND#2</t>
  </si>
  <si>
    <t>REFUSAL</t>
  </si>
  <si>
    <t>REFUSE#1</t>
  </si>
  <si>
    <t>| 97% verb: To decline, to reject, to deny</t>
  </si>
  <si>
    <t>REFUSE#2</t>
  </si>
  <si>
    <t>| 3% noun: Rubbish, trash</t>
  </si>
  <si>
    <t>REGAIN</t>
  </si>
  <si>
    <t>REGAL</t>
  </si>
  <si>
    <t>REGARD#1</t>
  </si>
  <si>
    <t>| 49% prep: "Regarding," "in (with) regard to," "as regards"; with reference  to, concerning</t>
  </si>
  <si>
    <t>REGARD#2</t>
  </si>
  <si>
    <t>| 41% verb: To conceive of, look upon in a particular way</t>
  </si>
  <si>
    <t>REGARD#3</t>
  </si>
  <si>
    <t>| 9% noun: Respect, esteem, affection or attention</t>
  </si>
  <si>
    <t>REGARD#4</t>
  </si>
  <si>
    <t>| 1% adj: "In (this, that, etc.) regard"--in (this, that, etc.) respect</t>
  </si>
  <si>
    <t>REGARDLESS</t>
  </si>
  <si>
    <t>REGENT</t>
  </si>
  <si>
    <t>REGIME</t>
  </si>
  <si>
    <t>REGIMENT</t>
  </si>
  <si>
    <t>REGIMENTATION</t>
  </si>
  <si>
    <t>REGION</t>
  </si>
  <si>
    <t>| noun: Area, district, section</t>
  </si>
  <si>
    <t>REGIONAL</t>
  </si>
  <si>
    <t>REGIONALIZATION</t>
  </si>
  <si>
    <t>REGISTER#1</t>
  </si>
  <si>
    <t>REGISTER#2</t>
  </si>
  <si>
    <t>REGISTRANT</t>
  </si>
  <si>
    <t>REGISTRATION</t>
  </si>
  <si>
    <t>REGRESS</t>
  </si>
  <si>
    <t>REGRESSION</t>
  </si>
  <si>
    <t>REGRET#1</t>
  </si>
  <si>
    <t>| 79% verb: To feel sorry about</t>
  </si>
  <si>
    <t>REGRET#2</t>
  </si>
  <si>
    <t>| 21% noun: A sense of loss, sorrow, dismay, disappointment</t>
  </si>
  <si>
    <t>REGRETTABLE</t>
  </si>
  <si>
    <t>REGROUP</t>
  </si>
  <si>
    <t>REGULAR</t>
  </si>
  <si>
    <t>| adj: Ordinary, usual, standard, habitual, systematic--following some general  rule, custom, or habit</t>
  </si>
  <si>
    <t>REGULARITY</t>
  </si>
  <si>
    <t>REGULATE</t>
  </si>
  <si>
    <t>REGULATION</t>
  </si>
  <si>
    <t>REHABILITATE</t>
  </si>
  <si>
    <t>REHABILITATION</t>
  </si>
  <si>
    <t>REIGN</t>
  </si>
  <si>
    <t>REINFORCE</t>
  </si>
  <si>
    <t>REINFORCEMENT</t>
  </si>
  <si>
    <t>REINSTATE</t>
  </si>
  <si>
    <t>REITERATE</t>
  </si>
  <si>
    <t>REJECT</t>
  </si>
  <si>
    <t>| verb: To refuse, cast off, rebuff</t>
  </si>
  <si>
    <t>REJECTION</t>
  </si>
  <si>
    <t>REJOICE</t>
  </si>
  <si>
    <t>RELAPSE</t>
  </si>
  <si>
    <t>RELATE#1</t>
  </si>
  <si>
    <t>| 86% verb: To establish association, to have reference to</t>
  </si>
  <si>
    <t>RELATE#2</t>
  </si>
  <si>
    <t>| 14% verb: To tell, recount</t>
  </si>
  <si>
    <t>RELATED#1</t>
  </si>
  <si>
    <t>| 39% verb: "Related to"--relevant to, having reference to</t>
  </si>
  <si>
    <t>RELATED#2</t>
  </si>
  <si>
    <t>| 4% verb: Told, recounted</t>
  </si>
  <si>
    <t>RELATED#3</t>
  </si>
  <si>
    <t>| 57% adj: Associated</t>
  </si>
  <si>
    <t>RELATION#1</t>
  </si>
  <si>
    <t>| 74% noun: Connection, correspondence, association</t>
  </si>
  <si>
    <t>RELATION#2</t>
  </si>
  <si>
    <t>| 9% noun: A person in a family strain, connection by marriage or origin</t>
  </si>
  <si>
    <t>RELATION#3</t>
  </si>
  <si>
    <t>| 1% noun: Sex act</t>
  </si>
  <si>
    <t>RELATIONSHIP</t>
  </si>
  <si>
    <t>| noun: Connection, association or involvement.</t>
  </si>
  <si>
    <t>RELATIVE#1</t>
  </si>
  <si>
    <t>| 55% noun: Blood or marriage relation</t>
  </si>
  <si>
    <t>RELATIVE#2</t>
  </si>
  <si>
    <t>| 16% adj: Comparative, considered in relation to something else</t>
  </si>
  <si>
    <t>RELATIVE#3</t>
  </si>
  <si>
    <t>| 27% adv: "Relatively"--comparatively</t>
  </si>
  <si>
    <t>RELAUNCH</t>
  </si>
  <si>
    <t>RELAX</t>
  </si>
  <si>
    <t>RELAXATION</t>
  </si>
  <si>
    <t>RELEASE#1</t>
  </si>
  <si>
    <t>| 68% verb: To let out, let go, free</t>
  </si>
  <si>
    <t>RELEASE#2</t>
  </si>
  <si>
    <t>| 32% noun-adj: A letting out, letting go, or freeing</t>
  </si>
  <si>
    <t>RELENTLESS</t>
  </si>
  <si>
    <t>RELEVANCE</t>
  </si>
  <si>
    <t>RELEVANCY</t>
  </si>
  <si>
    <t>RELEVANT</t>
  </si>
  <si>
    <t>RELIABILITY</t>
  </si>
  <si>
    <t>RELIABLE</t>
  </si>
  <si>
    <t>RELIANCE</t>
  </si>
  <si>
    <t>RELIEF</t>
  </si>
  <si>
    <t>RELIEVE#1</t>
  </si>
  <si>
    <t>| 75% verb: To alleviate, disburden, ease</t>
  </si>
  <si>
    <t>RELIEVE#2</t>
  </si>
  <si>
    <t>| 15% verb: "Relieve oneself" - to go to the bathroom</t>
  </si>
  <si>
    <t>RELIEVE#3</t>
  </si>
  <si>
    <t>| 10% adj: "Relieved" - disburdened, feeling thus</t>
  </si>
  <si>
    <t>RELIGION</t>
  </si>
  <si>
    <t>| noun: Belief in one or more superhuman power(s), usually to be obeyed  and worshiped as ruler(s) of the universe</t>
  </si>
  <si>
    <t>RELIGIOUS#1</t>
  </si>
  <si>
    <t>| 32% adj: Devout, faithful</t>
  </si>
  <si>
    <t>RELIGIOUS#2</t>
  </si>
  <si>
    <t>| 68% adj: Of, concerning, or based on the nature of religion</t>
  </si>
  <si>
    <t>RELINQUISH</t>
  </si>
  <si>
    <t>RELISH</t>
  </si>
  <si>
    <t>RELUCTANT</t>
  </si>
  <si>
    <t>RELY</t>
  </si>
  <si>
    <t>REMAIN#1</t>
  </si>
  <si>
    <t>SUPV VERB LINK PFREQ</t>
  </si>
  <si>
    <t>| 94% verb: To stay, to continue in the same condition, to be left or left over</t>
  </si>
  <si>
    <t>REMAIN#2</t>
  </si>
  <si>
    <t>| 6% adj: "Remaining"--residual, left over</t>
  </si>
  <si>
    <t>REMAINDER</t>
  </si>
  <si>
    <t>REMARK#1</t>
  </si>
  <si>
    <t>| 75% noun: A comment</t>
  </si>
  <si>
    <t>REMARK#2</t>
  </si>
  <si>
    <t>| 25% verb: To comment, point out</t>
  </si>
  <si>
    <t>REMARKABLE</t>
  </si>
  <si>
    <t>REMARKABLY</t>
  </si>
  <si>
    <t>REMEDY</t>
  </si>
  <si>
    <t>REMEMBER</t>
  </si>
  <si>
    <t>| verb: Bear in mind or call to mind</t>
  </si>
  <si>
    <t>REMIND</t>
  </si>
  <si>
    <t>| verb: To cause to remember</t>
  </si>
  <si>
    <t>REMINDER</t>
  </si>
  <si>
    <t>REMODEL</t>
  </si>
  <si>
    <t>REMORSE</t>
  </si>
  <si>
    <t>REMOTE</t>
  </si>
  <si>
    <t>REMOVAL</t>
  </si>
  <si>
    <t>REMOVE</t>
  </si>
  <si>
    <t>| verb: Take away or off, dismiss, eliminate</t>
  </si>
  <si>
    <t>REMUNERATION</t>
  </si>
  <si>
    <t>RENAISSANCE</t>
  </si>
  <si>
    <t>RENDER</t>
  </si>
  <si>
    <t>RENEW</t>
  </si>
  <si>
    <t>RENEWAL</t>
  </si>
  <si>
    <t>RENOUNCE</t>
  </si>
  <si>
    <t>RENOVATE</t>
  </si>
  <si>
    <t>RENOVATION</t>
  </si>
  <si>
    <t>RENOWN</t>
  </si>
  <si>
    <t>RENT#1</t>
  </si>
  <si>
    <t>| 57% noun-adj: Payment for temporary possession or use of something</t>
  </si>
  <si>
    <t>RENT#2</t>
  </si>
  <si>
    <t>| 43% verb: To hire</t>
  </si>
  <si>
    <t>RENTAL</t>
  </si>
  <si>
    <t>RENUNCIATION</t>
  </si>
  <si>
    <t>REORGANIZATION</t>
  </si>
  <si>
    <t>REORGANIZE</t>
  </si>
  <si>
    <t>REP</t>
  </si>
  <si>
    <t>Modif POLIT REP</t>
  </si>
  <si>
    <t>REPAID</t>
  </si>
  <si>
    <t>REPAIR#1</t>
  </si>
  <si>
    <t>REPAIR#2</t>
  </si>
  <si>
    <t>REPARATION</t>
  </si>
  <si>
    <t>REPAY</t>
  </si>
  <si>
    <t>REPEAL</t>
  </si>
  <si>
    <t>REPEAT#1</t>
  </si>
  <si>
    <t>| 55% verb: To do again, especially to say again</t>
  </si>
  <si>
    <t>REPEAT#2</t>
  </si>
  <si>
    <t>| 11% adj: "Repeated," done again, done over and over</t>
  </si>
  <si>
    <t>REPEAT#3</t>
  </si>
  <si>
    <t>| 34% adv: "Repeatedly", more than once</t>
  </si>
  <si>
    <t>REPEL</t>
  </si>
  <si>
    <t>REPENT</t>
  </si>
  <si>
    <t>REPENTANCE</t>
  </si>
  <si>
    <t>REPETITION</t>
  </si>
  <si>
    <t>REPLACE</t>
  </si>
  <si>
    <t>REPLACEMENT</t>
  </si>
  <si>
    <t>REPLENISH</t>
  </si>
  <si>
    <t>REPLY#1</t>
  </si>
  <si>
    <t>| 79% verb: To respond</t>
  </si>
  <si>
    <t>REPLY#2</t>
  </si>
  <si>
    <t>| 21% noun: A response</t>
  </si>
  <si>
    <t>REPORT#1</t>
  </si>
  <si>
    <t>| 52% noun-adj: A document describing something used for official business</t>
  </si>
  <si>
    <t>REPORT#2</t>
  </si>
  <si>
    <t>| 0% adj: "Reported," according to such a document or to rumor</t>
  </si>
  <si>
    <t>REPORT#3</t>
  </si>
  <si>
    <t>| 44% verb: To relate some fact or situation, usually to an authority or  the general public</t>
  </si>
  <si>
    <t>REPORT#4</t>
  </si>
  <si>
    <t>| 2% noun: "Reporting"--the relating of such facts or situations</t>
  </si>
  <si>
    <t>REPORT#5</t>
  </si>
  <si>
    <t>| 0% adv: "Reportedly"--adverb of sense 2</t>
  </si>
  <si>
    <t>REPORTER</t>
  </si>
  <si>
    <t>REPOSE</t>
  </si>
  <si>
    <t>REPREHENSIBLE</t>
  </si>
  <si>
    <t>REPRESENT</t>
  </si>
  <si>
    <t>| verb: To describe, to stand or act for</t>
  </si>
  <si>
    <t>REPRESENTATION</t>
  </si>
  <si>
    <t>REPRESENTATIVE#1</t>
  </si>
  <si>
    <t>| 73% noun: Delegate or agent</t>
  </si>
  <si>
    <t>REPRESENTATIVE#2</t>
  </si>
  <si>
    <t>| 27% adj: Portraying, exemplifying, acting or speaking for, having elected delegates</t>
  </si>
  <si>
    <t>REPRESENTATIVE#3</t>
  </si>
  <si>
    <t>| 0% idiom-noun: "House of representatives"--handled by "house"</t>
  </si>
  <si>
    <t>REPRESS</t>
  </si>
  <si>
    <t>REPRISAL</t>
  </si>
  <si>
    <t>REPROACH</t>
  </si>
  <si>
    <t>REPUBLIC</t>
  </si>
  <si>
    <t>| noun: A representative government</t>
  </si>
  <si>
    <t>REPUBLICAN</t>
  </si>
  <si>
    <t>| noun-adj: Pertaining to the american political party</t>
  </si>
  <si>
    <t>REPUDIATE</t>
  </si>
  <si>
    <t>REPUGNANT</t>
  </si>
  <si>
    <t>REPULSE</t>
  </si>
  <si>
    <t>REPULSIVE</t>
  </si>
  <si>
    <t>REPUTABLE</t>
  </si>
  <si>
    <t>REPUTATION</t>
  </si>
  <si>
    <t>REQUEST#1</t>
  </si>
  <si>
    <t>| 48% noun: A favor, petition, something asked</t>
  </si>
  <si>
    <t>REQUEST#2</t>
  </si>
  <si>
    <t>| 40% verb: To ask for, to petition</t>
  </si>
  <si>
    <t>REQUEST#3</t>
  </si>
  <si>
    <t>| 0% adj: "Requested", asked for</t>
  </si>
  <si>
    <t>REQUIRE#1</t>
  </si>
  <si>
    <t>| 98% verb: To need, demand, compel</t>
  </si>
  <si>
    <t>REQUIRE#2</t>
  </si>
  <si>
    <t>| 2% adj: "Required", obligatory, needed</t>
  </si>
  <si>
    <t>REQUIREMENT</t>
  </si>
  <si>
    <t>REQUISITE</t>
  </si>
  <si>
    <t>RESCUE#1</t>
  </si>
  <si>
    <t>RESCUE#2</t>
  </si>
  <si>
    <t>RESEARCH</t>
  </si>
  <si>
    <t>RESEARCHER</t>
  </si>
  <si>
    <t>RESEMBLE</t>
  </si>
  <si>
    <t>RESENT</t>
  </si>
  <si>
    <t>| verb: To react with displeasure or indignation from a sense of injury,  especially towards someone</t>
  </si>
  <si>
    <t>RESENTFUL</t>
  </si>
  <si>
    <t>RESENTMENT</t>
  </si>
  <si>
    <t>RESERVATION</t>
  </si>
  <si>
    <t>RESERVE#1</t>
  </si>
  <si>
    <t>| 35% verb: Save, withhold, restrain</t>
  </si>
  <si>
    <t>RESERVE#2</t>
  </si>
  <si>
    <t>| 0% adj: "Reserved"--withheld, restrained</t>
  </si>
  <si>
    <t>RESERVE#3</t>
  </si>
  <si>
    <t>| 62% noun-adj: Surplus, secondary supply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</si>
  <si>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</si>
  <si>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</si>
  <si>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</si>
  <si>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</si>
  <si>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</si>
  <si>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</si>
  <si>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</si>
  <si>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RESOLUTE</t>
  </si>
  <si>
    <t>RESOLUTION</t>
  </si>
  <si>
    <t>RESOLVE#1</t>
  </si>
  <si>
    <t>RESOLVE#2</t>
  </si>
  <si>
    <t>RESOLVED</t>
  </si>
  <si>
    <t>RESORT#1</t>
  </si>
  <si>
    <t>RESORT#2</t>
  </si>
  <si>
    <t>RESOUND</t>
  </si>
  <si>
    <t>RESOURCE</t>
  </si>
  <si>
    <t>| noun: Source of supply, support, aid</t>
  </si>
  <si>
    <t>RESOURCEFUL</t>
  </si>
  <si>
    <t>RESOURCEFULNESS</t>
  </si>
  <si>
    <t>RESPECT#1</t>
  </si>
  <si>
    <t>| 48% verb-adj: To hold in esteem--esteemed</t>
  </si>
  <si>
    <t>RESPECT#2</t>
  </si>
  <si>
    <t>| 31% noun: Esteem, regard</t>
  </si>
  <si>
    <t>RESPECT#3</t>
  </si>
  <si>
    <t>| 13% noun: A particular or point--'in some respects'</t>
  </si>
  <si>
    <t>RESPECT#4</t>
  </si>
  <si>
    <t>| 6% noun: Relation, reference--'with respect to'</t>
  </si>
  <si>
    <t>RESPECT#5</t>
  </si>
  <si>
    <t>| 2% idiom-verb: 'pay one's respects'--visit, call on formally</t>
  </si>
  <si>
    <t>RESPECTABLE</t>
  </si>
  <si>
    <t>RESPECTFUL</t>
  </si>
  <si>
    <t>RESPECTIVE</t>
  </si>
  <si>
    <t>RESPITE</t>
  </si>
  <si>
    <t>RESPLENDENT</t>
  </si>
  <si>
    <t>RESPOND</t>
  </si>
  <si>
    <t>RESPONSE</t>
  </si>
  <si>
    <t>| noun: Answer, reaction</t>
  </si>
  <si>
    <t>RESPONSIBILITY</t>
  </si>
  <si>
    <t>| noun: Obligation or duty, control or management of something, liability  in case of failure</t>
  </si>
  <si>
    <t>RESPONSIBLE#1</t>
  </si>
  <si>
    <t>| 69% adj: Reliable, having responsibility</t>
  </si>
  <si>
    <t>RESPONSIBLE#2</t>
  </si>
  <si>
    <t>| 31% adj: Causatory (of), accountable (for or to)--"we are all responsible  for these conditons"</t>
  </si>
  <si>
    <t>RESPONSIVE</t>
  </si>
  <si>
    <t>REST#1</t>
  </si>
  <si>
    <t>| 51% noun: That which remains or is left, the remainder, "the rest"</t>
  </si>
  <si>
    <t>REST#2</t>
  </si>
  <si>
    <t>| 12% noun-adj: Ease, inactivity, quiet</t>
  </si>
  <si>
    <t>REST#3</t>
  </si>
  <si>
    <t>| 25% verb: To relax, be at ease or inactive, to be set</t>
  </si>
  <si>
    <t>REST#4</t>
  </si>
  <si>
    <t>| 8% verb: To reside or be found (with, upon) "the decision rests with him"</t>
  </si>
  <si>
    <t>RESTATEMENT</t>
  </si>
  <si>
    <t>RESTAURANT</t>
  </si>
  <si>
    <t>RESTFUL</t>
  </si>
  <si>
    <t>RESTITUTION</t>
  </si>
  <si>
    <t>RESTLESS</t>
  </si>
  <si>
    <t>RESTLESSNESS</t>
  </si>
  <si>
    <t>RESTORATION</t>
  </si>
  <si>
    <t>RESTORE</t>
  </si>
  <si>
    <t>RESTRAIN</t>
  </si>
  <si>
    <t>RESTRAINT</t>
  </si>
  <si>
    <t>RESTRICT#1</t>
  </si>
  <si>
    <t>| 96% verb: To confine or limit</t>
  </si>
  <si>
    <t>RESTRICT#2</t>
  </si>
  <si>
    <t>| 4% adj: "Restricted", confined, limited</t>
  </si>
  <si>
    <t>RESTRICT#3</t>
  </si>
  <si>
    <t>| 0% adj: "Restricting", tending to limit</t>
  </si>
  <si>
    <t>RESTRICTION</t>
  </si>
  <si>
    <t>RESTRICTIVE</t>
  </si>
  <si>
    <t>RESULT#1</t>
  </si>
  <si>
    <t>| 74% noun: Outcome, consequence</t>
  </si>
  <si>
    <t>RESULT#2</t>
  </si>
  <si>
    <t>| 26% verb: To yield an outcome</t>
  </si>
  <si>
    <t>RESULT#3</t>
  </si>
  <si>
    <t>| 0% adj: "Resulting"--occasioned as a result</t>
  </si>
  <si>
    <t>RESULTANT</t>
  </si>
  <si>
    <t>RESUME#1</t>
  </si>
  <si>
    <t>RESUME#2</t>
  </si>
  <si>
    <t>RESUMPTION</t>
  </si>
  <si>
    <t>RESURRECT</t>
  </si>
  <si>
    <t>RETAIL#1</t>
  </si>
  <si>
    <t>RETAIL#2</t>
  </si>
  <si>
    <t>RETAIN</t>
  </si>
  <si>
    <t>RETALIATE</t>
  </si>
  <si>
    <t>RETARD</t>
  </si>
  <si>
    <t>RETARDATION</t>
  </si>
  <si>
    <t>RETENTION</t>
  </si>
  <si>
    <t>RETIRE</t>
  </si>
  <si>
    <t>RETIREMENT</t>
  </si>
  <si>
    <t>RETREAT#1</t>
  </si>
  <si>
    <t>RETREAT#2</t>
  </si>
  <si>
    <t>RETRENCHMENT</t>
  </si>
  <si>
    <t>RETURN#1</t>
  </si>
  <si>
    <t>| 79% verb: To go or come back, revert, recur</t>
  </si>
  <si>
    <t>RETURN#2</t>
  </si>
  <si>
    <t>| 5% noun: Reciprocation, giving back</t>
  </si>
  <si>
    <t>RETURN#3</t>
  </si>
  <si>
    <t>| 3% noun: Yield, profit</t>
  </si>
  <si>
    <t>RETURN#4</t>
  </si>
  <si>
    <t>| 8% noun-adj: A coming back, reversion, recurrence</t>
  </si>
  <si>
    <t>RETURN#5</t>
  </si>
  <si>
    <t>| 5% verb: To give back, cause to revert to original position, reciprocate</t>
  </si>
  <si>
    <t>REUNIFICATION</t>
  </si>
  <si>
    <t>REUNIFY</t>
  </si>
  <si>
    <t>REUNION</t>
  </si>
  <si>
    <t>REUNITE</t>
  </si>
  <si>
    <t>REVALUATION</t>
  </si>
  <si>
    <t>REVEAL#1</t>
  </si>
  <si>
    <t>| 85% verb: To make known, disclose</t>
  </si>
  <si>
    <t>REVEAL#2</t>
  </si>
  <si>
    <t>| 10% adj: "Revealing", tending to disclose</t>
  </si>
  <si>
    <t>REVEAL#3</t>
  </si>
  <si>
    <t>| 5% adj: "Revealed", disclosed, open</t>
  </si>
  <si>
    <t>REVEL</t>
  </si>
  <si>
    <t>REVELATION</t>
  </si>
  <si>
    <t>REVENGE</t>
  </si>
  <si>
    <t>REVENUE</t>
  </si>
  <si>
    <t>REVERE</t>
  </si>
  <si>
    <t>REVERENCE</t>
  </si>
  <si>
    <t>REVEREND</t>
  </si>
  <si>
    <t>REVERENT</t>
  </si>
  <si>
    <t>REVERENTLY</t>
  </si>
  <si>
    <t>REVERSE#1</t>
  </si>
  <si>
    <t>REVERSE#2</t>
  </si>
  <si>
    <t>REVERT</t>
  </si>
  <si>
    <t>REVIEW#1</t>
  </si>
  <si>
    <t>REVIEW#2</t>
  </si>
  <si>
    <t>REVISE#1</t>
  </si>
  <si>
    <t>REVISE#2</t>
  </si>
  <si>
    <t>REVISION</t>
  </si>
  <si>
    <t>REVISIT</t>
  </si>
  <si>
    <t>REVITALIZE</t>
  </si>
  <si>
    <t>REVIVAL</t>
  </si>
  <si>
    <t>REVIVE</t>
  </si>
  <si>
    <t>REVOKE</t>
  </si>
  <si>
    <t>REVOLT</t>
  </si>
  <si>
    <t>REVOLUTION</t>
  </si>
  <si>
    <t>Noun Strn</t>
  </si>
  <si>
    <t>| noun: Overthrow and replacement of a system</t>
  </si>
  <si>
    <t>REVOLUTIONARY</t>
  </si>
  <si>
    <t>REWARD#1</t>
  </si>
  <si>
    <t>| 33% noun: Compensation, profit, return</t>
  </si>
  <si>
    <t>REWARD#2</t>
  </si>
  <si>
    <t>| 19% verb: To compensate, to give positive reinforcement</t>
  </si>
  <si>
    <t>REWARD#3</t>
  </si>
  <si>
    <t>| 48% adj: "Rewarding", yielding satisfaction or profit</t>
  </si>
  <si>
    <t>RHINE</t>
  </si>
  <si>
    <t>RHINELAND</t>
  </si>
  <si>
    <t>RHINOCEROS</t>
  </si>
  <si>
    <t>RHODE</t>
  </si>
  <si>
    <t>RHODESIA</t>
  </si>
  <si>
    <t>RHODESIAN</t>
  </si>
  <si>
    <t>RHYTHM</t>
  </si>
  <si>
    <t>RHYTHMIC</t>
  </si>
  <si>
    <t>RIB</t>
  </si>
  <si>
    <t>RIBBON</t>
  </si>
  <si>
    <t>RICE</t>
  </si>
  <si>
    <t>| noun adjective: A grain</t>
  </si>
  <si>
    <t>RICH#1</t>
  </si>
  <si>
    <t>| 61% noun-adj: Wealthy, affluent; those who are wealthy or affluent (5)</t>
  </si>
  <si>
    <t>RICH#2</t>
  </si>
  <si>
    <t>| 13% adj: Full, abounding in</t>
  </si>
  <si>
    <t>RICH#3</t>
  </si>
  <si>
    <t>| 10% adj: "Richer," comparative</t>
  </si>
  <si>
    <t>RICH#4</t>
  </si>
  <si>
    <t>| 1% adj: "Richest," superlative</t>
  </si>
  <si>
    <t>RICH#5</t>
  </si>
  <si>
    <t>| 3% adv: "Richly"</t>
  </si>
  <si>
    <t>RICH#6</t>
  </si>
  <si>
    <t>| 11% noun: Monetary wealth, "riches"</t>
  </si>
  <si>
    <t>RICHES</t>
  </si>
  <si>
    <t>RICHNESS</t>
  </si>
  <si>
    <t>RID</t>
  </si>
  <si>
    <t>RIDE#1</t>
  </si>
  <si>
    <t>| 70% verb: To travel on or in some form of conveyance</t>
  </si>
  <si>
    <t>RIDE#2</t>
  </si>
  <si>
    <t>| 23% noun: A journey on or in some form of conveyance</t>
  </si>
  <si>
    <t>RIDE#3</t>
  </si>
  <si>
    <t>| 5% verb: To ridicule or harass</t>
  </si>
  <si>
    <t>RIDE#4</t>
  </si>
  <si>
    <t>| 2% noun-adj: "Riding", traveling on or in some form of conveyance, especially  a horse; relating to same</t>
  </si>
  <si>
    <t>RIDER</t>
  </si>
  <si>
    <t>RIDGE</t>
  </si>
  <si>
    <t>RIDICULE#1</t>
  </si>
  <si>
    <t>RIDICULE#2</t>
  </si>
  <si>
    <t>RIDICULOUS</t>
  </si>
  <si>
    <t>RIFLE</t>
  </si>
  <si>
    <t>RIGHT#1</t>
  </si>
  <si>
    <t>| 14% noun: Legal or moral prerogative</t>
  </si>
  <si>
    <t>RIGHT#10</t>
  </si>
  <si>
    <t>RIGHT#2</t>
  </si>
  <si>
    <t>| 21% adv: Directly, straight, immediately, precisely, just</t>
  </si>
  <si>
    <t>RIGHT#3</t>
  </si>
  <si>
    <t>| 5% noun-adj: The physical direction</t>
  </si>
  <si>
    <t>RIGHT#4</t>
  </si>
  <si>
    <t>| 27% adj-adv: Proper, correct--properly, correctly (sometimes used as interjection)</t>
  </si>
  <si>
    <t>RIGHT#5</t>
  </si>
  <si>
    <t>| 22% idiom: "All right"--okay</t>
  </si>
  <si>
    <t>RIGHT#6</t>
  </si>
  <si>
    <t>| 0% verb: To set something right</t>
  </si>
  <si>
    <t>RIGHT#7</t>
  </si>
  <si>
    <t>| 0% idiom-adv: "Right away"--immediately--handled by "away"</t>
  </si>
  <si>
    <t>RIGHT#8</t>
  </si>
  <si>
    <t>| 0% idiom-verb: "Serve (one) right"--punish justly--handled by "serve"</t>
  </si>
  <si>
    <t>RIGHT#9</t>
  </si>
  <si>
    <t>| 9% idiom-noun: "Civil rights"--handled by "civil"</t>
  </si>
  <si>
    <t>RIGHT#_10</t>
  </si>
  <si>
    <t>| 0% idiom-noun: "Right mind"--sanity--handled by "mind"</t>
  </si>
  <si>
    <t>RIGHTEOUS</t>
  </si>
  <si>
    <t>RIGHTEOUSNESS</t>
  </si>
  <si>
    <t>RIGHTFUL</t>
  </si>
  <si>
    <t>RIGID</t>
  </si>
  <si>
    <t>RIGOR</t>
  </si>
  <si>
    <t>RIGOROUS</t>
  </si>
  <si>
    <t>RING#1</t>
  </si>
  <si>
    <t>| 81% noun: Anything circular, thus-  enclosure for exhibitions (9); a circular  arrangement or formation  (2); a group cooperating for illicit purposes  (2); also tone, resonance (0</t>
  </si>
  <si>
    <t>RING#2</t>
  </si>
  <si>
    <t>| 15% verb: To telephone (2); to produce a resonant sound (1); to summon (1)</t>
  </si>
  <si>
    <t>RING#3</t>
  </si>
  <si>
    <t>| 0% noun-adj: "Ringing", resounding</t>
  </si>
  <si>
    <t>RIOT</t>
  </si>
  <si>
    <t>RIP#1</t>
  </si>
  <si>
    <t>RIP#2</t>
  </si>
  <si>
    <t>RIPE</t>
  </si>
  <si>
    <t>RIPEN</t>
  </si>
  <si>
    <t>RIPPLE</t>
  </si>
  <si>
    <t>RISE#1</t>
  </si>
  <si>
    <t>| 56% verb: To move upward or ahead, increase in degree or capacity, expand</t>
  </si>
  <si>
    <t>RISE#2</t>
  </si>
  <si>
    <t>| 16% verb: To return to life</t>
  </si>
  <si>
    <t>RISE#3</t>
  </si>
  <si>
    <t>| 16% noun: An increase in degree, intensity, size, height--growth</t>
  </si>
  <si>
    <t>RISE#4</t>
  </si>
  <si>
    <t>| 2% noun: A small hill or ridge</t>
  </si>
  <si>
    <t>RISE#5</t>
  </si>
  <si>
    <t>| 2% verb-idiom: "Give rise (to)"--originate, cause</t>
  </si>
  <si>
    <t>RISE#6</t>
  </si>
  <si>
    <t>| 9% adj: "Rising"--increasing in degree, intensity, size, height</t>
  </si>
  <si>
    <t>RISEN#1</t>
  </si>
  <si>
    <t>RISK#1</t>
  </si>
  <si>
    <t>RISK#2</t>
  </si>
  <si>
    <t>RISKY</t>
  </si>
  <si>
    <t>RITE</t>
  </si>
  <si>
    <t>RITUAL</t>
  </si>
  <si>
    <t>RIVAL#1</t>
  </si>
  <si>
    <t>RIVAL#2</t>
  </si>
  <si>
    <t>RIVALRY</t>
  </si>
  <si>
    <t>RIVER</t>
  </si>
  <si>
    <t>| noun: A large natural stream of water</t>
  </si>
  <si>
    <t>ROAD#1</t>
  </si>
  <si>
    <t>| 85% noun-adj: A long narrow stretch with a smooth surface, over which one travels</t>
  </si>
  <si>
    <t>ROAD#2</t>
  </si>
  <si>
    <t>| 7% noun: A way or course--"road to peace"</t>
  </si>
  <si>
    <t>ROAD#3</t>
  </si>
  <si>
    <t>| 0% noun: "Middle of the road"--moderate</t>
  </si>
  <si>
    <t>ROAD#4</t>
  </si>
  <si>
    <t>| 8% adv: "On the road"--traveling</t>
  </si>
  <si>
    <t>ROAR#1</t>
  </si>
  <si>
    <t>ROAR#2</t>
  </si>
  <si>
    <t>ROB</t>
  </si>
  <si>
    <t>ROBBER</t>
  </si>
  <si>
    <t>ROBBERY</t>
  </si>
  <si>
    <t>ROBUST</t>
  </si>
  <si>
    <t>ROCK#1</t>
  </si>
  <si>
    <t>| 80% noun: Stone</t>
  </si>
  <si>
    <t>ROCK#2</t>
  </si>
  <si>
    <t>| 1% verb: To move back and forth</t>
  </si>
  <si>
    <t>ROCK#3</t>
  </si>
  <si>
    <t>| 2% idiom: Genre of music--"rock (and) roll"</t>
  </si>
  <si>
    <t>ROCK#4</t>
  </si>
  <si>
    <t>| 2% adj: "Rocking" as in rocking chair, rocking horse</t>
  </si>
  <si>
    <t>ROCKER</t>
  </si>
  <si>
    <t>ROCKET</t>
  </si>
  <si>
    <t>ROCKY</t>
  </si>
  <si>
    <t>ROD</t>
  </si>
  <si>
    <t>RODE</t>
  </si>
  <si>
    <t>| verb: Past tense of ride; traveled on or in some form of conveyance</t>
  </si>
  <si>
    <t>RODENT</t>
  </si>
  <si>
    <t>ROGUE</t>
  </si>
  <si>
    <t>ROLE</t>
  </si>
  <si>
    <t>| noun: Proper or customary part or function</t>
  </si>
  <si>
    <t>ROLL#1</t>
  </si>
  <si>
    <t xml:space="preserve">| 84% verb: To turn over, revolve, wind, undulate--move by revolving; collect--"roll  into one" (1); start moving--"a program starts to roll" (1); to produce  a roaring sound </t>
  </si>
  <si>
    <t>ROLL#2</t>
  </si>
  <si>
    <t>| 5% noun: A list or scroll ('roll call,' 'welfare roll')</t>
  </si>
  <si>
    <t>ROLL#3</t>
  </si>
  <si>
    <t>| 5% idiom-noun: "Rock (and) roll"--handled by rock</t>
  </si>
  <si>
    <t>ROLL#4</t>
  </si>
  <si>
    <t>| 2% noun-adj: "Rolling"--characterized by height and depth of movement or sound</t>
  </si>
  <si>
    <t>ROLL#5</t>
  </si>
  <si>
    <t>| 0% noun: Movement characterized by a complete turn</t>
  </si>
  <si>
    <t>ROLL#6</t>
  </si>
  <si>
    <t>| 2% idiom-noun: "Bed roll"--sleeping bag</t>
  </si>
  <si>
    <t>ROLL#7</t>
  </si>
  <si>
    <t>| 0% noun: A pastry</t>
  </si>
  <si>
    <t>ROLLER</t>
  </si>
  <si>
    <t>ROMANCE</t>
  </si>
  <si>
    <t>ROMANTIC</t>
  </si>
  <si>
    <t>ROMANTICIZE</t>
  </si>
  <si>
    <t>ROME</t>
  </si>
  <si>
    <t>ROOF#1</t>
  </si>
  <si>
    <t>| 95% noun: Top covering</t>
  </si>
  <si>
    <t>ROOF#2</t>
  </si>
  <si>
    <t>| 5% verb: To cover or shelter</t>
  </si>
  <si>
    <t>ROOFER</t>
  </si>
  <si>
    <t>ROOM#1</t>
  </si>
  <si>
    <t>| 92% noun-adj: A specific amount of space within a building which is separated  by walls</t>
  </si>
  <si>
    <t>ROOM#2</t>
  </si>
  <si>
    <t>| 6% noun: Unspecified space or extent of space occupied by, or for, some thing</t>
  </si>
  <si>
    <t>ROOM#3</t>
  </si>
  <si>
    <t>| 1% verb: To reside with or at</t>
  </si>
  <si>
    <t>ROOM#4</t>
  </si>
  <si>
    <t>| 1% idiom-noun: 'room and board'--referring to living and eating expenses</t>
  </si>
  <si>
    <t>ROOM#5</t>
  </si>
  <si>
    <t>| 0% adj: "Rooming"--boarding</t>
  </si>
  <si>
    <t>ROOMMATE</t>
  </si>
  <si>
    <t>| noun: Person sharing a room</t>
  </si>
  <si>
    <t>ROOSEVELT</t>
  </si>
  <si>
    <t>ROOT#1</t>
  </si>
  <si>
    <t>| 83% noun-adj: Supporting, embedded or essential part, source, origin</t>
  </si>
  <si>
    <t>ROOT#2</t>
  </si>
  <si>
    <t>| 13% adj: "Rooted", based, embedded</t>
  </si>
  <si>
    <t>ROOT#3</t>
  </si>
  <si>
    <t>| 4% verb: To cheer</t>
  </si>
  <si>
    <t>ROOT#4</t>
  </si>
  <si>
    <t>| 0% idiom-verb: To "root out", to extirpate</t>
  </si>
  <si>
    <t>ROPE#1</t>
  </si>
  <si>
    <t>| 98% noun: Heavy cord</t>
  </si>
  <si>
    <t>ROPE#2</t>
  </si>
  <si>
    <t>| 2% verb: To lasso, to tie</t>
  </si>
  <si>
    <t>ROSE#1</t>
  </si>
  <si>
    <t>| 75% verb: Moved upward or ahead, increased in degree or capacity, expanded</t>
  </si>
  <si>
    <t>ROSE#2</t>
  </si>
  <si>
    <t>| 6% verb: Returned to life</t>
  </si>
  <si>
    <t>ROSE#3</t>
  </si>
  <si>
    <t>| 19% noun: The flower</t>
  </si>
  <si>
    <t>ROSY</t>
  </si>
  <si>
    <t>ROT</t>
  </si>
  <si>
    <t>ROTTEN</t>
  </si>
  <si>
    <t>ROUGE</t>
  </si>
  <si>
    <t>ROUGH#1</t>
  </si>
  <si>
    <t>| 85% adj: Coarse, uneven, difficult; approximate (2)</t>
  </si>
  <si>
    <t>ROUGH#2</t>
  </si>
  <si>
    <t>| 10% adv: "Roughly", approximately</t>
  </si>
  <si>
    <t>ROUGH#3</t>
  </si>
  <si>
    <t>| 0% verb: "Rough it"--to live without customary comforts</t>
  </si>
  <si>
    <t>ROUGHNESS</t>
  </si>
  <si>
    <t>ROUND#1</t>
  </si>
  <si>
    <t>| 48% prep: Encircling, in a circuit or course through or around, by-passing</t>
  </si>
  <si>
    <t>ROUND#2</t>
  </si>
  <si>
    <t>| 26% adv: Around, in a circle or circuit; surrounding, on all sides, here  and there; approximately--"round about"</t>
  </si>
  <si>
    <t>ROUND#3</t>
  </si>
  <si>
    <t>| 12% adj: Spherical, curved</t>
  </si>
  <si>
    <t>ROUND#4</t>
  </si>
  <si>
    <t>| 6% adj: "Well rounded"--full, complete, developed, balanced</t>
  </si>
  <si>
    <t>ROUND#5</t>
  </si>
  <si>
    <t>| 3% idiom-verb: "Round up", to herd, collect</t>
  </si>
  <si>
    <t>ROUND#6</t>
  </si>
  <si>
    <t>| 0% idiom-verb: "Round off", to make round, remove excess</t>
  </si>
  <si>
    <t>ROUND#7</t>
  </si>
  <si>
    <t>| 3% idiom-verb: "Round out", to complete</t>
  </si>
  <si>
    <t>ROUND#8</t>
  </si>
  <si>
    <t>| 3% noun: A course or series of actions or events, a period of activity  as in boxing or shooting</t>
  </si>
  <si>
    <t>ROUND#9</t>
  </si>
  <si>
    <t>| 0% verb: To make a circuit of, to turn</t>
  </si>
  <si>
    <t>ROUNDABOUT</t>
  </si>
  <si>
    <t>ROUSE</t>
  </si>
  <si>
    <t>ROUTE</t>
  </si>
  <si>
    <t>ROUTINE</t>
  </si>
  <si>
    <t>ROW#1</t>
  </si>
  <si>
    <t>ROW#2</t>
  </si>
  <si>
    <t>ROYAL</t>
  </si>
  <si>
    <t>ROYALTY</t>
  </si>
  <si>
    <t>RUB#1</t>
  </si>
  <si>
    <t>RUB#2</t>
  </si>
  <si>
    <t>RUBBER</t>
  </si>
  <si>
    <t>RUBBISH</t>
  </si>
  <si>
    <t>RUDE</t>
  </si>
  <si>
    <t>RUE</t>
  </si>
  <si>
    <t>RUFFIAN</t>
  </si>
  <si>
    <t>RUG</t>
  </si>
  <si>
    <t>RUGGED</t>
  </si>
  <si>
    <t>RUIN#1</t>
  </si>
  <si>
    <t>| 20% noun: Downfall, destruction</t>
  </si>
  <si>
    <t>RUIN#2</t>
  </si>
  <si>
    <t>| 65% verb: To destroy or spoil</t>
  </si>
  <si>
    <t>RUIN#3</t>
  </si>
  <si>
    <t>| 0% adj: "Ruined," destroyed</t>
  </si>
  <si>
    <t>RUIN#4</t>
  </si>
  <si>
    <t>| 15% noun: "Ruins"--remains</t>
  </si>
  <si>
    <t>RUINOUS</t>
  </si>
  <si>
    <t>RULE#1</t>
  </si>
  <si>
    <t>| 58% noun: Regulation, standard, guideline</t>
  </si>
  <si>
    <t>RULE#2</t>
  </si>
  <si>
    <t>| 13% verb: To govern, guide, determine</t>
  </si>
  <si>
    <t>RULE#3</t>
  </si>
  <si>
    <t>| 8% noun: Government, reign, control</t>
  </si>
  <si>
    <t>RULE#4</t>
  </si>
  <si>
    <t>| 12% noun-adj: "Ruling", judgement, determination, governing, in power</t>
  </si>
  <si>
    <t>RULE#5</t>
  </si>
  <si>
    <t>| 6% idiom-adv: "As a rule", generally</t>
  </si>
  <si>
    <t>RULE#6</t>
  </si>
  <si>
    <t>| 2% idiom-verb: "Rule out", to exclude by decision</t>
  </si>
  <si>
    <t>RULER</t>
  </si>
  <si>
    <t>RUMANIA</t>
  </si>
  <si>
    <t>RUMOR</t>
  </si>
  <si>
    <t>RUMPLE</t>
  </si>
  <si>
    <t>RUN#1</t>
  </si>
  <si>
    <t>| 61% verb: General sense of motion, defined differently for different classes  of moving things--to move quickly, proceed, extend, pass, flow, etc.</t>
  </si>
  <si>
    <t>RUN#2</t>
  </si>
  <si>
    <t>| 9% verb: To manage, direct, control, guide, drive</t>
  </si>
  <si>
    <t>RUN#3</t>
  </si>
  <si>
    <t>| 3% verb: 'run after'--to pursue</t>
  </si>
  <si>
    <t>RUN#4</t>
  </si>
  <si>
    <t>| 2% verb: "Run down"--to defame or speak ill of (4), destroy or injure  (2), wear down (2)</t>
  </si>
  <si>
    <t>RUN#5</t>
  </si>
  <si>
    <t>| 1% verb: 'run out'--to become depleted</t>
  </si>
  <si>
    <t>RUN#6</t>
  </si>
  <si>
    <t>| 16% verb: 'run away,' 'run off'--to flee, escape</t>
  </si>
  <si>
    <t>RUN#7</t>
  </si>
  <si>
    <t>| 2% verb: To stand for election</t>
  </si>
  <si>
    <t>RUN#8</t>
  </si>
  <si>
    <t>| 1% noun-adj: E.g. 'long run'--span of time</t>
  </si>
  <si>
    <t>RUN#9</t>
  </si>
  <si>
    <t>| 1% noun-adj: An occasion or instance of running--'a run,' or the activity  in general--"running"</t>
  </si>
  <si>
    <t>RUN#_10</t>
  </si>
  <si>
    <t>| 0% verb: 'run up (debts)'--accumulate</t>
  </si>
  <si>
    <t>RUN#_11</t>
  </si>
  <si>
    <t>| 0% idiom: 'run risks'--take chances</t>
  </si>
  <si>
    <t>RUN#_12</t>
  </si>
  <si>
    <t>| 1% idiom: 'run riot'--get out of control</t>
  </si>
  <si>
    <t>RUN#_13</t>
  </si>
  <si>
    <t>| 0% verb: "Run into"--encounter</t>
  </si>
  <si>
    <t>RUNAWAY</t>
  </si>
  <si>
    <t>RUNNER</t>
  </si>
  <si>
    <t>RUPTURE#1</t>
  </si>
  <si>
    <t>RUPTURE#2</t>
  </si>
  <si>
    <t>RURAL</t>
  </si>
  <si>
    <t>RUSH#1</t>
  </si>
  <si>
    <t>| 94% verb: To hurry--infrequently-- to attack suddenly, ambush</t>
  </si>
  <si>
    <t>RUSH#2</t>
  </si>
  <si>
    <t>| 3% noun: The actof rushing, rapid directed movement</t>
  </si>
  <si>
    <t>RUSH#3</t>
  </si>
  <si>
    <t>| 3% adj: "Rushed"--hurried</t>
  </si>
  <si>
    <t>RUSSIA</t>
  </si>
  <si>
    <t>RUSSIAN</t>
  </si>
  <si>
    <t>RUSTY</t>
  </si>
  <si>
    <t>RUTHLESS</t>
  </si>
  <si>
    <t>RUTHLESSNESS</t>
  </si>
  <si>
    <t>RWANDA</t>
  </si>
  <si>
    <t>SABOTAGE</t>
  </si>
  <si>
    <t>SACRED</t>
  </si>
  <si>
    <t>SACRIFICE#1</t>
  </si>
  <si>
    <t>SACRIFICE#2</t>
  </si>
  <si>
    <t>SAD</t>
  </si>
  <si>
    <t>| adj: Unhappy</t>
  </si>
  <si>
    <t>SADNESS</t>
  </si>
  <si>
    <t>SAFE#1</t>
  </si>
  <si>
    <t>| 60% adj: Secure</t>
  </si>
  <si>
    <t>SAFE#2</t>
  </si>
  <si>
    <t>| 13% adj: "Safer" - comparative of sense 1</t>
  </si>
  <si>
    <t>SAFE#3</t>
  </si>
  <si>
    <t>| 3% adj: "Safest" - superlative of sense 1</t>
  </si>
  <si>
    <t>SAFE#4</t>
  </si>
  <si>
    <t>| 23% adv: "Safely" - adverb form of sense 1</t>
  </si>
  <si>
    <t>SAFEGUARD</t>
  </si>
  <si>
    <t>SAFETY#1</t>
  </si>
  <si>
    <t>| 10% idiom-noun: "Safety pin"</t>
  </si>
  <si>
    <t>SAFETY#2</t>
  </si>
  <si>
    <t>| 90% noun-adj: Security</t>
  </si>
  <si>
    <t>SAG</t>
  </si>
  <si>
    <t>SAGA</t>
  </si>
  <si>
    <t>SAGACITY</t>
  </si>
  <si>
    <t>SAGE</t>
  </si>
  <si>
    <t>SAID#1</t>
  </si>
  <si>
    <t>| verb: Past tense of "say"--to utter or pronounce, express in words, state, claim</t>
  </si>
  <si>
    <t>SAID#2</t>
  </si>
  <si>
    <t>| 1% adj: "Said"--reputed</t>
  </si>
  <si>
    <t>SAIL#1</t>
  </si>
  <si>
    <t>SAIL#2</t>
  </si>
  <si>
    <t>SAINT</t>
  </si>
  <si>
    <t>SAKE</t>
  </si>
  <si>
    <t>SALAMI</t>
  </si>
  <si>
    <t>SALARY</t>
  </si>
  <si>
    <t>SALE</t>
  </si>
  <si>
    <t>SALESMAN</t>
  </si>
  <si>
    <t>SALESMANSHIP</t>
  </si>
  <si>
    <t>SALESMEN</t>
  </si>
  <si>
    <t>SALINE</t>
  </si>
  <si>
    <t>SALT</t>
  </si>
  <si>
    <t>SALUTARY</t>
  </si>
  <si>
    <t>SALUTATION</t>
  </si>
  <si>
    <t>SALUTE</t>
  </si>
  <si>
    <t>SALVAGE</t>
  </si>
  <si>
    <t>SALVATION</t>
  </si>
  <si>
    <t>SAME</t>
  </si>
  <si>
    <t>| adjective: Identical</t>
  </si>
  <si>
    <t>SAMPLE#1</t>
  </si>
  <si>
    <t>SAMPLE#2</t>
  </si>
  <si>
    <t>SANCTIFY</t>
  </si>
  <si>
    <t>SANCTION#1</t>
  </si>
  <si>
    <t>SANCTION#2</t>
  </si>
  <si>
    <t>SANCTITY</t>
  </si>
  <si>
    <t>SANCTUARY</t>
  </si>
  <si>
    <t>SAND</t>
  </si>
  <si>
    <t>| noun-adj.: Fine particles of rock, or pertaining to same</t>
  </si>
  <si>
    <t>SANDY</t>
  </si>
  <si>
    <t>SANE</t>
  </si>
  <si>
    <t>SANG</t>
  </si>
  <si>
    <t>SANGUINE</t>
  </si>
  <si>
    <t>SANITARY</t>
  </si>
  <si>
    <t>SANITATION</t>
  </si>
  <si>
    <t>SANITY</t>
  </si>
  <si>
    <t>SANK</t>
  </si>
  <si>
    <t>SANS</t>
  </si>
  <si>
    <t>SAP</t>
  </si>
  <si>
    <t>SARCASM</t>
  </si>
  <si>
    <t>SARCASTIC</t>
  </si>
  <si>
    <t>SARDINIA</t>
  </si>
  <si>
    <t>SAT#1</t>
  </si>
  <si>
    <t>SATELLITE</t>
  </si>
  <si>
    <t>SATIRE</t>
  </si>
  <si>
    <t>SATISFACTION</t>
  </si>
  <si>
    <t>| noun: Pleasure, contentment</t>
  </si>
  <si>
    <t>SATISFACTORILY</t>
  </si>
  <si>
    <t>SATISFACTORY</t>
  </si>
  <si>
    <t>SATISFY#1</t>
  </si>
  <si>
    <t>| 28% verb: To give enjoyment or contentment, to fulfill</t>
  </si>
  <si>
    <t>SATISFY#2</t>
  </si>
  <si>
    <t>| 58% adj: Contented, fulfilled - "satisfied"</t>
  </si>
  <si>
    <t>SATISFY#3</t>
  </si>
  <si>
    <t>| 12% adj: Giving contentment - "satisfying"</t>
  </si>
  <si>
    <t>SATURDAY</t>
  </si>
  <si>
    <t>SAVAGE</t>
  </si>
  <si>
    <t>SAVE#1</t>
  </si>
  <si>
    <t>| 79% verb-adj: To rescue, preserve, reserve, salvage, hold in safekeeping</t>
  </si>
  <si>
    <t>SAVE#2</t>
  </si>
  <si>
    <t>| 5% prep: Except - "i have everything i want save good health"</t>
  </si>
  <si>
    <t>SAVE#3</t>
  </si>
  <si>
    <t>| 15% noun-adj: "Savings" - accumulated wealth, advantage</t>
  </si>
  <si>
    <t>SAVE#4</t>
  </si>
  <si>
    <t>| 0% idiom-verb: "Save face"--handled by "face"</t>
  </si>
  <si>
    <t>SAVINGS</t>
  </si>
  <si>
    <t>SAVOR</t>
  </si>
  <si>
    <t>SAVVY</t>
  </si>
  <si>
    <t>SAW#1</t>
  </si>
  <si>
    <t>| 98% verb: Past tense of see, witnessed by sight, or inferred</t>
  </si>
  <si>
    <t>SAW#2</t>
  </si>
  <si>
    <t>| 1% noun-adj: A tool for cutting wood, metal, etc.</t>
  </si>
  <si>
    <t>SAW#3</t>
  </si>
  <si>
    <t>| 1% verb: To cut wood, etc. with a saw</t>
  </si>
  <si>
    <t>SAW#4</t>
  </si>
  <si>
    <t>| 0% noun: "Sawing"--the cutting of wood, etc. with a saw</t>
  </si>
  <si>
    <t>SAY#1</t>
  </si>
  <si>
    <t>| 91% verb: To utter or pronounce, express in words, state, claim</t>
  </si>
  <si>
    <t>SAY#2</t>
  </si>
  <si>
    <t>| 2% adv: Assuming as a hypothesis or an estimate, for example; also infrequently  used as essentially meaningless interjection-- "say, where did you get that?"</t>
  </si>
  <si>
    <t>SAY#3</t>
  </si>
  <si>
    <t>| 0% verb: "That is to say"--in other words</t>
  </si>
  <si>
    <t>SAY#4</t>
  </si>
  <si>
    <t>| 6% noun: The right or opportunity to speak, decide, exercise, influence</t>
  </si>
  <si>
    <t>SAY#5</t>
  </si>
  <si>
    <t>| 0% noun: "Saying"--aphorism, epigram, saw</t>
  </si>
  <si>
    <t>SAY#6</t>
  </si>
  <si>
    <t>| 0% verb: "Needless to say"--obviously</t>
  </si>
  <si>
    <t>SAY#7</t>
  </si>
  <si>
    <t>| 0% idiom-adverb: "To say the least"--handled by least</t>
  </si>
  <si>
    <t>SCALD</t>
  </si>
  <si>
    <t>SCALE#1</t>
  </si>
  <si>
    <t>SCALE#2</t>
  </si>
  <si>
    <t>SCAMPER</t>
  </si>
  <si>
    <t>SCANDAL</t>
  </si>
  <si>
    <t>SCANDALOUS</t>
  </si>
  <si>
    <t>SCANT</t>
  </si>
  <si>
    <t>SCAPEGOAT</t>
  </si>
  <si>
    <t>SCAR</t>
  </si>
  <si>
    <t>SCARCE</t>
  </si>
  <si>
    <t>SCARCELY</t>
  </si>
  <si>
    <t>SCARCITY</t>
  </si>
  <si>
    <t>SCARE#1</t>
  </si>
  <si>
    <t>| 83% verb: To frighten</t>
  </si>
  <si>
    <t>SCARE#2</t>
  </si>
  <si>
    <t>| 17% noun: A sudden or prolonged fright</t>
  </si>
  <si>
    <t>SCARE#3</t>
  </si>
  <si>
    <t>| 0% idiom-verb: "Scare up"--find with effort, gather</t>
  </si>
  <si>
    <t>SCARED#1</t>
  </si>
  <si>
    <t>| 96% adj: Frightened, afraid</t>
  </si>
  <si>
    <t>SCARED#2</t>
  </si>
  <si>
    <t>| 4% verb: To frighten (past tense)</t>
  </si>
  <si>
    <t>SCARY</t>
  </si>
  <si>
    <t>SCATTER</t>
  </si>
  <si>
    <t>SCENE</t>
  </si>
  <si>
    <t>| noun: Site, setting, situation</t>
  </si>
  <si>
    <t>SCENERY</t>
  </si>
  <si>
    <t>SCEPTICAL#1</t>
  </si>
  <si>
    <t>SCHEDULE#1</t>
  </si>
  <si>
    <t>SCHEDULE#2</t>
  </si>
  <si>
    <t>SCHEMATICALLY</t>
  </si>
  <si>
    <t>SCHEME#1</t>
  </si>
  <si>
    <t>SCHEME#2</t>
  </si>
  <si>
    <t>SCHOLAR</t>
  </si>
  <si>
    <t>SCHOLARSHIP</t>
  </si>
  <si>
    <t>SCHOLASTIC</t>
  </si>
  <si>
    <t>SCHOOL#1</t>
  </si>
  <si>
    <t>| 87% noun-adj: Place of instruction</t>
  </si>
  <si>
    <t>SCHOOL#2</t>
  </si>
  <si>
    <t>| 0% verb: To teach</t>
  </si>
  <si>
    <t>SCHOOL#3</t>
  </si>
  <si>
    <t>| 1% noun: "Schooling"--process of instruction</t>
  </si>
  <si>
    <t>SCHOOL#4</t>
  </si>
  <si>
    <t>| 12% idiom-noun-adj: "High school"--handled by high</t>
  </si>
  <si>
    <t>SCHOOLROOM</t>
  </si>
  <si>
    <t>SCIENCE#1</t>
  </si>
  <si>
    <t>| 93% noun: Systematic pursuit of knowledge</t>
  </si>
  <si>
    <t>SCIENCE#2</t>
  </si>
  <si>
    <t>| 7% noun-idiom: "Science fiction"--type of literature</t>
  </si>
  <si>
    <t>SCIENTIFIC</t>
  </si>
  <si>
    <t>SCIENTIST</t>
  </si>
  <si>
    <t>SCOFF</t>
  </si>
  <si>
    <t>SCOLD#1</t>
  </si>
  <si>
    <t>| 95% verb: Admonish</t>
  </si>
  <si>
    <t>SCOLD#2</t>
  </si>
  <si>
    <t>| 5% noun: "Scolding" - verbal rebuke</t>
  </si>
  <si>
    <t>SCOPE</t>
  </si>
  <si>
    <t>SCORCH</t>
  </si>
  <si>
    <t>SCORE#1</t>
  </si>
  <si>
    <t>SCORE#2</t>
  </si>
  <si>
    <t>SCORN</t>
  </si>
  <si>
    <t>SCORNFUL</t>
  </si>
  <si>
    <t>SCOTLAND</t>
  </si>
  <si>
    <t>SCOTTISH</t>
  </si>
  <si>
    <t>SCOUNDREL</t>
  </si>
  <si>
    <t>SCOWL</t>
  </si>
  <si>
    <t>SCRAMBLE</t>
  </si>
  <si>
    <t>SCRAPE</t>
  </si>
  <si>
    <t>SCRATCH</t>
  </si>
  <si>
    <t>SCRAWL</t>
  </si>
  <si>
    <t>SCREAM#1</t>
  </si>
  <si>
    <t>| 3% noun: A sharp, piercing cry</t>
  </si>
  <si>
    <t>SCREAM#2</t>
  </si>
  <si>
    <t>| 97% verb: To utter a sharp, piercing cry, to utter words in such a way</t>
  </si>
  <si>
    <t>SCREECH#1</t>
  </si>
  <si>
    <t>SCREECH#2</t>
  </si>
  <si>
    <t>SCREW#1</t>
  </si>
  <si>
    <t>SCREW#2</t>
  </si>
  <si>
    <t>SCRUB#1</t>
  </si>
  <si>
    <t>SCRUB#2</t>
  </si>
  <si>
    <t>SCRUPLES</t>
  </si>
  <si>
    <t>SCRUPULOUS</t>
  </si>
  <si>
    <t>SCRUTINIZE</t>
  </si>
  <si>
    <t>SCRUTINY</t>
  </si>
  <si>
    <t>SCUFFLE</t>
  </si>
  <si>
    <t>SCULPTURE#1</t>
  </si>
  <si>
    <t>SCULPTURE#2</t>
  </si>
  <si>
    <t>SCUM</t>
  </si>
  <si>
    <t>SEA</t>
  </si>
  <si>
    <t>| noun-adj: Large body of salt water, or something similar</t>
  </si>
  <si>
    <t>SEAL#1</t>
  </si>
  <si>
    <t>SEAL#2</t>
  </si>
  <si>
    <t>SEAMAN</t>
  </si>
  <si>
    <t>SEAMEN</t>
  </si>
  <si>
    <t>SEARCH#1</t>
  </si>
  <si>
    <t>| 76% verb: To look for</t>
  </si>
  <si>
    <t>SEARCH#2</t>
  </si>
  <si>
    <t>| 22% noun: Careful investigation, hunt, includes "searching"--the act of  carefully looking or investigating</t>
  </si>
  <si>
    <t>SEARCH#3</t>
  </si>
  <si>
    <t>| 2% adj: "Searching"--keenly observant, penetrating</t>
  </si>
  <si>
    <t>SEARCHER</t>
  </si>
  <si>
    <t>SEASHORE</t>
  </si>
  <si>
    <t>SEASON</t>
  </si>
  <si>
    <t>SEAT#1</t>
  </si>
  <si>
    <t>| 54% adj: Sitting (as in a chair) - "seated"</t>
  </si>
  <si>
    <t>SEAT#2</t>
  </si>
  <si>
    <t>| 4% noun-adj: "Seating"--mode or arrangement for sitting</t>
  </si>
  <si>
    <t>SEAT#3</t>
  </si>
  <si>
    <t>| 38% noun: Chair, place where one sits; basis, position (4)</t>
  </si>
  <si>
    <t>SEAT#4</t>
  </si>
  <si>
    <t>| 2% verb: To place, to position</t>
  </si>
  <si>
    <t>SEATO</t>
  </si>
  <si>
    <t>SECEDE</t>
  </si>
  <si>
    <t>SECESSION</t>
  </si>
  <si>
    <t>SECOND#1</t>
  </si>
  <si>
    <t>DET PRON PFREQ</t>
  </si>
  <si>
    <t>| 84% pron-adj-adv: Unit of series following the first</t>
  </si>
  <si>
    <t>SECOND#2</t>
  </si>
  <si>
    <t>| 5% noun: Unit of time</t>
  </si>
  <si>
    <t>SECOND#3</t>
  </si>
  <si>
    <t>| 9% adv: "Secondly," "second"--in the second place</t>
  </si>
  <si>
    <t>SECOND#4</t>
  </si>
  <si>
    <t>| 2% verb: To assist or support</t>
  </si>
  <si>
    <t>SECONDARY#1</t>
  </si>
  <si>
    <t>| 87% noun-adj: "Secondary school"--high school level of education</t>
  </si>
  <si>
    <t>SECONDARY#2</t>
  </si>
  <si>
    <t>| 13% adj: Second in sequence or priority</t>
  </si>
  <si>
    <t>SECRECY</t>
  </si>
  <si>
    <t>SECRET</t>
  </si>
  <si>
    <t>| noun-adj: Something hidden or not generally known</t>
  </si>
  <si>
    <t>SECRETARY#1</t>
  </si>
  <si>
    <t>| 43% noun: Office helper</t>
  </si>
  <si>
    <t>SECRETARY#2</t>
  </si>
  <si>
    <t>| 57% noun: An official or governmental position or its incumbent (should  be capitalized)</t>
  </si>
  <si>
    <t>SECT</t>
  </si>
  <si>
    <t>SECTION</t>
  </si>
  <si>
    <t>| noun: Organizational or spatial part</t>
  </si>
  <si>
    <t>SECTOR</t>
  </si>
  <si>
    <t>SECURE#1</t>
  </si>
  <si>
    <t>| 79% verb: To obtain, insure, make fast</t>
  </si>
  <si>
    <t>SECURE#2</t>
  </si>
  <si>
    <t>| 21% adj: Safe, without anxiety</t>
  </si>
  <si>
    <t>SECURE#3</t>
  </si>
  <si>
    <t>| 0% adv: "Securely"--safely, firmly</t>
  </si>
  <si>
    <t>SECURITY#1</t>
  </si>
  <si>
    <t>| 37% noun-adj: Freedom from definite threats or general anxieties</t>
  </si>
  <si>
    <t>SECURITY#2</t>
  </si>
  <si>
    <t>| 5% noun: Bonds etc., issues of capital surety, or generalized body of issues</t>
  </si>
  <si>
    <t>SECURITY#3</t>
  </si>
  <si>
    <t>| 5% idiom-noun: "Security council"--organ of the united nations</t>
  </si>
  <si>
    <t>SECURITY#4</t>
  </si>
  <si>
    <t>| 49% idiom-noun: "Social security"--handled by "social"</t>
  </si>
  <si>
    <t>SECURITY#5</t>
  </si>
  <si>
    <t>| 5% idiom-noun: "Social security tax"--handled by "tax"</t>
  </si>
  <si>
    <t>SECURITY-COUNCIL</t>
  </si>
  <si>
    <t>SEDAN</t>
  </si>
  <si>
    <t>SEDENTARY</t>
  </si>
  <si>
    <t>SEDIMENT</t>
  </si>
  <si>
    <t>SEDITION</t>
  </si>
  <si>
    <t>SEDITIOUS</t>
  </si>
  <si>
    <t>SEDUCE</t>
  </si>
  <si>
    <t>SEE</t>
  </si>
  <si>
    <t>| verb: To look at, witness, perceive, understand, imagine, visit</t>
  </si>
  <si>
    <t>SEED</t>
  </si>
  <si>
    <t>SEEK</t>
  </si>
  <si>
    <t>| verb: To go in search of, to attempt to obtain an object or a desired  goal; to attempt or try (8)</t>
  </si>
  <si>
    <t>SEEKER</t>
  </si>
  <si>
    <t>SEEM#1</t>
  </si>
  <si>
    <t>| verb: To appear or appear to be</t>
  </si>
  <si>
    <t>SEEM#2</t>
  </si>
  <si>
    <t>| 1% adv: "Seemingly"--apparently</t>
  </si>
  <si>
    <t>SEEN</t>
  </si>
  <si>
    <t>SEETHE</t>
  </si>
  <si>
    <t>SEGMENT</t>
  </si>
  <si>
    <t>SEGREGATION</t>
  </si>
  <si>
    <t>| noun-adj: Separation of races</t>
  </si>
  <si>
    <t>SEIZE</t>
  </si>
  <si>
    <t>| verb: To take possession or control of</t>
  </si>
  <si>
    <t>SELDOM</t>
  </si>
  <si>
    <t>SELECT</t>
  </si>
  <si>
    <t>SELECTION</t>
  </si>
  <si>
    <t>SELECTIVE</t>
  </si>
  <si>
    <t>SELF</t>
  </si>
  <si>
    <t>| noun-adj: Ego, consciousness, personality, "the self"</t>
  </si>
  <si>
    <t>SELF-CONTAINED</t>
  </si>
  <si>
    <t>SELF-DETERMINATION</t>
  </si>
  <si>
    <t>SELF-GOVERNING</t>
  </si>
  <si>
    <t>SELF-GOVERNMENT</t>
  </si>
  <si>
    <t>SELF-RESPECT</t>
  </si>
  <si>
    <t>SELFISH</t>
  </si>
  <si>
    <t>SELFISHNESS</t>
  </si>
  <si>
    <t>SELL#1</t>
  </si>
  <si>
    <t>| 95% verb: To offer for sale, dispose of for a price, deal in; persuade (infrequent)</t>
  </si>
  <si>
    <t>SELL#2</t>
  </si>
  <si>
    <t>| 5% noun-adj: "Selling"--the act of offering for sale, persuading a customer, etc.</t>
  </si>
  <si>
    <t>SELLER</t>
  </si>
  <si>
    <t>SEMANTIC</t>
  </si>
  <si>
    <t>SEMBLANCE</t>
  </si>
  <si>
    <t>SEMESTER</t>
  </si>
  <si>
    <t>SEMINARY</t>
  </si>
  <si>
    <t>SENATE</t>
  </si>
  <si>
    <t>SENATOR</t>
  </si>
  <si>
    <t>SEND#1</t>
  </si>
  <si>
    <t>| verb: To cause (permit or enable) to go, or to be taken</t>
  </si>
  <si>
    <t>SEND#2</t>
  </si>
  <si>
    <t>| 0% noun-adj: "Sending"--the dispatch (of or for)</t>
  </si>
  <si>
    <t>SENEGAL</t>
  </si>
  <si>
    <t>SENILE</t>
  </si>
  <si>
    <t>SENIOR#1</t>
  </si>
  <si>
    <t>| 77% noun-adj: Fourth year of high school or college, person in that position</t>
  </si>
  <si>
    <t>SENIOR#2</t>
  </si>
  <si>
    <t>| 23% noun-adj: Older in years or experience, having</t>
  </si>
  <si>
    <t>SENSATIONAL</t>
  </si>
  <si>
    <t>SENSE#1</t>
  </si>
  <si>
    <t>| 38% noun: Feeling, awareness, grasp--"sense of purpose"</t>
  </si>
  <si>
    <t>SENSE#2</t>
  </si>
  <si>
    <t>| 10% noun-adj: The body's five senses and their functions</t>
  </si>
  <si>
    <t>SENSE#3</t>
  </si>
  <si>
    <t>| 8% noun: Practical knowledge, wisdom, judgment</t>
  </si>
  <si>
    <t>SENSE#4</t>
  </si>
  <si>
    <t>| 21% noun: A specific meaning, interpretation, or understanding--"in a  sense he is right"</t>
  </si>
  <si>
    <t>SENSE#5</t>
  </si>
  <si>
    <t>| 5% idiom-noun: "Make, made sense"--to be reasonable or comprehensible</t>
  </si>
  <si>
    <t>SENSE#6</t>
  </si>
  <si>
    <t>| 10% verb: To note, perceive, feel, intuit</t>
  </si>
  <si>
    <t>SENSE#7</t>
  </si>
  <si>
    <t>| 6% idiom-noun: "Common sense"--handled by "common"</t>
  </si>
  <si>
    <t>SENSELESS</t>
  </si>
  <si>
    <t>SENSIBLE</t>
  </si>
  <si>
    <t>SENSITIVE</t>
  </si>
  <si>
    <t>SENSITIVITY</t>
  </si>
  <si>
    <t>SENSORY</t>
  </si>
  <si>
    <t>SENT</t>
  </si>
  <si>
    <t>| verb: Caused, permitted or enabled to go or be taken</t>
  </si>
  <si>
    <t>SENTENCE#1</t>
  </si>
  <si>
    <t>SENTENCE#2</t>
  </si>
  <si>
    <t>SENTIMENT</t>
  </si>
  <si>
    <t>SENTIMENTAL</t>
  </si>
  <si>
    <t>SEPARATE#1</t>
  </si>
  <si>
    <t>| 41% verb: To divide, to part company</t>
  </si>
  <si>
    <t>SEPARATE#2</t>
  </si>
  <si>
    <t>| 44% adj: Disconnected, apart, individual</t>
  </si>
  <si>
    <t>SEPARATE#3</t>
  </si>
  <si>
    <t>| 12% adv: "Separately"--individually</t>
  </si>
  <si>
    <t>SEPARATION</t>
  </si>
  <si>
    <t>SEPTEMBER</t>
  </si>
  <si>
    <t>SEQUENCE</t>
  </si>
  <si>
    <t>SEQUESTER</t>
  </si>
  <si>
    <t>SERENE</t>
  </si>
  <si>
    <t>SERGEANT</t>
  </si>
  <si>
    <t>SERIES</t>
  </si>
  <si>
    <t>SERIOUS</t>
  </si>
  <si>
    <t>| adj: Grave, important, sober, showing earnestness or deep thought</t>
  </si>
  <si>
    <t>SERIOUSNESS</t>
  </si>
  <si>
    <t>SERMON</t>
  </si>
  <si>
    <t>SERUM</t>
  </si>
  <si>
    <t>SERVANT</t>
  </si>
  <si>
    <t>| noun: A person employed in the service of another person or a cause</t>
  </si>
  <si>
    <t>SERVE#1</t>
  </si>
  <si>
    <t>| 82% verb: To work for, be of assistance, or do one's duty; to answer the  purpose of, function as (17)</t>
  </si>
  <si>
    <t>SERVE#2</t>
  </si>
  <si>
    <t>| 13% verb: To furnish and distribute food</t>
  </si>
  <si>
    <t>SERVE#3</t>
  </si>
  <si>
    <t>| 1% idiom-verb: "Serve (one) right"--punish justly</t>
  </si>
  <si>
    <t>SERVE#4</t>
  </si>
  <si>
    <t>| 1% idiom-verb: "Serve notice"--give warning</t>
  </si>
  <si>
    <t>SERVICE#1</t>
  </si>
  <si>
    <t>| 75% noun: Work done for another, generally public; a specific public agency  or function provided by the government, church, etc. (26)</t>
  </si>
  <si>
    <t>SERVICE#2</t>
  </si>
  <si>
    <t>| 20% noun: Military service, the draft</t>
  </si>
  <si>
    <t>SERVICE#3</t>
  </si>
  <si>
    <t>| 2% idiom: "Lip service" - insincere expression of support</t>
  </si>
  <si>
    <t>SERVICE#4</t>
  </si>
  <si>
    <t>| 2% noun: Ceremony</t>
  </si>
  <si>
    <t>SERVICE#5</t>
  </si>
  <si>
    <t>| 0% verb: To repair, make fit for use, perform services for</t>
  </si>
  <si>
    <t>SERVICE#6</t>
  </si>
  <si>
    <t>| 1% idiom-noun: "Civil service"--handled by "civil"</t>
  </si>
  <si>
    <t>SERVICEMEN</t>
  </si>
  <si>
    <t>SERVITUDE</t>
  </si>
  <si>
    <t>SESSION</t>
  </si>
  <si>
    <t>| noun: A meeting of two or more individuals for joint activity for a given  period of time, the given period of time involved in such or any activity</t>
  </si>
  <si>
    <t>SET#1</t>
  </si>
  <si>
    <t>| 45% verb: Put, place, cause a change in condition, determine, fix, put forward</t>
  </si>
  <si>
    <t>SET#10</t>
  </si>
  <si>
    <t>SET#11</t>
  </si>
  <si>
    <t>SET#2</t>
  </si>
  <si>
    <t>| 7% noun: Collection, group, series</t>
  </si>
  <si>
    <t>SET#3</t>
  </si>
  <si>
    <t>| 3% adj: Fixed, determined, established</t>
  </si>
  <si>
    <t>SET#4</t>
  </si>
  <si>
    <t>| 17% idiom-verb: "Set up"--create, establish, erect</t>
  </si>
  <si>
    <t>SET#5</t>
  </si>
  <si>
    <t>| 4% noun: Electronic gear--tv, radio sets</t>
  </si>
  <si>
    <t>SET#6</t>
  </si>
  <si>
    <t>| 3% noun: Scenery, surroundings, situation--includes "setting," "set up," and "set"</t>
  </si>
  <si>
    <t>SET#7</t>
  </si>
  <si>
    <t>| 1% verb: "Set a table"</t>
  </si>
  <si>
    <t>SET#8</t>
  </si>
  <si>
    <t>| 6% verb: "Set out"--to begin, start</t>
  </si>
  <si>
    <t>SET#9</t>
  </si>
  <si>
    <t>| 1% verb: To go down ("the sun set")</t>
  </si>
  <si>
    <t>SET#_10</t>
  </si>
  <si>
    <t>| 4% idiom-verb: "Set fire"--light, cause to burn--handled by "fire"</t>
  </si>
  <si>
    <t>SET#_11</t>
  </si>
  <si>
    <t>| 1% idiom-verb: "Set eyes on"--to see, often for the first time--handled by "eye"</t>
  </si>
  <si>
    <t>SETTER</t>
  </si>
  <si>
    <t>SETTLE#1</t>
  </si>
  <si>
    <t>| 47% verb: To establish a household, to assume a certain form, to make  or become stable (3)</t>
  </si>
  <si>
    <t>SETTLE#2</t>
  </si>
  <si>
    <t>| 31% verb: To resolve a dispute or problem, to calm.</t>
  </si>
  <si>
    <t>SETTLE#3</t>
  </si>
  <si>
    <t>| 4% idiom-verb: "Settle for"--be satisfied with</t>
  </si>
  <si>
    <t>SETTLE#4</t>
  </si>
  <si>
    <t>| 18% adj: "Settled"--stable, calm</t>
  </si>
  <si>
    <t>SETTLEMENT</t>
  </si>
  <si>
    <t>SETTLER</t>
  </si>
  <si>
    <t>SETUP</t>
  </si>
  <si>
    <t>SEVEN</t>
  </si>
  <si>
    <t>SEVENTEEN</t>
  </si>
  <si>
    <t>SEVENTEENTH#1</t>
  </si>
  <si>
    <t>SEVENTH#1</t>
  </si>
  <si>
    <t>SEVENTY</t>
  </si>
  <si>
    <t>SEVER</t>
  </si>
  <si>
    <t>SEVERAL#1</t>
  </si>
  <si>
    <t>| 88% adj: More than two or three, but not many</t>
  </si>
  <si>
    <t>SEVERAL#2</t>
  </si>
  <si>
    <t>| 11% pron: A few persons or things</t>
  </si>
  <si>
    <t>SEVERE</t>
  </si>
  <si>
    <t>SEVERITY</t>
  </si>
  <si>
    <t>SEW</t>
  </si>
  <si>
    <t>SEX</t>
  </si>
  <si>
    <t>| noun-adj: The fact of male and female differences or behavior arising  from this fact</t>
  </si>
  <si>
    <t>SEXUAL</t>
  </si>
  <si>
    <t>| adj: Pertaining to sex</t>
  </si>
  <si>
    <t>SHABBY</t>
  </si>
  <si>
    <t>SHADE#1</t>
  </si>
  <si>
    <t>SHADE#2</t>
  </si>
  <si>
    <t>SHADOW#1</t>
  </si>
  <si>
    <t>SHADOW#2</t>
  </si>
  <si>
    <t>SHADY</t>
  </si>
  <si>
    <t>SHAFT#1</t>
  </si>
  <si>
    <t>SHAFT#2</t>
  </si>
  <si>
    <t>SHAGGY</t>
  </si>
  <si>
    <t>SHAKE#1</t>
  </si>
  <si>
    <t>| 86% verb: To rapidly move back and forth; abstract--to loosen, weaken,  disrupt, upset (2)</t>
  </si>
  <si>
    <t>SHAKE#2</t>
  </si>
  <si>
    <t>| 14% verb-idiom: "Shake hands" - to greet in the western manner</t>
  </si>
  <si>
    <t>SHAKEN#1</t>
  </si>
  <si>
    <t>SHAKER</t>
  </si>
  <si>
    <t>SHALL</t>
  </si>
  <si>
    <t>| verb: Modal--denoting future time, irregularly with connotation of intent</t>
  </si>
  <si>
    <t>SHALLOW</t>
  </si>
  <si>
    <t>SHAME</t>
  </si>
  <si>
    <t>SHAMEFUL</t>
  </si>
  <si>
    <t>SHAMELESS</t>
  </si>
  <si>
    <t>SHAPE#1</t>
  </si>
  <si>
    <t>| 69% noun-adj: Recognizable physical form; condition, state (9)</t>
  </si>
  <si>
    <t>SHAPE#2</t>
  </si>
  <si>
    <t>| 21% verb: To form, mold, determine</t>
  </si>
  <si>
    <t>SHAPE#3</t>
  </si>
  <si>
    <t>| 0% idiom-verb: "Shape up"--meet with certain standards</t>
  </si>
  <si>
    <t>SHAPELY</t>
  </si>
  <si>
    <t>SHARE#1</t>
  </si>
  <si>
    <t>| 67% verb: To have, use or experience in common</t>
  </si>
  <si>
    <t>SHARE#2</t>
  </si>
  <si>
    <t>| 19% noun: A portion or part</t>
  </si>
  <si>
    <t>SHARE#3</t>
  </si>
  <si>
    <t>| 10% noun: "Sharing" - having or using in common</t>
  </si>
  <si>
    <t>SHARE#4</t>
  </si>
  <si>
    <t>| 4% adj: "Shared" - had or used in common</t>
  </si>
  <si>
    <t>SHARK</t>
  </si>
  <si>
    <t>SHARP</t>
  </si>
  <si>
    <t>SHARPEN</t>
  </si>
  <si>
    <t>SHATTER</t>
  </si>
  <si>
    <t>SHE</t>
  </si>
  <si>
    <t>| pronoun: First person singular, feminine</t>
  </si>
  <si>
    <t>SHED#1</t>
  </si>
  <si>
    <t>SHED#2</t>
  </si>
  <si>
    <t>SHEEP</t>
  </si>
  <si>
    <t>| noun-adj: A woolly animal</t>
  </si>
  <si>
    <t>SHEER</t>
  </si>
  <si>
    <t>SHEET</t>
  </si>
  <si>
    <t>SHELF</t>
  </si>
  <si>
    <t>SHELL#1</t>
  </si>
  <si>
    <t>| 89% noun-adj: A hard protective covering, a framework or structure</t>
  </si>
  <si>
    <t>SHELL#2</t>
  </si>
  <si>
    <t>| 5% noun: Artillery warhead</t>
  </si>
  <si>
    <t>SHELL#3</t>
  </si>
  <si>
    <t>| 5% verb: To use (an) artillery warhead(s)</t>
  </si>
  <si>
    <t>SHELTER#1</t>
  </si>
  <si>
    <t>SHELTER#2</t>
  </si>
  <si>
    <t>SHELVES</t>
  </si>
  <si>
    <t>SHERIFF</t>
  </si>
  <si>
    <t>SHIELD</t>
  </si>
  <si>
    <t>SHIFT#1</t>
  </si>
  <si>
    <t>| 55% verb: To change directions, to transfer, to switch</t>
  </si>
  <si>
    <t>SHIFT#2</t>
  </si>
  <si>
    <t>| 17% noun: Work crew or time period of work</t>
  </si>
  <si>
    <t>SHIFT#3</t>
  </si>
  <si>
    <t>| 3% verb: "To shift for oneself"--to get along by oneself</t>
  </si>
  <si>
    <t>SHIFT#4</t>
  </si>
  <si>
    <t>| 10% noun: Switch, change, transfer</t>
  </si>
  <si>
    <t>SHIFT#5</t>
  </si>
  <si>
    <t>| 10% noun-adj: "Shifting"--changing</t>
  </si>
  <si>
    <t>SHINE#1</t>
  </si>
  <si>
    <t>| 62% verb: To give off light</t>
  </si>
  <si>
    <t>SHINE#2</t>
  </si>
  <si>
    <t>| 38% noun-adj: Radiance, radiant--includes "shining"</t>
  </si>
  <si>
    <t>SHINY</t>
  </si>
  <si>
    <t>SHIP#1</t>
  </si>
  <si>
    <t>| 88% noun: Naval or other vessel</t>
  </si>
  <si>
    <t>SHIP#2</t>
  </si>
  <si>
    <t>| 7% verb: To transport by naval vessel</t>
  </si>
  <si>
    <t>SHIP#3</t>
  </si>
  <si>
    <t>| 2% noun: "Shipping" - naval commerce</t>
  </si>
  <si>
    <t>SHIP#4</t>
  </si>
  <si>
    <t>| 2% idiom-noun: "Ship of state" - government</t>
  </si>
  <si>
    <t>SHIPBUILDING</t>
  </si>
  <si>
    <t>SHIPMENT</t>
  </si>
  <si>
    <t>SHIPWRECK</t>
  </si>
  <si>
    <t>SHIRK</t>
  </si>
  <si>
    <t>SHIRT</t>
  </si>
  <si>
    <t>SHIVER</t>
  </si>
  <si>
    <t>SHOCK#1</t>
  </si>
  <si>
    <t>| 40% noun-adj: Sudden disturbance of mental equilibrium; less frequently,  of physical equilibrium (1)</t>
  </si>
  <si>
    <t>SHOCK#2</t>
  </si>
  <si>
    <t>| 29% verb: To jar with intense surprise, horror, disgust</t>
  </si>
  <si>
    <t>SHOCK#3</t>
  </si>
  <si>
    <t>| 29% adj: "Shocked"--jarred with intense surprise, etc.</t>
  </si>
  <si>
    <t>SHOCK#4</t>
  </si>
  <si>
    <t>| 2% adj: "Shocking"--having a disturbing, surprising, etc., effect</t>
  </si>
  <si>
    <t>SHOCK#5</t>
  </si>
  <si>
    <t>| 0% adv: "Shockingly"</t>
  </si>
  <si>
    <t>SHODDY</t>
  </si>
  <si>
    <t>SHOE#1</t>
  </si>
  <si>
    <t>| noun-adj: Footwear</t>
  </si>
  <si>
    <t>SHOE#2</t>
  </si>
  <si>
    <t>| 0% adj: "In ___ shoes"--in another's situation</t>
  </si>
  <si>
    <t>SHOOK#1</t>
  </si>
  <si>
    <t>SHOOT#1</t>
  </si>
  <si>
    <t>| 68% verb: To send forth or discharge a projectile, generally with a gun,  in order to hit or damage some object; to take pictures (0)</t>
  </si>
  <si>
    <t>SHOOT#2</t>
  </si>
  <si>
    <t>| 4% idiom-verb: "Shoot for"--have a goal</t>
  </si>
  <si>
    <t>SHOOT#3</t>
  </si>
  <si>
    <t>| 6% noun-adj: "Shooting"--the harming of a person by a projectile or weapon;  pertaining to a rapidly moving object (0)</t>
  </si>
  <si>
    <t>SHOOT#4</t>
  </si>
  <si>
    <t>| 15% verb: To set a ball or other object in motion as part of a game, usually  basketball or pool--"shoot the ball"; "shoot pool"</t>
  </si>
  <si>
    <t>SHOOT#5</t>
  </si>
  <si>
    <t>| 2% idiom-verb: "Shoot the bull"--talk</t>
  </si>
  <si>
    <t>SHOOT#6</t>
  </si>
  <si>
    <t>| 4% idiom-verb: "Shoot...mouth off"--to talk indiscreetly</t>
  </si>
  <si>
    <t>SHOOT#7</t>
  </si>
  <si>
    <t>| 0% idiom-verb: "Shoot up"--to grow or rise rapidly</t>
  </si>
  <si>
    <t>SHOP#1</t>
  </si>
  <si>
    <t>| 54% noun-adj: A small store</t>
  </si>
  <si>
    <t>SHOP#2</t>
  </si>
  <si>
    <t>| 17% verb: To look for articles in stores with intent to buy</t>
  </si>
  <si>
    <t>SHOP#3</t>
  </si>
  <si>
    <t>| 29% noun-adj: "Shopping"--the act of one who shops</t>
  </si>
  <si>
    <t>SHORE</t>
  </si>
  <si>
    <t>SHORT#1</t>
  </si>
  <si>
    <t>| 69% adj-adv: Not long - in length, duration, or extent</t>
  </si>
  <si>
    <t>SHORT#2</t>
  </si>
  <si>
    <t>| 1% noun: "Shorts" - short pants</t>
  </si>
  <si>
    <t>SHORT#3</t>
  </si>
  <si>
    <t>| 13% idiom-adv: "In short" - in a few words</t>
  </si>
  <si>
    <t>SHORT#4</t>
  </si>
  <si>
    <t>| 8% adv: "Shortly" - in a short time</t>
  </si>
  <si>
    <t>SHORT#5</t>
  </si>
  <si>
    <t>| 6% idiom-prep: "Short of" - lacking, less than, except for</t>
  </si>
  <si>
    <t>SHORT#6</t>
  </si>
  <si>
    <t>| 3% adj: "Shorter" - comparative of sense 1</t>
  </si>
  <si>
    <t>SHORT-TERM</t>
  </si>
  <si>
    <t>SHORTAGE</t>
  </si>
  <si>
    <t>SHORTCOMING</t>
  </si>
  <si>
    <t>SHORTEN</t>
  </si>
  <si>
    <t>SHORTSIGHTED</t>
  </si>
  <si>
    <t>SHOT#1</t>
  </si>
  <si>
    <t>| 81% verb: Past participle of "shoot"--to launch or discharge a projectile;</t>
  </si>
  <si>
    <t>SHOT#2</t>
  </si>
  <si>
    <t>| 7% noun: Injection of medicine by needle</t>
  </si>
  <si>
    <t>SHOT#3</t>
  </si>
  <si>
    <t>SHOT#4</t>
  </si>
  <si>
    <t>| 1% adj: "One shot"--occuring only once</t>
  </si>
  <si>
    <t>SHOT#5</t>
  </si>
  <si>
    <t>| 1% idiom-noun: "Long shot"--an undertaking or selection which has little  chance of success (but may offer much if successful)</t>
  </si>
  <si>
    <t>SHOULD</t>
  </si>
  <si>
    <t>| verb: Modal connoting duty or propriety--'ought to', would</t>
  </si>
  <si>
    <t>SHOULDER#1</t>
  </si>
  <si>
    <t>| 85% noun: Body part</t>
  </si>
  <si>
    <t>SHOULDER#2</t>
  </si>
  <si>
    <t>| 15% verb: To take upon, to support or carry, to apply the shoulder</t>
  </si>
  <si>
    <t>SHOUT#1</t>
  </si>
  <si>
    <t>| 96% verb: To cry out or yell loudly</t>
  </si>
  <si>
    <t>SHOUT#2</t>
  </si>
  <si>
    <t>| 2% noun: A loud cry or yell</t>
  </si>
  <si>
    <t>SHOUT#3</t>
  </si>
  <si>
    <t>| 2% noun: "Shouting"--loud crying or yelling</t>
  </si>
  <si>
    <t>SHOVE</t>
  </si>
  <si>
    <t>SHOW#1</t>
  </si>
  <si>
    <t>| 89% verb: To demonstrate, make evident, manifest, exhibit, often with  implication of guidance</t>
  </si>
  <si>
    <t>SHOW#2</t>
  </si>
  <si>
    <t>| 8% noun: Exhibition, manifestation, demonstration</t>
  </si>
  <si>
    <t>SHOW#3</t>
  </si>
  <si>
    <t>| 1% verb: "Show (in, around, out)"--to usher (in, around, out)</t>
  </si>
  <si>
    <t>SHOW#4</t>
  </si>
  <si>
    <t>| 0% idiom-verb: "Show off"--to display ostentatiously</t>
  </si>
  <si>
    <t>SHOW#5</t>
  </si>
  <si>
    <t>| 1% idiom-verb: "Show up"--to make an appearance</t>
  </si>
  <si>
    <t>SHOWER#1</t>
  </si>
  <si>
    <t>SHOWER#2</t>
  </si>
  <si>
    <t>SHOWN#1</t>
  </si>
  <si>
    <t>SHRANK</t>
  </si>
  <si>
    <t>SHRED</t>
  </si>
  <si>
    <t>SHREW</t>
  </si>
  <si>
    <t>SHREWD</t>
  </si>
  <si>
    <t>SHREWDNESS</t>
  </si>
  <si>
    <t>SHRIEK</t>
  </si>
  <si>
    <t>SHRILL</t>
  </si>
  <si>
    <t>SHRINK</t>
  </si>
  <si>
    <t>SHRIVEL</t>
  </si>
  <si>
    <t>SHROUD</t>
  </si>
  <si>
    <t>SHRUG#1</t>
  </si>
  <si>
    <t>SHRUG#2</t>
  </si>
  <si>
    <t>SHRUNK</t>
  </si>
  <si>
    <t>SHUDDER#1</t>
  </si>
  <si>
    <t>SHUDDER#2</t>
  </si>
  <si>
    <t>SHUN</t>
  </si>
  <si>
    <t>SHUT#1</t>
  </si>
  <si>
    <t>| 35% verb: To close, keep enclosed</t>
  </si>
  <si>
    <t>SHUT#2</t>
  </si>
  <si>
    <t>| 23% idiom-verb: "Shut up"--keep quiet</t>
  </si>
  <si>
    <t>SHUT#3</t>
  </si>
  <si>
    <t>| 12% verb: "Shut off," "shut out"--to close off, to stop, exclude</t>
  </si>
  <si>
    <t>SHUT#4</t>
  </si>
  <si>
    <t>| 15% verb: "Shut up"--confine</t>
  </si>
  <si>
    <t>SHUTTER</t>
  </si>
  <si>
    <t>SHY</t>
  </si>
  <si>
    <t>SHYNESS</t>
  </si>
  <si>
    <t>SICK#1</t>
  </si>
  <si>
    <t>| 94% adj: Unhealthy</t>
  </si>
  <si>
    <t>SICK#2</t>
  </si>
  <si>
    <t>| 0% adj: "Sicker"--comparative of sense 1</t>
  </si>
  <si>
    <t>SICK#3</t>
  </si>
  <si>
    <t>| 1% adj: "Sickest"--superlative of sense 1</t>
  </si>
  <si>
    <t>SICK#4</t>
  </si>
  <si>
    <t>| 5% idiom-adj: "Sick of"--be disgusted with, tired of</t>
  </si>
  <si>
    <t>SICKLY</t>
  </si>
  <si>
    <t>SICKNESS</t>
  </si>
  <si>
    <t>| noun: Illness, disease</t>
  </si>
  <si>
    <t>SIDE#1</t>
  </si>
  <si>
    <t>| 94% noun: A limiting line or surface, the left or right side of a body  or solid object (173); one of the parties in a contest, game or politics  (51); an aspect or phase, espe</t>
  </si>
  <si>
    <t>SIDE#2</t>
  </si>
  <si>
    <t>| 2% idiom-adv: "Side by side"--alongside of</t>
  </si>
  <si>
    <t>SIDE#3</t>
  </si>
  <si>
    <t>| 0% verb: To furnish with sides</t>
  </si>
  <si>
    <t>SIDE#4</t>
  </si>
  <si>
    <t>| 0% verb: To side with or against, agree or disagree</t>
  </si>
  <si>
    <t>SIDEWALK</t>
  </si>
  <si>
    <t>SIEGE</t>
  </si>
  <si>
    <t>SIGH#1</t>
  </si>
  <si>
    <t>SIGH#2</t>
  </si>
  <si>
    <t>SIGHT#1</t>
  </si>
  <si>
    <t>| 49% noun: The power or range of vision, physical or mental</t>
  </si>
  <si>
    <t>SIGHT#2</t>
  </si>
  <si>
    <t>| 36% noun: Something seen - an appearance, view, scene, spectacle - or  a sighting - a glimpse, a look</t>
  </si>
  <si>
    <t>SIGHT#3</t>
  </si>
  <si>
    <t>| 7% noun: An appreciable amount - "a damn sight harder"</t>
  </si>
  <si>
    <t>SIGHT#4</t>
  </si>
  <si>
    <t>| 2% noun: Device for aiming</t>
  </si>
  <si>
    <t>SIGHT#5</t>
  </si>
  <si>
    <t>| 2% verb: To catch sight of, to spot</t>
  </si>
  <si>
    <t>SIGHT#6</t>
  </si>
  <si>
    <t>| 2% verb-idiom: "Sight read"--not handled</t>
  </si>
  <si>
    <t>SIGN#1</t>
  </si>
  <si>
    <t>| 36% noun-adj: Symptom, indicator, signal, symbol</t>
  </si>
  <si>
    <t>SIGN#2</t>
  </si>
  <si>
    <t>SUPV Actv</t>
  </si>
  <si>
    <t>| 19% verb: To affix a signature, thereby to endorse or certify</t>
  </si>
  <si>
    <t>SIGN#3</t>
  </si>
  <si>
    <t>| 2% noun: "Signing"--act of signature</t>
  </si>
  <si>
    <t>SIGN#4</t>
  </si>
  <si>
    <t>| 0% adj: "Signed"--bearing signature</t>
  </si>
  <si>
    <t>SIGNAL#1</t>
  </si>
  <si>
    <t>SIGNAL#2</t>
  </si>
  <si>
    <t>SIGNATORY</t>
  </si>
  <si>
    <t>SIGNATURE</t>
  </si>
  <si>
    <t>SIGNER</t>
  </si>
  <si>
    <t>SIGNIFICANCE</t>
  </si>
  <si>
    <t>SIGNIFICANT</t>
  </si>
  <si>
    <t>SIGNIFY</t>
  </si>
  <si>
    <t>SILENCE</t>
  </si>
  <si>
    <t>SILENT</t>
  </si>
  <si>
    <t>| adj: Noiseless</t>
  </si>
  <si>
    <t>SILHOUETTE</t>
  </si>
  <si>
    <t>SILK</t>
  </si>
  <si>
    <t>SILLY</t>
  </si>
  <si>
    <t>SILVER</t>
  </si>
  <si>
    <t>SIMILAR#1</t>
  </si>
  <si>
    <t>| 87% adjective: Having likeness or resemblance</t>
  </si>
  <si>
    <t>SIMILAR#2</t>
  </si>
  <si>
    <t>| 13% adverb: "Similarly"--likewise, in similar fashion</t>
  </si>
  <si>
    <t>SIMILARITY</t>
  </si>
  <si>
    <t>SIMPLE#1</t>
  </si>
  <si>
    <t>| 32% adj: Not complicated, plain, easy</t>
  </si>
  <si>
    <t>SIMPLE#2</t>
  </si>
  <si>
    <t>| 1% adj: "Simpler" - comparative of sense 1</t>
  </si>
  <si>
    <t>SIMPLE#3</t>
  </si>
  <si>
    <t>| 1% adj: "Simplest" - superlative of sense 1</t>
  </si>
  <si>
    <t>SIMPLE#4</t>
  </si>
  <si>
    <t>| 65% adv: "Simply" - only, just, merely</t>
  </si>
  <si>
    <t>SIMPLICITY</t>
  </si>
  <si>
    <t>SIMPLIFY#1</t>
  </si>
  <si>
    <t>SIMPLIFY#2</t>
  </si>
  <si>
    <t>SIMPLISTIC</t>
  </si>
  <si>
    <t>SIMULATE#1</t>
  </si>
  <si>
    <t>SIMULATE#2</t>
  </si>
  <si>
    <t>SIN#1</t>
  </si>
  <si>
    <t>SIN#2</t>
  </si>
  <si>
    <t>SINCE#1</t>
  </si>
  <si>
    <t>PREP CONJ CONJ2 LY</t>
  </si>
  <si>
    <t>| 52% conj-prep-adv: From some past time to the present</t>
  </si>
  <si>
    <t>SINCE#2</t>
  </si>
  <si>
    <t>| 45% conj: Indicates causality--because</t>
  </si>
  <si>
    <t>SINCERE</t>
  </si>
  <si>
    <t>| adj: Honest,genuine</t>
  </si>
  <si>
    <t>SINCERITY</t>
  </si>
  <si>
    <t>SINFUL</t>
  </si>
  <si>
    <t>SING#1</t>
  </si>
  <si>
    <t>| 69% verb: To produce melodious sounds</t>
  </si>
  <si>
    <t>SING#2</t>
  </si>
  <si>
    <t>| 29% noun-adj: "Singing" - melodious sounds, producing or pertaining to</t>
  </si>
  <si>
    <t>SINGAPORE</t>
  </si>
  <si>
    <t>SINGER</t>
  </si>
  <si>
    <t>SINGLE#1</t>
  </si>
  <si>
    <t>| 96% adj: Numbering only one, solitary; unmarried (1)</t>
  </si>
  <si>
    <t>SINGLE#2</t>
  </si>
  <si>
    <t>| 4% verb-idiom: "Single out"--to point out an individual item or group</t>
  </si>
  <si>
    <t>SINGLY</t>
  </si>
  <si>
    <t>SINISTER</t>
  </si>
  <si>
    <t>SINK#1</t>
  </si>
  <si>
    <t>SINK#2</t>
  </si>
  <si>
    <t>SIR</t>
  </si>
  <si>
    <t>| noun-adj: Title of respect applied to men</t>
  </si>
  <si>
    <t>SISTER</t>
  </si>
  <si>
    <t>| noun: Female sibling</t>
  </si>
  <si>
    <t>SIT#1</t>
  </si>
  <si>
    <t>| 98% verb: To be or become seated (sense of becoming seated less frequent;  to be located or situated (1)</t>
  </si>
  <si>
    <t>SIT#2</t>
  </si>
  <si>
    <t>| 1% noun-adj: "Sitting"--a meeting or session, pertaining to sitting</t>
  </si>
  <si>
    <t>SITE</t>
  </si>
  <si>
    <t>SITTER</t>
  </si>
  <si>
    <t>SITUATE</t>
  </si>
  <si>
    <t>SITUATION</t>
  </si>
  <si>
    <t>| noun: State of affairs, condition</t>
  </si>
  <si>
    <t>SIX</t>
  </si>
  <si>
    <t>| noun: Cardinal number</t>
  </si>
  <si>
    <t>SIXTEEN</t>
  </si>
  <si>
    <t>SIXTEENTH#1</t>
  </si>
  <si>
    <t>SIXTH#1</t>
  </si>
  <si>
    <t>SIXTY</t>
  </si>
  <si>
    <t>SIZABLE</t>
  </si>
  <si>
    <t>SIZE#1</t>
  </si>
  <si>
    <t>| 90% noun-adj: Dimensions, magnitude, extent</t>
  </si>
  <si>
    <t>SIZE#2</t>
  </si>
  <si>
    <t>| 10% verb: To gauge or measure</t>
  </si>
  <si>
    <t>SIZEABLE#1</t>
  </si>
  <si>
    <t>SKEPTICAL</t>
  </si>
  <si>
    <t>SKETCH</t>
  </si>
  <si>
    <t>SKETCHY</t>
  </si>
  <si>
    <t>SKI#1</t>
  </si>
  <si>
    <t>SKI#2</t>
  </si>
  <si>
    <t>SKIES</t>
  </si>
  <si>
    <t>SKILFUL#1</t>
  </si>
  <si>
    <t>SKILL#1</t>
  </si>
  <si>
    <t>| 71% noun-adj: Ability (usually acquired)</t>
  </si>
  <si>
    <t>SKILL#2</t>
  </si>
  <si>
    <t>| 29% adj: "Skilled"--capable, well-trained</t>
  </si>
  <si>
    <t>SKILLFUL</t>
  </si>
  <si>
    <t>SKIN#1</t>
  </si>
  <si>
    <t>| 88% noun-adj: Epidermis, outer covering</t>
  </si>
  <si>
    <t>SKIN#2</t>
  </si>
  <si>
    <t>| 12% verb: To remove skin from, to injure by abrasion</t>
  </si>
  <si>
    <t>SKIRMISH</t>
  </si>
  <si>
    <t>SKIRT</t>
  </si>
  <si>
    <t>SKULK</t>
  </si>
  <si>
    <t>SKY</t>
  </si>
  <si>
    <t>| noun: The upper atmosphere of the earth</t>
  </si>
  <si>
    <t>SKYLINE</t>
  </si>
  <si>
    <t>SLACK</t>
  </si>
  <si>
    <t>SLACKS</t>
  </si>
  <si>
    <t>SLAM</t>
  </si>
  <si>
    <t>SLANDER</t>
  </si>
  <si>
    <t>SLANDERER</t>
  </si>
  <si>
    <t>SLANDEROUS</t>
  </si>
  <si>
    <t>SLAP</t>
  </si>
  <si>
    <t>SLASH</t>
  </si>
  <si>
    <t>SLAUGHTER</t>
  </si>
  <si>
    <t>SLAVE#1</t>
  </si>
  <si>
    <t>| 81% noun-adj: One who is the property of another</t>
  </si>
  <si>
    <t>SLAVE#2</t>
  </si>
  <si>
    <t>| 10% verb: To work hard, as does a slave</t>
  </si>
  <si>
    <t>SLAVERY</t>
  </si>
  <si>
    <t>SLAYER</t>
  </si>
  <si>
    <t>SLEAZY</t>
  </si>
  <si>
    <t>SLEEK</t>
  </si>
  <si>
    <t>SLEEP#1</t>
  </si>
  <si>
    <t>| 81% verb: To slumber, nap, doze, includes "go to sleep"</t>
  </si>
  <si>
    <t>SLEEP#2</t>
  </si>
  <si>
    <t>| 12% noun: The state or period of natural suspension of consciousness</t>
  </si>
  <si>
    <t>SLEEP#3</t>
  </si>
  <si>
    <t>| 5% adj-noun: 'sleeping'--a state of slumber, in or related to slumber</t>
  </si>
  <si>
    <t>SLEEPLESS</t>
  </si>
  <si>
    <t>SLENDER</t>
  </si>
  <si>
    <t>SLEPT</t>
  </si>
  <si>
    <t>| verb: Past participle of sleep</t>
  </si>
  <si>
    <t>SLICE#1</t>
  </si>
  <si>
    <t>SLICE#2</t>
  </si>
  <si>
    <t>SLID</t>
  </si>
  <si>
    <t>SLIDE#1</t>
  </si>
  <si>
    <t>Noun Psv</t>
  </si>
  <si>
    <t>SLIDE#2</t>
  </si>
  <si>
    <t>SLIGHT#1</t>
  </si>
  <si>
    <t>| 14% adj: Small, insignificant in degree, size or extent</t>
  </si>
  <si>
    <t>SLIGHT#2</t>
  </si>
  <si>
    <t>| 19% adj: "Slightest" - least, tiniest, most insignificant</t>
  </si>
  <si>
    <t>SLIGHT#3</t>
  </si>
  <si>
    <t>| 57% adv: "Slightly" - a bit, somewhat</t>
  </si>
  <si>
    <t>SLIGHT#4</t>
  </si>
  <si>
    <t>| 8% verb: To malign or insult</t>
  </si>
  <si>
    <t>SLIGHT#5</t>
  </si>
  <si>
    <t>| 3% noun: An insult</t>
  </si>
  <si>
    <t>SLIM</t>
  </si>
  <si>
    <t>SLIME</t>
  </si>
  <si>
    <t>SLIP#1</t>
  </si>
  <si>
    <t>SUPV PFREQ Psv</t>
  </si>
  <si>
    <t>| 88% verb: To slide, to move without control or friction, to move stealthily</t>
  </si>
  <si>
    <t>SLIP#2</t>
  </si>
  <si>
    <t>| 6% noun: Woman's garment</t>
  </si>
  <si>
    <t>SLIP#3</t>
  </si>
  <si>
    <t>| 6% noun: Piece of paper</t>
  </si>
  <si>
    <t>SLIPPER</t>
  </si>
  <si>
    <t>SLOPPY</t>
  </si>
  <si>
    <t>SLOT</t>
  </si>
  <si>
    <t>SLOTH</t>
  </si>
  <si>
    <t>SLOTHFUL</t>
  </si>
  <si>
    <t>SLOW#1</t>
  </si>
  <si>
    <t>| 46% adj: Not fast</t>
  </si>
  <si>
    <t>SLOW#2</t>
  </si>
  <si>
    <t>| 34% adv: "Slowly" - adverb form of sense 1</t>
  </si>
  <si>
    <t>SLOW#3</t>
  </si>
  <si>
    <t>| 7% adj: "Slower"--comparative form of sense 1</t>
  </si>
  <si>
    <t>SLOW#4</t>
  </si>
  <si>
    <t>| 0% adj: "Slowest"--superlative form of sense 1</t>
  </si>
  <si>
    <t>SLOW#5</t>
  </si>
  <si>
    <t>| 3% verb: To decrease in speed or rate</t>
  </si>
  <si>
    <t>SLUG</t>
  </si>
  <si>
    <t>SLUGGISH</t>
  </si>
  <si>
    <t>SLUM</t>
  </si>
  <si>
    <t>SLUMP</t>
  </si>
  <si>
    <t>SLY</t>
  </si>
  <si>
    <t>SMACK</t>
  </si>
  <si>
    <t>SMALL#1</t>
  </si>
  <si>
    <t>| 86% adjective: Of little size, weight, importance.</t>
  </si>
  <si>
    <t>SMALL#2</t>
  </si>
  <si>
    <t>| 11% adj: "Smaller"--comparative</t>
  </si>
  <si>
    <t>SMALL#3</t>
  </si>
  <si>
    <t>| 3% adjective: "Smallest"--diminutive</t>
  </si>
  <si>
    <t>SMART#1</t>
  </si>
  <si>
    <t>| 82% adj: Bright, clever, brash, stylish</t>
  </si>
  <si>
    <t>SMART#2</t>
  </si>
  <si>
    <t>| 18% adj: "Smarter" comparative form of sense one</t>
  </si>
  <si>
    <t>SMART#3</t>
  </si>
  <si>
    <t>| 0% verb: To sting</t>
  </si>
  <si>
    <t>SMART#4</t>
  </si>
  <si>
    <t>| 0% adj: "Smartest"--superlative form of sense one</t>
  </si>
  <si>
    <t>SMASH#1</t>
  </si>
  <si>
    <t>| 85% verb: To strike violently, shatter, destroy</t>
  </si>
  <si>
    <t>SMASH#2</t>
  </si>
  <si>
    <t>| 10% noun: A violent blow, a crash</t>
  </si>
  <si>
    <t>SMASH#3</t>
  </si>
  <si>
    <t>| 5% adj: "Smashing" - marvelous, devastating</t>
  </si>
  <si>
    <t>SMEAR</t>
  </si>
  <si>
    <t>SMELL#1</t>
  </si>
  <si>
    <t>SMELL#2</t>
  </si>
  <si>
    <t>SMILE#1</t>
  </si>
  <si>
    <t>| 46% noun: Upturning of corners of mouth usually indicating pleasure, favor  or amusement</t>
  </si>
  <si>
    <t>SMILE#2</t>
  </si>
  <si>
    <t>| 46% verb: To form a smile</t>
  </si>
  <si>
    <t>SMILE#3</t>
  </si>
  <si>
    <t>| 4% adj: "Smiling"</t>
  </si>
  <si>
    <t>SMILE#4</t>
  </si>
  <si>
    <t>| 4% adv: "Smilingly"</t>
  </si>
  <si>
    <t>SMITTEN</t>
  </si>
  <si>
    <t>SMOKE#1</t>
  </si>
  <si>
    <t>| 58% noun-adj: Colloidal combustion by-product, pertaining to same</t>
  </si>
  <si>
    <t>SMOKE#2</t>
  </si>
  <si>
    <t>| 32% verb: To consume tobacco, to exude smoke</t>
  </si>
  <si>
    <t>SMOKE#3</t>
  </si>
  <si>
    <t>| 10% noun: "A smoke," "smoking" - tobacco consumed, or the consumption</t>
  </si>
  <si>
    <t>SMOKER</t>
  </si>
  <si>
    <t>SMOKY</t>
  </si>
  <si>
    <t>SMOOTH#1</t>
  </si>
  <si>
    <t>| 50% adj: Without roughness; without difficulty (4)</t>
  </si>
  <si>
    <t>SMOOTH#2</t>
  </si>
  <si>
    <t>| 29% adv: "Smoothly"--without difficulty, easily</t>
  </si>
  <si>
    <t>SMOOTH#3</t>
  </si>
  <si>
    <t>| 4% adj: "Smoothest"--superlative form of sense 1</t>
  </si>
  <si>
    <t>SMOOTH#4</t>
  </si>
  <si>
    <t>| 17% verb: To eliminate roughness or difficulty</t>
  </si>
  <si>
    <t>SMOOTH#5</t>
  </si>
  <si>
    <t>| 0% adj: "Smoother"--comparative form of sense 1</t>
  </si>
  <si>
    <t>SMOTHER</t>
  </si>
  <si>
    <t>SMUGGLE</t>
  </si>
  <si>
    <t>SNACK</t>
  </si>
  <si>
    <t>SNAKE</t>
  </si>
  <si>
    <t>| noun: Legless, scaly reptile.</t>
  </si>
  <si>
    <t>SNAP#1</t>
  </si>
  <si>
    <t>SNAP#2</t>
  </si>
  <si>
    <t>SNARE</t>
  </si>
  <si>
    <t>SNARL</t>
  </si>
  <si>
    <t>SNATCH</t>
  </si>
  <si>
    <t>SNEAK</t>
  </si>
  <si>
    <t>SNEER</t>
  </si>
  <si>
    <t>SNORE</t>
  </si>
  <si>
    <t>SNOW#1</t>
  </si>
  <si>
    <t>| 85% noun-adj: Flakes of frozen water vapor characterized by their lightness  and whiteness, or having to do with such</t>
  </si>
  <si>
    <t>SNOW#2</t>
  </si>
  <si>
    <t>| 10% verb: The falling of such flakes</t>
  </si>
  <si>
    <t>SNOW#3</t>
  </si>
  <si>
    <t>| 5% verb: 'snowed under'--to be buried as with snow, overcome</t>
  </si>
  <si>
    <t>SO#1</t>
  </si>
  <si>
    <t>| 62% adv: To such extent, in such manner or degree, as indicated</t>
  </si>
  <si>
    <t>SO#2</t>
  </si>
  <si>
    <t>| 34% conj: Sequential, intentional or causal link--includes "so that", "so as to"</t>
  </si>
  <si>
    <t>SO#3</t>
  </si>
  <si>
    <t>| 1% idiom-adv: "Ever so"--to a great extent or degree--handled by "ever"</t>
  </si>
  <si>
    <t>SO#4</t>
  </si>
  <si>
    <t>| 2% idiom: "And so forth"--and continuing in the same manner--handled by "forth"</t>
  </si>
  <si>
    <t>SO#5</t>
  </si>
  <si>
    <t>| 0% idiom-adv: "Not so hot"--not too well--handled by "hot"</t>
  </si>
  <si>
    <t>SO#6</t>
  </si>
  <si>
    <t>| 0% idiom-adv: "So to speak"--in a manner of speaking, speaking figuratively--  handled by "speak"</t>
  </si>
  <si>
    <t>SOAR</t>
  </si>
  <si>
    <t>SOB</t>
  </si>
  <si>
    <t>SOBER</t>
  </si>
  <si>
    <t>SOCIABLE</t>
  </si>
  <si>
    <t>SOCIAL#1</t>
  </si>
  <si>
    <t>| 62% adj: Of or pertaining to human society or collective activity</t>
  </si>
  <si>
    <t>SOCIAL#2</t>
  </si>
  <si>
    <t>| 26% idiom-noun: "Social security"--government insurance system</t>
  </si>
  <si>
    <t>SOCIAL#3</t>
  </si>
  <si>
    <t>| 5% idiom-noun: "Social work(er)"--work for (or one who works toward) the  betterment of social conditions in the community</t>
  </si>
  <si>
    <t>SOCIAL#4</t>
  </si>
  <si>
    <t>| 5% adv: "Socially"--in the social sphere</t>
  </si>
  <si>
    <t>SOCIAL#5</t>
  </si>
  <si>
    <t>| 3% idiom-noun: "Social security tax"--handled by "tax"</t>
  </si>
  <si>
    <t>SOCIALISM</t>
  </si>
  <si>
    <t>SOCIALIST</t>
  </si>
  <si>
    <t>SOCIETY</t>
  </si>
  <si>
    <t>| noun: The socio-political unit, a system of persons and institutions,  society at large</t>
  </si>
  <si>
    <t>SOCIOLOGICAL</t>
  </si>
  <si>
    <t>SOCIOLOGY</t>
  </si>
  <si>
    <t>SOEVER</t>
  </si>
  <si>
    <t>SOFT#1</t>
  </si>
  <si>
    <t>| 67% adj: Not hard or harsh, gentle, quiet</t>
  </si>
  <si>
    <t>SOFT#2</t>
  </si>
  <si>
    <t>| 3% adj: "Softer" - comparative form of sense 1</t>
  </si>
  <si>
    <t>SOFT#3</t>
  </si>
  <si>
    <t>| 20% adv: "Softly" - adverb form of sense 1</t>
  </si>
  <si>
    <t>SOFT#4</t>
  </si>
  <si>
    <t>| 3% idiom-noun: "Soft drink" - beverage</t>
  </si>
  <si>
    <t>SOFT#5</t>
  </si>
  <si>
    <t>| 3% idiom-noun: "Soft touch"--credulous person--handled by "touch"</t>
  </si>
  <si>
    <t>SOFTNESS</t>
  </si>
  <si>
    <t>SOIL</t>
  </si>
  <si>
    <t>SOLACE</t>
  </si>
  <si>
    <t>SOLAR</t>
  </si>
  <si>
    <t>SOLD#1</t>
  </si>
  <si>
    <t>| 82% verb: Past tense of "sell" - effected a sale, exchanged for money</t>
  </si>
  <si>
    <t>SOLD#2</t>
  </si>
  <si>
    <t>| 5% verb: Convinced - "that sold me on it"</t>
  </si>
  <si>
    <t>SOLD#3</t>
  </si>
  <si>
    <t>| 14% adj: Convinced - "i am sold on it"</t>
  </si>
  <si>
    <t>SOLDIER</t>
  </si>
  <si>
    <t>| noun: A person engaged in military service</t>
  </si>
  <si>
    <t>SOLE</t>
  </si>
  <si>
    <t>SOLEMN</t>
  </si>
  <si>
    <t>SOLICITOR</t>
  </si>
  <si>
    <t>SOLID</t>
  </si>
  <si>
    <t>SOLIDARITY</t>
  </si>
  <si>
    <t>SOLIDITY</t>
  </si>
  <si>
    <t>SOLUTION</t>
  </si>
  <si>
    <t>| noun: Answer, means of solving a problem</t>
  </si>
  <si>
    <t>SOLVE</t>
  </si>
  <si>
    <t>| verb: To find the remedy for or explanation of a problem</t>
  </si>
  <si>
    <t>SOMALIA</t>
  </si>
  <si>
    <t>SOMBER</t>
  </si>
  <si>
    <t>SOME#1</t>
  </si>
  <si>
    <t>| 77% adj-adv: An unspecified one--singular nouns; an unspecified moderate  amount or degree--mass nouns; an unspecified number, certain-- plural  count nouns; to some extent</t>
  </si>
  <si>
    <t>SOME#2</t>
  </si>
  <si>
    <t>| 23% pron: Certain unspecified instances, persons, things, etc.</t>
  </si>
  <si>
    <t>SOMEBODY</t>
  </si>
  <si>
    <t>| pronoun: Some person, someone</t>
  </si>
  <si>
    <t>SOMEHOW#1</t>
  </si>
  <si>
    <t>| 95% adverb: In some unspecified or unknown way</t>
  </si>
  <si>
    <t>SOMEHOW#2</t>
  </si>
  <si>
    <t>| 5% idiom-adv: 'somehow or other'- by whatever means possible or necessary</t>
  </si>
  <si>
    <t>SOMEONE</t>
  </si>
  <si>
    <t>| pronoun: Somebody</t>
  </si>
  <si>
    <t>SOMETHING#1</t>
  </si>
  <si>
    <t>PRON INDEF PFREQ Impers</t>
  </si>
  <si>
    <t>| 97% noun: Some unspecified thing or portion of a thing</t>
  </si>
  <si>
    <t>SOMETHING#2</t>
  </si>
  <si>
    <t>| 2% adv: Somewhat--"be something (of, like, etc.)"</t>
  </si>
  <si>
    <t>SOMETHING#3</t>
  </si>
  <si>
    <t>| 0% noun: "Something to do with"--some (little) relevance</t>
  </si>
  <si>
    <t>SOMETIME#1</t>
  </si>
  <si>
    <t>| 7% adverb: At some indefinite or indeterminate point in time</t>
  </si>
  <si>
    <t>SOMETIME#2</t>
  </si>
  <si>
    <t>| 91% adverb: "Sometimes"--on some occasions, at times</t>
  </si>
  <si>
    <t>SOMEWHAT</t>
  </si>
  <si>
    <t>| adverb: In some measure or degree</t>
  </si>
  <si>
    <t>SOMEWHERE</t>
  </si>
  <si>
    <t>| adv: At (in, to) some place</t>
  </si>
  <si>
    <t>SON</t>
  </si>
  <si>
    <t>| noun: Male offspring.</t>
  </si>
  <si>
    <t>SONG</t>
  </si>
  <si>
    <t>| noun-adj: Melody (usually worded)</t>
  </si>
  <si>
    <t>SOON#1</t>
  </si>
  <si>
    <t>| 94% adv: Within a short period after this or that time, event, etc.</t>
  </si>
  <si>
    <t>SOON#2</t>
  </si>
  <si>
    <t>| 6% adv: "Sooner"--comparative of sense 1</t>
  </si>
  <si>
    <t>SOON#3</t>
  </si>
  <si>
    <t>| 1% adv: "Soonest"--superlative of sense 1</t>
  </si>
  <si>
    <t>SOOTHE</t>
  </si>
  <si>
    <t>SOPHISTICATED</t>
  </si>
  <si>
    <t>SORE</t>
  </si>
  <si>
    <t>SORENESS</t>
  </si>
  <si>
    <t>SORROW</t>
  </si>
  <si>
    <t>| noun: Sadness, grief</t>
  </si>
  <si>
    <t>SORROWFUL</t>
  </si>
  <si>
    <t>SORRY#1</t>
  </si>
  <si>
    <t>| 98% adj: Feeling regret or sorrow</t>
  </si>
  <si>
    <t>SORRY#2</t>
  </si>
  <si>
    <t>| 2% noun-adj: Wretched, poor, useless, pitiful</t>
  </si>
  <si>
    <t>SORT#1</t>
  </si>
  <si>
    <t>| 57% noun: A particular or representative kind, species, character, or  quality of something</t>
  </si>
  <si>
    <t>SORT#2</t>
  </si>
  <si>
    <t>| 34% idiom-adv-adj: "Sort of"--approximately, not exactly or fully, to some extent</t>
  </si>
  <si>
    <t>SORT#3</t>
  </si>
  <si>
    <t>| 5% idiom-adj: "Of sorts"--of a mediocre or poor kind</t>
  </si>
  <si>
    <t>SORT#4</t>
  </si>
  <si>
    <t>| 1% verb: To arrange or separate according to kind, species, etc.</t>
  </si>
  <si>
    <t>SOUGHT</t>
  </si>
  <si>
    <t>SOUL</t>
  </si>
  <si>
    <t>| noun: The living spirit of a person or group - especially in a religious  sense; a person (2)</t>
  </si>
  <si>
    <t>SOUND#1</t>
  </si>
  <si>
    <t>| 38% noun-adj: Noise</t>
  </si>
  <si>
    <t>SOUND#2</t>
  </si>
  <si>
    <t>| 38% verb: To convey as an impression or appearance; to measure or plumb (1)</t>
  </si>
  <si>
    <t>SOUND#3</t>
  </si>
  <si>
    <t>| 2% verb: To emit a noise</t>
  </si>
  <si>
    <t>SOUND#4</t>
  </si>
  <si>
    <t>| 16% adj: Solid, firm, reliable, in good condition</t>
  </si>
  <si>
    <t>SOUND#5</t>
  </si>
  <si>
    <t>| 1% adv: "Soundly"--thoroughly</t>
  </si>
  <si>
    <t>SOUND#6</t>
  </si>
  <si>
    <t>| 1% adj: "Sounder"--comparative of sense 4</t>
  </si>
  <si>
    <t>SOUND#7</t>
  </si>
  <si>
    <t>| 2% idiom-adv: "Sound asleep"</t>
  </si>
  <si>
    <t>SOUNDNESS</t>
  </si>
  <si>
    <t>SOUP</t>
  </si>
  <si>
    <t>SOUR</t>
  </si>
  <si>
    <t>SOURCE</t>
  </si>
  <si>
    <t>SOUTH#1</t>
  </si>
  <si>
    <t>| 67% noun-adv-adj: The compass direction, (anything) in, of, to, toward,  or facing this direction; often used as part of the title of a country  or geographical region, or of someone inh</t>
  </si>
  <si>
    <t>SOUTH#2</t>
  </si>
  <si>
    <t>| 32% noun: The region of the u.s. corresponding to the states of the confederacy</t>
  </si>
  <si>
    <t>SOUTH-AMERICA</t>
  </si>
  <si>
    <t>SOUTH-KOREA</t>
  </si>
  <si>
    <t>SOUTH-VIETNAM</t>
  </si>
  <si>
    <t>SOUTHEAST</t>
  </si>
  <si>
    <t>SOUTHERN</t>
  </si>
  <si>
    <t>| adj: Of or about the south, especially the southeast of the united states</t>
  </si>
  <si>
    <t>SOUTHERNER</t>
  </si>
  <si>
    <t>SOUTHWEST</t>
  </si>
  <si>
    <t>SOVEREIGN</t>
  </si>
  <si>
    <t>SOVEREIGNTY</t>
  </si>
  <si>
    <t>SOVIET</t>
  </si>
  <si>
    <t>SPACE#1</t>
  </si>
  <si>
    <t>| 92% noun-adj: Unlimited or indefinite three-dimensional expanse; a specific  empty or available area or volume (6)</t>
  </si>
  <si>
    <t>SPACE#2</t>
  </si>
  <si>
    <t>| 8% noun-adj: "Outer space"--the universe beyond the earth's atmosphere</t>
  </si>
  <si>
    <t>SPAIN</t>
  </si>
  <si>
    <t>SPAN#1</t>
  </si>
  <si>
    <t>SPAN#2</t>
  </si>
  <si>
    <t>SPANISH</t>
  </si>
  <si>
    <t>SPANK</t>
  </si>
  <si>
    <t>SPARE#1</t>
  </si>
  <si>
    <t>| 26% noun-adj: Surplus, reserve, replacement</t>
  </si>
  <si>
    <t>SPARE#2</t>
  </si>
  <si>
    <t>| 48% verb: To save from ill fortune</t>
  </si>
  <si>
    <t>SPARE#3</t>
  </si>
  <si>
    <t>| 26% verb: To lend, to sacrifice, to do or go without</t>
  </si>
  <si>
    <t>SPARK</t>
  </si>
  <si>
    <t>SPARKLE</t>
  </si>
  <si>
    <t>SPEAK#1</t>
  </si>
  <si>
    <t>| 90% verb: To communicate or express oneself through vocal means</t>
  </si>
  <si>
    <t>SPEAK#2</t>
  </si>
  <si>
    <t>| 5% verb: 'speak out'--speak audibly or clearly, without hesitation, freely</t>
  </si>
  <si>
    <t>SPEAK#3</t>
  </si>
  <si>
    <t>| 2% verb: 'speak for'--represent</t>
  </si>
  <si>
    <t>SPEAK#4</t>
  </si>
  <si>
    <t>| 1% verb (adj phrase): 'to speak of'--worthy of note</t>
  </si>
  <si>
    <t>SPEAK#5</t>
  </si>
  <si>
    <t>| 1% idiom-adv: "So to speak"--in a manner of speaking, speaking figuratively</t>
  </si>
  <si>
    <t>SPEAK#6</t>
  </si>
  <si>
    <t>| 2% adj: "Spoken"--articulated</t>
  </si>
  <si>
    <t>SPEAKER</t>
  </si>
  <si>
    <t>SPEAR#1</t>
  </si>
  <si>
    <t>| 88% noun: A lance</t>
  </si>
  <si>
    <t>SPEAR#2</t>
  </si>
  <si>
    <t>| 12% verb: To lance someone, or something</t>
  </si>
  <si>
    <t>SPECIAL</t>
  </si>
  <si>
    <t>| adj: Extraordinary, particular</t>
  </si>
  <si>
    <t>SPECIALISATION#1</t>
  </si>
  <si>
    <t>SPECIALIST</t>
  </si>
  <si>
    <t>SPECIALIZATION</t>
  </si>
  <si>
    <t>SPECIFIC#1</t>
  </si>
  <si>
    <t>| 92% adj: Particular, precisely designated or delineated</t>
  </si>
  <si>
    <t>SPECIFIC#2</t>
  </si>
  <si>
    <t>| 8% noun: "Specifics" - particulars, concrete items</t>
  </si>
  <si>
    <t>SPECIFICALLY</t>
  </si>
  <si>
    <t>SPECIFICATION</t>
  </si>
  <si>
    <t>SPECIFY</t>
  </si>
  <si>
    <t>SPECTACLE</t>
  </si>
  <si>
    <t>SPECTACULAR</t>
  </si>
  <si>
    <t>SPECTATOR</t>
  </si>
  <si>
    <t>SPECULATE</t>
  </si>
  <si>
    <t>SPECULATION</t>
  </si>
  <si>
    <t>SPECULATIVE</t>
  </si>
  <si>
    <t>SPEECH#1</t>
  </si>
  <si>
    <t>| 24% noun-adj: Verbal communication, the faculty or power of speaking</t>
  </si>
  <si>
    <t>SPEECH#2</t>
  </si>
  <si>
    <t>| 71% noun: That which is spoken, a speech</t>
  </si>
  <si>
    <t>SPEECH#3</t>
  </si>
  <si>
    <t>| 3% idiom-noun: "Figure of speech"--handled by "figure"</t>
  </si>
  <si>
    <t>SPEECHLESS</t>
  </si>
  <si>
    <t>SPEED#1</t>
  </si>
  <si>
    <t>SPEED#2</t>
  </si>
  <si>
    <t>SPEEDILY</t>
  </si>
  <si>
    <t>SPEEDY</t>
  </si>
  <si>
    <t>SPELL#1</t>
  </si>
  <si>
    <t>SPELL#2</t>
  </si>
  <si>
    <t>SPEND#1</t>
  </si>
  <si>
    <t>| 94% verb: To consume, especially time or money</t>
  </si>
  <si>
    <t>SPEND#2</t>
  </si>
  <si>
    <t>| 4% noun-adj: "Spending"--disbursing money</t>
  </si>
  <si>
    <t>SPEND#3</t>
  </si>
  <si>
    <t>| 1% adj: "Spent"--used up</t>
  </si>
  <si>
    <t>SPENT#1</t>
  </si>
  <si>
    <t>SPILL</t>
  </si>
  <si>
    <t>SPIN</t>
  </si>
  <si>
    <t>SPINSTER</t>
  </si>
  <si>
    <t>SPIRIT#1</t>
  </si>
  <si>
    <t>| 70% noun-adj: Mood, disposition, attitude, guiding values (29); incorporeal  being (45)</t>
  </si>
  <si>
    <t>SPIRIT#2</t>
  </si>
  <si>
    <t>| 0% adj: "Spirited"--lively</t>
  </si>
  <si>
    <t>SPIRITUAL</t>
  </si>
  <si>
    <t>SPIT#1</t>
  </si>
  <si>
    <t>SPIT#2</t>
  </si>
  <si>
    <t>SPITE#1</t>
  </si>
  <si>
    <t>| 96% idiom-prep: 'in spite of'--in disregard of, despite</t>
  </si>
  <si>
    <t>SPITE#2</t>
  </si>
  <si>
    <t>| 4% noun: Malicious anger</t>
  </si>
  <si>
    <t>SPITEFUL</t>
  </si>
  <si>
    <t>SPLENDID</t>
  </si>
  <si>
    <t>SPLENDOR</t>
  </si>
  <si>
    <t>SPLIT#1</t>
  </si>
  <si>
    <t>| 68% verb: To divide or to cut apart</t>
  </si>
  <si>
    <t>SPLIT#2</t>
  </si>
  <si>
    <t>| 28% noun-adj: A division; divided (2)</t>
  </si>
  <si>
    <t>SPLIT#3</t>
  </si>
  <si>
    <t>| 4% adj-noun: "Splitting" - (splitting headache)</t>
  </si>
  <si>
    <t>SPOIL</t>
  </si>
  <si>
    <t>SPOKE#1</t>
  </si>
  <si>
    <t>| 96% verb: Communicated or expressed through vocal means, past tense of "speak"</t>
  </si>
  <si>
    <t>SPOKE#2</t>
  </si>
  <si>
    <t>| 1% idiom: "Spoke for"--represented</t>
  </si>
  <si>
    <t>SPOKE#3</t>
  </si>
  <si>
    <t>| 1% verb: "Spoke out"--expressed an emphatic opinion, spoke loudly, freely, clearly</t>
  </si>
  <si>
    <t>SPOKE#4</t>
  </si>
  <si>
    <t>| 1% noun: Brace extending between rim and hub of wheel</t>
  </si>
  <si>
    <t>SPOKEN#1</t>
  </si>
  <si>
    <t>SPOKESMAN</t>
  </si>
  <si>
    <t>SPONSOR#1</t>
  </si>
  <si>
    <t>SPONSOR#2</t>
  </si>
  <si>
    <t>SPONTANEOUS</t>
  </si>
  <si>
    <t>SPORADIC</t>
  </si>
  <si>
    <t>SPORT#1</t>
  </si>
  <si>
    <t>| 94% noun-adj: Athletic pastime</t>
  </si>
  <si>
    <t>SPORT#2</t>
  </si>
  <si>
    <t>| 3% noun: The character of a person in face of setbacks--"a good or bad sport"</t>
  </si>
  <si>
    <t>SPORT#3</t>
  </si>
  <si>
    <t>| 3% adj: "Sporting"--given to gaming, relating to athletics</t>
  </si>
  <si>
    <t>SPOT#1</t>
  </si>
  <si>
    <t>| 59% noun: A situation, place or locality; a stain, blot or speck (2)</t>
  </si>
  <si>
    <t>SPOT#2</t>
  </si>
  <si>
    <t>| 4% verb: To discover by sight</t>
  </si>
  <si>
    <t>SPOT#3</t>
  </si>
  <si>
    <t>| 22% adj: "Spotted"--covered with spots</t>
  </si>
  <si>
    <t>SPOT#4</t>
  </si>
  <si>
    <t>| 7% adv: "On the spot"--at once</t>
  </si>
  <si>
    <t>SPOT#5</t>
  </si>
  <si>
    <t>| 4% adj: "On the spot"--in a difficult or embarrassing situation</t>
  </si>
  <si>
    <t>SPOTLESS</t>
  </si>
  <si>
    <t>SPRAIN</t>
  </si>
  <si>
    <t>SPRANG</t>
  </si>
  <si>
    <t>SPRAWL</t>
  </si>
  <si>
    <t>SPRAY#1</t>
  </si>
  <si>
    <t>SPRAY#2</t>
  </si>
  <si>
    <t>SPREAD#1</t>
  </si>
  <si>
    <t>| 86% verb: To stretch out, extend, display, scatter</t>
  </si>
  <si>
    <t>SPREAD#2</t>
  </si>
  <si>
    <t>| 14% noun-adj: Expansion, diffusion</t>
  </si>
  <si>
    <t>SPREADER</t>
  </si>
  <si>
    <t>SPRIGHTLY</t>
  </si>
  <si>
    <t>SPRING#1</t>
  </si>
  <si>
    <t>| 65% noun-adj: The season</t>
  </si>
  <si>
    <t>SPRING#2</t>
  </si>
  <si>
    <t>| 15% noun-adj: A source, usually of water</t>
  </si>
  <si>
    <t>SPRING#3</t>
  </si>
  <si>
    <t>| 10% verb: To leap (2); to appear or emerge suddenly (0); to snap shut  (0); to bend or split (0)</t>
  </si>
  <si>
    <t>SPRINKLE</t>
  </si>
  <si>
    <t>SPRUNG</t>
  </si>
  <si>
    <t>SPUN#1</t>
  </si>
  <si>
    <t>SPUN#2</t>
  </si>
  <si>
    <t>SPUR#1</t>
  </si>
  <si>
    <t>SPUR#2</t>
  </si>
  <si>
    <t>SPUTTER</t>
  </si>
  <si>
    <t>SQUAD</t>
  </si>
  <si>
    <t>SQUADRON</t>
  </si>
  <si>
    <t>SQUALL</t>
  </si>
  <si>
    <t>SQUANDER</t>
  </si>
  <si>
    <t>SQUANDOR</t>
  </si>
  <si>
    <t>SQUARE</t>
  </si>
  <si>
    <t>SQUARELY</t>
  </si>
  <si>
    <t>SQUAT#1</t>
  </si>
  <si>
    <t>SQUAT#2</t>
  </si>
  <si>
    <t>SQUEEZE#1</t>
  </si>
  <si>
    <t>SQUEEZE#2</t>
  </si>
  <si>
    <t>SQUIRREL</t>
  </si>
  <si>
    <t>| noun: Tree-dwelling, bushy-tailed rodent</t>
  </si>
  <si>
    <t>STAB</t>
  </si>
  <si>
    <t>STABILITY</t>
  </si>
  <si>
    <t>STABILIZE</t>
  </si>
  <si>
    <t>STABLE</t>
  </si>
  <si>
    <t>STADIUM</t>
  </si>
  <si>
    <t>STAFF</t>
  </si>
  <si>
    <t>STAGE#1</t>
  </si>
  <si>
    <t>| 68% noun: A phase or step</t>
  </si>
  <si>
    <t>STAGE#2</t>
  </si>
  <si>
    <t>| 28% noun: The place where public entertainment, usually theatrical, takes  place and public speeches ar</t>
  </si>
  <si>
    <t>STAGE#3</t>
  </si>
  <si>
    <t>| 4% verb: To organize and carry out some activity</t>
  </si>
  <si>
    <t>STAGECOACH</t>
  </si>
  <si>
    <t>STAGGER</t>
  </si>
  <si>
    <t>STAGNANT</t>
  </si>
  <si>
    <t>STAIN</t>
  </si>
  <si>
    <t>STAIR</t>
  </si>
  <si>
    <t>STAIRWAY</t>
  </si>
  <si>
    <t>STAKE</t>
  </si>
  <si>
    <t>STALE</t>
  </si>
  <si>
    <t>STALEMATE</t>
  </si>
  <si>
    <t>STALIN</t>
  </si>
  <si>
    <t>STALL#1</t>
  </si>
  <si>
    <t>STALL#2</t>
  </si>
  <si>
    <t>STAMMER</t>
  </si>
  <si>
    <t>STAMP#1</t>
  </si>
  <si>
    <t>STAMP#2</t>
  </si>
  <si>
    <t>STANCE</t>
  </si>
  <si>
    <t>STAND#1</t>
  </si>
  <si>
    <t>| 71% verb: To be in or move into an upright position (182); abstract--  remain fixed, be in a specified condition or rank--"i stand convinced  of the fact," "we stand in need of m</t>
  </si>
  <si>
    <t>STAND#2</t>
  </si>
  <si>
    <t>| 8% noun: Viewpoint, argument, position of defense; a platform stall or booth (1)</t>
  </si>
  <si>
    <t>STAND#3</t>
  </si>
  <si>
    <t>| 7% verb: "Stand for," "stand up for"; represent, favor, defend</t>
  </si>
  <si>
    <t>STAND#4</t>
  </si>
  <si>
    <t>| 6% verb: Tolerate, bear, withstand</t>
  </si>
  <si>
    <t>STAND#5</t>
  </si>
  <si>
    <t>| 1% idiom-verb: "Stand out"--to be conspicuous or prominent</t>
  </si>
  <si>
    <t>STAND#6</t>
  </si>
  <si>
    <t>| 2% noun: "Standing"--rank, situation (e.g. "financial standing")</t>
  </si>
  <si>
    <t>STAND#7</t>
  </si>
  <si>
    <t>| 2% noun-adj: "Standing"--being in or moving into an upright position,  remaining fixed</t>
  </si>
  <si>
    <t>STANDARD#1</t>
  </si>
  <si>
    <t>| 96% noun: An approved basis of comparison</t>
  </si>
  <si>
    <t>STANDARD#2</t>
  </si>
  <si>
    <t>| 4% adj: Meeting certain specifications</t>
  </si>
  <si>
    <t>STANDARDIZE</t>
  </si>
  <si>
    <t>STANDPOINT</t>
  </si>
  <si>
    <t>STANDSTILL</t>
  </si>
  <si>
    <t>STAPLE</t>
  </si>
  <si>
    <t>STAR#1</t>
  </si>
  <si>
    <t>| 96% noun: A celestial body</t>
  </si>
  <si>
    <t>STAR#2</t>
  </si>
  <si>
    <t>| 0% noun-adj: A leading role or person in such position, leading in quality</t>
  </si>
  <si>
    <t>STAR#3</t>
  </si>
  <si>
    <t>| 4% verb: To play a leading role</t>
  </si>
  <si>
    <t>STARE#1</t>
  </si>
  <si>
    <t>STARE#2</t>
  </si>
  <si>
    <t>STARK</t>
  </si>
  <si>
    <t>START#1</t>
  </si>
  <si>
    <t>| 93% verb: To begin or commence</t>
  </si>
  <si>
    <t>START#2</t>
  </si>
  <si>
    <t>| 5% noun-adj: A beginning</t>
  </si>
  <si>
    <t>START#3</t>
  </si>
  <si>
    <t>| 0% verb: To jerk or flinch suddenly</t>
  </si>
  <si>
    <t>START#4</t>
  </si>
  <si>
    <t>| 0% idiom-noun: "Head start"--advantage (handled by head)</t>
  </si>
  <si>
    <t>START#5</t>
  </si>
  <si>
    <t>| 0% noun: A jerk or sudden flinch</t>
  </si>
  <si>
    <t>STARTER</t>
  </si>
  <si>
    <t>STARTLE</t>
  </si>
  <si>
    <t>STARVATION</t>
  </si>
  <si>
    <t>STARVE</t>
  </si>
  <si>
    <t>STATE#1</t>
  </si>
  <si>
    <t>| 39% noun: Body politic--area of government</t>
  </si>
  <si>
    <t>STATE#2</t>
  </si>
  <si>
    <t>| 7% noun: Condition, often relating to consciousness or perception</t>
  </si>
  <si>
    <t>STATE#3</t>
  </si>
  <si>
    <t>| 6% verb-adj: To declare</t>
  </si>
  <si>
    <t>STATE#4</t>
  </si>
  <si>
    <t>| 47% idiom: United states--handled by "unite"</t>
  </si>
  <si>
    <t>STATE#5</t>
  </si>
  <si>
    <t>| 1% idiom-noun: "State of affairs"--situation</t>
  </si>
  <si>
    <t>STATE#6</t>
  </si>
  <si>
    <t>| 0% idiom-noun: "Ship of state"--government--handled by "ship"</t>
  </si>
  <si>
    <t>STATELY</t>
  </si>
  <si>
    <t>STATEMENT</t>
  </si>
  <si>
    <t>| noun: A communication or declaration in speech or in writing setting forth  particulars of a situation.</t>
  </si>
  <si>
    <t>STATESMAN</t>
  </si>
  <si>
    <t>STATESMEN</t>
  </si>
  <si>
    <t>STATIC</t>
  </si>
  <si>
    <t>STATION#1</t>
  </si>
  <si>
    <t>| 82% noun-adj: A place of installation, operation and service of gas for  cars (10), the military (4), industry (3), trains and buses (2), the police  (2), radio (2), and other pub</t>
  </si>
  <si>
    <t>STATION#2</t>
  </si>
  <si>
    <t>| 18% verb: To place or post in position</t>
  </si>
  <si>
    <t>STATION#3</t>
  </si>
  <si>
    <t>| 0% noun-idiom: "Station wagon"</t>
  </si>
  <si>
    <t>STATION#4</t>
  </si>
  <si>
    <t>| 0% idiom-noun: "Filling station"--gas station--handled by "fill"</t>
  </si>
  <si>
    <t>STATIONARY</t>
  </si>
  <si>
    <t>STATISTICAL</t>
  </si>
  <si>
    <t>STATISTICS</t>
  </si>
  <si>
    <t>STATUESQUE</t>
  </si>
  <si>
    <t>STATUS#1</t>
  </si>
  <si>
    <t>| 81% noun-adj: Condition or rank (socially, legally, financially) ("status"  often implies "high status" (6))</t>
  </si>
  <si>
    <t>STATUS#2</t>
  </si>
  <si>
    <t>| 19% idiom-noun: 'status quo' the state in which anything was or is.</t>
  </si>
  <si>
    <t>STATUTE</t>
  </si>
  <si>
    <t>STATUTORY</t>
  </si>
  <si>
    <t>STAUNCH</t>
  </si>
  <si>
    <t>STAUNCHNESS</t>
  </si>
  <si>
    <t>STAY#1</t>
  </si>
  <si>
    <t>SUPV LINK PFREQ</t>
  </si>
  <si>
    <t>| 97% verb: To remain in a place, situation or condition or to dwell at  a particular place</t>
  </si>
  <si>
    <t>STAY#2</t>
  </si>
  <si>
    <t>| 3% noun: Duration, length of a visit; a support (0)</t>
  </si>
  <si>
    <t>STEADFAST</t>
  </si>
  <si>
    <t>STEADFASTNESS</t>
  </si>
  <si>
    <t>STEADILY</t>
  </si>
  <si>
    <t>STEADINESS</t>
  </si>
  <si>
    <t>STEADY</t>
  </si>
  <si>
    <t>STEAK</t>
  </si>
  <si>
    <t>STEAL#1</t>
  </si>
  <si>
    <t>| 60% verb: To rob, thieve</t>
  </si>
  <si>
    <t>STEAL#2</t>
  </si>
  <si>
    <t>| 40% noun: "Stealing" - theft, thievery</t>
  </si>
  <si>
    <t>STEAM#1</t>
  </si>
  <si>
    <t>STEAM#2</t>
  </si>
  <si>
    <t>STEAMER</t>
  </si>
  <si>
    <t>STEEL</t>
  </si>
  <si>
    <t>STEEP</t>
  </si>
  <si>
    <t>STEER#1</t>
  </si>
  <si>
    <t>STEER#2</t>
  </si>
  <si>
    <t>STEM#1</t>
  </si>
  <si>
    <t>STEM#2</t>
  </si>
  <si>
    <t>STEP#1</t>
  </si>
  <si>
    <t>| 59% noun-adj: A stage, interval, increment or action, generally positive,  in a hierarchy or progressive sequence (36); a pace, tread (7); rest for  the foot in climbing (4)</t>
  </si>
  <si>
    <t>STEP#2</t>
  </si>
  <si>
    <t>| 29% verb: To walk, set the foot down, hurry (e.g. "step on it," "step it up")</t>
  </si>
  <si>
    <t>STEP#3</t>
  </si>
  <si>
    <t>| 8% verb: "To step in"--to intervene</t>
  </si>
  <si>
    <t>STEP#4</t>
  </si>
  <si>
    <t>| 1% noun-idiom: "Watch (one's) step"--be careful, handled by "watch"</t>
  </si>
  <si>
    <t>STEPPES</t>
  </si>
  <si>
    <t>STEREO</t>
  </si>
  <si>
    <t>STEREOTYPE</t>
  </si>
  <si>
    <t>STERLING</t>
  </si>
  <si>
    <t>STERN</t>
  </si>
  <si>
    <t>STICK#1</t>
  </si>
  <si>
    <t>| 39% noun: A bar-shaped object</t>
  </si>
  <si>
    <t>STICK#2</t>
  </si>
  <si>
    <t>| 27% verb: Thrust into, pierce, put, extend</t>
  </si>
  <si>
    <t>STICK#3</t>
  </si>
  <si>
    <t>| 18% verb: Adhere, remain, remain loyal</t>
  </si>
  <si>
    <t>STICK#4</t>
  </si>
  <si>
    <t>| 10% adj: "Stuck"--caught, embedded, jammed (9); metaphorically used--  caught, saddled with, forced to remain--"i am stuck with her" (2)</t>
  </si>
  <si>
    <t>STICK#5</t>
  </si>
  <si>
    <t>| 1% verb: "Stick it out"--remain despite opposing pressure</t>
  </si>
  <si>
    <t>STICK#6</t>
  </si>
  <si>
    <t>| 1% idiom-adj: "Stuck up"--conceited</t>
  </si>
  <si>
    <t>STIFF</t>
  </si>
  <si>
    <t>STIFFLY</t>
  </si>
  <si>
    <t>STIFLE</t>
  </si>
  <si>
    <t>STIGMA</t>
  </si>
  <si>
    <t>STILL#1</t>
  </si>
  <si>
    <t>| 85% adv: As previously, yet, even now</t>
  </si>
  <si>
    <t>STILL#2</t>
  </si>
  <si>
    <t>| 6% conj: Nevertheless</t>
  </si>
  <si>
    <t>STILL#3</t>
  </si>
  <si>
    <t>| 3% adv: Even, yet (with comparatives)</t>
  </si>
  <si>
    <t>STILL#4</t>
  </si>
  <si>
    <t>| 4% adj: Quiet, motionless</t>
  </si>
  <si>
    <t>STILL#5</t>
  </si>
  <si>
    <t>| 0% verb: To make quiet</t>
  </si>
  <si>
    <t>STIMULATE</t>
  </si>
  <si>
    <t>STIMULATION</t>
  </si>
  <si>
    <t>STIMULUS</t>
  </si>
  <si>
    <t>STING</t>
  </si>
  <si>
    <t>STINK</t>
  </si>
  <si>
    <t>STIPULATE</t>
  </si>
  <si>
    <t>STIPULATION</t>
  </si>
  <si>
    <t>STIR</t>
  </si>
  <si>
    <t>STOCK</t>
  </si>
  <si>
    <t>STOCKPILE</t>
  </si>
  <si>
    <t>STOICISM</t>
  </si>
  <si>
    <t>STOLE</t>
  </si>
  <si>
    <t>| verb: Past tense of steal</t>
  </si>
  <si>
    <t>STOLEN#1</t>
  </si>
  <si>
    <t>STOLEN#2</t>
  </si>
  <si>
    <t>STOMACH#1</t>
  </si>
  <si>
    <t>| 97% noun-adj: The body part</t>
  </si>
  <si>
    <t>STOMACH#2</t>
  </si>
  <si>
    <t>| 3% verb: To endure</t>
  </si>
  <si>
    <t>STONE#1</t>
  </si>
  <si>
    <t>| 83% noun: Rock</t>
  </si>
  <si>
    <t>STONE#2</t>
  </si>
  <si>
    <t>| 1% verb: To assail with rocks</t>
  </si>
  <si>
    <t>STOOD#1</t>
  </si>
  <si>
    <t>| 92% verb: Was in or moved into an upright position (72); existed, remained  fixed (6)</t>
  </si>
  <si>
    <t>STOOD#2</t>
  </si>
  <si>
    <t>| 4% verb: "Stood for," "stood up for"--favored, defended, represented</t>
  </si>
  <si>
    <t>STOOD#3</t>
  </si>
  <si>
    <t>| 2% verb: Tolerated, withstood</t>
  </si>
  <si>
    <t>STOOD#4</t>
  </si>
  <si>
    <t>| 0% verb: "Stood out"--was conspicuous</t>
  </si>
  <si>
    <t>STOP#1</t>
  </si>
  <si>
    <t>| 78% verb: To come to a stand, halt, pause, cease from</t>
  </si>
  <si>
    <t>STOP#2</t>
  </si>
  <si>
    <t>| 18% verb: To restrain, hinder, prevent</t>
  </si>
  <si>
    <t>STOP#3</t>
  </si>
  <si>
    <t>| 1% noun-adj: A halt, cessation, sojourn, place stopped at</t>
  </si>
  <si>
    <t>STOP#4</t>
  </si>
  <si>
    <t>| 1% idiom-verb: "Stop up"--to block up, plug</t>
  </si>
  <si>
    <t>STOPPER</t>
  </si>
  <si>
    <t>STORAGE</t>
  </si>
  <si>
    <t>STORE#1</t>
  </si>
  <si>
    <t>| 87% noun-adj: Establishment where merchandise is sold or kept</t>
  </si>
  <si>
    <t>STORE#2</t>
  </si>
  <si>
    <t>| 4% verb: To supply or stock with something for future use</t>
  </si>
  <si>
    <t>STORE#3</t>
  </si>
  <si>
    <t>| 4% noun: Supplies</t>
  </si>
  <si>
    <t>STORE#4</t>
  </si>
  <si>
    <t>| 4% noun (adj-adv): 'in store'--in the future</t>
  </si>
  <si>
    <t>STORE#5</t>
  </si>
  <si>
    <t>| 2% idiom-noun: "Department store"--handled by "department"</t>
  </si>
  <si>
    <t>STORM#1</t>
  </si>
  <si>
    <t>| 93% noun-adj: A tempest</t>
  </si>
  <si>
    <t>STORM#2</t>
  </si>
  <si>
    <t>| 7% verb: To rush, attack, rage</t>
  </si>
  <si>
    <t>STORMY</t>
  </si>
  <si>
    <t>STORY#1</t>
  </si>
  <si>
    <t>| 97% noun-adj: A tale</t>
  </si>
  <si>
    <t>STORY#2</t>
  </si>
  <si>
    <t>| 3% noun: One floor of a building</t>
  </si>
  <si>
    <t>STOVE</t>
  </si>
  <si>
    <t>STRAGGLE</t>
  </si>
  <si>
    <t>STRAGGLER</t>
  </si>
  <si>
    <t>STRAIGHT#1</t>
  </si>
  <si>
    <t>| 44% adj-adv: Not crooked, without deviation, in a line, in order</t>
  </si>
  <si>
    <t>STRAIGHT#2</t>
  </si>
  <si>
    <t>| 9% adj-adv: Consecutive, in sequence</t>
  </si>
  <si>
    <t>STRAIGHT#3</t>
  </si>
  <si>
    <t>| 6% adj: Pure, unadulterated, undiluted, frank</t>
  </si>
  <si>
    <t>STRAIGHT#4</t>
  </si>
  <si>
    <t>| 38% adv: Directly</t>
  </si>
  <si>
    <t>STRAIGHTFORWARD</t>
  </si>
  <si>
    <t>STRAIN#1</t>
  </si>
  <si>
    <t>STRAIN#2</t>
  </si>
  <si>
    <t>STRANGE</t>
  </si>
  <si>
    <t>| adj: Bizarre, unusual, foreign to one's experience</t>
  </si>
  <si>
    <t>STRANGER</t>
  </si>
  <si>
    <t>STRANGLE</t>
  </si>
  <si>
    <t>STRATEGIC</t>
  </si>
  <si>
    <t>STRATEGY</t>
  </si>
  <si>
    <t>STRATUM</t>
  </si>
  <si>
    <t>STRAW</t>
  </si>
  <si>
    <t>STRAY</t>
  </si>
  <si>
    <t>STREAK</t>
  </si>
  <si>
    <t>STREAM#1</t>
  </si>
  <si>
    <t>| 52% noun: Small river</t>
  </si>
  <si>
    <t>STREAM#2</t>
  </si>
  <si>
    <t>| 22% noun: A flowing sequence</t>
  </si>
  <si>
    <t>STREAM#3</t>
  </si>
  <si>
    <t>| 13% verb: To flow as a stream</t>
  </si>
  <si>
    <t>STREAM#4</t>
  </si>
  <si>
    <t>| 9% adj: "Streaming" - flowing, coursing</t>
  </si>
  <si>
    <t>STREAMER</t>
  </si>
  <si>
    <t>STREET</t>
  </si>
  <si>
    <t>| noun-adj: Public thoroughfare.</t>
  </si>
  <si>
    <t>STRENGTH</t>
  </si>
  <si>
    <t>| noun: The quality of being strong or powerful physically, intellect- ually,  morally, etc.</t>
  </si>
  <si>
    <t>STRENGTHEN#1</t>
  </si>
  <si>
    <t>| 91% verb: To make strong</t>
  </si>
  <si>
    <t>STRENGTHEN#2</t>
  </si>
  <si>
    <t>| 9% noun: "Strengthening" - gain or improvement in strength</t>
  </si>
  <si>
    <t>STRENUOUS</t>
  </si>
  <si>
    <t>STRESS#1</t>
  </si>
  <si>
    <t>STRESS#2</t>
  </si>
  <si>
    <t>STRETCH#1</t>
  </si>
  <si>
    <t>STRETCH#2</t>
  </si>
  <si>
    <t>STRICKEN</t>
  </si>
  <si>
    <t>STRICT#1</t>
  </si>
  <si>
    <t>| 52% adj: Exact, severe, rigorous, punctilious</t>
  </si>
  <si>
    <t>STRICT#2</t>
  </si>
  <si>
    <t>| 39% adv: "Strictly" - adverb form of sense 1</t>
  </si>
  <si>
    <t>STRICT#3</t>
  </si>
  <si>
    <t>| 9% adj: "Stricter" - comparative form of sense 1</t>
  </si>
  <si>
    <t>STRIDE#1</t>
  </si>
  <si>
    <t>STRIDE#2</t>
  </si>
  <si>
    <t>STRIFE</t>
  </si>
  <si>
    <t>STRIKE#1</t>
  </si>
  <si>
    <t>| 56% verb: To attack, injure, hit (generally in retaliation and with speed),  hit upon and remove, move sharply, make an (physical) impact</t>
  </si>
  <si>
    <t>STRIKE#2</t>
  </si>
  <si>
    <t>| 9% verb: To impress as, to occur to - "it strikes one funny;" "when did  that strike you?"</t>
  </si>
  <si>
    <t>STRIKE#3</t>
  </si>
  <si>
    <t>| 19% noun: A work stoppage to secure some demand</t>
  </si>
  <si>
    <t>STRIKE#4</t>
  </si>
  <si>
    <t>| 9% adj: "Striking"--marked, pronounced; attacking (2)</t>
  </si>
  <si>
    <t>STRIKE#5</t>
  </si>
  <si>
    <t>| 5% noun: A liability, derived from baseball - "two strikes against me"</t>
  </si>
  <si>
    <t>STRIKE#6</t>
  </si>
  <si>
    <t>| 2% adv: "Strikingly" - markedly</t>
  </si>
  <si>
    <t>STRING</t>
  </si>
  <si>
    <t>STRINGENT</t>
  </si>
  <si>
    <t>STRIP#1</t>
  </si>
  <si>
    <t>STRIP#2</t>
  </si>
  <si>
    <t>STRIVE</t>
  </si>
  <si>
    <t>STRIVEN</t>
  </si>
  <si>
    <t>STROKE#1</t>
  </si>
  <si>
    <t>STROKE#2</t>
  </si>
  <si>
    <t>STRONG#1</t>
  </si>
  <si>
    <t>| 67% adjective: Powerful, intense, secure</t>
  </si>
  <si>
    <t>STRONG#2</t>
  </si>
  <si>
    <t>| 9% adjective: "Stronger"--comparative</t>
  </si>
  <si>
    <t>STRONG#3</t>
  </si>
  <si>
    <t>| 5% adjective: "Strongest"--superlative</t>
  </si>
  <si>
    <t>STRONG#4</t>
  </si>
  <si>
    <t>| 19% adverb: "Strongly"--powerfully, forcefully</t>
  </si>
  <si>
    <t>STRONGHOLD</t>
  </si>
  <si>
    <t>STROVE</t>
  </si>
  <si>
    <t>STRUCK#1</t>
  </si>
  <si>
    <t>| 82% verb: Hit, hit upon, made an impact, attacked</t>
  </si>
  <si>
    <t>STRUCK#2</t>
  </si>
  <si>
    <t>| 12% verb: Impressed as, with, or by, occurred to</t>
  </si>
  <si>
    <t>STRUCTURAL</t>
  </si>
  <si>
    <t>STRUCTURE#1</t>
  </si>
  <si>
    <t>| 95% noun: A framework, organization or composition; also, a building</t>
  </si>
  <si>
    <t>STRUCTURE#2</t>
  </si>
  <si>
    <t>| 3% verb: To organize</t>
  </si>
  <si>
    <t>STRUGGLE#1</t>
  </si>
  <si>
    <t>| 55% noun: A fight, contention, effort</t>
  </si>
  <si>
    <t>STRUGGLE#2</t>
  </si>
  <si>
    <t>| 36% verb: To contend, fight</t>
  </si>
  <si>
    <t>STRUGGLE#3</t>
  </si>
  <si>
    <t>| 9% noun-adj: "Struggling"--contending or fighting</t>
  </si>
  <si>
    <t>STRUT</t>
  </si>
  <si>
    <t>STUBBORN</t>
  </si>
  <si>
    <t>STUBBORNLY</t>
  </si>
  <si>
    <t>STUBBORNNESS</t>
  </si>
  <si>
    <t>STUCK#1</t>
  </si>
  <si>
    <t>STUD</t>
  </si>
  <si>
    <t>STUDENT</t>
  </si>
  <si>
    <t>| noun adjective: One who engages in study or who participates in a course  of instruction and study</t>
  </si>
  <si>
    <t>STUDIO</t>
  </si>
  <si>
    <t>STUDIOUS</t>
  </si>
  <si>
    <t>STUDY#1</t>
  </si>
  <si>
    <t>| 73% verb: To apply oneself to the acquisition of knowledge</t>
  </si>
  <si>
    <t>STUDY#2</t>
  </si>
  <si>
    <t>| 22% noun-adj: Application of oneself to acquiring knowledge, a course of learning</t>
  </si>
  <si>
    <t>STUDY#3</t>
  </si>
  <si>
    <t>| 1% adj: "Studied"--not spontaneous or natural</t>
  </si>
  <si>
    <t>STUDY#4</t>
  </si>
  <si>
    <t>| 4% noun: "Studying"</t>
  </si>
  <si>
    <t>STUFF#1</t>
  </si>
  <si>
    <t>| 63% noun: Unspecified material, matter, things</t>
  </si>
  <si>
    <t>STUFF#2</t>
  </si>
  <si>
    <t>| 7% verb: To fill, pack tight, cram</t>
  </si>
  <si>
    <t>STUFF#3</t>
  </si>
  <si>
    <t>| 24% idiom: "And stuff" - and so forth, etc.</t>
  </si>
  <si>
    <t>STUFF#4</t>
  </si>
  <si>
    <t>| 2% adj: "Stuffed" - crammed, filled</t>
  </si>
  <si>
    <t>STUFF#5</t>
  </si>
  <si>
    <t>| 0% noun: "Stuffing" - something used to stuff</t>
  </si>
  <si>
    <t>STUFFY</t>
  </si>
  <si>
    <t>STUMBLE</t>
  </si>
  <si>
    <t>STUN</t>
  </si>
  <si>
    <t>STUNT</t>
  </si>
  <si>
    <t>STUPENDOUS</t>
  </si>
  <si>
    <t>STUPID#1</t>
  </si>
  <si>
    <t>| 97% adj: Dull, insipid, witless</t>
  </si>
  <si>
    <t>STUPID#2</t>
  </si>
  <si>
    <t>| 3% adj: "Stupider", "stupidest" - comparatives of sense 1</t>
  </si>
  <si>
    <t>STUPID#3</t>
  </si>
  <si>
    <t>| 0% adv: "Stupidly" - adverb form of sense 1</t>
  </si>
  <si>
    <t>STUPIDITY</t>
  </si>
  <si>
    <t>STUPOR</t>
  </si>
  <si>
    <t>STURDY</t>
  </si>
  <si>
    <t>STYLE</t>
  </si>
  <si>
    <t>STYLISH</t>
  </si>
  <si>
    <t>SUAVE</t>
  </si>
  <si>
    <t>SUBDUE</t>
  </si>
  <si>
    <t>SUBJECT#1</t>
  </si>
  <si>
    <t>SUBJECT#2</t>
  </si>
  <si>
    <t>SUBJECT#3</t>
  </si>
  <si>
    <t>SUBJECTION</t>
  </si>
  <si>
    <t>SUBJECTIVE</t>
  </si>
  <si>
    <t>SUBJUGATE</t>
  </si>
  <si>
    <t>SUBJUGATION</t>
  </si>
  <si>
    <t>SUBLIME</t>
  </si>
  <si>
    <t>SUBMARINE</t>
  </si>
  <si>
    <t>SUBMERGE</t>
  </si>
  <si>
    <t>SUBMISSION</t>
  </si>
  <si>
    <t>SUBMISSIVE</t>
  </si>
  <si>
    <t>SUBMIT</t>
  </si>
  <si>
    <t>SUBORDINATE</t>
  </si>
  <si>
    <t>SUBORDINATION</t>
  </si>
  <si>
    <t>SUBSCRIBE</t>
  </si>
  <si>
    <t>SUBSCRIBER</t>
  </si>
  <si>
    <t>SUBSCRIPTION</t>
  </si>
  <si>
    <t>SUBSEQUENT</t>
  </si>
  <si>
    <t>SUBSERVIENCE</t>
  </si>
  <si>
    <t>SUBSERVIENCY</t>
  </si>
  <si>
    <t>SUBSIDE</t>
  </si>
  <si>
    <t>SUBSIDIZE</t>
  </si>
  <si>
    <t>SUBSIDY</t>
  </si>
  <si>
    <t>SUBSIST</t>
  </si>
  <si>
    <t>SUBSISTENCE</t>
  </si>
  <si>
    <t>SUBSTANCE</t>
  </si>
  <si>
    <t>SUBSTANTIAL</t>
  </si>
  <si>
    <t>SUBSTANTIATE</t>
  </si>
  <si>
    <t>SUBSTITUTE#1</t>
  </si>
  <si>
    <t>SUBSTITUTE#2</t>
  </si>
  <si>
    <t>SUBSTITUTION</t>
  </si>
  <si>
    <t>SUBTLE</t>
  </si>
  <si>
    <t>SUBTRACT</t>
  </si>
  <si>
    <t>SUBTRACTION</t>
  </si>
  <si>
    <t>SUBURB</t>
  </si>
  <si>
    <t>SUBURBAN</t>
  </si>
  <si>
    <t>SUBVERSION</t>
  </si>
  <si>
    <t>SUBVERT</t>
  </si>
  <si>
    <t>SUCCEED#1</t>
  </si>
  <si>
    <t>| 94% verb: To turn out according to desire, to achieve success</t>
  </si>
  <si>
    <t>SUCCEED#2</t>
  </si>
  <si>
    <t>| 6% adj: "Succeeding"--following</t>
  </si>
  <si>
    <t>SUCCEED#3</t>
  </si>
  <si>
    <t>| 0% verb: To follow, as in a sequence</t>
  </si>
  <si>
    <t>SUCCESS</t>
  </si>
  <si>
    <t>| noun: Favorable outcome, someone or something that succeeds</t>
  </si>
  <si>
    <t>SUCCESSFUL</t>
  </si>
  <si>
    <t>| adj: Achieving or having achieved success, favorable in outcome</t>
  </si>
  <si>
    <t>SUCCESSION</t>
  </si>
  <si>
    <t>SUCCESSIVE</t>
  </si>
  <si>
    <t>SUCCESSOR</t>
  </si>
  <si>
    <t>SUCCUMB</t>
  </si>
  <si>
    <t>SUCH#1</t>
  </si>
  <si>
    <t>| 74% adj: Of this or that kind, often with a suggestion of degree, so great</t>
  </si>
  <si>
    <t>SUCH#2</t>
  </si>
  <si>
    <t>| 18% idiom-prep: "Such as"--like</t>
  </si>
  <si>
    <t>SUCH#3</t>
  </si>
  <si>
    <t>| 5% pron: Such a person or thing</t>
  </si>
  <si>
    <t>SUCH#4</t>
  </si>
  <si>
    <t>| 3% idiom: "As such"--in itself, in that capacity</t>
  </si>
  <si>
    <t>SUCH#5</t>
  </si>
  <si>
    <t>| 1% idiom-adj: "Such and such"--definite or particular but not specified</t>
  </si>
  <si>
    <t>SUCKER</t>
  </si>
  <si>
    <t>SUDAN</t>
  </si>
  <si>
    <t>SUDDEN#1</t>
  </si>
  <si>
    <t>| 20% adjective: Unexpected, abrupt.</t>
  </si>
  <si>
    <t>SUDDEN#2</t>
  </si>
  <si>
    <t>| 80% adverb-idiom: "Suddenly," or "all of a sudden"--abruptly, unexpectedly</t>
  </si>
  <si>
    <t>SUFFER#1</t>
  </si>
  <si>
    <t>| 69% verb: To experience or tolerate physical or psychological pain or  other unpleasantness</t>
  </si>
  <si>
    <t>SUFFER#2</t>
  </si>
  <si>
    <t>| 0% verb: To allow, permit, or let some action take place</t>
  </si>
  <si>
    <t>SUFFER#3</t>
  </si>
  <si>
    <t>| 30% noun-adj: "Suffering"</t>
  </si>
  <si>
    <t>SUFFERER</t>
  </si>
  <si>
    <t>SUFFICE</t>
  </si>
  <si>
    <t>SUFFICIENT</t>
  </si>
  <si>
    <t>| adj: Enough, adequate</t>
  </si>
  <si>
    <t>SUFFOCATE</t>
  </si>
  <si>
    <t>SUFFRAGE</t>
  </si>
  <si>
    <t>SUGAR</t>
  </si>
  <si>
    <t>| noun-adj: Sweet substance, pertaining to same</t>
  </si>
  <si>
    <t>SUGGEST#1</t>
  </si>
  <si>
    <t>| 98% verb: To mention for consideration or possible action; to stimulate  certain thoughts, conclusions or Emotions</t>
  </si>
  <si>
    <t>SUGGEST#2</t>
  </si>
  <si>
    <t>| 2% adj: "Suggested"</t>
  </si>
  <si>
    <t>SUGGESTION</t>
  </si>
  <si>
    <t>| noun: An idea or proposal offered from one to another</t>
  </si>
  <si>
    <t>SUGGESTIVE</t>
  </si>
  <si>
    <t>SUICIDAL</t>
  </si>
  <si>
    <t>SUICIDE</t>
  </si>
  <si>
    <t>SUIT#1</t>
  </si>
  <si>
    <t>| 40% noun: A set of clothes, armor, etc. worn together, includes bathing suit</t>
  </si>
  <si>
    <t>SUIT#2</t>
  </si>
  <si>
    <t>| 20% noun: Process of litigation</t>
  </si>
  <si>
    <t>SUIT#3</t>
  </si>
  <si>
    <t>| 17% verb: To please, conform to, satisfy, be agreeable to</t>
  </si>
  <si>
    <t>SUIT#4</t>
  </si>
  <si>
    <t>| 23% adj: "Suited"--qualified, satisfactory</t>
  </si>
  <si>
    <t>SUITABLE</t>
  </si>
  <si>
    <t>SUITCASE</t>
  </si>
  <si>
    <t>SUITE</t>
  </si>
  <si>
    <t>SULLEN</t>
  </si>
  <si>
    <t>SULTAN</t>
  </si>
  <si>
    <t>SUM#1</t>
  </si>
  <si>
    <t>SUM#2</t>
  </si>
  <si>
    <t>SUMMARIZE</t>
  </si>
  <si>
    <t>SUMMARY</t>
  </si>
  <si>
    <t>SUMMER</t>
  </si>
  <si>
    <t>| noun-adj: The season between spring and autumn</t>
  </si>
  <si>
    <t>SUMMIT</t>
  </si>
  <si>
    <t>SUMMON#1</t>
  </si>
  <si>
    <t>SUMMON#2</t>
  </si>
  <si>
    <t>SUMPTUOUS</t>
  </si>
  <si>
    <t>SUN</t>
  </si>
  <si>
    <t>| noun: The star that is the center of our solar system</t>
  </si>
  <si>
    <t>SUNBURN</t>
  </si>
  <si>
    <t>SUNDAY</t>
  </si>
  <si>
    <t>SUNDER</t>
  </si>
  <si>
    <t>SUNDOWN</t>
  </si>
  <si>
    <t>SUNG</t>
  </si>
  <si>
    <t>SUNK</t>
  </si>
  <si>
    <t>SUNKEN</t>
  </si>
  <si>
    <t>SUNLIGHT</t>
  </si>
  <si>
    <t>SUNSHINE</t>
  </si>
  <si>
    <t>SUPER</t>
  </si>
  <si>
    <t>SUPERFICIAL</t>
  </si>
  <si>
    <t>SUPERFICIALITY</t>
  </si>
  <si>
    <t>SUPERFLUOUS</t>
  </si>
  <si>
    <t>SUPERINTENDENT</t>
  </si>
  <si>
    <t>SUPERIOR</t>
  </si>
  <si>
    <t>SUPERIORITY</t>
  </si>
  <si>
    <t>SUPERLATIVE</t>
  </si>
  <si>
    <t>SUPERNATURAL</t>
  </si>
  <si>
    <t>SUPERSTITION</t>
  </si>
  <si>
    <t>SUPERSTITIOUS</t>
  </si>
  <si>
    <t>SUPERVISE</t>
  </si>
  <si>
    <t>SUPERVISION</t>
  </si>
  <si>
    <t>SUPPER</t>
  </si>
  <si>
    <t>SUPPLEMENT#1</t>
  </si>
  <si>
    <t>SUPPLEMENT#2</t>
  </si>
  <si>
    <t>SUPPLEMENTARY</t>
  </si>
  <si>
    <t>SUPPLIER</t>
  </si>
  <si>
    <t>SUPPLY#1</t>
  </si>
  <si>
    <t>| 64% noun: Provisions</t>
  </si>
  <si>
    <t>SUPPLY#2</t>
  </si>
  <si>
    <t>| 32% verb: To provide</t>
  </si>
  <si>
    <t>SUPPORT#1</t>
  </si>
  <si>
    <t>| 44% verb: Sustain, provide for, maintain, encourage, back--"i support  the program" (48); to hold up (0)</t>
  </si>
  <si>
    <t>SUPPORT#2</t>
  </si>
  <si>
    <t>| 44% noun: Encouragement, assistance, maintenance, backing--"he has our  full support," "Emotional support," "financial support" (46); a brace  or foundati</t>
  </si>
  <si>
    <t>SUPPORT#3</t>
  </si>
  <si>
    <t>| 2% noun-adj: "Supporting"--auxiliary, aiding (2); holding up (0)</t>
  </si>
  <si>
    <t>SUPPORT#4</t>
  </si>
  <si>
    <t>| 5% adj: "Supported"--sustained, backed, encouraged, aided (5) held up (0)</t>
  </si>
  <si>
    <t>SUPPORTER</t>
  </si>
  <si>
    <t>SUPPORTIVE</t>
  </si>
  <si>
    <t>SUPPOSE#1</t>
  </si>
  <si>
    <t>| 55% verb: To assume, expect, consider, think (that)</t>
  </si>
  <si>
    <t>SUPPOSE#2</t>
  </si>
  <si>
    <t>| 36% adj: "Supposed (to)"--expected, under obligation</t>
  </si>
  <si>
    <t>SUPPOSE#3</t>
  </si>
  <si>
    <t>| 4% adj: "Supposed" - putative, hypothetical</t>
  </si>
  <si>
    <t>SUPPOSE#4</t>
  </si>
  <si>
    <t>| 4% adv: "Supposedly" - putatively, hypothetically</t>
  </si>
  <si>
    <t>SUPPRESS</t>
  </si>
  <si>
    <t>SUPPRESSION</t>
  </si>
  <si>
    <t>SUPRA</t>
  </si>
  <si>
    <t>SUPRANATIONAL</t>
  </si>
  <si>
    <t>SUPREMACY</t>
  </si>
  <si>
    <t>SUPREME#1</t>
  </si>
  <si>
    <t>| 5% adj: Highest, utmost</t>
  </si>
  <si>
    <t>SUPREME#2</t>
  </si>
  <si>
    <t>| 5% adv: "Supremely" - ultimately</t>
  </si>
  <si>
    <t>SUPREME#3</t>
  </si>
  <si>
    <t>Noun Handels PFREQ</t>
  </si>
  <si>
    <t>| 90% idiom-noun: "Supreme court" - handled by "court"</t>
  </si>
  <si>
    <t>SURE#1</t>
  </si>
  <si>
    <t>| 65% adj: Certain</t>
  </si>
  <si>
    <t>SURE#2</t>
  </si>
  <si>
    <t>LY INTJ</t>
  </si>
  <si>
    <t>| 26% adv: "Surely," "sure"--certainly, of course</t>
  </si>
  <si>
    <t>SURE#3</t>
  </si>
  <si>
    <t>| 2% idiom-adv: "To be sure"--certainly</t>
  </si>
  <si>
    <t>SURE#4</t>
  </si>
  <si>
    <t>| 3% idiom-adv: "For sure"--as a certainty</t>
  </si>
  <si>
    <t>SURE#5</t>
  </si>
  <si>
    <t>| 2% idiom-adv: "Sure enough"--real, really--handled by "enough"</t>
  </si>
  <si>
    <t>SURE#6</t>
  </si>
  <si>
    <t>| 0% adj: "Surest"--most certain</t>
  </si>
  <si>
    <t>SURFACE#1</t>
  </si>
  <si>
    <t>| 86% noun-adj: Outer or top layer</t>
  </si>
  <si>
    <t>SURFACE#2</t>
  </si>
  <si>
    <t>| 0% verb: To come to the top, to put a top on</t>
  </si>
  <si>
    <t>SURGE</t>
  </si>
  <si>
    <t>SURGEON</t>
  </si>
  <si>
    <t>SURINAM</t>
  </si>
  <si>
    <t>SURMISE</t>
  </si>
  <si>
    <t>SURMOUNT</t>
  </si>
  <si>
    <t>SURPASS</t>
  </si>
  <si>
    <t>SURPLUS</t>
  </si>
  <si>
    <t>SURPRISE#1</t>
  </si>
  <si>
    <t>| 33% noun-adj: The act or an instance of surprising</t>
  </si>
  <si>
    <t>SURPRISE#2</t>
  </si>
  <si>
    <t>| 45% verb: To catch unprepared, to provoke a feeling of surprise or wonder</t>
  </si>
  <si>
    <t>SURPRISE#3</t>
  </si>
  <si>
    <t>| 6% adj: "Surprised"--affected with a feeling of surprise or wonder</t>
  </si>
  <si>
    <t>SURPRISE#4</t>
  </si>
  <si>
    <t>| 14% adj: "Surprising"--provoking a feeling of surprise or wonder</t>
  </si>
  <si>
    <t>SURPRISE#5</t>
  </si>
  <si>
    <t>| 2% adv: "Surprisingly"--startlingly</t>
  </si>
  <si>
    <t>SURRENDER#1</t>
  </si>
  <si>
    <t>SURRENDER#2</t>
  </si>
  <si>
    <t>SURROUND#1</t>
  </si>
  <si>
    <t>| 66% verb: To enclose or encompass</t>
  </si>
  <si>
    <t>SURROUND#2</t>
  </si>
  <si>
    <t>| 3% adj: "Surrounded"--enclosed, encompassed</t>
  </si>
  <si>
    <t>SURROUND#3</t>
  </si>
  <si>
    <t>| 6% adj: "Surrounding"--neighboring</t>
  </si>
  <si>
    <t>SURROUND#4</t>
  </si>
  <si>
    <t>| 26% noun: "Surroundings"--atmosphere, neighborhood</t>
  </si>
  <si>
    <t>SURVEILLANCE</t>
  </si>
  <si>
    <t>SURVEY#1</t>
  </si>
  <si>
    <t>SURVEY#2</t>
  </si>
  <si>
    <t>SURVIVAL</t>
  </si>
  <si>
    <t>SURVIVE</t>
  </si>
  <si>
    <t>SURVIVOR</t>
  </si>
  <si>
    <t>SUSCEPTIBLE</t>
  </si>
  <si>
    <t>SUSPECT#1</t>
  </si>
  <si>
    <t>SUSPECT#2</t>
  </si>
  <si>
    <t>SUSPEND</t>
  </si>
  <si>
    <t>SUSPENSE</t>
  </si>
  <si>
    <t>SUSPENSION</t>
  </si>
  <si>
    <t>SUSPICION</t>
  </si>
  <si>
    <t>SUSPICIOUS</t>
  </si>
  <si>
    <t>SUSTAIN</t>
  </si>
  <si>
    <t>SWALLOW</t>
  </si>
  <si>
    <t>SWAM</t>
  </si>
  <si>
    <t>SWAMP</t>
  </si>
  <si>
    <t>SWAY</t>
  </si>
  <si>
    <t>SWEAR</t>
  </si>
  <si>
    <t>SWEAT#1</t>
  </si>
  <si>
    <t>SWEAT#2</t>
  </si>
  <si>
    <t>SWEDEN</t>
  </si>
  <si>
    <t>SWEEP#1</t>
  </si>
  <si>
    <t>SWEEP#2</t>
  </si>
  <si>
    <t>SWEET#1</t>
  </si>
  <si>
    <t>| 68% adj-noun: Sugary, pleasant, agreeable; that which is so (0)</t>
  </si>
  <si>
    <t>SWEET#2</t>
  </si>
  <si>
    <t>| 4% noun: "Sweets" - candies</t>
  </si>
  <si>
    <t>SWEET#3</t>
  </si>
  <si>
    <t>| 0% adj: "Sweeter" - comparative</t>
  </si>
  <si>
    <t>SWEET#4</t>
  </si>
  <si>
    <t>| 12% adj: "Sweetest" - superlative</t>
  </si>
  <si>
    <t>SWEET#5</t>
  </si>
  <si>
    <t>| 0% adv: "Sweetly"--agreeably</t>
  </si>
  <si>
    <t>SWEETEN</t>
  </si>
  <si>
    <t>SWEETHEART</t>
  </si>
  <si>
    <t>SWEETNESS</t>
  </si>
  <si>
    <t>SWEPT</t>
  </si>
  <si>
    <t>SWIFT</t>
  </si>
  <si>
    <t>SWIFTNESS</t>
  </si>
  <si>
    <t>SWIM#1</t>
  </si>
  <si>
    <t>| 57% verb: To move in water by strokes</t>
  </si>
  <si>
    <t>SWIM#2</t>
  </si>
  <si>
    <t>| 7% noun: A period of swimming</t>
  </si>
  <si>
    <t>SWIM#3</t>
  </si>
  <si>
    <t>| 37% noun-adj: "Swimming"--moving through water</t>
  </si>
  <si>
    <t>SWIMMER</t>
  </si>
  <si>
    <t>SWING#1</t>
  </si>
  <si>
    <t>| 64% verb: To make or cause angular motion, to bring around</t>
  </si>
  <si>
    <t>SWING#2</t>
  </si>
  <si>
    <t>| 27% noun: Angular motion with fixed radius, act of making such motion,  device that makes such motion</t>
  </si>
  <si>
    <t>SWING#3</t>
  </si>
  <si>
    <t>SWISS</t>
  </si>
  <si>
    <t>SWITCH#1</t>
  </si>
  <si>
    <t>SWITCH#2</t>
  </si>
  <si>
    <t>SWITZERLAND</t>
  </si>
  <si>
    <t>SWOLLEN</t>
  </si>
  <si>
    <t>SWOON</t>
  </si>
  <si>
    <t>SWORD</t>
  </si>
  <si>
    <t>| noun: The weapon</t>
  </si>
  <si>
    <t>SWORE</t>
  </si>
  <si>
    <t>SWORN</t>
  </si>
  <si>
    <t>SWUNG</t>
  </si>
  <si>
    <t>SYMBOL</t>
  </si>
  <si>
    <t>SYMBOLISM</t>
  </si>
  <si>
    <t>SYMBOLIZE</t>
  </si>
  <si>
    <t>SYMMETRY</t>
  </si>
  <si>
    <t>SYMPATHETIC</t>
  </si>
  <si>
    <t>SYMPATHISE#1</t>
  </si>
  <si>
    <t>SYMPATHIZE</t>
  </si>
  <si>
    <t>SYMPATHY</t>
  </si>
  <si>
    <t>SYMPHONIC</t>
  </si>
  <si>
    <t>SYMPHONY</t>
  </si>
  <si>
    <t>SYMPTOM</t>
  </si>
  <si>
    <t>SYNDICATE</t>
  </si>
  <si>
    <t>SYNTHESIS</t>
  </si>
  <si>
    <t>SYNTHETIC</t>
  </si>
  <si>
    <t>SYRIA</t>
  </si>
  <si>
    <t>SYRUP</t>
  </si>
  <si>
    <t>SYSTEM</t>
  </si>
  <si>
    <t>| noun: A bounded collection of interacting components</t>
  </si>
  <si>
    <t>SYSTEMATIC</t>
  </si>
  <si>
    <t>SYSTEMATICALLY</t>
  </si>
  <si>
    <t>TABLE#1</t>
  </si>
  <si>
    <t>| 96% noun: An article of furniture</t>
  </si>
  <si>
    <t>TABLE#2</t>
  </si>
  <si>
    <t>| 3% noun: An arrangement or list of numbers and the like in a given order</t>
  </si>
  <si>
    <t>TABLE#3</t>
  </si>
  <si>
    <t>| 1% verb: To put away an issue for discussion in the future</t>
  </si>
  <si>
    <t>TABOO</t>
  </si>
  <si>
    <t>TACT</t>
  </si>
  <si>
    <t>TACTIC</t>
  </si>
  <si>
    <t>TACTICAL</t>
  </si>
  <si>
    <t>TACTICS</t>
  </si>
  <si>
    <t>TAIL#1</t>
  </si>
  <si>
    <t>| 95% noun: Posterior animal part, anything resembling this</t>
  </si>
  <si>
    <t>TAIL#2</t>
  </si>
  <si>
    <t>| 2% verb: To follow</t>
  </si>
  <si>
    <t>TAILOR#1</t>
  </si>
  <si>
    <t>TAILOR#2</t>
  </si>
  <si>
    <t>TAINT</t>
  </si>
  <si>
    <t>TAIWAN</t>
  </si>
  <si>
    <t>TAKE#1</t>
  </si>
  <si>
    <t>| 46% verb: Used to denote acquisition, adoption or assumption, thus seize,  obtain, employ, assume, choose, get, receive, execute; assume to be, understand  or interpret in a cert</t>
  </si>
  <si>
    <t>TAKE#2</t>
  </si>
  <si>
    <t>| 26% verb: To move, move from, accompany, lead, transport</t>
  </si>
  <si>
    <t>TAKE#3</t>
  </si>
  <si>
    <t>| 6% verb: Require, demand, need, "it takes great courage"</t>
  </si>
  <si>
    <t>TAKE#4</t>
  </si>
  <si>
    <t>| 3% verb-idiom: "Take place"--happen</t>
  </si>
  <si>
    <t>TAKE#5</t>
  </si>
  <si>
    <t>| 0% adj: "Taking"--captivating</t>
  </si>
  <si>
    <t>TAKE#6</t>
  </si>
  <si>
    <t>| 3% verb-idiom: "Take advantage (of)"--make use (of), occasionally with  connotation of unfairness</t>
  </si>
  <si>
    <t>TAKE#7</t>
  </si>
  <si>
    <t>| 5% verb-idiom: "Take care (of)"--cure or solve, attend to, protect or nurse</t>
  </si>
  <si>
    <t>TAKE#8</t>
  </si>
  <si>
    <t>| 2% verb-idiom: "Take over"--assume control</t>
  </si>
  <si>
    <t>TAKE#9</t>
  </si>
  <si>
    <t>| 1% verb: "Take to"--become fond of</t>
  </si>
  <si>
    <t>TAKE#_10</t>
  </si>
  <si>
    <t>| 0% verb: "Take up"--consume</t>
  </si>
  <si>
    <t>TAKE#_11</t>
  </si>
  <si>
    <t>| 2% verb: "Take on"--assume</t>
  </si>
  <si>
    <t>TAKE#_12</t>
  </si>
  <si>
    <t>| 1% verb-idiom: "Take one's time"--proceed unhurriedly--handled by "time"</t>
  </si>
  <si>
    <t>TAKE#_13</t>
  </si>
  <si>
    <t>| 1% idiom-verb: "Take exception"--make an objection--handled by "exception"</t>
  </si>
  <si>
    <t>TAKEN#1</t>
  </si>
  <si>
    <t>TALE</t>
  </si>
  <si>
    <t>TALENT</t>
  </si>
  <si>
    <t>TALENTED</t>
  </si>
  <si>
    <t>TALK#1</t>
  </si>
  <si>
    <t>| 83% verb: To communicate, discuss, speak; includes pseudo-adjectival forms  like "they stood</t>
  </si>
  <si>
    <t>TALK#2</t>
  </si>
  <si>
    <t>| 12% noun: Conversation, discussion, speech</t>
  </si>
  <si>
    <t>TALK#3</t>
  </si>
  <si>
    <t>| 4% noun-adj: "Talking"--conversation, conversing or able to converse;  "talking is fun," "a talking bird"</t>
  </si>
  <si>
    <t>TALK#4</t>
  </si>
  <si>
    <t>| 0% idiom-noun: "Double talk"--deceiving speech--handled by "double"</t>
  </si>
  <si>
    <t>TALKER</t>
  </si>
  <si>
    <t>TALL</t>
  </si>
  <si>
    <t>TAMPER</t>
  </si>
  <si>
    <t>TANGANYIKA</t>
  </si>
  <si>
    <t>TANGIBLE</t>
  </si>
  <si>
    <t>TANGLE</t>
  </si>
  <si>
    <t>TANK</t>
  </si>
  <si>
    <t>TANTAMOUNT</t>
  </si>
  <si>
    <t>TANTRUM</t>
  </si>
  <si>
    <t>TAP#1</t>
  </si>
  <si>
    <t>TAP#2</t>
  </si>
  <si>
    <t>TARDY</t>
  </si>
  <si>
    <t>TARGET</t>
  </si>
  <si>
    <t>TARIFF</t>
  </si>
  <si>
    <t>TASK</t>
  </si>
  <si>
    <t>| noun: A piece of work, a job, a project</t>
  </si>
  <si>
    <t>TASTE#1</t>
  </si>
  <si>
    <t>| 25% noun: Oral sensation, a particular oral sensation, a morsel or bit of something</t>
  </si>
  <si>
    <t>TASTE#2</t>
  </si>
  <si>
    <t>| 3% noun: Aesthetic sense, style</t>
  </si>
  <si>
    <t>TASTE#3</t>
  </si>
  <si>
    <t>| 50% verb: To savor or experience (transitive)--"i tasted the melon"</t>
  </si>
  <si>
    <t>TASTE#4</t>
  </si>
  <si>
    <t>| 22% verb: To produce an oral sensation (intransitive)--"it tasted sweet"</t>
  </si>
  <si>
    <t>TATTER</t>
  </si>
  <si>
    <t>TAUGHT</t>
  </si>
  <si>
    <t>| verb: Past tense of teach</t>
  </si>
  <si>
    <t>TAUNT#1</t>
  </si>
  <si>
    <t>TAUNT#2</t>
  </si>
  <si>
    <t>TAUT</t>
  </si>
  <si>
    <t>TAX#1</t>
  </si>
  <si>
    <t>| 71% noun-adj: Payment of money to government for public services, etc.</t>
  </si>
  <si>
    <t>TAX#2</t>
  </si>
  <si>
    <t>| 6% verb-adj: To burden or place a strain on, to demand taxes from (1)</t>
  </si>
  <si>
    <t>TAX#3</t>
  </si>
  <si>
    <t>| 13% noun-idiom: "Income tax"</t>
  </si>
  <si>
    <t>TAX#4</t>
  </si>
  <si>
    <t>| 10% noun-idiom: "Social security tax"</t>
  </si>
  <si>
    <t>TAXABLE</t>
  </si>
  <si>
    <t>TAXATION</t>
  </si>
  <si>
    <t>TAXI</t>
  </si>
  <si>
    <t>TAXPAYER</t>
  </si>
  <si>
    <t>TEA</t>
  </si>
  <si>
    <t>TEACH#1</t>
  </si>
  <si>
    <t>| 61% verb: Impart knowledge or skill, give instruction, train; includes  gerundive forms like "he will start teaching soon."</t>
  </si>
  <si>
    <t>TEACH#2</t>
  </si>
  <si>
    <t>| 37% noun: "Teaching"--the profession, the activity of instruction</t>
  </si>
  <si>
    <t>TEACH#3</t>
  </si>
  <si>
    <t>| 2% noun: "Teaching"--doctrine, the specific content of what is taught,  especially in religious contexts</t>
  </si>
  <si>
    <t>TEACHER</t>
  </si>
  <si>
    <t>| noun: One who instructs, especially as a profession.</t>
  </si>
  <si>
    <t>TEAM</t>
  </si>
  <si>
    <t>TEAMSTER</t>
  </si>
  <si>
    <t>TEAR#1</t>
  </si>
  <si>
    <t>| 59% verb: To rip, destroy, divide</t>
  </si>
  <si>
    <t>TEAR#2</t>
  </si>
  <si>
    <t>| 29% noun: Fluid secreted during crying; a rip (infrequent)</t>
  </si>
  <si>
    <t>TEAR#3</t>
  </si>
  <si>
    <t>| 10% verb: To race around without apparent control</t>
  </si>
  <si>
    <t>TEASE</t>
  </si>
  <si>
    <t>TECHNICAL</t>
  </si>
  <si>
    <t>| adj: Complex and specialized</t>
  </si>
  <si>
    <t>TECHNICIAN</t>
  </si>
  <si>
    <t>TECHNIQUE</t>
  </si>
  <si>
    <t>TECHNOLOGICAL</t>
  </si>
  <si>
    <t>TECHNOLOGY</t>
  </si>
  <si>
    <t>TEDIOUS</t>
  </si>
  <si>
    <t>TEENAGE</t>
  </si>
  <si>
    <t>TEENAGER</t>
  </si>
  <si>
    <t>TEETH</t>
  </si>
  <si>
    <t>| noun: Plural of "tooth"</t>
  </si>
  <si>
    <t>TELEGRAM</t>
  </si>
  <si>
    <t>TELEGRAPH#1</t>
  </si>
  <si>
    <t>TELEGRAPH#2</t>
  </si>
  <si>
    <t>TELEVISION</t>
  </si>
  <si>
    <t>| noun-adj: Mass (visual) medium</t>
  </si>
  <si>
    <t>TELL#1</t>
  </si>
  <si>
    <t>| 95% verb: To relate a story or any pertinent fact, to speak, instruct,  impart information</t>
  </si>
  <si>
    <t>TELL#2</t>
  </si>
  <si>
    <t>| 4% verb: To discern or distinguish</t>
  </si>
  <si>
    <t>TELL#3</t>
  </si>
  <si>
    <t>| 1% idiom-intj: 'to tell (you) the truth'--handled by "truth"</t>
  </si>
  <si>
    <t>TELLER</t>
  </si>
  <si>
    <t>TELLING</t>
  </si>
  <si>
    <t>TEMERITY</t>
  </si>
  <si>
    <t>TEMPER#1</t>
  </si>
  <si>
    <t>TEMPER#2</t>
  </si>
  <si>
    <t>TEMPERANCE</t>
  </si>
  <si>
    <t>TEMPERATE</t>
  </si>
  <si>
    <t>TEMPERATURE</t>
  </si>
  <si>
    <t>TEMPEST</t>
  </si>
  <si>
    <t>TEMPLE</t>
  </si>
  <si>
    <t>TEMPORARILY</t>
  </si>
  <si>
    <t>TEMPORARY</t>
  </si>
  <si>
    <t>TEMPT</t>
  </si>
  <si>
    <t>TEMPTATION</t>
  </si>
  <si>
    <t>TEN</t>
  </si>
  <si>
    <t>| noun-adj: Numeral.</t>
  </si>
  <si>
    <t>TENACIOUS</t>
  </si>
  <si>
    <t>TENACITY</t>
  </si>
  <si>
    <t>TENANT</t>
  </si>
  <si>
    <t>TEND#1</t>
  </si>
  <si>
    <t>| 92% verb: To be inclined, to habitually behave</t>
  </si>
  <si>
    <t>TEND#2</t>
  </si>
  <si>
    <t>| 6% verb: To care for</t>
  </si>
  <si>
    <t>TENDENCY</t>
  </si>
  <si>
    <t>TENDER</t>
  </si>
  <si>
    <t>TENDERNESS</t>
  </si>
  <si>
    <t>TENNESSEE</t>
  </si>
  <si>
    <t>TENNIS</t>
  </si>
  <si>
    <t>TENSE</t>
  </si>
  <si>
    <t>TENSION</t>
  </si>
  <si>
    <t>| noun: Stress</t>
  </si>
  <si>
    <t>TENT</t>
  </si>
  <si>
    <t>TENTATIVE</t>
  </si>
  <si>
    <t>TENTH#1</t>
  </si>
  <si>
    <t>TERM#1</t>
  </si>
  <si>
    <t>| 20% noun: Specific word or expression</t>
  </si>
  <si>
    <t>TERM#2</t>
  </si>
  <si>
    <t>| 24% noun: A period of time</t>
  </si>
  <si>
    <t>TERM#3</t>
  </si>
  <si>
    <t>| 9% noun: Conditions or stipulations</t>
  </si>
  <si>
    <t>TERM#4</t>
  </si>
  <si>
    <t>| 43% idiom-prep: "In terms of"--with relation to</t>
  </si>
  <si>
    <t>TERM#5</t>
  </si>
  <si>
    <t>| 4% noun: Relations or standing with another</t>
  </si>
  <si>
    <t>TERM#6</t>
  </si>
  <si>
    <t>| 0% verb: To denote, designate, call</t>
  </si>
  <si>
    <t>TERMINATE</t>
  </si>
  <si>
    <t>TERMINATION</t>
  </si>
  <si>
    <t>TERRIBLE</t>
  </si>
  <si>
    <t>| adj: Very bad</t>
  </si>
  <si>
    <t>TERRIFIC</t>
  </si>
  <si>
    <t>TERRIFY</t>
  </si>
  <si>
    <t>TERRITORIAL</t>
  </si>
  <si>
    <t>TERRITORY</t>
  </si>
  <si>
    <t>| noun: Political region</t>
  </si>
  <si>
    <t>TERROR</t>
  </si>
  <si>
    <t>TERRORISM</t>
  </si>
  <si>
    <t>TERRORIZE</t>
  </si>
  <si>
    <t>TEST#1</t>
  </si>
  <si>
    <t>| 66% noun-adj: Examination, indication of competence</t>
  </si>
  <si>
    <t>TEST#2</t>
  </si>
  <si>
    <t>| 28% verb: To examine, to determine competence</t>
  </si>
  <si>
    <t>TEST#3</t>
  </si>
  <si>
    <t>| 7% noun: 'testing'--experimentation, exploratory application</t>
  </si>
  <si>
    <t>TESTAMENT</t>
  </si>
  <si>
    <t>TESTIFY</t>
  </si>
  <si>
    <t>TESTIMONY</t>
  </si>
  <si>
    <t>TEXAS</t>
  </si>
  <si>
    <t>TEXT</t>
  </si>
  <si>
    <t>TEXTILE</t>
  </si>
  <si>
    <t>TEXTURE</t>
  </si>
  <si>
    <t>THAILAND</t>
  </si>
  <si>
    <t>THAN</t>
  </si>
  <si>
    <t>| conj.: Used to introduce the second member of a comparison, or to imply comparison</t>
  </si>
  <si>
    <t>THANK#1</t>
  </si>
  <si>
    <t>| 49% verb: To express gratitude, give thanks to</t>
  </si>
  <si>
    <t>THANK#2</t>
  </si>
  <si>
    <t>| 6% noun: Acknowledgement of gratitude</t>
  </si>
  <si>
    <t>THANK#3</t>
  </si>
  <si>
    <t>| 37% idiom-interj: "Thank you," "thanks"</t>
  </si>
  <si>
    <t>THANK#4</t>
  </si>
  <si>
    <t>| 8% idiom-noun: "Thanks to"--owing to</t>
  </si>
  <si>
    <t>THANKFUL</t>
  </si>
  <si>
    <t>THAT#1</t>
  </si>
  <si>
    <t>| 52% conj: "He saw that he must go," "it is certain that he will go," "the  fact that he will go is evident"</t>
  </si>
  <si>
    <t>THAT#2</t>
  </si>
  <si>
    <t>| 36% pron: "That is his mother," "points that are made"</t>
  </si>
  <si>
    <t>THAT#3</t>
  </si>
  <si>
    <t>DET DEM DEM2</t>
  </si>
  <si>
    <t>| 9% adj-adv: "That one stays," "buy two of that kind," "is it that important"</t>
  </si>
  <si>
    <t>THAT#4</t>
  </si>
  <si>
    <t>| 0% idiom: "For that matter"--handled by "matter"</t>
  </si>
  <si>
    <t>THE</t>
  </si>
  <si>
    <t>| def. art.: Used, esp. before a noun, with a specifying effect by contrast  with the article 'a'</t>
  </si>
  <si>
    <t>THEATER</t>
  </si>
  <si>
    <t>THEATRE</t>
  </si>
  <si>
    <t>THEE</t>
  </si>
  <si>
    <t>PRON DEF DEF2</t>
  </si>
  <si>
    <t>THEFT</t>
  </si>
  <si>
    <t>THEIR</t>
  </si>
  <si>
    <t>DET GEN S Thrdp Other</t>
  </si>
  <si>
    <t>| pronoun: Possessive form of 'they'</t>
  </si>
  <si>
    <t>THEIRS</t>
  </si>
  <si>
    <t>PRON S Thrdp Other</t>
  </si>
  <si>
    <t>THEM</t>
  </si>
  <si>
    <t>PRON DEF DEF2 S Thrdp Plrlp Other</t>
  </si>
  <si>
    <t>| pronoun: Object form of 'they'</t>
  </si>
  <si>
    <t>THEME</t>
  </si>
  <si>
    <t>THEMSELVES#1</t>
  </si>
  <si>
    <t>S Thrdp Other</t>
  </si>
  <si>
    <t>THEN</t>
  </si>
  <si>
    <t>| adv-noun: At or about that time, thereafter--in that case or event, that time</t>
  </si>
  <si>
    <t>THENCE</t>
  </si>
  <si>
    <t>THEOLOGICAL</t>
  </si>
  <si>
    <t>THEOLOGY</t>
  </si>
  <si>
    <t>THEORETICAL</t>
  </si>
  <si>
    <t>THEORY</t>
  </si>
  <si>
    <t>THERAPEUTIC</t>
  </si>
  <si>
    <t>THERAPIST</t>
  </si>
  <si>
    <t>THERAPY</t>
  </si>
  <si>
    <t>THERE#1</t>
  </si>
  <si>
    <t>| 60% pron: Existential operator--'there are 2 senses'</t>
  </si>
  <si>
    <t>THERE#2</t>
  </si>
  <si>
    <t>| 38% adv: Locative--in that place--'he was there'</t>
  </si>
  <si>
    <t>THEREAFTER</t>
  </si>
  <si>
    <t>THEREBY</t>
  </si>
  <si>
    <t>THEREFORE</t>
  </si>
  <si>
    <t>| adverb: So, thus, for this reason, consequently</t>
  </si>
  <si>
    <t>THEREFROM</t>
  </si>
  <si>
    <t>THEREIN</t>
  </si>
  <si>
    <t>THEREOF</t>
  </si>
  <si>
    <t>THEREON</t>
  </si>
  <si>
    <t>THERETO</t>
  </si>
  <si>
    <t>THEREUPON</t>
  </si>
  <si>
    <t>THERMOMUCLEAR</t>
  </si>
  <si>
    <t>THESE#1</t>
  </si>
  <si>
    <t>DET DEM DEM1 S PFREQ</t>
  </si>
  <si>
    <t>| 85% adj: "These things matter"</t>
  </si>
  <si>
    <t>THESE#2</t>
  </si>
  <si>
    <t>PRON INDEF S Plrlp Thrdp Impers</t>
  </si>
  <si>
    <t>| 13% pron: "These are nice"</t>
  </si>
  <si>
    <t>THEY</t>
  </si>
  <si>
    <t>PRON DEF DEF1 S Thrdp Plrlp Other</t>
  </si>
  <si>
    <t>| pronoun: Plural of he, she, or it.</t>
  </si>
  <si>
    <t>THICK</t>
  </si>
  <si>
    <t>THICKEN</t>
  </si>
  <si>
    <t>THICKNESS</t>
  </si>
  <si>
    <t>THIEF</t>
  </si>
  <si>
    <t>THIEVES</t>
  </si>
  <si>
    <t>THIN</t>
  </si>
  <si>
    <t>THING</t>
  </si>
  <si>
    <t>| noun: A tangible or intangible object, an entity, matter, state of affairs,  action, idea or Emotion</t>
  </si>
  <si>
    <t>THINK#1</t>
  </si>
  <si>
    <t>| 64% verb: To hold as an opinion, to suppose, believe, consider</t>
  </si>
  <si>
    <t>THINK#2</t>
  </si>
  <si>
    <t>| 28% verb: To conceive, imagine, cogitate, contemplate, talk to oneself</t>
  </si>
  <si>
    <t>THINK#3</t>
  </si>
  <si>
    <t>| 1% noun-adj: "Thinking"--cogitation, cogitating, thoughtful</t>
  </si>
  <si>
    <t>THINK#4</t>
  </si>
  <si>
    <t>| 6% noun: "Thought"--cogitation, or the results of cogitation, singly or  collectively</t>
  </si>
  <si>
    <t>THINKER</t>
  </si>
  <si>
    <t>THIRD#1</t>
  </si>
  <si>
    <t>| 83% noun-adj: The ordinal number</t>
  </si>
  <si>
    <t>THIRD#2</t>
  </si>
  <si>
    <t>| 11% noun: The fraction</t>
  </si>
  <si>
    <t>THIRD#3</t>
  </si>
  <si>
    <t>| 4% adv: "Third," "thirdly" - in the third place</t>
  </si>
  <si>
    <t>THIRST</t>
  </si>
  <si>
    <t>THIRSTY</t>
  </si>
  <si>
    <t>THIRTEEN</t>
  </si>
  <si>
    <t>| noun adjective: The cardinal number</t>
  </si>
  <si>
    <t>THIRTEENTH#1</t>
  </si>
  <si>
    <t>THIRTY</t>
  </si>
  <si>
    <t>THIS#1</t>
  </si>
  <si>
    <t>DET DEM DEM1</t>
  </si>
  <si>
    <t>| 65% adj-adv: "This job bothers me", "it is this far"</t>
  </si>
  <si>
    <t>THIS#2</t>
  </si>
  <si>
    <t>| 35% pron: "This is something else"</t>
  </si>
  <si>
    <t>THORN</t>
  </si>
  <si>
    <t>THORNY</t>
  </si>
  <si>
    <t>THOROUGH</t>
  </si>
  <si>
    <t>THOSE#1</t>
  </si>
  <si>
    <t>DET DEM DEM2 S</t>
  </si>
  <si>
    <t>| 43% adj: "Those things matter"</t>
  </si>
  <si>
    <t>THOSE#2</t>
  </si>
  <si>
    <t>| 56% pron: "Those are nice"</t>
  </si>
  <si>
    <t>THOU</t>
  </si>
  <si>
    <t>PRON DEF DEF1</t>
  </si>
  <si>
    <t>| pron: You - second person pronoun</t>
  </si>
  <si>
    <t>THOUGH#1</t>
  </si>
  <si>
    <t>| 61% conj: Although, notwithstanding the fact that, despite the fact that</t>
  </si>
  <si>
    <t>THOUGH#2</t>
  </si>
  <si>
    <t>| 20% idiom-conj: 'as though'--as if</t>
  </si>
  <si>
    <t>THOUGH#3</t>
  </si>
  <si>
    <t>| 19% adv: However--'i'm tired, though.'</t>
  </si>
  <si>
    <t>THOUGHT#1</t>
  </si>
  <si>
    <t>THOUGHTFUL</t>
  </si>
  <si>
    <t>THOUGHTFULNESS</t>
  </si>
  <si>
    <t>THOUGHTLESS</t>
  </si>
  <si>
    <t>THOUSAND#1</t>
  </si>
  <si>
    <t>| 75% noun-adj: The cardinal number</t>
  </si>
  <si>
    <t>THOUSAND#2</t>
  </si>
  <si>
    <t>PRON S</t>
  </si>
  <si>
    <t>| 25% pronoun: "Thousands"</t>
  </si>
  <si>
    <t>THOUSANDTH#1</t>
  </si>
  <si>
    <t>THRASH</t>
  </si>
  <si>
    <t>THREAT</t>
  </si>
  <si>
    <t>| noun: A menace</t>
  </si>
  <si>
    <t>THREATEN</t>
  </si>
  <si>
    <t>| verb: To menace</t>
  </si>
  <si>
    <t>THREE</t>
  </si>
  <si>
    <t>THREE-DIMENSIONAL</t>
  </si>
  <si>
    <t>THRESHOLD</t>
  </si>
  <si>
    <t>THREW#1</t>
  </si>
  <si>
    <t>THRIFT</t>
  </si>
  <si>
    <t>THRIFTY</t>
  </si>
  <si>
    <t>THRILL</t>
  </si>
  <si>
    <t>THRIVE</t>
  </si>
  <si>
    <t>THRIVING</t>
  </si>
  <si>
    <t>THROAT</t>
  </si>
  <si>
    <t>THRONE</t>
  </si>
  <si>
    <t>THROUGH#1</t>
  </si>
  <si>
    <t>| 65% prep-adv: From one position to another, in space or time--'a walk  through the woods,' 'we waited through the night'</t>
  </si>
  <si>
    <t>THROUGH#2</t>
  </si>
  <si>
    <t>| 28% prep: Indicating instrumentality, including agency--'through great  effort we succeeded,' 'he sent a message through max'</t>
  </si>
  <si>
    <t>THROUGH#3</t>
  </si>
  <si>
    <t>| 2% adj-adv: Finished--'i'm through with this word,' 'we finally got through  working'</t>
  </si>
  <si>
    <t>THROUGH#4</t>
  </si>
  <si>
    <t>| 2% idiom-verb: "Follow through"--to proceed in an endeavor and pursue  it to a solution or conclusion--handled by "follow"</t>
  </si>
  <si>
    <t>THROUGH#5</t>
  </si>
  <si>
    <t>| 2% idiom-verb: "Carry through"--to execute or accomplish--handled by "carry"</t>
  </si>
  <si>
    <t>THROUGHOUT</t>
  </si>
  <si>
    <t>| prep-adv: Everywhere, from beginning to end</t>
  </si>
  <si>
    <t>THROW#1</t>
  </si>
  <si>
    <t>| 85% verb: To hurl, to toss</t>
  </si>
  <si>
    <t>THROW#2</t>
  </si>
  <si>
    <t>| 1% verb-idiom: "Throw the game" - to arrange to lose</t>
  </si>
  <si>
    <t>THROW#3</t>
  </si>
  <si>
    <t>| 1% verb: "Throw up" - to vomit</t>
  </si>
  <si>
    <t>THROW#4</t>
  </si>
  <si>
    <t>| 7% verb: "Throw away" - to discard</t>
  </si>
  <si>
    <t>THROW#5</t>
  </si>
  <si>
    <t>| 5% verb: "Throw out"--to expel</t>
  </si>
  <si>
    <t>THROW#6</t>
  </si>
  <si>
    <t>| 1% verb: "Throw a party" - to organize or sponsor a party</t>
  </si>
  <si>
    <t>THROWN#1</t>
  </si>
  <si>
    <t>THRUST#1</t>
  </si>
  <si>
    <t>THRUST#2</t>
  </si>
  <si>
    <t>THUD</t>
  </si>
  <si>
    <t>THUMB</t>
  </si>
  <si>
    <t>THUNDER</t>
  </si>
  <si>
    <t>THURSDAY</t>
  </si>
  <si>
    <t>THUS</t>
  </si>
  <si>
    <t>| adverb: So, accordingly, in this manner, to this extent or degree, consequently,  therefore</t>
  </si>
  <si>
    <t>THWART</t>
  </si>
  <si>
    <t>THY</t>
  </si>
  <si>
    <t>THYROID</t>
  </si>
  <si>
    <t>TICKET</t>
  </si>
  <si>
    <t>TIDE</t>
  </si>
  <si>
    <t>TIE#1</t>
  </si>
  <si>
    <t>| 79% verb: To bind or connect with something</t>
  </si>
  <si>
    <t>TIE#2</t>
  </si>
  <si>
    <t>| 8% noun: A piece of clothing</t>
  </si>
  <si>
    <t>TIE#3</t>
  </si>
  <si>
    <t>| 13% noun: A connection or association with some person or thing</t>
  </si>
  <si>
    <t>TIE#4</t>
  </si>
  <si>
    <t>| 0% verb: To make even (i.e. the score)</t>
  </si>
  <si>
    <t>TIGER</t>
  </si>
  <si>
    <t>| noun: The animal of india with black and orange stripes</t>
  </si>
  <si>
    <t>TIGHT</t>
  </si>
  <si>
    <t>TILL#1</t>
  </si>
  <si>
    <t>| 27% prep: Until--up to a time</t>
  </si>
  <si>
    <t>TILL#2</t>
  </si>
  <si>
    <t>| 71% conj: Until--to the time that or when</t>
  </si>
  <si>
    <t>TILL#3</t>
  </si>
  <si>
    <t>| 0% verb: To cultivate</t>
  </si>
  <si>
    <t>TIMBER</t>
  </si>
  <si>
    <t>TIME#1</t>
  </si>
  <si>
    <t>| 70% noun-adj: A general sense of time, an unspecified stretch or amount  of time, a while; a relatively specific moment or period--'at that time' (387)</t>
  </si>
  <si>
    <t>TIME#2</t>
  </si>
  <si>
    <t>| 3% noun: Some period of time as subjectively experienced--'a good time'</t>
  </si>
  <si>
    <t>TIME#3</t>
  </si>
  <si>
    <t>| 18% noun: An occasion, especially of a recurring event--"he fell three times"</t>
  </si>
  <si>
    <t>TIME#4</t>
  </si>
  <si>
    <t>| 0% verb: To ascertain the duration of something</t>
  </si>
  <si>
    <t>TIME#5</t>
  </si>
  <si>
    <t>| 1% idiom-adv: 'on time'--punctual</t>
  </si>
  <si>
    <t>TIME#6</t>
  </si>
  <si>
    <t>| 0% idiom: 'ahead of time'--soon enough, before some deadline</t>
  </si>
  <si>
    <t>TIME#7</t>
  </si>
  <si>
    <t>| 0% idiom: 'about time'--overdue</t>
  </si>
  <si>
    <t>TIME#8</t>
  </si>
  <si>
    <t>| 0% idiom: 'for the time being'--for now</t>
  </si>
  <si>
    <t>TIME#9</t>
  </si>
  <si>
    <t>| 0% noun: Rhythm--'keep time with the music'</t>
  </si>
  <si>
    <t>TIME#_10</t>
  </si>
  <si>
    <t>| 0% adj: 'timely'</t>
  </si>
  <si>
    <t>TIME#_11</t>
  </si>
  <si>
    <t>| 0% idiom-verb: 'take (one's) time'--proceed unhurriedly</t>
  </si>
  <si>
    <t>TIME#_12</t>
  </si>
  <si>
    <t>| 1% idiom-adv: 'from time to time'--occasionally</t>
  </si>
  <si>
    <t>TIME#_13</t>
  </si>
  <si>
    <t>| 0% verb: Multiplication symbol--'three times as big'</t>
  </si>
  <si>
    <t>TIME#_14</t>
  </si>
  <si>
    <t>| 0% idiom-adv: "Time and (time) again"--repeatedly</t>
  </si>
  <si>
    <t>TIME#_15</t>
  </si>
  <si>
    <t>| 0% noun: 'timing'</t>
  </si>
  <si>
    <t>TIME#_16</t>
  </si>
  <si>
    <t>| 1% idiom: 'once upon a time'--handled by 'once'</t>
  </si>
  <si>
    <t>TIME#_17</t>
  </si>
  <si>
    <t>| 0% idiom-adj: "High time"--none too soon--handled by "high"</t>
  </si>
  <si>
    <t>TIME#_18</t>
  </si>
  <si>
    <t>| 0% idiom-verb: "Mark time"--to wait--handled by "mark"</t>
  </si>
  <si>
    <t>TIMER</t>
  </si>
  <si>
    <t>TIMID</t>
  </si>
  <si>
    <t>TIMIDITY</t>
  </si>
  <si>
    <t>TIN</t>
  </si>
  <si>
    <t>TINGLE#1</t>
  </si>
  <si>
    <t>TINGLE#2</t>
  </si>
  <si>
    <t>TINY</t>
  </si>
  <si>
    <t>TIRE#1</t>
  </si>
  <si>
    <t>| 63% noun: The wheel covering</t>
  </si>
  <si>
    <t>TIRE#2</t>
  </si>
  <si>
    <t>| 0% verb: To fatigue</t>
  </si>
  <si>
    <t>TIRE#3</t>
  </si>
  <si>
    <t>| 13% verb: To become bored or disinterested--"tire of"</t>
  </si>
  <si>
    <t>TIRE#4</t>
  </si>
  <si>
    <t>| 25% adj: "Tiring"--exhausting</t>
  </si>
  <si>
    <t>TIRED#1</t>
  </si>
  <si>
    <t>| 70% adj: Weary, exhausted, fatigued</t>
  </si>
  <si>
    <t>TIRED#2</t>
  </si>
  <si>
    <t>| 27% adj: Exhausted in patience or interest, bored--"tired of doing this"</t>
  </si>
  <si>
    <t>TIRED#3</t>
  </si>
  <si>
    <t>| 4% verb: To become weary or exhausted</t>
  </si>
  <si>
    <t>TIRED#4</t>
  </si>
  <si>
    <t>| 0% verb: To become bored or uninterested</t>
  </si>
  <si>
    <t>TIRESOME</t>
  </si>
  <si>
    <t>TITLE</t>
  </si>
  <si>
    <t>TNT</t>
  </si>
  <si>
    <t>TO#1</t>
  </si>
  <si>
    <t>SUPV VERB TO</t>
  </si>
  <si>
    <t>| 61% infinitive: Infinitive</t>
  </si>
  <si>
    <t>TO#2</t>
  </si>
  <si>
    <t>| 31% prep: Preposition</t>
  </si>
  <si>
    <t>TO#3</t>
  </si>
  <si>
    <t>| 1% idiom-verb: "Have to do with"--have relevance to--handled by "do"</t>
  </si>
  <si>
    <t>TO#4</t>
  </si>
  <si>
    <t>TO#5</t>
  </si>
  <si>
    <t>| 0% idiom-adj: "Down to earth"--realistic--handled by "earth"</t>
  </si>
  <si>
    <t>TO#6</t>
  </si>
  <si>
    <t>| 0% idiom: "Eye to eye"--in agreement--handled by "eye"</t>
  </si>
  <si>
    <t>TO#7</t>
  </si>
  <si>
    <t>| 0% idiom-adv: "Face to face"--handled by "face"</t>
  </si>
  <si>
    <t>TO#8</t>
  </si>
  <si>
    <t>| 1% idiom-verb: "Fixing to"--planning or preparing to do something--handled by "fix"</t>
  </si>
  <si>
    <t>TO#9</t>
  </si>
  <si>
    <t>| 0% idiom-verb: "Get around to"--eventually consider or act on--handled by "get"</t>
  </si>
  <si>
    <t>TO#_10</t>
  </si>
  <si>
    <t>| 0% idiom-modal: "(have) got to"--must--handled by "get"</t>
  </si>
  <si>
    <t>TO#_11</t>
  </si>
  <si>
    <t>| 0% idiom-adj: "Heart to heart"--intimate--handled by "heart"</t>
  </si>
  <si>
    <t>TO#_12</t>
  </si>
  <si>
    <t>| 0% idiom-verb: "Hung on to"--clung to--handled by "hung"</t>
  </si>
  <si>
    <t>TO#_13</t>
  </si>
  <si>
    <t>| 0% idiom-adv: "To be sure"--certainly--handled by "sure"</t>
  </si>
  <si>
    <t>TO#_14</t>
  </si>
  <si>
    <t>| 1% idiom-adj: "Bound to"--certain, destined--handled by "bound"</t>
  </si>
  <si>
    <t>TO#_15</t>
  </si>
  <si>
    <t>| 0% idiom-verb: "Come to pass"--handled by "come"</t>
  </si>
  <si>
    <t>TO#_16</t>
  </si>
  <si>
    <t>| 0% idiom-interj: "To say the least"--handled by "say"</t>
  </si>
  <si>
    <t>TO#_17</t>
  </si>
  <si>
    <t>| 0% idiom-verb: "Live up to"--satisfy expectations--handled by "live"</t>
  </si>
  <si>
    <t>TO#_18</t>
  </si>
  <si>
    <t>| 0% idiom-verb: "Look up to"--respect or esteem--handled by "look"</t>
  </si>
  <si>
    <t>TO#_19</t>
  </si>
  <si>
    <t>| 2% idiom-verb: "Manage to"--to succeed in accomplishing--handled by "manage"</t>
  </si>
  <si>
    <t>TO#_20</t>
  </si>
  <si>
    <t>| 0% idiom-verb: "Bring to mind"--handled by "bring"</t>
  </si>
  <si>
    <t>TO#_21</t>
  </si>
  <si>
    <t>| 0% idiom-adv: "So to speak"--handled by "speak"</t>
  </si>
  <si>
    <t>TO#_22</t>
  </si>
  <si>
    <t>| 1% idiom-adv: "From time to time"--handled by "time"</t>
  </si>
  <si>
    <t>TO#_23</t>
  </si>
  <si>
    <t>| 0% idiom-adj: "True to"--faithful to--handled by "true"</t>
  </si>
  <si>
    <t>TOAST#1</t>
  </si>
  <si>
    <t>TOAST#2</t>
  </si>
  <si>
    <t>TOBACCO</t>
  </si>
  <si>
    <t>TODAY</t>
  </si>
  <si>
    <t>| adv: On this day, at the present time, the present day or era</t>
  </si>
  <si>
    <t>TOE</t>
  </si>
  <si>
    <t>TOGETHER</t>
  </si>
  <si>
    <t>| adverb: Into or in a condition of unity, compactness, or coherence, along with</t>
  </si>
  <si>
    <t>TOGETHERNESS</t>
  </si>
  <si>
    <t>TOGO</t>
  </si>
  <si>
    <t>TOIL</t>
  </si>
  <si>
    <t>TOILET</t>
  </si>
  <si>
    <t>TOLD#1</t>
  </si>
  <si>
    <t>| verb: Past tense of "tell"--to relate a story or any pertinent fact, to speak</t>
  </si>
  <si>
    <t>TOLD#2</t>
  </si>
  <si>
    <t>| 0% idiom-adv: "All told"--in all</t>
  </si>
  <si>
    <t>TOLERABLE</t>
  </si>
  <si>
    <t>TOLERANCE</t>
  </si>
  <si>
    <t>TOLERANT</t>
  </si>
  <si>
    <t>TOLERATE</t>
  </si>
  <si>
    <t>TOLERATION</t>
  </si>
  <si>
    <t>TOLL</t>
  </si>
  <si>
    <t>TOMORROW</t>
  </si>
  <si>
    <t>| adv: The day after today, the future</t>
  </si>
  <si>
    <t>TON</t>
  </si>
  <si>
    <t>TONE</t>
  </si>
  <si>
    <t>TONGUE</t>
  </si>
  <si>
    <t>TONIGHT</t>
  </si>
  <si>
    <t>| noun-adv: This evening</t>
  </si>
  <si>
    <t>TOO#1</t>
  </si>
  <si>
    <t>| 31% adv: In addition, also, furthermore</t>
  </si>
  <si>
    <t>TOO#2</t>
  </si>
  <si>
    <t>| 67% adv: To an excessive degree or extent</t>
  </si>
  <si>
    <t>TOO#3</t>
  </si>
  <si>
    <t>| 1% adj: 'too bad'--unfortunate</t>
  </si>
  <si>
    <t>TOOK#1</t>
  </si>
  <si>
    <t>TOOTH</t>
  </si>
  <si>
    <t>TOP#1</t>
  </si>
  <si>
    <t>| 97% noun-adj: The highest point or part of anything, one who occupies  the highest position, highest in degree, situated at the highest point,  greatest, the upperside</t>
  </si>
  <si>
    <t>TOP#2</t>
  </si>
  <si>
    <t>| 3% verb: To cap or surpass</t>
  </si>
  <si>
    <t>TOPIC</t>
  </si>
  <si>
    <t>| noun: Subject or theme</t>
  </si>
  <si>
    <t>TOPMOST</t>
  </si>
  <si>
    <t>TOPPLE</t>
  </si>
  <si>
    <t>TORE#1</t>
  </si>
  <si>
    <t>TORMENT</t>
  </si>
  <si>
    <t>TORN#1</t>
  </si>
  <si>
    <t>TORRENT</t>
  </si>
  <si>
    <t>TORTUROUS</t>
  </si>
  <si>
    <t>TORY</t>
  </si>
  <si>
    <t>Noun LY</t>
  </si>
  <si>
    <t>TOSS</t>
  </si>
  <si>
    <t>TOTAL#1</t>
  </si>
  <si>
    <t>| 22% noun: Grand sum</t>
  </si>
  <si>
    <t>TOTAL#2</t>
  </si>
  <si>
    <t>| 3% verb: To add, to add up to</t>
  </si>
  <si>
    <t>TOTAL#3</t>
  </si>
  <si>
    <t>| 39% adj: Complete, intense</t>
  </si>
  <si>
    <t>TOTAL#4</t>
  </si>
  <si>
    <t>| 36% adv: "Totally"--completely, intensely</t>
  </si>
  <si>
    <t>TOTALITARIAN</t>
  </si>
  <si>
    <t>TOTALITARIANISM</t>
  </si>
  <si>
    <t>TOTEM</t>
  </si>
  <si>
    <t>TOUCH#1</t>
  </si>
  <si>
    <t>| 50% verb: To come into contact with</t>
  </si>
  <si>
    <t>TOUCH#10</t>
  </si>
  <si>
    <t>TOUCH#11</t>
  </si>
  <si>
    <t>TOUCH#12</t>
  </si>
  <si>
    <t>TOUCH#2</t>
  </si>
  <si>
    <t>| 13% noun: Physical contact</t>
  </si>
  <si>
    <t>TOUCH#3</t>
  </si>
  <si>
    <t>| 15% noun: Contact or communication--"in touch"</t>
  </si>
  <si>
    <t>TOUCH#4</t>
  </si>
  <si>
    <t>| 6% verb: "Touch on," "touch upon"--mention briefly or casually</t>
  </si>
  <si>
    <t>TOUCH#5</t>
  </si>
  <si>
    <t>| 4% noun: Small bit, smattering, increment of quantity, style, etc.</t>
  </si>
  <si>
    <t>TOUCH#6</t>
  </si>
  <si>
    <t>| 2% noun: A knack</t>
  </si>
  <si>
    <t>TOUCH#7</t>
  </si>
  <si>
    <t>| 4% idiom-adj: "Touch and go," precarious</t>
  </si>
  <si>
    <t>TOUCH#8</t>
  </si>
  <si>
    <t>| 2% idiom-noun: "Touch football"</t>
  </si>
  <si>
    <t>TOUCH#9</t>
  </si>
  <si>
    <t>| 2% idiom-noun: "Soft touch"--credulous person</t>
  </si>
  <si>
    <t>TOUCH#_10</t>
  </si>
  <si>
    <t>| 0% idiom-verb: "Touch up"</t>
  </si>
  <si>
    <t>TOUCH#_11</t>
  </si>
  <si>
    <t>| 2% adj: "Touched"--Emotionally moved</t>
  </si>
  <si>
    <t>TOUCH#_12</t>
  </si>
  <si>
    <t>| 0% adj: "Touching"--Emotionally moving</t>
  </si>
  <si>
    <t>TOUCHY</t>
  </si>
  <si>
    <t>TOUGH</t>
  </si>
  <si>
    <t>TOUR#1</t>
  </si>
  <si>
    <t>TOUR#2</t>
  </si>
  <si>
    <t>TOURIST</t>
  </si>
  <si>
    <t>TOWARD#1</t>
  </si>
  <si>
    <t>| 77% prep: To, in the direction of (including time)</t>
  </si>
  <si>
    <t>TOWARD#2</t>
  </si>
  <si>
    <t>| 20% prep: About, with respect to</t>
  </si>
  <si>
    <t>TOWER</t>
  </si>
  <si>
    <t>TOWERING</t>
  </si>
  <si>
    <t>TOWN</t>
  </si>
  <si>
    <t>| noun-adj: A thickly populated area, usually smaller than a city but larger  than a village</t>
  </si>
  <si>
    <t>TOWNSHIP</t>
  </si>
  <si>
    <t>TRACE#1</t>
  </si>
  <si>
    <t>TRACE#2</t>
  </si>
  <si>
    <t>TRACK#1</t>
  </si>
  <si>
    <t>TRACK#2</t>
  </si>
  <si>
    <t>TRACTOR</t>
  </si>
  <si>
    <t>TRADE#1</t>
  </si>
  <si>
    <t>| 82% noun-adj: The buying and selling of goods, commerce, exchange; or  particular classes of occupational skills--'the building trades,' etc. (6)</t>
  </si>
  <si>
    <t>TRADE#2</t>
  </si>
  <si>
    <t>| 14% verb: To buy, sell, exchange</t>
  </si>
  <si>
    <t>TRADER</t>
  </si>
  <si>
    <t>TRADITION</t>
  </si>
  <si>
    <t>TRADITIONAL</t>
  </si>
  <si>
    <t>TRADITIONALIST</t>
  </si>
  <si>
    <t>TRAFFIC</t>
  </si>
  <si>
    <t>TRAGEDY</t>
  </si>
  <si>
    <t>TRAGIC</t>
  </si>
  <si>
    <t>TRAIL#1</t>
  </si>
  <si>
    <t>TRAIL#2</t>
  </si>
  <si>
    <t>TRAIN#1</t>
  </si>
  <si>
    <t>| 23% noun: Railroad train and related carriers (camel, wagon--one each), retinue</t>
  </si>
  <si>
    <t>TRAIN#2</t>
  </si>
  <si>
    <t>TRAIN#3</t>
  </si>
  <si>
    <t>TRAIN#4</t>
  </si>
  <si>
    <t>| 10% adj: "Trained"--skilled, practiced</t>
  </si>
  <si>
    <t>TRAIN#5</t>
  </si>
  <si>
    <t>| 3% noun: A connected sequence of things--e.g. 'train of thought'</t>
  </si>
  <si>
    <t>TRAIT</t>
  </si>
  <si>
    <t>TRAITOR</t>
  </si>
  <si>
    <t>TRAMP</t>
  </si>
  <si>
    <t>TRAMPLE</t>
  </si>
  <si>
    <t>TRANQUIL</t>
  </si>
  <si>
    <t>TRANQUILITY</t>
  </si>
  <si>
    <t>TRANQUILLITY</t>
  </si>
  <si>
    <t>TRANSACTION</t>
  </si>
  <si>
    <t>TRANSCENDANT</t>
  </si>
  <si>
    <t>TRANSFER#1</t>
  </si>
  <si>
    <t>TRANSFER#2</t>
  </si>
  <si>
    <t>TRANSFERENCE</t>
  </si>
  <si>
    <t>TRANSFORM</t>
  </si>
  <si>
    <t>TRANSFORMATION</t>
  </si>
  <si>
    <t>TRANSGRESS</t>
  </si>
  <si>
    <t>TRANSIT</t>
  </si>
  <si>
    <t>TRANSITION</t>
  </si>
  <si>
    <t>TRANSLATE</t>
  </si>
  <si>
    <t>TRANSMIT</t>
  </si>
  <si>
    <t>TRANSOM</t>
  </si>
  <si>
    <t>TRANSPORT#1</t>
  </si>
  <si>
    <t>TRANSPORT#2</t>
  </si>
  <si>
    <t>TRANSPORTATION</t>
  </si>
  <si>
    <t>TRAP#1</t>
  </si>
  <si>
    <t>| 57% noun: Device for capturing or ensnaring</t>
  </si>
  <si>
    <t>TRAP#2</t>
  </si>
  <si>
    <t>| 43% verb: To capture or ensnare</t>
  </si>
  <si>
    <t>TRAUMA</t>
  </si>
  <si>
    <t>TRAUMATIC</t>
  </si>
  <si>
    <t>TRAVEL#1</t>
  </si>
  <si>
    <t>| 80% verb: To journey from place to place</t>
  </si>
  <si>
    <t>TRAVEL#2</t>
  </si>
  <si>
    <t>| 14% noun-adj: A journey from place to place</t>
  </si>
  <si>
    <t>TRAVEL#3</t>
  </si>
  <si>
    <t>| 6% noun-adj: "Traveling"--journeying</t>
  </si>
  <si>
    <t>TRAVEL#4</t>
  </si>
  <si>
    <t>| 0% adj: "Traveled"--experienced in travel; frequented in travel</t>
  </si>
  <si>
    <t>TRAVELER</t>
  </si>
  <si>
    <t>TRAVELLER#1</t>
  </si>
  <si>
    <t>TRAVERSE</t>
  </si>
  <si>
    <t>TRAY</t>
  </si>
  <si>
    <t>TREACHEROUS</t>
  </si>
  <si>
    <t>TREACHERY</t>
  </si>
  <si>
    <t>TREASON</t>
  </si>
  <si>
    <t>TREASONOUS</t>
  </si>
  <si>
    <t>TREASURE#1</t>
  </si>
  <si>
    <t>TREASURE#2</t>
  </si>
  <si>
    <t>TREASURER</t>
  </si>
  <si>
    <t>TREASURY</t>
  </si>
  <si>
    <t>TREAT#1</t>
  </si>
  <si>
    <t>| 95% verb: To deal with in a specified manner, minister to, handle</t>
  </si>
  <si>
    <t>TREAT#2</t>
  </si>
  <si>
    <t>| 5% noun: Anything that affords pleasure</t>
  </si>
  <si>
    <t>TREATISE</t>
  </si>
  <si>
    <t>TREATMENT</t>
  </si>
  <si>
    <t>TREATY</t>
  </si>
  <si>
    <t>| noun: An agreement between governments</t>
  </si>
  <si>
    <t>TREE</t>
  </si>
  <si>
    <t>| noun-adj: Plant</t>
  </si>
  <si>
    <t>TREMBLE</t>
  </si>
  <si>
    <t>TREMENDOUS#1</t>
  </si>
  <si>
    <t>| 78% adj: Great, enormous</t>
  </si>
  <si>
    <t>TREMENDOUS#2</t>
  </si>
  <si>
    <t>| 23% adv: "Tremendously--greatly, enormously</t>
  </si>
  <si>
    <t>TREND</t>
  </si>
  <si>
    <t>TRESPASS</t>
  </si>
  <si>
    <t>TRIAL</t>
  </si>
  <si>
    <t>TRIBAL</t>
  </si>
  <si>
    <t>| adj: Of or pertaining to a tribe</t>
  </si>
  <si>
    <t>TRIBE</t>
  </si>
  <si>
    <t>| noun: A group of people united by common ancestry or by common custom</t>
  </si>
  <si>
    <t>TRIBUNAL</t>
  </si>
  <si>
    <t>TRIBUTE</t>
  </si>
  <si>
    <t>TRICK#1</t>
  </si>
  <si>
    <t>TRICK#2</t>
  </si>
  <si>
    <t>TRIFLE</t>
  </si>
  <si>
    <t>TRIGGER</t>
  </si>
  <si>
    <t>TRILLION</t>
  </si>
  <si>
    <t>TRIM</t>
  </si>
  <si>
    <t>TRINIDAD</t>
  </si>
  <si>
    <t>TRIP#1</t>
  </si>
  <si>
    <t>| 92% noun: Journey, voyage</t>
  </si>
  <si>
    <t>TRIP#2</t>
  </si>
  <si>
    <t>| 8% verb: To stumble</t>
  </si>
  <si>
    <t>TRIUMPH#1</t>
  </si>
  <si>
    <t>TRIUMPH#2</t>
  </si>
  <si>
    <t>TRIUMPHAL</t>
  </si>
  <si>
    <t>TRIUMPHANT</t>
  </si>
  <si>
    <t>TRIVIAL</t>
  </si>
  <si>
    <t>TROOP</t>
  </si>
  <si>
    <t>TROPHY</t>
  </si>
  <si>
    <t>TROPICAL</t>
  </si>
  <si>
    <t>TROT#1</t>
  </si>
  <si>
    <t>TROT#2</t>
  </si>
  <si>
    <t>TROUBLE#1</t>
  </si>
  <si>
    <t>| 90% noun: Difficulty, annoyance, disturbance, malfunction</t>
  </si>
  <si>
    <t>TROUBLE#2</t>
  </si>
  <si>
    <t>| 5% verb: To disturb or worry</t>
  </si>
  <si>
    <t>TROUBLE#3</t>
  </si>
  <si>
    <t>| 5% adj: "Troubled"--disturbed</t>
  </si>
  <si>
    <t>TROUBLE#4</t>
  </si>
  <si>
    <t>| 1% adj: "Troubling"--disturbing</t>
  </si>
  <si>
    <t>TROUBLESOME</t>
  </si>
  <si>
    <t>TROUT</t>
  </si>
  <si>
    <t>TRUANT</t>
  </si>
  <si>
    <t>TRUCK</t>
  </si>
  <si>
    <t>TRUDGE</t>
  </si>
  <si>
    <t>TRUE#1</t>
  </si>
  <si>
    <t>| 83% adj: Genuine, valid, conforming to reality or fact, actual</t>
  </si>
  <si>
    <t>TRUE#2</t>
  </si>
  <si>
    <t>| 12% adverb: "Truly"--genuinely, correctly</t>
  </si>
  <si>
    <t>TRUE#3</t>
  </si>
  <si>
    <t>| 4% adj-idiom: "True to"--faithful to</t>
  </si>
  <si>
    <t>TRUE#4</t>
  </si>
  <si>
    <t>| 0% adj: "Truer"--comparative of sense 1</t>
  </si>
  <si>
    <t>TRUE#5</t>
  </si>
  <si>
    <t>| 1% adj: "Truest"--superlative of sense 1</t>
  </si>
  <si>
    <t>TRUMPET</t>
  </si>
  <si>
    <t>TRUNK</t>
  </si>
  <si>
    <t>TRUST#1</t>
  </si>
  <si>
    <t>| 46% verb: To place or have confidence in someone or something</t>
  </si>
  <si>
    <t>TRUST#2</t>
  </si>
  <si>
    <t>| 1% adj: "Trusting"--having confidence in, trustful</t>
  </si>
  <si>
    <t>TRUST#3</t>
  </si>
  <si>
    <t>| 0% adj: "Trusted"--reliable, believed in</t>
  </si>
  <si>
    <t>TRUST#4</t>
  </si>
  <si>
    <t>| 19% noun: The confidence placed in someone or something</t>
  </si>
  <si>
    <t>TRUST#5</t>
  </si>
  <si>
    <t>| 28% idiom-noun: "Trust fund"</t>
  </si>
  <si>
    <t>TRUST#6</t>
  </si>
  <si>
    <t>| 1% noun: Safekeeping</t>
  </si>
  <si>
    <t>TRUST#7</t>
  </si>
  <si>
    <t>| 0% adv: "Trustingly"--with trust</t>
  </si>
  <si>
    <t>TRUST#8</t>
  </si>
  <si>
    <t>| 0% noun: A monopolistic organization, usually economic</t>
  </si>
  <si>
    <t>TRUSTWORTHINESS</t>
  </si>
  <si>
    <t>TRUSTWORTHY</t>
  </si>
  <si>
    <t>TRUTH</t>
  </si>
  <si>
    <t>| noun-adj: Verity</t>
  </si>
  <si>
    <t>TRUTHFUL</t>
  </si>
  <si>
    <t>TRY#1</t>
  </si>
  <si>
    <t>| 98% verb: To attempt (infrequently</t>
  </si>
  <si>
    <t>TRY#2</t>
  </si>
  <si>
    <t>| 1% verb: To ascertain th rough judiciary means</t>
  </si>
  <si>
    <t>TRY#3</t>
  </si>
  <si>
    <t>| 0% noun: An attempt</t>
  </si>
  <si>
    <t>TRY#4</t>
  </si>
  <si>
    <t>| 0% verb: Put under duress--"that tried my patience"</t>
  </si>
  <si>
    <t>TRY#5</t>
  </si>
  <si>
    <t>| 0% adj: "Trying"--stressful</t>
  </si>
  <si>
    <t>TRY#6</t>
  </si>
  <si>
    <t>| 0% verb: "To try one's hand"--test one's skills</t>
  </si>
  <si>
    <t>TUBE</t>
  </si>
  <si>
    <t>TUESDAY</t>
  </si>
  <si>
    <t>TUMBLE#1</t>
  </si>
  <si>
    <t>TUMBLE#2</t>
  </si>
  <si>
    <t>TUNE</t>
  </si>
  <si>
    <t>TUNISIA</t>
  </si>
  <si>
    <t>TUNNEL</t>
  </si>
  <si>
    <t>TURBULENT</t>
  </si>
  <si>
    <t>TURKEY</t>
  </si>
  <si>
    <t>TURKISH</t>
  </si>
  <si>
    <t>TURMOIL</t>
  </si>
  <si>
    <t>TURN#1</t>
  </si>
  <si>
    <t>| 19% verb: Transitive--to rotate, cause to move around or change direction,  position, setting</t>
  </si>
  <si>
    <t>TURN#2</t>
  </si>
  <si>
    <t>| 35% verb: Intransitive--to move around, shift one's course or position  in some direction (toward, from, etc.); includes "turn to" meaning appeal to (4)</t>
  </si>
  <si>
    <t>TURN#3</t>
  </si>
  <si>
    <t>| 15% verb: To become, change--"turn cowardly and craven"</t>
  </si>
  <si>
    <t>TURN#4</t>
  </si>
  <si>
    <t>| 12% verb: "Turn out"--to produce as a result, to issue or result</t>
  </si>
  <si>
    <t>TURN#5</t>
  </si>
  <si>
    <t>| 1% verb: Become suddenly hostile--to "turn on," "turn upon"</t>
  </si>
  <si>
    <t>TURN#6</t>
  </si>
  <si>
    <t>| 14% noun: Opportunity (or duty) to do something (28); a place where a  course or road, etc., bends, a rotation or revolution or changing of position (10)</t>
  </si>
  <si>
    <t>TURN#7</t>
  </si>
  <si>
    <t>| 2% verb: "Turn in"--deliver up, submit, tender</t>
  </si>
  <si>
    <t>TURN#8</t>
  </si>
  <si>
    <t>| 0% verb: "Turn down"--to reject</t>
  </si>
  <si>
    <t>TURQUOISE</t>
  </si>
  <si>
    <t>| noun-adj: Semiprecious stone, its color</t>
  </si>
  <si>
    <t>TURTLE</t>
  </si>
  <si>
    <t>TUTELAGE</t>
  </si>
  <si>
    <t>TWELFTH#1</t>
  </si>
  <si>
    <t>TWELVE</t>
  </si>
  <si>
    <t>TWENTIETH#1</t>
  </si>
  <si>
    <t>TWENTIETH-CENTURY</t>
  </si>
  <si>
    <t>TWENTY</t>
  </si>
  <si>
    <t>TWICE#1</t>
  </si>
  <si>
    <t>| 76% adv: Two times, on two occasions</t>
  </si>
  <si>
    <t>TWICE#2</t>
  </si>
  <si>
    <t>| 24% adv: Two times, double, doubly</t>
  </si>
  <si>
    <t>TWILIGHT</t>
  </si>
  <si>
    <t>TWIN</t>
  </si>
  <si>
    <t>TWIST#1</t>
  </si>
  <si>
    <t>TWIST#2</t>
  </si>
  <si>
    <t>TWITCH</t>
  </si>
  <si>
    <t>TWO</t>
  </si>
  <si>
    <t>TYING#1</t>
  </si>
  <si>
    <t>ING</t>
  </si>
  <si>
    <t>TYPE#1</t>
  </si>
  <si>
    <t>| 89% noun-adj: A kind or class of something, a person or thing with definitive  features of a certain class</t>
  </si>
  <si>
    <t>TYPE#2</t>
  </si>
  <si>
    <t>| 2% verb: To print or typewrite</t>
  </si>
  <si>
    <t>TYPE#3</t>
  </si>
  <si>
    <t>| 0% verb: To classify</t>
  </si>
  <si>
    <t>TYPE#4</t>
  </si>
  <si>
    <t>| 9% noun-adj: "Typing"--typewriting</t>
  </si>
  <si>
    <t>TYPEWRITER</t>
  </si>
  <si>
    <t>TYPICAL</t>
  </si>
  <si>
    <t>| adj: Characteristic</t>
  </si>
  <si>
    <t>TYPOGRAPHY</t>
  </si>
  <si>
    <t>TYRANNICAL</t>
  </si>
  <si>
    <t>TYRANNY</t>
  </si>
  <si>
    <t>UGANDA</t>
  </si>
  <si>
    <t>UGH</t>
  </si>
  <si>
    <t>UGLY</t>
  </si>
  <si>
    <t>| adj: Unattractive, gross, offensive</t>
  </si>
  <si>
    <t>ULTIMATE#1</t>
  </si>
  <si>
    <t>| 41% adj: Eventual, final, maximal</t>
  </si>
  <si>
    <t>ULTIMATE#2</t>
  </si>
  <si>
    <t>| 59% adv: "Ultimately" - eventually, in the end</t>
  </si>
  <si>
    <t>ULTIMATUM</t>
  </si>
  <si>
    <t>UNABATED</t>
  </si>
  <si>
    <t>UNABLE</t>
  </si>
  <si>
    <t>| adj: Not able</t>
  </si>
  <si>
    <t>UNACCUSTOMED</t>
  </si>
  <si>
    <t>UNALTERED</t>
  </si>
  <si>
    <t>UNANIMITY</t>
  </si>
  <si>
    <t>UNANIMOUS</t>
  </si>
  <si>
    <t>UNARM</t>
  </si>
  <si>
    <t>UNASSURED</t>
  </si>
  <si>
    <t>UNATTRACTIVE</t>
  </si>
  <si>
    <t>UNAUTHENTIC</t>
  </si>
  <si>
    <t>UNAVOIDABLE</t>
  </si>
  <si>
    <t>UNAWARE</t>
  </si>
  <si>
    <t>UNBEARABLE</t>
  </si>
  <si>
    <t>UNBELIEVABLE</t>
  </si>
  <si>
    <t>UNBIND</t>
  </si>
  <si>
    <t>UNBOUND</t>
  </si>
  <si>
    <t>UNBROKEN</t>
  </si>
  <si>
    <t>UNCEASING</t>
  </si>
  <si>
    <t>UNCERTAIN</t>
  </si>
  <si>
    <t>UNCERTAINTY</t>
  </si>
  <si>
    <t>UNCHANGED</t>
  </si>
  <si>
    <t>UNCHECKED</t>
  </si>
  <si>
    <t>UNCIVIL</t>
  </si>
  <si>
    <t>UNCLE</t>
  </si>
  <si>
    <t>| noun: A brother of one's parent (in our society)</t>
  </si>
  <si>
    <t>UNCLEAN</t>
  </si>
  <si>
    <t>UNCLEAR</t>
  </si>
  <si>
    <t>UNCOMFORTABLE</t>
  </si>
  <si>
    <t>UNCOMMON</t>
  </si>
  <si>
    <t>UNCONDITIONAL</t>
  </si>
  <si>
    <t>UNCONQUERABLE</t>
  </si>
  <si>
    <t>UNCONSCIOUS</t>
  </si>
  <si>
    <t>UNCONTESTED</t>
  </si>
  <si>
    <t>UNCOUTH</t>
  </si>
  <si>
    <t>UNDAUNTED</t>
  </si>
  <si>
    <t>UNDECIDED</t>
  </si>
  <si>
    <t>UNDEFINED</t>
  </si>
  <si>
    <t>UNDENIABLE</t>
  </si>
  <si>
    <t>UNDEPENDABILITY</t>
  </si>
  <si>
    <t>UNDEPENDABLE</t>
  </si>
  <si>
    <t>UNDER#1</t>
  </si>
  <si>
    <t>| 51% prep-adv: Subject to the influence, authority, guidance, supervision  or direction of</t>
  </si>
  <si>
    <t>UNDER#2</t>
  </si>
  <si>
    <t>| 39% prep-adv: Beneath, below, less than</t>
  </si>
  <si>
    <t>UNDER#3</t>
  </si>
  <si>
    <t>| 0% idiom-adv: "Under way"--handled by "way"</t>
  </si>
  <si>
    <t>UNDERDEVELOPED</t>
  </si>
  <si>
    <t>UNDERGO</t>
  </si>
  <si>
    <t>UNDERGONE</t>
  </si>
  <si>
    <t>UNDERGRADUATE</t>
  </si>
  <si>
    <t>UNDERGROUND</t>
  </si>
  <si>
    <t>UNDERMINE</t>
  </si>
  <si>
    <t>UNDERSTAND#1</t>
  </si>
  <si>
    <t>| 65% verb: To comprehend</t>
  </si>
  <si>
    <t>UNDERSTAND#2</t>
  </si>
  <si>
    <t>| 35% noun-adj: "Understanding"--comprehension, agreement, empathy</t>
  </si>
  <si>
    <t>UNDERSTANDABLE</t>
  </si>
  <si>
    <t>UNDERSTOOD</t>
  </si>
  <si>
    <t>| verb: Past tense of 'understand'</t>
  </si>
  <si>
    <t>UNDERTAKE#1</t>
  </si>
  <si>
    <t>UNDERTAKE#2</t>
  </si>
  <si>
    <t>UNDERTAKEN</t>
  </si>
  <si>
    <t>UNDERTAKER</t>
  </si>
  <si>
    <t>UNDERTOOK</t>
  </si>
  <si>
    <t>UNDERWAY</t>
  </si>
  <si>
    <t>UNDERWENT</t>
  </si>
  <si>
    <t>UNDERWORLD</t>
  </si>
  <si>
    <t>UNDESIRABLE</t>
  </si>
  <si>
    <t>UNDETERMINED</t>
  </si>
  <si>
    <t>UNDID</t>
  </si>
  <si>
    <t>UNDIGNIFIED</t>
  </si>
  <si>
    <t>UNDISPUTED</t>
  </si>
  <si>
    <t>UNDISTURBED</t>
  </si>
  <si>
    <t>UNDIVIDED</t>
  </si>
  <si>
    <t>UNDO</t>
  </si>
  <si>
    <t>UNDONE</t>
  </si>
  <si>
    <t>UNDOUBTABLY</t>
  </si>
  <si>
    <t>UNDOUBTED</t>
  </si>
  <si>
    <t>UNDOUBTEDLY</t>
  </si>
  <si>
    <t>UNDUE</t>
  </si>
  <si>
    <t>UNEASINESS</t>
  </si>
  <si>
    <t>UNEASY</t>
  </si>
  <si>
    <t>UNECONOMICAL</t>
  </si>
  <si>
    <t>UNEMPLOYED</t>
  </si>
  <si>
    <t>UNEMPLOYMENT</t>
  </si>
  <si>
    <t>UNEQUAL</t>
  </si>
  <si>
    <t>UNEQUIVOCAL</t>
  </si>
  <si>
    <t>UNESCO</t>
  </si>
  <si>
    <t>UNEVEN</t>
  </si>
  <si>
    <t>UNEXPECTED</t>
  </si>
  <si>
    <t>UNEXPECTEDLY</t>
  </si>
  <si>
    <t>UNFAILING</t>
  </si>
  <si>
    <t>UNFAIR</t>
  </si>
  <si>
    <t>UNFAITHFUL</t>
  </si>
  <si>
    <t>UNFAMILIAR</t>
  </si>
  <si>
    <t>UNFAVORABLE</t>
  </si>
  <si>
    <t>UNFAVOURABLE#1</t>
  </si>
  <si>
    <t>UNFEELING</t>
  </si>
  <si>
    <t>UNFETTERED</t>
  </si>
  <si>
    <t>UNFINISHED</t>
  </si>
  <si>
    <t>UNFIT</t>
  </si>
  <si>
    <t>UNFORESEEN</t>
  </si>
  <si>
    <t>UNFORGETTABLE</t>
  </si>
  <si>
    <t>UNFORTUNATE#1</t>
  </si>
  <si>
    <t>| 49% adj: Unlucky, inauspicious</t>
  </si>
  <si>
    <t>UNFORTUNATE#2</t>
  </si>
  <si>
    <t>| 49% adv: "Unfortunately"--inauspiciously</t>
  </si>
  <si>
    <t>UNFORTUNATE#3</t>
  </si>
  <si>
    <t>| 3% noun: "Unfortunates" - unlucky people</t>
  </si>
  <si>
    <t>UNFRIENDLY</t>
  </si>
  <si>
    <t>UNGRATEFUL</t>
  </si>
  <si>
    <t>UNGUARDED</t>
  </si>
  <si>
    <t>UNHAPPILY</t>
  </si>
  <si>
    <t>UNHAPPINESS</t>
  </si>
  <si>
    <t>UNHAPPY</t>
  </si>
  <si>
    <t>| adj: Sad, unfortunate</t>
  </si>
  <si>
    <t>UNHEALTHY</t>
  </si>
  <si>
    <t>UNHURRIED</t>
  </si>
  <si>
    <t>UNICEF</t>
  </si>
  <si>
    <t>UNIFICATION</t>
  </si>
  <si>
    <t>UNIFORM</t>
  </si>
  <si>
    <t>UNIFY</t>
  </si>
  <si>
    <t>UNIMPAIRED</t>
  </si>
  <si>
    <t>UNIMPEACHABLE</t>
  </si>
  <si>
    <t>UNIMPORTANT</t>
  </si>
  <si>
    <t>UNINFORMED</t>
  </si>
  <si>
    <t>UNINTERRUPTED</t>
  </si>
  <si>
    <t>UNION#1</t>
  </si>
  <si>
    <t>| 18% noun-adj: A labor organization</t>
  </si>
  <si>
    <t>UNION#2</t>
  </si>
  <si>
    <t>| 31% noun-adj: The state of being united, usually a political union</t>
  </si>
  <si>
    <t>UNION#3</t>
  </si>
  <si>
    <t>| 41% idiom-noun: "Soviet union"</t>
  </si>
  <si>
    <t>UNIQUE</t>
  </si>
  <si>
    <t>UNISON</t>
  </si>
  <si>
    <t>UNIT</t>
  </si>
  <si>
    <t>UNITE#1</t>
  </si>
  <si>
    <t>| 4% verb: To join, combine, or incorporate so as to form a single whole or unit</t>
  </si>
  <si>
    <t>UNITE#2</t>
  </si>
  <si>
    <t>| 83% idiom-noun: "United states"</t>
  </si>
  <si>
    <t>UNITE#3</t>
  </si>
  <si>
    <t>| 1% idiom-noun: "United kingdom"</t>
  </si>
  <si>
    <t>UNITE#4</t>
  </si>
  <si>
    <t>| 4% idiom-noun: "United nations"</t>
  </si>
  <si>
    <t>UNITE#5</t>
  </si>
  <si>
    <t>| 6% adj: "United"--combined, linked, joined</t>
  </si>
  <si>
    <t>UNITED-NATIONS</t>
  </si>
  <si>
    <t>UNITED-STATES</t>
  </si>
  <si>
    <t>Noun POLIT ECON COLL PLACE AMER</t>
  </si>
  <si>
    <t>UNITY</t>
  </si>
  <si>
    <t>| noun: Oneness, solidarity</t>
  </si>
  <si>
    <t>UNIVERSAL</t>
  </si>
  <si>
    <t>UNIVERSE</t>
  </si>
  <si>
    <t>UNIVERSITY</t>
  </si>
  <si>
    <t>| noun-adj: An institution of learning of the highest level</t>
  </si>
  <si>
    <t>UNJUST</t>
  </si>
  <si>
    <t>UNJUSTIFIED</t>
  </si>
  <si>
    <t>UNKIND</t>
  </si>
  <si>
    <t>UNKNOWN</t>
  </si>
  <si>
    <t>| noun-adj: Not known</t>
  </si>
  <si>
    <t>UNLAWFUL</t>
  </si>
  <si>
    <t>UNLEASH</t>
  </si>
  <si>
    <t>UNLESS</t>
  </si>
  <si>
    <t>| conj: Except under the circumstances that</t>
  </si>
  <si>
    <t>UNLIKE</t>
  </si>
  <si>
    <t>UNLIKELIHOOD</t>
  </si>
  <si>
    <t>UNLIKELY</t>
  </si>
  <si>
    <t>UNLIMITED</t>
  </si>
  <si>
    <t>UNLUCKY</t>
  </si>
  <si>
    <t>UNMISTAKABLE</t>
  </si>
  <si>
    <t>UNMITIGATED</t>
  </si>
  <si>
    <t>UNMOVED</t>
  </si>
  <si>
    <t>UNNATURAL</t>
  </si>
  <si>
    <t>UNNECESSARY</t>
  </si>
  <si>
    <t>UNNERVE</t>
  </si>
  <si>
    <t>UNNOTICED</t>
  </si>
  <si>
    <t>UNOBSERVED</t>
  </si>
  <si>
    <t>UNPARALLELED</t>
  </si>
  <si>
    <t>UNPLEASANT</t>
  </si>
  <si>
    <t>UNPOPULAR</t>
  </si>
  <si>
    <t>UNPRECEDENTED</t>
  </si>
  <si>
    <t>UNPREDICTABLE</t>
  </si>
  <si>
    <t>UNPREPARED</t>
  </si>
  <si>
    <t>UNPROFITABLE</t>
  </si>
  <si>
    <t>UNPROVOKED</t>
  </si>
  <si>
    <t>UNQUALIFIED</t>
  </si>
  <si>
    <t>UNQUESTIONABLE</t>
  </si>
  <si>
    <t>UNQUESTIONED</t>
  </si>
  <si>
    <t>UNREAL</t>
  </si>
  <si>
    <t>UNREALISTIC</t>
  </si>
  <si>
    <t>UNREASONABLE</t>
  </si>
  <si>
    <t>UNRELIABILITY</t>
  </si>
  <si>
    <t>UNRELIABLE</t>
  </si>
  <si>
    <t>UNREMITTING</t>
  </si>
  <si>
    <t>UNREST</t>
  </si>
  <si>
    <t>UNRESTRICTED</t>
  </si>
  <si>
    <t>UNRULY</t>
  </si>
  <si>
    <t>UNSAFE</t>
  </si>
  <si>
    <t>UNSATISFACTORY</t>
  </si>
  <si>
    <t>UNSCRUPULOUS</t>
  </si>
  <si>
    <t>UNSEEN</t>
  </si>
  <si>
    <t>UNSELFISH</t>
  </si>
  <si>
    <t>UNSETTLING</t>
  </si>
  <si>
    <t>UNSHAKEN</t>
  </si>
  <si>
    <t>UNSOLVE</t>
  </si>
  <si>
    <t>UNSOUND</t>
  </si>
  <si>
    <t>UNSOUNDNESS</t>
  </si>
  <si>
    <t>UNSPEAKABLE</t>
  </si>
  <si>
    <t>UNSPECIFIED</t>
  </si>
  <si>
    <t>UNSTABLE</t>
  </si>
  <si>
    <t>UNSTEADINESS</t>
  </si>
  <si>
    <t>UNSTEADY</t>
  </si>
  <si>
    <t>UNSUCCESSFUL</t>
  </si>
  <si>
    <t>UNSUITABLE</t>
  </si>
  <si>
    <t>UNSURE</t>
  </si>
  <si>
    <t>UNSURENESS</t>
  </si>
  <si>
    <t>UNSURPASSABLE</t>
  </si>
  <si>
    <t>UNTIL#1</t>
  </si>
  <si>
    <t>| 27% prep: Up to a time</t>
  </si>
  <si>
    <t>UNTIL#2</t>
  </si>
  <si>
    <t>| 73% conj: Up to a time</t>
  </si>
  <si>
    <t>UNTIMELY</t>
  </si>
  <si>
    <t>UNTIRING</t>
  </si>
  <si>
    <t>UNTO</t>
  </si>
  <si>
    <t>UNTOLD</t>
  </si>
  <si>
    <t>UNTOUCHED</t>
  </si>
  <si>
    <t>UNTRAINED</t>
  </si>
  <si>
    <t>UNTRUE</t>
  </si>
  <si>
    <t>UNTRUSTWORTHY</t>
  </si>
  <si>
    <t>UNTRUTH</t>
  </si>
  <si>
    <t>UNUSUAL</t>
  </si>
  <si>
    <t>| adjective: Not common or ordinary.</t>
  </si>
  <si>
    <t>UNWAVERIMG</t>
  </si>
  <si>
    <t>UNWAVERING</t>
  </si>
  <si>
    <t>UNWILLING</t>
  </si>
  <si>
    <t>UNWILLINGNESS</t>
  </si>
  <si>
    <t>UNWISE</t>
  </si>
  <si>
    <t>UNWORTHY</t>
  </si>
  <si>
    <t>UP</t>
  </si>
  <si>
    <t>| prep-adv: Toward a higher, more prominent or final position, into or in  existence or operation (much less frequent)</t>
  </si>
  <si>
    <t>UPBEAT</t>
  </si>
  <si>
    <t>UPFRONT</t>
  </si>
  <si>
    <t>UPGRADE</t>
  </si>
  <si>
    <t>UPHEAVAL</t>
  </si>
  <si>
    <t>UPHELD</t>
  </si>
  <si>
    <t>UPHOLD</t>
  </si>
  <si>
    <t>UPLIFT</t>
  </si>
  <si>
    <t>UPON</t>
  </si>
  <si>
    <t>| prep: Used as equivalent for 'on'</t>
  </si>
  <si>
    <t>UPPER</t>
  </si>
  <si>
    <t>UPPERMOST</t>
  </si>
  <si>
    <t>UPRIGHT</t>
  </si>
  <si>
    <t>UPRISING</t>
  </si>
  <si>
    <t>UPROAR</t>
  </si>
  <si>
    <t>UPROOT</t>
  </si>
  <si>
    <t>UPSET#1</t>
  </si>
  <si>
    <t>| 62% adj: "Upset"--disturbed</t>
  </si>
  <si>
    <t>UPSET#2</t>
  </si>
  <si>
    <t>| 3% noun: Instance of being overturned, overthrown</t>
  </si>
  <si>
    <t>UPSET#3</t>
  </si>
  <si>
    <t>| 8% adj: "Upsetting"--disturbing</t>
  </si>
  <si>
    <t>UPSET#4</t>
  </si>
  <si>
    <t>| 14% verb: To disturb Emotionally (of persons)</t>
  </si>
  <si>
    <t>UPSET#5</t>
  </si>
  <si>
    <t>| 9% verb: To disrupt or overturn</t>
  </si>
  <si>
    <t>UPSIDE</t>
  </si>
  <si>
    <t>UPSTAIRS</t>
  </si>
  <si>
    <t>UPTURN</t>
  </si>
  <si>
    <t>UPWARD</t>
  </si>
  <si>
    <t>URAGUAY</t>
  </si>
  <si>
    <t>URANIUM</t>
  </si>
  <si>
    <t>URBAN</t>
  </si>
  <si>
    <t>URBANIZATION</t>
  </si>
  <si>
    <t>URGE#1</t>
  </si>
  <si>
    <t>URGE#2</t>
  </si>
  <si>
    <t>URGENCY</t>
  </si>
  <si>
    <t>URGENT</t>
  </si>
  <si>
    <t>US</t>
  </si>
  <si>
    <t>PRON DEF DEF2 S Plrlp</t>
  </si>
  <si>
    <t>| pronoun: Objective form of 'we'</t>
  </si>
  <si>
    <t>USA</t>
  </si>
  <si>
    <t>USABLE</t>
  </si>
  <si>
    <t>USE#1</t>
  </si>
  <si>
    <t>| 48% verb: To employ</t>
  </si>
  <si>
    <t>USE#2</t>
  </si>
  <si>
    <t>| 12% noun: Implementation, employment</t>
  </si>
  <si>
    <t>USE#3</t>
  </si>
  <si>
    <t>| 27% verb: Indicates prior behavior no longer performed, e.g. 'he used to do that'</t>
  </si>
  <si>
    <t>USE#4</t>
  </si>
  <si>
    <t>| 6% adj: Accustomed, e.g. 'he is used to that'</t>
  </si>
  <si>
    <t>USE#5</t>
  </si>
  <si>
    <t>| 5% noun: Purpose, avail, worth, function, utility</t>
  </si>
  <si>
    <t>USE#6</t>
  </si>
  <si>
    <t>| 0% adj: "Used"--second hand</t>
  </si>
  <si>
    <t>USE#7</t>
  </si>
  <si>
    <t>| 1% idiom-verb: "Use up"--to exhaust</t>
  </si>
  <si>
    <t>USEFUL</t>
  </si>
  <si>
    <t>USEFULNESS</t>
  </si>
  <si>
    <t>USELESS</t>
  </si>
  <si>
    <t>USER</t>
  </si>
  <si>
    <t>USSR</t>
  </si>
  <si>
    <t>USUAL#1</t>
  </si>
  <si>
    <t>| 22% adj: Habitual, customary, ordinary</t>
  </si>
  <si>
    <t>USUAL#2</t>
  </si>
  <si>
    <t>| 67% adv: "Usually"--habitually, customarily, ordinarily</t>
  </si>
  <si>
    <t>USUAL#3</t>
  </si>
  <si>
    <t>| 6% adv-idiom: 'as usual'--in the ordinary or expected manner</t>
  </si>
  <si>
    <t>USUAL#4</t>
  </si>
  <si>
    <t>| 5% adv-idiom: 'than usual'--in contrast with the ordinary or normal</t>
  </si>
  <si>
    <t>USURP</t>
  </si>
  <si>
    <t>UTAH</t>
  </si>
  <si>
    <t>UTILITARIAN</t>
  </si>
  <si>
    <t>UTILITY</t>
  </si>
  <si>
    <t>UTILIZATION</t>
  </si>
  <si>
    <t>UTILIZE</t>
  </si>
  <si>
    <t>UTMOST</t>
  </si>
  <si>
    <t>UTOPIA</t>
  </si>
  <si>
    <t>UTOPIAN</t>
  </si>
  <si>
    <t>UTTER</t>
  </si>
  <si>
    <t>UTTERANCE</t>
  </si>
  <si>
    <t>UTTERLY</t>
  </si>
  <si>
    <t>UTTERMOST</t>
  </si>
  <si>
    <t>VACATION#1</t>
  </si>
  <si>
    <t>| noun: A holiday from normal activity</t>
  </si>
  <si>
    <t>VACATION#2</t>
  </si>
  <si>
    <t>| 0% verb: To take a holiday</t>
  </si>
  <si>
    <t>VACATIONER</t>
  </si>
  <si>
    <t>VACILLATE</t>
  </si>
  <si>
    <t>VACUUM#1</t>
  </si>
  <si>
    <t>VACUUM#2</t>
  </si>
  <si>
    <t>VAGABOND</t>
  </si>
  <si>
    <t>VAGRANT</t>
  </si>
  <si>
    <t>VAGUE</t>
  </si>
  <si>
    <t>VAGUENESS</t>
  </si>
  <si>
    <t>VAIN</t>
  </si>
  <si>
    <t>VALE</t>
  </si>
  <si>
    <t>VALIANT</t>
  </si>
  <si>
    <t>VALID</t>
  </si>
  <si>
    <t>VALIDITY</t>
  </si>
  <si>
    <t>VALLEY</t>
  </si>
  <si>
    <t>VALOR</t>
  </si>
  <si>
    <t>VALUABLE</t>
  </si>
  <si>
    <t>VALUATION</t>
  </si>
  <si>
    <t>VALUE#1</t>
  </si>
  <si>
    <t>| 85% noun-adj: The relative worth, importance of a thing, significance,  import; size of a number (mat</t>
  </si>
  <si>
    <t>VALUE#2</t>
  </si>
  <si>
    <t>| 13% verb: To regard highly, esteem; to appraise the worth of something (0)</t>
  </si>
  <si>
    <t>VALUE#3</t>
  </si>
  <si>
    <t>| 2% adj: "Valued"--treasured</t>
  </si>
  <si>
    <t>VAN</t>
  </si>
  <si>
    <t>VANISH</t>
  </si>
  <si>
    <t>VANITY</t>
  </si>
  <si>
    <t>VANQUISH</t>
  </si>
  <si>
    <t>VANTAGE</t>
  </si>
  <si>
    <t>VARIABLE</t>
  </si>
  <si>
    <t>VARIATION</t>
  </si>
  <si>
    <t>VARIETY</t>
  </si>
  <si>
    <t>VARIOUS</t>
  </si>
  <si>
    <t>| adjective: Differing, numerous</t>
  </si>
  <si>
    <t>VARY#1</t>
  </si>
  <si>
    <t>VARY#2</t>
  </si>
  <si>
    <t>VAST</t>
  </si>
  <si>
    <t>| adj: Very large, enormous</t>
  </si>
  <si>
    <t>VASTNESS</t>
  </si>
  <si>
    <t>VECTOR</t>
  </si>
  <si>
    <t>VEGETABLE</t>
  </si>
  <si>
    <t>VEHEMENT</t>
  </si>
  <si>
    <t>VEHICLE</t>
  </si>
  <si>
    <t>VEIL</t>
  </si>
  <si>
    <t>VEIN</t>
  </si>
  <si>
    <t>VELOCITY</t>
  </si>
  <si>
    <t>VENERABLE</t>
  </si>
  <si>
    <t>VENERATE</t>
  </si>
  <si>
    <t>VENEZUELA</t>
  </si>
  <si>
    <t>VENGEANCE</t>
  </si>
  <si>
    <t>VENOM</t>
  </si>
  <si>
    <t>VENOMOUS</t>
  </si>
  <si>
    <t>VENTRICLE</t>
  </si>
  <si>
    <t>VENTURE#1</t>
  </si>
  <si>
    <t>VENTURE#2</t>
  </si>
  <si>
    <t>VERANDA</t>
  </si>
  <si>
    <t>VERB</t>
  </si>
  <si>
    <t>VERBAL</t>
  </si>
  <si>
    <t>VERDICT</t>
  </si>
  <si>
    <t>VERIFICATION</t>
  </si>
  <si>
    <t>VERIFY</t>
  </si>
  <si>
    <t>VERITABLE</t>
  </si>
  <si>
    <t>VERMONT</t>
  </si>
  <si>
    <t>VERSATILE</t>
  </si>
  <si>
    <t>VERSATILITY</t>
  </si>
  <si>
    <t>VERSE</t>
  </si>
  <si>
    <t>VERSION</t>
  </si>
  <si>
    <t>VERSUS</t>
  </si>
  <si>
    <t>VERTICAL</t>
  </si>
  <si>
    <t>VERY#1</t>
  </si>
  <si>
    <t>| 93% adv: To a high or superlative degree</t>
  </si>
  <si>
    <t>VERY#2</t>
  </si>
  <si>
    <t>| 6% adj: Actual, precise, absolutely identical--'that very day'</t>
  </si>
  <si>
    <t>VERY#3</t>
  </si>
  <si>
    <t>| 1% idiom-interj: 'very well'--o.k., all right</t>
  </si>
  <si>
    <t>VESSEL</t>
  </si>
  <si>
    <t>VESTED</t>
  </si>
  <si>
    <t>VETERAN</t>
  </si>
  <si>
    <t>VETO</t>
  </si>
  <si>
    <t>VEX</t>
  </si>
  <si>
    <t>VEXATION</t>
  </si>
  <si>
    <t>VEXATIOUS</t>
  </si>
  <si>
    <t>VEXING</t>
  </si>
  <si>
    <t>VIA</t>
  </si>
  <si>
    <t>VIABILITY</t>
  </si>
  <si>
    <t>VIABLE</t>
  </si>
  <si>
    <t>VICE#1</t>
  </si>
  <si>
    <t>| 25% noun: Evil, wickedness, prurient pursuits</t>
  </si>
  <si>
    <t>VICE#2</t>
  </si>
  <si>
    <t>| 65% adj: Deputy--e.g. "vice president"</t>
  </si>
  <si>
    <t>VICE#3</t>
  </si>
  <si>
    <t>| 10% idiom-adv: "Vice versa" - conversely</t>
  </si>
  <si>
    <t>VICE-PRESIDENT</t>
  </si>
  <si>
    <t>Noun HU POLIT ECON</t>
  </si>
  <si>
    <t>VICINITY</t>
  </si>
  <si>
    <t>VICIOUS</t>
  </si>
  <si>
    <t>VICTIM</t>
  </si>
  <si>
    <t>VICTOR</t>
  </si>
  <si>
    <t>VICTORIOUS</t>
  </si>
  <si>
    <t>VICTORY</t>
  </si>
  <si>
    <t>| noun: Triumph</t>
  </si>
  <si>
    <t>VIE</t>
  </si>
  <si>
    <t>VIET</t>
  </si>
  <si>
    <t>VIETNAM</t>
  </si>
  <si>
    <t>VIEW#1</t>
  </si>
  <si>
    <t>| 15% noun: Sight or the range of sight--refers to what is or can be 'seen,'  physically or mentally, a picture</t>
  </si>
  <si>
    <t>VIEW#2</t>
  </si>
  <si>
    <t>| 49% noun: Opinion, attitude, viewpoint</t>
  </si>
  <si>
    <t>VIEW#3</t>
  </si>
  <si>
    <t>| 6% verb: To regard, observe, see</t>
  </si>
  <si>
    <t>VIEW#4</t>
  </si>
  <si>
    <t>| 19% idiom-noun: 'point of view'--viewpoint, opinion</t>
  </si>
  <si>
    <t>VIEW#5</t>
  </si>
  <si>
    <t>| 6% idiom: 'in view of'--considering</t>
  </si>
  <si>
    <t>VIEW#6</t>
  </si>
  <si>
    <t>| 1% idiom: 'with a view to'--with the aim of</t>
  </si>
  <si>
    <t>VIEWER</t>
  </si>
  <si>
    <t>VIEWPOINT</t>
  </si>
  <si>
    <t>VIGILANCE</t>
  </si>
  <si>
    <t>VIGILANT</t>
  </si>
  <si>
    <t>VIGOR</t>
  </si>
  <si>
    <t>VIGOROUS</t>
  </si>
  <si>
    <t>VIGOUR#1</t>
  </si>
  <si>
    <t>VILE</t>
  </si>
  <si>
    <t>VILLAGE</t>
  </si>
  <si>
    <t>| noun-adj: A small rural community</t>
  </si>
  <si>
    <t>VILLAGER</t>
  </si>
  <si>
    <t>VILLAIN</t>
  </si>
  <si>
    <t>VINDICATE</t>
  </si>
  <si>
    <t>VINDICATION</t>
  </si>
  <si>
    <t>VINDICTIVE</t>
  </si>
  <si>
    <t>VIOLATE</t>
  </si>
  <si>
    <t>VIOLATION</t>
  </si>
  <si>
    <t>VIOLENCE</t>
  </si>
  <si>
    <t>| noun: Fury, force, conflict</t>
  </si>
  <si>
    <t>VIOLENT</t>
  </si>
  <si>
    <t>VIOLIN</t>
  </si>
  <si>
    <t>| noun: A stringed musical instrument</t>
  </si>
  <si>
    <t>VIPER</t>
  </si>
  <si>
    <t>VIRGINIA</t>
  </si>
  <si>
    <t>VIRTUAL</t>
  </si>
  <si>
    <t>VIRTUE</t>
  </si>
  <si>
    <t>VIRTUOUS</t>
  </si>
  <si>
    <t>VISCOSITY</t>
  </si>
  <si>
    <t>VISIBLE</t>
  </si>
  <si>
    <t>VISION</t>
  </si>
  <si>
    <t>| noun: Sight, insight, apparition, image</t>
  </si>
  <si>
    <t>VISIONARY</t>
  </si>
  <si>
    <t>VISIT#1</t>
  </si>
  <si>
    <t>| 77% verb: To go and stay with someone or at some place for a short time</t>
  </si>
  <si>
    <t>VISIT#2</t>
  </si>
  <si>
    <t>| 19% noun: An instance of visiting</t>
  </si>
  <si>
    <t>VISIT#3</t>
  </si>
  <si>
    <t>| 5% noun-adj: "Visiting"--making a visit or visits</t>
  </si>
  <si>
    <t>VISITOR</t>
  </si>
  <si>
    <t>VISUAL</t>
  </si>
  <si>
    <t>VISUALIZATION</t>
  </si>
  <si>
    <t>VITAL</t>
  </si>
  <si>
    <t>| adj: Necessary, crucial</t>
  </si>
  <si>
    <t>VITALITY</t>
  </si>
  <si>
    <t>VITAMIN</t>
  </si>
  <si>
    <t>VIVACIOUS</t>
  </si>
  <si>
    <t>VIVID</t>
  </si>
  <si>
    <t>VOCABULARY</t>
  </si>
  <si>
    <t>VOCATIONAL</t>
  </si>
  <si>
    <t>VOICE#1</t>
  </si>
  <si>
    <t>| 88% noun: The sound or sounds uttered through the mouths of living creatures  esp. human beings</t>
  </si>
  <si>
    <t>VOICE#2</t>
  </si>
  <si>
    <t>| 7% verb: To give utterance or expression, to declare, proclaim</t>
  </si>
  <si>
    <t>VOID</t>
  </si>
  <si>
    <t>VOLATILE</t>
  </si>
  <si>
    <t>VOLATILITY</t>
  </si>
  <si>
    <t>VOLUME</t>
  </si>
  <si>
    <t>VOLUNTARILY</t>
  </si>
  <si>
    <t>VOLUNTARY</t>
  </si>
  <si>
    <t>VOLUNTEER#1</t>
  </si>
  <si>
    <t>| 96% noun-adj: A person who offers himself for a service or undertaking</t>
  </si>
  <si>
    <t>VOLUNTEER#2</t>
  </si>
  <si>
    <t>| 4% verb: To offer oneself for a service or undertaking</t>
  </si>
  <si>
    <t>VOMIT</t>
  </si>
  <si>
    <t>VOTE#1</t>
  </si>
  <si>
    <t>| 18% noun: A ballot, the political representation of an individual or an  elective body</t>
  </si>
  <si>
    <t>VOTE#2</t>
  </si>
  <si>
    <t>| 69% verb: To cast a ballot</t>
  </si>
  <si>
    <t>VOTE#3</t>
  </si>
  <si>
    <t>| 12% noun-adj: "Voting"</t>
  </si>
  <si>
    <t>VOTER</t>
  </si>
  <si>
    <t>| noun: One who votes</t>
  </si>
  <si>
    <t>VOUCHSAFE</t>
  </si>
  <si>
    <t>VOW</t>
  </si>
  <si>
    <t>VOYAGE</t>
  </si>
  <si>
    <t>VULGAR</t>
  </si>
  <si>
    <t>VULNERABILITY</t>
  </si>
  <si>
    <t>VULNERABLE</t>
  </si>
  <si>
    <t>VULTURE</t>
  </si>
  <si>
    <t>WAGE#1</t>
  </si>
  <si>
    <t>WAGE#2</t>
  </si>
  <si>
    <t>WAGON</t>
  </si>
  <si>
    <t>WAIL</t>
  </si>
  <si>
    <t>WAIST</t>
  </si>
  <si>
    <t>WAIT#1</t>
  </si>
  <si>
    <t>| 91% verb: To stay or rest in expectation or inaction, to be available  or in readiness, to be neglected or to postpone temporarily</t>
  </si>
  <si>
    <t>WAIT#2</t>
  </si>
  <si>
    <t>| 4% verb: "Wait on"--to serve</t>
  </si>
  <si>
    <t>WAIT#3</t>
  </si>
  <si>
    <t>| 2% noun-adj: "Wait," "waiting"--a period of staying in expectation, being  available or being postponed temporarily</t>
  </si>
  <si>
    <t>WAIT#4</t>
  </si>
  <si>
    <t>| 1% idiom-adj: "In wait"--in ambush</t>
  </si>
  <si>
    <t>WAITER</t>
  </si>
  <si>
    <t>WAKE#1</t>
  </si>
  <si>
    <t>| 80% verb: Become awake</t>
  </si>
  <si>
    <t>WAKE#2</t>
  </si>
  <si>
    <t>| 19% verb: Rouse from sleep</t>
  </si>
  <si>
    <t>WAKE#3</t>
  </si>
  <si>
    <t>| 0% noun: "Wake"--trail</t>
  </si>
  <si>
    <t>WAKE#4</t>
  </si>
  <si>
    <t>| 1% noun-adj: "Waking"--being or becoming awake</t>
  </si>
  <si>
    <t>WALK#1</t>
  </si>
  <si>
    <t>| 89% verb: To go or travel on foot at a moderate speed, proceed by steps</t>
  </si>
  <si>
    <t>WALK#2</t>
  </si>
  <si>
    <t>| 7% noun: A period of walking for exercise or pleasure, an amount of walking;  a place for walking (0)</t>
  </si>
  <si>
    <t>WALK#3</t>
  </si>
  <si>
    <t>| 2% idiom-verb: 'walk out'--to leave in protest</t>
  </si>
  <si>
    <t>WALK#4</t>
  </si>
  <si>
    <t>| 1% noun-adj: "Walking"--the act of going on foot</t>
  </si>
  <si>
    <t>WALK#5</t>
  </si>
  <si>
    <t>| 0% idiom-noun: 'walk of life'--one's occupation or position</t>
  </si>
  <si>
    <t>WALKER</t>
  </si>
  <si>
    <t>WALL#1</t>
  </si>
  <si>
    <t>| 97% noun-adj: Solid, upright structure for shelter, boundary, or barrier</t>
  </si>
  <si>
    <t>WALL#2</t>
  </si>
  <si>
    <t>| 3% idiom: Wall street--business district of new york city</t>
  </si>
  <si>
    <t>WALLOW</t>
  </si>
  <si>
    <t>WALLPAPER</t>
  </si>
  <si>
    <t>WALNUT</t>
  </si>
  <si>
    <t>WANDER</t>
  </si>
  <si>
    <t>| verb: To move or go aimlessly about, roam, ramble</t>
  </si>
  <si>
    <t>WANDERER</t>
  </si>
  <si>
    <t>WANE</t>
  </si>
  <si>
    <t>WANT#1</t>
  </si>
  <si>
    <t>| 0% noun: What is lacking, needs</t>
  </si>
  <si>
    <t>WANT#2</t>
  </si>
  <si>
    <t>| verb: To wish, desire, hope for</t>
  </si>
  <si>
    <t>WANT#3</t>
  </si>
  <si>
    <t>| 0% adj: "Wanted"--desired, required (occasionally)</t>
  </si>
  <si>
    <t>WANTON</t>
  </si>
  <si>
    <t>WAR</t>
  </si>
  <si>
    <t>WARD</t>
  </si>
  <si>
    <t>| noun: A section of an institution</t>
  </si>
  <si>
    <t>WARDROBE</t>
  </si>
  <si>
    <t>WARFARE</t>
  </si>
  <si>
    <t>WARLIKE</t>
  </si>
  <si>
    <t>WARM#1</t>
  </si>
  <si>
    <t>| 68% adj: Having or releasing a moderate degree of heat; characterized  by showing lively, friendly feeli</t>
  </si>
  <si>
    <t>WARM#2</t>
  </si>
  <si>
    <t>| 19% verb: To make or become physically warm, heat; to inspire with friendly  feelings or incite enthusiasm (2)</t>
  </si>
  <si>
    <t>WARM#3</t>
  </si>
  <si>
    <t>| 0% adv: "Warmly"</t>
  </si>
  <si>
    <t>WARM#4</t>
  </si>
  <si>
    <t>| 11% adj: "Warmer"--comparative of sense 1</t>
  </si>
  <si>
    <t>WARM#5</t>
  </si>
  <si>
    <t>| 0% adj: "Warmest"--superlative of sense 1</t>
  </si>
  <si>
    <t>WARMHEARTED</t>
  </si>
  <si>
    <t>WARMTH</t>
  </si>
  <si>
    <t>WARN#1</t>
  </si>
  <si>
    <t>| 15% noun: "Warning" - a notice of impending danger or misfortune</t>
  </si>
  <si>
    <t>WARN#2</t>
  </si>
  <si>
    <t>| 85% verb: To notify of impending danger or misfortune</t>
  </si>
  <si>
    <t>WARP</t>
  </si>
  <si>
    <t>WARRANT#1</t>
  </si>
  <si>
    <t>WARRANT#2</t>
  </si>
  <si>
    <t>WARRIOR</t>
  </si>
  <si>
    <t>WARTIME</t>
  </si>
  <si>
    <t>WARY</t>
  </si>
  <si>
    <t>WAS#1</t>
  </si>
  <si>
    <t>WASH#1</t>
  </si>
  <si>
    <t>| 85% verb: To clean</t>
  </si>
  <si>
    <t>WASH#2</t>
  </si>
  <si>
    <t>| 6% verb: To transport or move, as by water</t>
  </si>
  <si>
    <t>WASH#3</t>
  </si>
  <si>
    <t>| 4% noun-adj: Laundry, pertaining to same</t>
  </si>
  <si>
    <t>WASH#4</t>
  </si>
  <si>
    <t>| 2% noun: A sweep of water</t>
  </si>
  <si>
    <t>WASHER</t>
  </si>
  <si>
    <t>WASHINGTON</t>
  </si>
  <si>
    <t>WASTE#1</t>
  </si>
  <si>
    <t>| 34% noun-adj: Anything unproductive or improperly utilized</t>
  </si>
  <si>
    <t>WASTE#2</t>
  </si>
  <si>
    <t>| 66% verb: To use inefficiently or unproductively</t>
  </si>
  <si>
    <t>WASTEFUL</t>
  </si>
  <si>
    <t>WASTEFULNESS</t>
  </si>
  <si>
    <t>WATCH#1</t>
  </si>
  <si>
    <t>| 85% verb: To look at closely or attentively</t>
  </si>
  <si>
    <t>WATCH#2</t>
  </si>
  <si>
    <t>| 5% verb: To be careful or cautious--"watch yourself"</t>
  </si>
  <si>
    <t>WATCH#3</t>
  </si>
  <si>
    <t>| 3% noun: A timepiece</t>
  </si>
  <si>
    <t>WATCH#4</t>
  </si>
  <si>
    <t>| 4% idiom: "Watch out"--be careful of, guard against</t>
  </si>
  <si>
    <t>WATCH#5</t>
  </si>
  <si>
    <t>| 1% idiom: "Keep watch"</t>
  </si>
  <si>
    <t>WATCH#6</t>
  </si>
  <si>
    <t>| 1% verb-idiom: "Watch one's step"--be careful</t>
  </si>
  <si>
    <t>WATCHFUL</t>
  </si>
  <si>
    <t>WATER#1</t>
  </si>
  <si>
    <t>| 96% noun: H2o, pertaining to same</t>
  </si>
  <si>
    <t>WATER#2</t>
  </si>
  <si>
    <t>| 4% verb: To give, shed, or spray with water</t>
  </si>
  <si>
    <t>WATERFRONT</t>
  </si>
  <si>
    <t>WATERWAY</t>
  </si>
  <si>
    <t>WAVE#1</t>
  </si>
  <si>
    <t>WAVE#2</t>
  </si>
  <si>
    <t>WAVER</t>
  </si>
  <si>
    <t>WAX#1</t>
  </si>
  <si>
    <t>WAX#2</t>
  </si>
  <si>
    <t>WAY#1</t>
  </si>
  <si>
    <t>| 71% noun: Aspect, manner, mode, fashion, means, method</t>
  </si>
  <si>
    <t>WAY#10</t>
  </si>
  <si>
    <t>WAY#11</t>
  </si>
  <si>
    <t>WAY#12</t>
  </si>
  <si>
    <t>WAY#2</t>
  </si>
  <si>
    <t>| 16% noun: Direction, route, course, path</t>
  </si>
  <si>
    <t>WAY#3</t>
  </si>
  <si>
    <t>| 4% noun: Distance--'a long way,' 'all the way'</t>
  </si>
  <si>
    <t>WAY#4</t>
  </si>
  <si>
    <t>| 1% adv: Far--'way down the river'</t>
  </si>
  <si>
    <t>WAY#5</t>
  </si>
  <si>
    <t>| 1% idiom-verb: 'give way'--yield--handled by "give"</t>
  </si>
  <si>
    <t>WAY#6</t>
  </si>
  <si>
    <t>| 0% idiom-adv: 'by the way'--incidentally</t>
  </si>
  <si>
    <t>WAY#7</t>
  </si>
  <si>
    <t>| 0% idiom-adj: 'under way'--in progress</t>
  </si>
  <si>
    <t>WAY#8</t>
  </si>
  <si>
    <t>| 0% idiom-adj: 'in the family way'--pregnant</t>
  </si>
  <si>
    <t>WAY#9</t>
  </si>
  <si>
    <t>| 0% conj: 'in the way of'--as, as regards</t>
  </si>
  <si>
    <t>WAY#_10</t>
  </si>
  <si>
    <t>| 0% verb: 'have one's way'--prevail</t>
  </si>
  <si>
    <t>WAY#_11</t>
  </si>
  <si>
    <t>| 0% idiom-prep: 'by way of'--as a means or mode of</t>
  </si>
  <si>
    <t>WAY#_12</t>
  </si>
  <si>
    <t>| 0% verb: "Go out of one's way"--make an unusual effort</t>
  </si>
  <si>
    <t>WAYWARD</t>
  </si>
  <si>
    <t>WE</t>
  </si>
  <si>
    <t>PRON DEF DEF1 S Plrlp</t>
  </si>
  <si>
    <t>| pron: First person plural, nominative</t>
  </si>
  <si>
    <t>WEAK#1</t>
  </si>
  <si>
    <t>| 95% adj: Lacking strength</t>
  </si>
  <si>
    <t>WEAK#2</t>
  </si>
  <si>
    <t>| 5% adj: "Weaker", comparative of sense 1</t>
  </si>
  <si>
    <t>WEAKEN</t>
  </si>
  <si>
    <t>WEAKLY</t>
  </si>
  <si>
    <t>WEAKNESS</t>
  </si>
  <si>
    <t>WEALTH#1</t>
  </si>
  <si>
    <t>Noun ECON PFREQ</t>
  </si>
  <si>
    <t>WEALTH#2</t>
  </si>
  <si>
    <t>| 4% idiom-adj: "A wealth of"--many, multitudinous, much</t>
  </si>
  <si>
    <t>WEALTHY</t>
  </si>
  <si>
    <t>WEAPON</t>
  </si>
  <si>
    <t>| noun-adj: An instrument or tactic used for attack or defense in combat</t>
  </si>
  <si>
    <t>WEAR#1</t>
  </si>
  <si>
    <t>| 93% verb: To have on</t>
  </si>
  <si>
    <t>WEAR#2</t>
  </si>
  <si>
    <t>| 2% verb: To deteriorate, cause to deteriorate</t>
  </si>
  <si>
    <t>WEAR#3</t>
  </si>
  <si>
    <t>| 2% noun: Clothing</t>
  </si>
  <si>
    <t>WEAR#4</t>
  </si>
  <si>
    <t>| 0% noun: Deterioration, depreciation through continued employment</t>
  </si>
  <si>
    <t>WEARER</t>
  </si>
  <si>
    <t>WEARINESS</t>
  </si>
  <si>
    <t>WEARISOME</t>
  </si>
  <si>
    <t>WEARY</t>
  </si>
  <si>
    <t>WEATHER</t>
  </si>
  <si>
    <t>| noun-adj: The state of the atmosphere with respect to wind, temperature  cloudiness, moisture, pressure, etc.</t>
  </si>
  <si>
    <t>WED</t>
  </si>
  <si>
    <t>WEDDING</t>
  </si>
  <si>
    <t>WEDNESDAY</t>
  </si>
  <si>
    <t>WEE</t>
  </si>
  <si>
    <t>WEED</t>
  </si>
  <si>
    <t>WEEK</t>
  </si>
  <si>
    <t>| noun: A period of seven successive days, usually understood as beginning  on sunday and ending on saturday</t>
  </si>
  <si>
    <t>WEEKEND</t>
  </si>
  <si>
    <t>WEEKLY</t>
  </si>
  <si>
    <t>WEEP</t>
  </si>
  <si>
    <t>WEIGH</t>
  </si>
  <si>
    <t>WEIGHT#1</t>
  </si>
  <si>
    <t>| 83% noun-adj: Specific value in amount of heaviness; importance (8)</t>
  </si>
  <si>
    <t>WEIGHT#2</t>
  </si>
  <si>
    <t>| 9% verb: To add weight or importance</t>
  </si>
  <si>
    <t>WEIGHT#3</t>
  </si>
  <si>
    <t>| 9% noun: "To pull one's weight" to do one's share</t>
  </si>
  <si>
    <t>WEIRD</t>
  </si>
  <si>
    <t>WELCOME#1</t>
  </si>
  <si>
    <t>| 31% verb: To greet, receive or accept with pleasure</t>
  </si>
  <si>
    <t>WELCOME#2</t>
  </si>
  <si>
    <t>| 10% noun: A kindly greeting or reception</t>
  </si>
  <si>
    <t>WELCOME#3</t>
  </si>
  <si>
    <t>| 33% adj: "Welcome," "welcomed"--kindly received</t>
  </si>
  <si>
    <t>WELCOME#4</t>
  </si>
  <si>
    <t>| 24% noun-idiom: "Welcome wagon"</t>
  </si>
  <si>
    <t>WELCOME#5</t>
  </si>
  <si>
    <t>| 2% noun-adj: "Welcoming"--greeting kindly</t>
  </si>
  <si>
    <t>WELFARE#1</t>
  </si>
  <si>
    <t>| 52% noun: Well-being</t>
  </si>
  <si>
    <t>WELFARE#2</t>
  </si>
  <si>
    <t>| 44% noun-adj: Political-economic organizations of various kinds</t>
  </si>
  <si>
    <t>WELL#1</t>
  </si>
  <si>
    <t>| 60% interjec: E.g. "well, that's nice"--essentially meaningless interjection</t>
  </si>
  <si>
    <t>WELL#2</t>
  </si>
  <si>
    <t>| 20% adj-adv: Good, thorough, clearly, reasonably</t>
  </si>
  <si>
    <t>WELL#3</t>
  </si>
  <si>
    <t>| 4% prep-adv: "As well (as)"--in addition (to)</t>
  </si>
  <si>
    <t>WELL#4</t>
  </si>
  <si>
    <t>| 6% adj: Healthy</t>
  </si>
  <si>
    <t>WELL#5</t>
  </si>
  <si>
    <t>| 1% noun: Hole drilled into earth</t>
  </si>
  <si>
    <t>WELL#6</t>
  </si>
  <si>
    <t>| 0% verb: To overflow, gush</t>
  </si>
  <si>
    <t>WELL#7</t>
  </si>
  <si>
    <t>| 1% idiom-interj: "Very well," o.k., all right--handled by "very"</t>
  </si>
  <si>
    <t>WELL-BEING</t>
  </si>
  <si>
    <t>WELL-GROUNDED</t>
  </si>
  <si>
    <t>WELL-INFORMED</t>
  </si>
  <si>
    <t>WELL-KNOWN</t>
  </si>
  <si>
    <t>WENCH</t>
  </si>
  <si>
    <t>WENT#1</t>
  </si>
  <si>
    <t>WEPT</t>
  </si>
  <si>
    <t>WERE#1</t>
  </si>
  <si>
    <t>WEST</t>
  </si>
  <si>
    <t>| noun-adv-adj: The compass direction, in, of, to, toward or facing this  direction, the western part of the earth, especially west europe and north  america, the western part of the u.s.;</t>
  </si>
  <si>
    <t>WESTERN</t>
  </si>
  <si>
    <t>| adj: In, of, from or toward the west</t>
  </si>
  <si>
    <t>WESTERN-EUROPE</t>
  </si>
  <si>
    <t>WESTERNER</t>
  </si>
  <si>
    <t>WESTWARD</t>
  </si>
  <si>
    <t>WET</t>
  </si>
  <si>
    <t>WEU</t>
  </si>
  <si>
    <t>WHACK</t>
  </si>
  <si>
    <t>WHAT#1</t>
  </si>
  <si>
    <t>PRON INDEF INT PFREQ Rltvi</t>
  </si>
  <si>
    <t>| 91% pron: Interrogative and relative (interrogative about 20 )</t>
  </si>
  <si>
    <t>WHAT#2</t>
  </si>
  <si>
    <t>DET PRE PRE2 INT</t>
  </si>
  <si>
    <t>| 6% adj: Interrogative and relative--"what time is it," "tell me what suit to wear"</t>
  </si>
  <si>
    <t>WHAT#3</t>
  </si>
  <si>
    <t>| 2% adv: Intensifier--"what a pity," "what lovely flowers"</t>
  </si>
  <si>
    <t>WHATEVER#1</t>
  </si>
  <si>
    <t>| 28% adj: Whatsoever, at all--"none whatever," "nothing whatever," "whatever ideas"</t>
  </si>
  <si>
    <t>WHATEVER#2</t>
  </si>
  <si>
    <t>PRON INDEF Rltvi</t>
  </si>
  <si>
    <t>| 72% pron: Indefinite pronoun--anything, everything, what thing</t>
  </si>
  <si>
    <t>WHATSOEVER</t>
  </si>
  <si>
    <t>WHEAT</t>
  </si>
  <si>
    <t>WHEEL#1</t>
  </si>
  <si>
    <t>WHEEL#2</t>
  </si>
  <si>
    <t>WHEN</t>
  </si>
  <si>
    <t>CONJ CONJ2 INT</t>
  </si>
  <si>
    <t>| conj: At the time that, at what time</t>
  </si>
  <si>
    <t>WHENEVER</t>
  </si>
  <si>
    <t>| conj: At whatever time</t>
  </si>
  <si>
    <t>WHERE#1</t>
  </si>
  <si>
    <t>| 13% adv: In, at, to, or from what place or position</t>
  </si>
  <si>
    <t>WHERE#2</t>
  </si>
  <si>
    <t>| 86% conj: In, at, to, or from what place or position, or the place or  position in, at, to, or from which . . .</t>
  </si>
  <si>
    <t>WHERE#3</t>
  </si>
  <si>
    <t>| 0% pron: What place--"where do you come from"--interrogative</t>
  </si>
  <si>
    <t>WHEREAS</t>
  </si>
  <si>
    <t>WHEREBY</t>
  </si>
  <si>
    <t>WHEREIN</t>
  </si>
  <si>
    <t>WHEREVER</t>
  </si>
  <si>
    <t>| conj: In, at, to whatever place or condition</t>
  </si>
  <si>
    <t>WHETHER</t>
  </si>
  <si>
    <t>| conjunction: Used to introduce one or more alternatives</t>
  </si>
  <si>
    <t>WHICH</t>
  </si>
  <si>
    <t>PRON INDEF INT Rltvi</t>
  </si>
  <si>
    <t>| pron-adj: Relatives--"the book which you read"; adjectives--"i don't know  which book she read."</t>
  </si>
  <si>
    <t>WHIG</t>
  </si>
  <si>
    <t>WHILE#1</t>
  </si>
  <si>
    <t>| 29% noun: A period or interval of time</t>
  </si>
  <si>
    <t>WHILE#2</t>
  </si>
  <si>
    <t>| 69% conjunction: During or in the time that</t>
  </si>
  <si>
    <t>WHILE#3</t>
  </si>
  <si>
    <t>| 1% idiom-adj: "Worth while"; handled by "worth"</t>
  </si>
  <si>
    <t>WHIM</t>
  </si>
  <si>
    <t>WHIMPER</t>
  </si>
  <si>
    <t>WHIMSICAL</t>
  </si>
  <si>
    <t>WHINE</t>
  </si>
  <si>
    <t>WHIP#1</t>
  </si>
  <si>
    <t>| 38% noun: Instrument with long strips of leather bound together</t>
  </si>
  <si>
    <t>WHIP#2</t>
  </si>
  <si>
    <t>| 0% noun-adj: A beating</t>
  </si>
  <si>
    <t>WHIP#3</t>
  </si>
  <si>
    <t>| 50% verb: To hit, beat, drive, vanquish</t>
  </si>
  <si>
    <t>WHIP#4</t>
  </si>
  <si>
    <t>| 4% idiom-noun: "Whipping boy" - scapegoat</t>
  </si>
  <si>
    <t>WHIP#5</t>
  </si>
  <si>
    <t>| 4% idiom-verb: "Whip up" - stir up</t>
  </si>
  <si>
    <t>WHIRL</t>
  </si>
  <si>
    <t>WHISKY</t>
  </si>
  <si>
    <t>WHISPER#1</t>
  </si>
  <si>
    <t>WHISPER#2</t>
  </si>
  <si>
    <t>WHISTLE#1</t>
  </si>
  <si>
    <t>WHISTLE#2</t>
  </si>
  <si>
    <t>WHITE#1</t>
  </si>
  <si>
    <t>| 47% noun-adj: The color</t>
  </si>
  <si>
    <t>WHITE#2</t>
  </si>
  <si>
    <t>| 47% noun-adj: Caucasoid</t>
  </si>
  <si>
    <t>WHITE#3</t>
  </si>
  <si>
    <t>| 1% idiom-adj: 'white collar'</t>
  </si>
  <si>
    <t>WHITE#4</t>
  </si>
  <si>
    <t>| 1% idiom-adj: 'black and white'--clear cut--not handled</t>
  </si>
  <si>
    <t>WHITE#5</t>
  </si>
  <si>
    <t>| 2% adj: "(the) white house"--u.s. executive seat</t>
  </si>
  <si>
    <t>WHITE#6</t>
  </si>
  <si>
    <t>| 0% adj: "Whiter"--comparative of sense 1</t>
  </si>
  <si>
    <t>WHITE#7</t>
  </si>
  <si>
    <t>| 0% adj: "Whitest"--superlative of sense 1</t>
  </si>
  <si>
    <t>WHITE#8</t>
  </si>
  <si>
    <t>| 0% noun: Proper names--see comment</t>
  </si>
  <si>
    <t>WHO</t>
  </si>
  <si>
    <t>PRON DEF DEF1 INT Rltvp</t>
  </si>
  <si>
    <t>| pron: Personal pronoun (used primarily as relative pronoun; only about  4 per cent interrogatives)</t>
  </si>
  <si>
    <t>WHO'S</t>
  </si>
  <si>
    <t>PRON DEF DEF1 INT SUPV VERB BE Rltvp</t>
  </si>
  <si>
    <t>WHOEVER</t>
  </si>
  <si>
    <t>| pron: Whatever person</t>
  </si>
  <si>
    <t>WHOLE#1</t>
  </si>
  <si>
    <t>| 74% adj: Entire, total</t>
  </si>
  <si>
    <t>WHOLE#2</t>
  </si>
  <si>
    <t>| 11% adv: "As a whole"--in entirety</t>
  </si>
  <si>
    <t>WHOLE#3</t>
  </si>
  <si>
    <t>| 5% adv: "On the whole"--in general</t>
  </si>
  <si>
    <t>WHOLE#4</t>
  </si>
  <si>
    <t>| 3% idiom-noun: "A whole lot"--many, plenty</t>
  </si>
  <si>
    <t>WHOLE#5</t>
  </si>
  <si>
    <t>| 4% adv: "Wholly"--totally</t>
  </si>
  <si>
    <t>WHOLE#6</t>
  </si>
  <si>
    <t>| 5% noun: The totality</t>
  </si>
  <si>
    <t>WHOLE-HEARTED</t>
  </si>
  <si>
    <t>WHOLEHEARTED</t>
  </si>
  <si>
    <t>WHOLESALE</t>
  </si>
  <si>
    <t>WHOLESOME</t>
  </si>
  <si>
    <t>WHOM</t>
  </si>
  <si>
    <t>PRON DEF DEF2 INT Rltvp</t>
  </si>
  <si>
    <t>| pron: Objective form of 'who' (all relative)</t>
  </si>
  <si>
    <t>WHOSE</t>
  </si>
  <si>
    <t>DET GEN INT Rltvp</t>
  </si>
  <si>
    <t>| adj: Genitive--of which or of whom</t>
  </si>
  <si>
    <t>WHY#1</t>
  </si>
  <si>
    <t>| 43% adv: Interrogative--for what reason--'why did he go'</t>
  </si>
  <si>
    <t>WHY#2</t>
  </si>
  <si>
    <t>| 51% conj: The reason for which, for which--'that is why he went,' 'that  is the reason why'</t>
  </si>
  <si>
    <t>WHY#3</t>
  </si>
  <si>
    <t>| 4% interjec: 'why, that's ridiculous'</t>
  </si>
  <si>
    <t>WHY#4</t>
  </si>
  <si>
    <t>| 1% noun: A reason--'whys and wherefores'</t>
  </si>
  <si>
    <t>WICKED</t>
  </si>
  <si>
    <t>WICKEDNESS</t>
  </si>
  <si>
    <t>WIDE#1</t>
  </si>
  <si>
    <t>| 62% adj: Broad, far-reaching, inclusive</t>
  </si>
  <si>
    <t>WIDE#2</t>
  </si>
  <si>
    <t>| 14% adv: "Widely"--broadly</t>
  </si>
  <si>
    <t>WIDE#3</t>
  </si>
  <si>
    <t>| 3% idiom-adj: "Wide awake"--alert</t>
  </si>
  <si>
    <t>WIDE#4</t>
  </si>
  <si>
    <t>| 16% adj: "Wider"--comparative of sense 1</t>
  </si>
  <si>
    <t>WIDE#5</t>
  </si>
  <si>
    <t>| 0% adj: "Widest"--superlative of sense 1</t>
  </si>
  <si>
    <t>WIDEN</t>
  </si>
  <si>
    <t>WIDESPREAD</t>
  </si>
  <si>
    <t>WIDOW#1</t>
  </si>
  <si>
    <t>| 91% noun: A deceased man's wife</t>
  </si>
  <si>
    <t>WIDOW#2</t>
  </si>
  <si>
    <t>| 9% adj: "Widowed"--rendered a widow, husbandless</t>
  </si>
  <si>
    <t>WIDOWER</t>
  </si>
  <si>
    <t>WIDTH</t>
  </si>
  <si>
    <t>WIELD</t>
  </si>
  <si>
    <t>WIFE</t>
  </si>
  <si>
    <t>| noun: A man's spouse</t>
  </si>
  <si>
    <t>WILD#1</t>
  </si>
  <si>
    <t>| 80% adj: Untamed, undomesticated, uncontrolled</t>
  </si>
  <si>
    <t>WILD#2</t>
  </si>
  <si>
    <t>| 7% adj: "Wilder" - comparative of sense 1</t>
  </si>
  <si>
    <t>WILD#3</t>
  </si>
  <si>
    <t>| 2% adj: "Wildest" - superlative of sense 1</t>
  </si>
  <si>
    <t>WILD#4</t>
  </si>
  <si>
    <t>| 11% adv: "Wildly" - adverbial form of sense 1</t>
  </si>
  <si>
    <t>WILD#5</t>
  </si>
  <si>
    <t>| 0% noun: "Wilds"--wilderness</t>
  </si>
  <si>
    <t>WILDERNESS</t>
  </si>
  <si>
    <t>WILL#1</t>
  </si>
  <si>
    <t>| 98% verb: Modal indicating future</t>
  </si>
  <si>
    <t>WILL#2</t>
  </si>
  <si>
    <t>| 2% noun: The faculty or power of selecting one's actions--desire, wish, purpose</t>
  </si>
  <si>
    <t>WILL#3</t>
  </si>
  <si>
    <t>| 0% noun: Legal document</t>
  </si>
  <si>
    <t>WILLFUL</t>
  </si>
  <si>
    <t>WILLING</t>
  </si>
  <si>
    <t>| adj: "Willing"--disposed or consenting</t>
  </si>
  <si>
    <t>WILLINGNESS</t>
  </si>
  <si>
    <t>WILT</t>
  </si>
  <si>
    <t>WILY</t>
  </si>
  <si>
    <t>WIN#1</t>
  </si>
  <si>
    <t>| 93% verb: To gain, to gain a victory</t>
  </si>
  <si>
    <t>WIN#2</t>
  </si>
  <si>
    <t>| 2% noun-adj: "Winning" - victory, producing victory</t>
  </si>
  <si>
    <t>WIN#3</t>
  </si>
  <si>
    <t>| 5% noun: "Winnings" - profit, usually from gambling</t>
  </si>
  <si>
    <t>WIN#4</t>
  </si>
  <si>
    <t>| 0% noun: "Win" - a victory</t>
  </si>
  <si>
    <t>WINCE</t>
  </si>
  <si>
    <t>WIND#1</t>
  </si>
  <si>
    <t>| 87% noun: A movement of air</t>
  </si>
  <si>
    <t>WIND#2</t>
  </si>
  <si>
    <t>| 10% verb: To turn or twist</t>
  </si>
  <si>
    <t>WIND#3</t>
  </si>
  <si>
    <t>| 4% verb: "Wind up"--to end up, terminate, arrive at a certain condition</t>
  </si>
  <si>
    <t>WIND#4</t>
  </si>
  <si>
    <t>| 0% adj: "Winded"--out of breath</t>
  </si>
  <si>
    <t>WIND#5</t>
  </si>
  <si>
    <t>| 0% adj: "Winding"--twisting</t>
  </si>
  <si>
    <t>WINDOW</t>
  </si>
  <si>
    <t>WINDSHIELD</t>
  </si>
  <si>
    <t>WINE</t>
  </si>
  <si>
    <t>| noun: The fermented juice of various fruits or plants</t>
  </si>
  <si>
    <t>WING</t>
  </si>
  <si>
    <t>WINNER</t>
  </si>
  <si>
    <t>WINTER</t>
  </si>
  <si>
    <t>WIPE</t>
  </si>
  <si>
    <t>WIRE#1</t>
  </si>
  <si>
    <t>WIRE#2</t>
  </si>
  <si>
    <t>WISCONSON</t>
  </si>
  <si>
    <t>WISDOM</t>
  </si>
  <si>
    <t>WISE#1</t>
  </si>
  <si>
    <t>| 50% adj: Knowing, clever</t>
  </si>
  <si>
    <t>WISE#2</t>
  </si>
  <si>
    <t>| 20% adj: Comparative of sense 1 - "wiser"</t>
  </si>
  <si>
    <t>WISE#3</t>
  </si>
  <si>
    <t>| 10% adj: "Wisest" - superlative of sense 1</t>
  </si>
  <si>
    <t>WISE#4</t>
  </si>
  <si>
    <t>| 10% adv: "Wisely" - adverbial form of sense 1</t>
  </si>
  <si>
    <t>WISE#5</t>
  </si>
  <si>
    <t>| 5% verb-idiom: "Wise up" - become aware of the true situation</t>
  </si>
  <si>
    <t>WISH#1</t>
  </si>
  <si>
    <t>| 9% noun: A desire or hope</t>
  </si>
  <si>
    <t>WISH#2</t>
  </si>
  <si>
    <t>| 91% verb: To desire or hope for something</t>
  </si>
  <si>
    <t>WISHFUL</t>
  </si>
  <si>
    <t>WIT</t>
  </si>
  <si>
    <t>WITCH#1</t>
  </si>
  <si>
    <t>| 63% noun: A sorcerer or sorceress</t>
  </si>
  <si>
    <t>WITCH#2</t>
  </si>
  <si>
    <t>| 26% idiom-noun: "Witch doctor" - shaman</t>
  </si>
  <si>
    <t>WITCH#3</t>
  </si>
  <si>
    <t>| 9% verb: To cast spells upon</t>
  </si>
  <si>
    <t>WITCHCRAFT</t>
  </si>
  <si>
    <t>WITH</t>
  </si>
  <si>
    <t>| prep: Accompanying, by means of, regarding</t>
  </si>
  <si>
    <t>WITHDRAW</t>
  </si>
  <si>
    <t>WITHDRAWN</t>
  </si>
  <si>
    <t>WITHDREW</t>
  </si>
  <si>
    <t>WITHER</t>
  </si>
  <si>
    <t>WITHHELD</t>
  </si>
  <si>
    <t>WITHHOLD</t>
  </si>
  <si>
    <t>WITHIN</t>
  </si>
  <si>
    <t>| prep-adv: Not beyond, inside</t>
  </si>
  <si>
    <t>WITHOUT</t>
  </si>
  <si>
    <t>| preposition: With the absence, omission, or avoidance of, not with, with  no or none of, lacking</t>
  </si>
  <si>
    <t>WITHSTAND</t>
  </si>
  <si>
    <t>WITNESS#1</t>
  </si>
  <si>
    <t>WITNESS#2</t>
  </si>
  <si>
    <t>WITTY</t>
  </si>
  <si>
    <t>WIVES</t>
  </si>
  <si>
    <t>| noun: Female spouses</t>
  </si>
  <si>
    <t>WOE</t>
  </si>
  <si>
    <t>WOEFUL</t>
  </si>
  <si>
    <t>WOKE#1</t>
  </si>
  <si>
    <t>WOKEN#1</t>
  </si>
  <si>
    <t>WOLF</t>
  </si>
  <si>
    <t>WOMAN</t>
  </si>
  <si>
    <t>| noun: Female adult human</t>
  </si>
  <si>
    <t>WOMB</t>
  </si>
  <si>
    <t>WOMEN</t>
  </si>
  <si>
    <t>| noun: Female adult humans</t>
  </si>
  <si>
    <t>WON</t>
  </si>
  <si>
    <t>| verb: Past tense and past participle of "win"--gained a victory</t>
  </si>
  <si>
    <t>WON'T</t>
  </si>
  <si>
    <t>| verb: Contraction for "will not"</t>
  </si>
  <si>
    <t>WONDER#1</t>
  </si>
  <si>
    <t>| 5% noun: A cause for marvel or surprise, or the feelings thereby produced</t>
  </si>
  <si>
    <t>WONDER#2</t>
  </si>
  <si>
    <t>| 95% verb: To speculate, to be curious about</t>
  </si>
  <si>
    <t>WONDERFUL</t>
  </si>
  <si>
    <t>| adj: Full of wonder, marvelous</t>
  </si>
  <si>
    <t>WONDROUS</t>
  </si>
  <si>
    <t>WOO</t>
  </si>
  <si>
    <t>WOOD#1</t>
  </si>
  <si>
    <t>| 54% noun: Lumber, fuel, the material</t>
  </si>
  <si>
    <t>WOOD#2</t>
  </si>
  <si>
    <t>| 45% noun: Forest</t>
  </si>
  <si>
    <t>WOOD#3</t>
  </si>
  <si>
    <t>| 2% adj: "Wooded"--forested</t>
  </si>
  <si>
    <t>WOODEN</t>
  </si>
  <si>
    <t>WOOL</t>
  </si>
  <si>
    <t>WORD#1</t>
  </si>
  <si>
    <t>| 70% noun: The unit of speech, generally preceded by "every" or "not a"  or put in the plural or used by metonymy to indicate speech itself or  a particular speech, rather than a sp</t>
  </si>
  <si>
    <t>WORD#2</t>
  </si>
  <si>
    <t>| 5% noun: Promise, assurance, affirmation</t>
  </si>
  <si>
    <t>WORD#3</t>
  </si>
  <si>
    <t>| 3% noun: News, information--"he brought word of it"</t>
  </si>
  <si>
    <t>WORD#4</t>
  </si>
  <si>
    <t>| 1% noun: 'the final word,' 'the last word'--the conclusive comment</t>
  </si>
  <si>
    <t>WORD#5</t>
  </si>
  <si>
    <t>| 1% verb: To phrase</t>
  </si>
  <si>
    <t>WORD#6</t>
  </si>
  <si>
    <t>| 1% noun-adj: 'wording'--phrasing</t>
  </si>
  <si>
    <t>WORD#7</t>
  </si>
  <si>
    <t>| 14% adv-idiom: 'in other words'</t>
  </si>
  <si>
    <t>WORE#1</t>
  </si>
  <si>
    <t>WORK#1</t>
  </si>
  <si>
    <t>| 50% noun-adj: Act of working, type or place (infrequent) of work, assigned  task, product (infrequent)</t>
  </si>
  <si>
    <t>WORK#2</t>
  </si>
  <si>
    <t>| 40% verb: To do work, to be employed; to be in operation, to function  (much less frequent)</t>
  </si>
  <si>
    <t>WORK#3</t>
  </si>
  <si>
    <t>| 3% verb-idiom: "Work out"--develop, find a solution (transitive and intransitive)</t>
  </si>
  <si>
    <t>WORKABLE</t>
  </si>
  <si>
    <t>WORKER</t>
  </si>
  <si>
    <t>| noun-adj: A laborer, employee, or any person engaged in a particular field,  activity, or cause</t>
  </si>
  <si>
    <t>WORKINGMAN</t>
  </si>
  <si>
    <t>WORKINGMEN</t>
  </si>
  <si>
    <t>WORKMANSHIP</t>
  </si>
  <si>
    <t>WORKMEN#1</t>
  </si>
  <si>
    <t>WORKMEN#2</t>
  </si>
  <si>
    <t>WORKSHOP</t>
  </si>
  <si>
    <t>WORLD</t>
  </si>
  <si>
    <t>WORLD-FAMOUS</t>
  </si>
  <si>
    <t>WORLD-WIDE</t>
  </si>
  <si>
    <t>WORLDLY</t>
  </si>
  <si>
    <t>WORN#1</t>
  </si>
  <si>
    <t>| 10% verb: Past tense of "wear"--had on</t>
  </si>
  <si>
    <t>WORN#2</t>
  </si>
  <si>
    <t>| 60% verb: Past tense of "wear"--deteriorated, caused to deteriorate</t>
  </si>
  <si>
    <t>WORN#3</t>
  </si>
  <si>
    <t>| 30% adj: Deteriorated</t>
  </si>
  <si>
    <t>WORRIER</t>
  </si>
  <si>
    <t>WORRY#1</t>
  </si>
  <si>
    <t>| 49% verb: To feel anxious (includes gerunds--"stop worrying")</t>
  </si>
  <si>
    <t>WORRY#2</t>
  </si>
  <si>
    <t>| 12% noun: A cause of uneasiness</t>
  </si>
  <si>
    <t>WORRY#3</t>
  </si>
  <si>
    <t>| 10% verb: To cause to feel anxious</t>
  </si>
  <si>
    <t>WORRY#4</t>
  </si>
  <si>
    <t>| 29% adj: "Worried"--anxious</t>
  </si>
  <si>
    <t>WORRY#5</t>
  </si>
  <si>
    <t>| 0% adv: "Worriedly"--in a worried manner</t>
  </si>
  <si>
    <t>WORSE</t>
  </si>
  <si>
    <t>| adj: Comparative of "bad" and "ill"</t>
  </si>
  <si>
    <t>WORSEN</t>
  </si>
  <si>
    <t>WORSHIP#1</t>
  </si>
  <si>
    <t>WORSHIP#2</t>
  </si>
  <si>
    <t>WORST</t>
  </si>
  <si>
    <t>WORTH#1</t>
  </si>
  <si>
    <t>| 61% prep: Deserving of, of value or importance sufficient to justify what follows</t>
  </si>
  <si>
    <t>WORTH#2</t>
  </si>
  <si>
    <t>| 11% noun: Merit, excellence</t>
  </si>
  <si>
    <t>WORTH#3</t>
  </si>
  <si>
    <t>| 14% noun: Economic value</t>
  </si>
  <si>
    <t>WORTH#4</t>
  </si>
  <si>
    <t>| 14% idiom-adj: "Worth while" (normally one word)</t>
  </si>
  <si>
    <t>WORTH-WHILE</t>
  </si>
  <si>
    <t>WORTHINESS</t>
  </si>
  <si>
    <t>WORTHLESS</t>
  </si>
  <si>
    <t>WORTHY</t>
  </si>
  <si>
    <t>WOULD</t>
  </si>
  <si>
    <t>| verb: Present and past participle form of 'will'</t>
  </si>
  <si>
    <t>WOUND#1</t>
  </si>
  <si>
    <t>| 46% verb: Physically or Emotionally injure</t>
  </si>
  <si>
    <t>WOUND#2</t>
  </si>
  <si>
    <t>| 7% verb: Past of wind</t>
  </si>
  <si>
    <t>WOUND#3</t>
  </si>
  <si>
    <t>| 25% noun: A physical or Emotional injury</t>
  </si>
  <si>
    <t>WOUND#4</t>
  </si>
  <si>
    <t>| 4% idiom-verb: 'wound up'--ended up</t>
  </si>
  <si>
    <t>WOUND#5</t>
  </si>
  <si>
    <t>| 18% adj: "Wounded"--injured</t>
  </si>
  <si>
    <t>WRAP</t>
  </si>
  <si>
    <t>WRATH</t>
  </si>
  <si>
    <t>WREAKAGE</t>
  </si>
  <si>
    <t>WRECK</t>
  </si>
  <si>
    <t>WRESTLE</t>
  </si>
  <si>
    <t>WRETCH</t>
  </si>
  <si>
    <t>WRETCHEDNESS</t>
  </si>
  <si>
    <t>WRINKLE</t>
  </si>
  <si>
    <t>WRIST</t>
  </si>
  <si>
    <t>WRITE#1</t>
  </si>
  <si>
    <t>| 18% noun-adj: "Writing"--composition, production, work; penmanship, the  act of handwriting (6) production, work</t>
  </si>
  <si>
    <t>WRITE#2</t>
  </si>
  <si>
    <t>| 82% verb: To form words, etc., on some material, or more generally to  express ideas, compose, produce</t>
  </si>
  <si>
    <t>WRITER</t>
  </si>
  <si>
    <t>WRITHE</t>
  </si>
  <si>
    <t>WRITTEN#1</t>
  </si>
  <si>
    <t>| 77% verb: Past participle of write (includes post-nominal forms)</t>
  </si>
  <si>
    <t>WRITTEN#2</t>
  </si>
  <si>
    <t>| 23% adj: Set down verbally</t>
  </si>
  <si>
    <t>WRONG#1</t>
  </si>
  <si>
    <t>| noun-adj: Not in accordance with truth, morality, appropriateness, justice,  or the like</t>
  </si>
  <si>
    <t>WRONG#2</t>
  </si>
  <si>
    <t>| 1% verb: To injure, malign, treat unfairly</t>
  </si>
  <si>
    <t>WRONG#3</t>
  </si>
  <si>
    <t>| 1% adv: "Wrongly"--incorrectly, improperly</t>
  </si>
  <si>
    <t>WRONGFUL</t>
  </si>
  <si>
    <t>WROTE</t>
  </si>
  <si>
    <t>| verb: Past tense of "write"--to form words, etc. on some material, or  more generally to express ideas, compose, produce</t>
  </si>
  <si>
    <t>WROUGHT</t>
  </si>
  <si>
    <t>WRY</t>
  </si>
  <si>
    <t>WYOMING</t>
  </si>
  <si>
    <t>YA</t>
  </si>
  <si>
    <t>YANKEE</t>
  </si>
  <si>
    <t>YARD#1</t>
  </si>
  <si>
    <t>| 75% noun: An enclosed area outdoors, or the ground which adjoins some building.</t>
  </si>
  <si>
    <t>YARD#2</t>
  </si>
  <si>
    <t>| 25% noun: A unit of linear measure, equal to three feet.</t>
  </si>
  <si>
    <t>YAWN</t>
  </si>
  <si>
    <t>YEA</t>
  </si>
  <si>
    <t>YEAH</t>
  </si>
  <si>
    <t>YEAR#1</t>
  </si>
  <si>
    <t>| 88% noun: A period of 365 days</t>
  </si>
  <si>
    <t>YEAR#2</t>
  </si>
  <si>
    <t>| 0% adj-adv: "Yearly"</t>
  </si>
  <si>
    <t>YEAR#3</t>
  </si>
  <si>
    <t>| 12% idiom-adj: "(n) year(s) old"--handled by "old"</t>
  </si>
  <si>
    <t>YEARN</t>
  </si>
  <si>
    <t>YELL#1</t>
  </si>
  <si>
    <t>YELL#2</t>
  </si>
  <si>
    <t>YELLOW</t>
  </si>
  <si>
    <t>| noun-adj: A bright color between green and orange in the spectrum.</t>
  </si>
  <si>
    <t>YELP</t>
  </si>
  <si>
    <t>YEMEN</t>
  </si>
  <si>
    <t>YES</t>
  </si>
  <si>
    <t>| adv-noun: A word used to express affirmation contradiction of a previously  negative statement.</t>
  </si>
  <si>
    <t>YESTERDAY</t>
  </si>
  <si>
    <t>| adv-noun: On the day preceding this day, or a short time ago</t>
  </si>
  <si>
    <t>YET#1</t>
  </si>
  <si>
    <t>| 35% adv: At, up to, or as of some specific time (usually present)</t>
  </si>
  <si>
    <t>YET#2</t>
  </si>
  <si>
    <t>| 2% adv: With comparatives--still, even</t>
  </si>
  <si>
    <t>YET#3</t>
  </si>
  <si>
    <t>| 56% conj: But, nevertheless, even so</t>
  </si>
  <si>
    <t>YET#4</t>
  </si>
  <si>
    <t>| 6% idiom-adv: 'as yet'--up to now</t>
  </si>
  <si>
    <t>YIELD#1</t>
  </si>
  <si>
    <t>YIELD#2</t>
  </si>
  <si>
    <t>YOKE</t>
  </si>
  <si>
    <t>YONDER</t>
  </si>
  <si>
    <t>YORK</t>
  </si>
  <si>
    <t>YOU#1</t>
  </si>
  <si>
    <t>PRON DEF DEF1 Scndp</t>
  </si>
  <si>
    <t>| 69% pron: The nominative or pred. nom. form of the second person prooun</t>
  </si>
  <si>
    <t>YOU#2</t>
  </si>
  <si>
    <t>PRON DEF DEF2 Scndp</t>
  </si>
  <si>
    <t>| 13% pron: The objective or dative form of the second person pronoun</t>
  </si>
  <si>
    <t>YOU#3</t>
  </si>
  <si>
    <t>| 5% idiom: 'you know'--meaningless interjection (handled by 'know')</t>
  </si>
  <si>
    <t>YOU#4</t>
  </si>
  <si>
    <t>| 10% idiom-verb: "Thank you"--handled by "thank"</t>
  </si>
  <si>
    <t>YOUNG#1</t>
  </si>
  <si>
    <t>| 71% adj-noun: Being in an early stage generally of life, growth, existence  etc.--or pertaining to those who have you</t>
  </si>
  <si>
    <t>YOUNG#2</t>
  </si>
  <si>
    <t>| 22% adj-noun: "Younger"</t>
  </si>
  <si>
    <t>YOUNG#3</t>
  </si>
  <si>
    <t>| 7% adj-noun: "Youngest"</t>
  </si>
  <si>
    <t>YOUNGSTER</t>
  </si>
  <si>
    <t>| noun: A young person (or animal)</t>
  </si>
  <si>
    <t>YOUR</t>
  </si>
  <si>
    <t>DET GEN Scndp</t>
  </si>
  <si>
    <t>| det: Possessive case of you.</t>
  </si>
  <si>
    <t>YOURS</t>
  </si>
  <si>
    <t>PRON Scndp</t>
  </si>
  <si>
    <t>YOURSELF#1</t>
  </si>
  <si>
    <t>Scndp</t>
  </si>
  <si>
    <t>YOURSELVES#1</t>
  </si>
  <si>
    <t>S Scndp</t>
  </si>
  <si>
    <t>YOUTH#1</t>
  </si>
  <si>
    <t>| 76% noun-adj: A young person or young persons collectively, or pertaining to same</t>
  </si>
  <si>
    <t>YOUTH#2</t>
  </si>
  <si>
    <t>| 24% noun: The time of being young, early life</t>
  </si>
  <si>
    <t>YOUTHFUL</t>
  </si>
  <si>
    <t>YUGOSLAVIA</t>
  </si>
  <si>
    <t>ZEAL</t>
  </si>
  <si>
    <t>ZEALAND#1</t>
  </si>
  <si>
    <t>ZEALAND#2</t>
  </si>
  <si>
    <t>ZEALOUS</t>
  </si>
  <si>
    <t>ZEN</t>
  </si>
  <si>
    <t>ZENITH</t>
  </si>
  <si>
    <t>ZERO</t>
  </si>
  <si>
    <t>ZEST</t>
  </si>
  <si>
    <t>ZINC</t>
  </si>
  <si>
    <t>ZONE</t>
  </si>
  <si>
    <t>French Translation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</si>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</sst>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rgb="FF000000"/>
      <name val="Arimo"/>
      <scheme val="minor"/>
    </font>
    <font>
      <sz val="9"/>
      <color theme="1"/>
      <name val="Arimo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11789"/>
  <sheetViews>
    <sheetView tabSelected="1" workbookViewId="0">
      <selection activeCell="F18" sqref="F18"/>
    </sheetView>
  </sheetViews>
  <sheetFormatPr defaultColWidth="14.375" defaultRowHeight="15" customHeight="1"/>
  <cols>
    <col min="1" max="1" width="15" customWidth="1"/>
    <col min="2" max="185" width="11" customWidth="1"/>
    <col min="186" max="186" width="17.375" customWidth="1"/>
    <col min="187" max="187" width="11" customWidth="1"/>
  </cols>
  <sheetData>
    <row r="1" spans="1:187" ht="11.25" customHeight="1">
      <c r="A1" s="1" t="s">
        <v>0</v>
      </c>
      <c r="B1" s="2" t="s">
        <v>16611</v>
      </c>
      <c r="C1" s="1" t="s">
        <v>1</v>
      </c>
      <c r="D1" s="1" t="s">
        <v>16612</v>
      </c>
      <c r="E1" s="1" t="s">
        <v>16613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</row>
    <row r="2" spans="1:187" ht="11.25" customHeight="1">
      <c r="A2" s="1" t="s">
        <v>184</v>
      </c>
      <c r="C2" s="1" t="s">
        <v>185</v>
      </c>
      <c r="GD2" s="1" t="s">
        <v>186</v>
      </c>
      <c r="GE2" s="1" t="s">
        <v>187</v>
      </c>
    </row>
    <row r="3" spans="1:187" ht="11.25" customHeight="1">
      <c r="A3" s="1" t="s">
        <v>188</v>
      </c>
      <c r="B3" s="1" t="str">
        <f ca="1">IFERROR(__xludf.DUMMYFUNCTION("GOOGLETRANSLATE(A3, ""en"", ""fr"")"),"ABANDONNER")</f>
        <v>ABANDONNER</v>
      </c>
      <c r="C3" s="1" t="s">
        <v>185</v>
      </c>
      <c r="E3" s="1" t="s">
        <v>16613</v>
      </c>
      <c r="H3" s="1" t="s">
        <v>4</v>
      </c>
      <c r="L3" s="1" t="s">
        <v>8</v>
      </c>
      <c r="BT3" s="1" t="s">
        <v>68</v>
      </c>
      <c r="DN3" s="1" t="s">
        <v>114</v>
      </c>
      <c r="EP3" s="1" t="s">
        <v>142</v>
      </c>
      <c r="ES3" s="1" t="s">
        <v>145</v>
      </c>
      <c r="GD3" s="1" t="s">
        <v>189</v>
      </c>
      <c r="GE3" s="1" t="s">
        <v>190</v>
      </c>
    </row>
    <row r="4" spans="1:187" ht="11.25" customHeight="1">
      <c r="A4" s="1" t="s">
        <v>191</v>
      </c>
      <c r="B4" s="1" t="str">
        <f ca="1">IFERROR(__xludf.DUMMYFUNCTION("GOOGLETRANSLATE(A4, ""en"", ""fr"")"),"ABANDON")</f>
        <v>ABANDON</v>
      </c>
      <c r="C4" s="1" t="s">
        <v>192</v>
      </c>
      <c r="E4" s="1" t="s">
        <v>16613</v>
      </c>
      <c r="L4" s="1" t="s">
        <v>8</v>
      </c>
      <c r="BT4" s="1" t="s">
        <v>68</v>
      </c>
      <c r="GD4" s="1" t="s">
        <v>193</v>
      </c>
      <c r="GE4" s="1" t="s">
        <v>190</v>
      </c>
    </row>
    <row r="5" spans="1:187" ht="11.25" customHeight="1">
      <c r="A5" s="1" t="s">
        <v>194</v>
      </c>
      <c r="B5" s="1" t="str">
        <f ca="1">IFERROR(__xludf.DUMMYFUNCTION("GOOGLETRANSLATE(A5, ""en"", ""fr"")"),"DIMINUER")</f>
        <v>DIMINUER</v>
      </c>
      <c r="C5" s="1" t="s">
        <v>185</v>
      </c>
      <c r="E5" s="1" t="s">
        <v>16613</v>
      </c>
      <c r="O5" s="1" t="s">
        <v>11</v>
      </c>
      <c r="BY5" s="1" t="s">
        <v>73</v>
      </c>
      <c r="DN5" s="1" t="s">
        <v>114</v>
      </c>
      <c r="FP5" s="1" t="s">
        <v>168</v>
      </c>
      <c r="GD5" s="1" t="s">
        <v>189</v>
      </c>
      <c r="GE5" s="1" t="s">
        <v>190</v>
      </c>
    </row>
    <row r="6" spans="1:187" ht="11.25" customHeight="1">
      <c r="A6" s="1" t="s">
        <v>195</v>
      </c>
      <c r="B6" s="1" t="str">
        <f ca="1">IFERROR(__xludf.DUMMYFUNCTION("GOOGLETRANSLATE(A6, ""en"", ""fr"")"),"RÉDUCTION")</f>
        <v>RÉDUCTION</v>
      </c>
      <c r="C6" s="1" t="s">
        <v>196</v>
      </c>
      <c r="GD6" s="1" t="s">
        <v>193</v>
      </c>
    </row>
    <row r="7" spans="1:187" ht="11.25" customHeight="1">
      <c r="A7" s="1" t="s">
        <v>197</v>
      </c>
      <c r="B7" s="1" t="str">
        <f ca="1">IFERROR(__xludf.DUMMYFUNCTION("GOOGLETRANSLATE(A7, ""en"", ""fr"")"),"ABDIQUER")</f>
        <v>ABDIQUER</v>
      </c>
      <c r="C7" s="1" t="s">
        <v>192</v>
      </c>
      <c r="E7" s="1" t="s">
        <v>16613</v>
      </c>
      <c r="L7" s="1" t="s">
        <v>8</v>
      </c>
      <c r="M7" s="1" t="s">
        <v>9</v>
      </c>
      <c r="O7" s="1" t="s">
        <v>11</v>
      </c>
      <c r="BZ7" s="1" t="s">
        <v>74</v>
      </c>
      <c r="DN7" s="1" t="s">
        <v>114</v>
      </c>
      <c r="GD7" s="1" t="s">
        <v>189</v>
      </c>
      <c r="GE7" s="1" t="s">
        <v>190</v>
      </c>
    </row>
    <row r="8" spans="1:187" ht="11.25" customHeight="1">
      <c r="A8" s="1" t="s">
        <v>198</v>
      </c>
      <c r="B8" s="1" t="str">
        <f ca="1">IFERROR(__xludf.DUMMYFUNCTION("GOOGLETRANSLATE(A8, ""en"", ""fr"")"),"ABHORRER")</f>
        <v>ABHORRER</v>
      </c>
      <c r="C8" s="1" t="s">
        <v>192</v>
      </c>
      <c r="E8" s="1" t="s">
        <v>16613</v>
      </c>
      <c r="I8" s="1" t="s">
        <v>5</v>
      </c>
      <c r="O8" s="1" t="s">
        <v>11</v>
      </c>
      <c r="S8" s="1" t="s">
        <v>15</v>
      </c>
      <c r="DP8" s="1" t="s">
        <v>116</v>
      </c>
      <c r="GD8" s="1" t="s">
        <v>189</v>
      </c>
      <c r="GE8" s="1" t="s">
        <v>190</v>
      </c>
    </row>
    <row r="9" spans="1:187" ht="11.25" customHeight="1">
      <c r="A9" s="1" t="s">
        <v>199</v>
      </c>
      <c r="B9" s="1" t="str">
        <f ca="1">IFERROR(__xludf.DUMMYFUNCTION("GOOGLETRANSLATE(A9, ""en"", ""fr"")"),"SE CONFORMER")</f>
        <v>SE CONFORMER</v>
      </c>
      <c r="C9" s="1" t="s">
        <v>192</v>
      </c>
      <c r="D9" s="1" t="s">
        <v>16612</v>
      </c>
      <c r="G9" s="1" t="s">
        <v>3</v>
      </c>
      <c r="N9" s="1" t="s">
        <v>10</v>
      </c>
      <c r="Z9" s="1" t="s">
        <v>22</v>
      </c>
      <c r="DN9" s="1" t="s">
        <v>114</v>
      </c>
      <c r="GD9" s="1" t="s">
        <v>189</v>
      </c>
      <c r="GE9" s="1" t="s">
        <v>190</v>
      </c>
    </row>
    <row r="10" spans="1:187" ht="11.25" customHeight="1">
      <c r="A10" s="1" t="s">
        <v>200</v>
      </c>
      <c r="B10" s="1" t="str">
        <f ca="1">IFERROR(__xludf.DUMMYFUNCTION("GOOGLETRANSLATE(A10, ""en"", ""fr"")"),"CAPACITÉ")</f>
        <v>CAPACITÉ</v>
      </c>
      <c r="C10" s="1" t="s">
        <v>185</v>
      </c>
      <c r="D10" s="1" t="s">
        <v>16612</v>
      </c>
      <c r="J10" s="1" t="s">
        <v>6</v>
      </c>
      <c r="U10" s="1" t="s">
        <v>17</v>
      </c>
      <c r="CN10" s="1" t="s">
        <v>88</v>
      </c>
      <c r="CP10" s="1" t="s">
        <v>90</v>
      </c>
      <c r="CQ10" s="1" t="s">
        <v>91</v>
      </c>
      <c r="FQ10" s="1" t="s">
        <v>169</v>
      </c>
      <c r="GD10" s="1" t="s">
        <v>193</v>
      </c>
    </row>
    <row r="11" spans="1:187" ht="11.25" customHeight="1">
      <c r="A11" s="1" t="s">
        <v>201</v>
      </c>
      <c r="B11" s="1" t="str">
        <f ca="1">IFERROR(__xludf.DUMMYFUNCTION("GOOGLETRANSLATE(A11, ""en"", ""fr"")"),"ABJECT")</f>
        <v>ABJECT</v>
      </c>
      <c r="C11" s="1" t="s">
        <v>192</v>
      </c>
      <c r="E11" s="1" t="s">
        <v>16613</v>
      </c>
      <c r="L11" s="1" t="s">
        <v>8</v>
      </c>
      <c r="M11" s="1" t="s">
        <v>9</v>
      </c>
      <c r="O11" s="1" t="s">
        <v>11</v>
      </c>
      <c r="V11" s="1" t="s">
        <v>18</v>
      </c>
      <c r="DQ11" s="1" t="s">
        <v>117</v>
      </c>
      <c r="GD11" s="1" t="s">
        <v>202</v>
      </c>
      <c r="GE11" s="1" t="s">
        <v>190</v>
      </c>
    </row>
    <row r="12" spans="1:187" ht="11.25" customHeight="1">
      <c r="A12" s="1" t="s">
        <v>203</v>
      </c>
      <c r="B12" s="1" t="str">
        <f ca="1">IFERROR(__xludf.DUMMYFUNCTION("GOOGLETRANSLATE(A12, ""en"", ""fr"")"),"CAPABLE")</f>
        <v>CAPABLE</v>
      </c>
      <c r="C12" s="1" t="s">
        <v>185</v>
      </c>
      <c r="D12" s="1" t="s">
        <v>16612</v>
      </c>
      <c r="F12" s="1" t="s">
        <v>2</v>
      </c>
      <c r="J12" s="1" t="s">
        <v>6</v>
      </c>
      <c r="U12" s="1" t="s">
        <v>17</v>
      </c>
      <c r="CN12" s="1" t="s">
        <v>88</v>
      </c>
      <c r="FQ12" s="1" t="s">
        <v>169</v>
      </c>
      <c r="GD12" s="1" t="s">
        <v>202</v>
      </c>
      <c r="GE12" s="1" t="s">
        <v>204</v>
      </c>
    </row>
    <row r="13" spans="1:187" ht="11.25" customHeight="1">
      <c r="A13" s="1" t="s">
        <v>205</v>
      </c>
      <c r="B13" s="1" t="str">
        <f ca="1">IFERROR(__xludf.DUMMYFUNCTION("GOOGLETRANSLATE(A13, ""en"", ""fr"")"),"ANORMAL")</f>
        <v>ANORMAL</v>
      </c>
      <c r="C13" s="1" t="s">
        <v>185</v>
      </c>
      <c r="E13" s="1" t="s">
        <v>16613</v>
      </c>
      <c r="H13" s="1" t="s">
        <v>4</v>
      </c>
      <c r="V13" s="1" t="s">
        <v>18</v>
      </c>
      <c r="FW13" s="1" t="s">
        <v>175</v>
      </c>
      <c r="GD13" s="1" t="s">
        <v>202</v>
      </c>
      <c r="GE13" s="1" t="s">
        <v>190</v>
      </c>
    </row>
    <row r="14" spans="1:187" ht="11.25" customHeight="1">
      <c r="A14" s="1" t="s">
        <v>206</v>
      </c>
      <c r="B14" s="1" t="str">
        <f ca="1">IFERROR(__xludf.DUMMYFUNCTION("GOOGLETRANSLATE(A14, ""en"", ""fr"")"),"UNE PLANCHE")</f>
        <v>UNE PLANCHE</v>
      </c>
      <c r="C14" s="1" t="s">
        <v>185</v>
      </c>
      <c r="DA14" s="1" t="s">
        <v>101</v>
      </c>
      <c r="GD14" s="1" t="s">
        <v>207</v>
      </c>
      <c r="GE14" s="1" t="s">
        <v>190</v>
      </c>
    </row>
    <row r="15" spans="1:187" ht="11.25" customHeight="1">
      <c r="A15" s="1" t="s">
        <v>208</v>
      </c>
      <c r="B15" s="1" t="str">
        <f ca="1">IFERROR(__xludf.DUMMYFUNCTION("GOOGLETRANSLATE(A15, ""en"", ""fr"")"),"ABOLIR")</f>
        <v>ABOLIR</v>
      </c>
      <c r="C15" s="1" t="s">
        <v>185</v>
      </c>
      <c r="E15" s="1" t="s">
        <v>16613</v>
      </c>
      <c r="H15" s="1" t="s">
        <v>4</v>
      </c>
      <c r="I15" s="1" t="s">
        <v>5</v>
      </c>
      <c r="J15" s="1" t="s">
        <v>6</v>
      </c>
      <c r="K15" s="1" t="s">
        <v>7</v>
      </c>
      <c r="N15" s="1" t="s">
        <v>10</v>
      </c>
      <c r="AN15" s="1" t="s">
        <v>36</v>
      </c>
      <c r="DN15" s="1" t="s">
        <v>114</v>
      </c>
      <c r="EC15" s="1" t="s">
        <v>129</v>
      </c>
      <c r="ED15" s="1" t="s">
        <v>130</v>
      </c>
      <c r="GD15" s="1" t="s">
        <v>189</v>
      </c>
      <c r="GE15" s="1" t="s">
        <v>190</v>
      </c>
    </row>
    <row r="16" spans="1:187" ht="11.25" customHeight="1">
      <c r="A16" s="1" t="s">
        <v>209</v>
      </c>
      <c r="B16" s="1" t="str">
        <f ca="1">IFERROR(__xludf.DUMMYFUNCTION("GOOGLETRANSLATE(A16, ""en"", ""fr"")"),"ABOLITION")</f>
        <v>ABOLITION</v>
      </c>
      <c r="C16" s="1" t="s">
        <v>196</v>
      </c>
      <c r="FP16" s="1" t="s">
        <v>168</v>
      </c>
      <c r="GD16" s="1" t="s">
        <v>193</v>
      </c>
    </row>
    <row r="17" spans="1:187" ht="11.25" customHeight="1">
      <c r="A17" s="1" t="s">
        <v>210</v>
      </c>
      <c r="B17" s="1" t="str">
        <f ca="1">IFERROR(__xludf.DUMMYFUNCTION("GOOGLETRANSLATE(A17, ""en"", ""fr"")"),"ABOMINABLE")</f>
        <v>ABOMINABLE</v>
      </c>
      <c r="C17" s="1" t="s">
        <v>192</v>
      </c>
      <c r="E17" s="1" t="s">
        <v>16613</v>
      </c>
      <c r="J17" s="1" t="s">
        <v>6</v>
      </c>
      <c r="V17" s="1" t="s">
        <v>18</v>
      </c>
      <c r="W17" s="1" t="s">
        <v>19</v>
      </c>
      <c r="CM17" s="1" t="s">
        <v>87</v>
      </c>
      <c r="DR17" s="1" t="s">
        <v>118</v>
      </c>
      <c r="GD17" s="1" t="s">
        <v>202</v>
      </c>
      <c r="GE17" s="1" t="s">
        <v>190</v>
      </c>
    </row>
    <row r="18" spans="1:187" ht="11.25" customHeight="1">
      <c r="A18" s="1" t="s">
        <v>211</v>
      </c>
      <c r="B18" s="1" t="str">
        <f ca="1">IFERROR(__xludf.DUMMYFUNCTION("GOOGLETRANSLATE(A18, ""en"", ""fr"")"),"ABORTIF")</f>
        <v>ABORTIF</v>
      </c>
      <c r="C18" s="1" t="s">
        <v>196</v>
      </c>
      <c r="EC18" s="1" t="s">
        <v>129</v>
      </c>
      <c r="ED18" s="1" t="s">
        <v>130</v>
      </c>
      <c r="GD18" s="1" t="s">
        <v>212</v>
      </c>
    </row>
    <row r="19" spans="1:187" ht="11.25" customHeight="1">
      <c r="A19" s="1" t="s">
        <v>213</v>
      </c>
      <c r="B19" s="1" t="str">
        <f ca="1">IFERROR(__xludf.DUMMYFUNCTION("GOOGLETRANSLATE(A19, ""en"", ""fr"")"),"ABONDER")</f>
        <v>ABONDER</v>
      </c>
      <c r="C19" s="1" t="s">
        <v>192</v>
      </c>
      <c r="D19" s="1" t="s">
        <v>16612</v>
      </c>
      <c r="O19" s="1" t="s">
        <v>11</v>
      </c>
      <c r="BX19" s="1" t="s">
        <v>72</v>
      </c>
      <c r="DN19" s="1" t="s">
        <v>114</v>
      </c>
      <c r="GD19" s="1" t="s">
        <v>189</v>
      </c>
      <c r="GE19" s="1" t="s">
        <v>190</v>
      </c>
    </row>
    <row r="20" spans="1:187" ht="11.25" customHeight="1">
      <c r="A20" s="1" t="s">
        <v>214</v>
      </c>
      <c r="B20" s="1" t="str">
        <f ca="1">IFERROR(__xludf.DUMMYFUNCTION("GOOGLETRANSLATE(A20, ""en"", ""fr"")"),"Environ # 1")</f>
        <v>Environ # 1</v>
      </c>
      <c r="C20" s="1" t="s">
        <v>185</v>
      </c>
      <c r="GD20" s="1" t="s">
        <v>215</v>
      </c>
      <c r="GE20" s="1" t="s">
        <v>216</v>
      </c>
    </row>
    <row r="21" spans="1:187" ht="11.25" customHeight="1">
      <c r="A21" s="1" t="s">
        <v>217</v>
      </c>
      <c r="B21" s="1" t="str">
        <f ca="1">IFERROR(__xludf.DUMMYFUNCTION("GOOGLETRANSLATE(A21, ""en"", ""fr"")"),"Environ # 2")</f>
        <v>Environ # 2</v>
      </c>
      <c r="C21" s="1" t="s">
        <v>185</v>
      </c>
      <c r="X21" s="1" t="s">
        <v>20</v>
      </c>
      <c r="CS21" s="1" t="s">
        <v>93</v>
      </c>
      <c r="FZ21" s="1" t="s">
        <v>178</v>
      </c>
      <c r="GD21" s="1" t="s">
        <v>207</v>
      </c>
      <c r="GE21" s="1" t="s">
        <v>218</v>
      </c>
    </row>
    <row r="22" spans="1:187" ht="11.25" customHeight="1">
      <c r="A22" s="1" t="s">
        <v>219</v>
      </c>
      <c r="B22" s="1" t="str">
        <f ca="1">IFERROR(__xludf.DUMMYFUNCTION("GOOGLETRANSLATE(A22, ""en"", ""fr"")"),"Environ # 3")</f>
        <v>Environ # 3</v>
      </c>
      <c r="C22" s="1" t="s">
        <v>185</v>
      </c>
      <c r="DA22" s="1" t="s">
        <v>101</v>
      </c>
      <c r="GD22" s="1" t="s">
        <v>207</v>
      </c>
      <c r="GE22" s="1" t="s">
        <v>220</v>
      </c>
    </row>
    <row r="23" spans="1:187" ht="11.25" customHeight="1">
      <c r="A23" s="1" t="s">
        <v>221</v>
      </c>
      <c r="B23" s="1" t="str">
        <f ca="1">IFERROR(__xludf.DUMMYFUNCTION("GOOGLETRANSLATE(A23, ""en"", ""fr"")"),"Environ # 4")</f>
        <v>Environ # 4</v>
      </c>
      <c r="C23" s="1" t="s">
        <v>185</v>
      </c>
      <c r="DO23" s="1" t="s">
        <v>115</v>
      </c>
      <c r="GB23" s="1" t="s">
        <v>180</v>
      </c>
      <c r="GD23" s="1" t="s">
        <v>222</v>
      </c>
      <c r="GE23" s="1" t="s">
        <v>223</v>
      </c>
    </row>
    <row r="24" spans="1:187" ht="11.25" customHeight="1">
      <c r="A24" s="1" t="s">
        <v>224</v>
      </c>
      <c r="B24" s="1" t="str">
        <f ca="1">IFERROR(__xludf.DUMMYFUNCTION("GOOGLETRANSLATE(A24, ""en"", ""fr"")"),"ENVIRON 5")</f>
        <v>ENVIRON 5</v>
      </c>
      <c r="C24" s="1" t="s">
        <v>185</v>
      </c>
      <c r="GD24" s="1" t="s">
        <v>225</v>
      </c>
      <c r="GE24" s="1" t="s">
        <v>226</v>
      </c>
    </row>
    <row r="25" spans="1:187" ht="11.25" customHeight="1">
      <c r="A25" s="1" t="s">
        <v>227</v>
      </c>
      <c r="B25" s="1" t="str">
        <f ca="1">IFERROR(__xludf.DUMMYFUNCTION("GOOGLETRANSLATE(A25, ""en"", ""fr"")"),"Environ # 6")</f>
        <v>Environ # 6</v>
      </c>
      <c r="C25" s="1" t="s">
        <v>185</v>
      </c>
      <c r="GD25" s="1" t="s">
        <v>225</v>
      </c>
      <c r="GE25" s="1" t="s">
        <v>228</v>
      </c>
    </row>
    <row r="26" spans="1:187" ht="11.25" customHeight="1">
      <c r="A26" s="1" t="s">
        <v>229</v>
      </c>
      <c r="B26" s="1" t="str">
        <f ca="1">IFERROR(__xludf.DUMMYFUNCTION("GOOGLETRANSLATE(A26, ""en"", ""fr"")"),"Environ # 7")</f>
        <v>Environ # 7</v>
      </c>
      <c r="C26" s="1" t="s">
        <v>185</v>
      </c>
      <c r="GD26" s="1" t="s">
        <v>225</v>
      </c>
      <c r="GE26" s="1" t="s">
        <v>230</v>
      </c>
    </row>
    <row r="27" spans="1:187" ht="11.25" customHeight="1">
      <c r="A27" s="1" t="s">
        <v>231</v>
      </c>
      <c r="B27" s="1" t="str">
        <f ca="1">IFERROR(__xludf.DUMMYFUNCTION("GOOGLETRANSLATE(A27, ""en"", ""fr"")"),"Ci-dessus # 1")</f>
        <v>Ci-dessus # 1</v>
      </c>
      <c r="C27" s="1" t="s">
        <v>185</v>
      </c>
      <c r="CS27" s="1" t="s">
        <v>93</v>
      </c>
      <c r="GB27" s="1" t="s">
        <v>180</v>
      </c>
      <c r="GD27" s="1" t="s">
        <v>207</v>
      </c>
      <c r="GE27" s="1" t="s">
        <v>232</v>
      </c>
    </row>
    <row r="28" spans="1:187" ht="11.25" customHeight="1">
      <c r="A28" s="1" t="s">
        <v>233</v>
      </c>
      <c r="B28" s="1" t="str">
        <f ca="1">IFERROR(__xludf.DUMMYFUNCTION("GOOGLETRANSLATE(A28, ""en"", ""fr"")"),"Ci-dessus # 2")</f>
        <v>Ci-dessus # 2</v>
      </c>
      <c r="C28" s="1" t="s">
        <v>185</v>
      </c>
      <c r="DA28" s="1" t="s">
        <v>101</v>
      </c>
      <c r="GB28" s="1" t="s">
        <v>180</v>
      </c>
      <c r="GD28" s="1" t="s">
        <v>202</v>
      </c>
      <c r="GE28" s="1" t="s">
        <v>234</v>
      </c>
    </row>
    <row r="29" spans="1:187" ht="11.25" customHeight="1">
      <c r="A29" s="1" t="s">
        <v>235</v>
      </c>
      <c r="B29" s="1" t="str">
        <f ca="1">IFERROR(__xludf.DUMMYFUNCTION("GOOGLETRANSLATE(A29, ""en"", ""fr"")"),"Ci-dessus # 3")</f>
        <v>Ci-dessus # 3</v>
      </c>
      <c r="C29" s="1" t="s">
        <v>185</v>
      </c>
      <c r="W29" s="1" t="s">
        <v>19</v>
      </c>
      <c r="FY29" s="1" t="s">
        <v>177</v>
      </c>
      <c r="GD29" s="1" t="s">
        <v>236</v>
      </c>
      <c r="GE29" s="1" t="s">
        <v>237</v>
      </c>
    </row>
    <row r="30" spans="1:187" ht="11.25" customHeight="1">
      <c r="A30" s="1" t="s">
        <v>238</v>
      </c>
      <c r="B30" s="1" t="str">
        <f ca="1">IFERROR(__xludf.DUMMYFUNCTION("GOOGLETRANSLATE(A30, ""en"", ""fr"")"),"Ci-dessus # 4")</f>
        <v>Ci-dessus # 4</v>
      </c>
      <c r="C30" s="1" t="s">
        <v>185</v>
      </c>
      <c r="GD30" s="1" t="s">
        <v>225</v>
      </c>
      <c r="GE30" s="1" t="s">
        <v>239</v>
      </c>
    </row>
    <row r="31" spans="1:187" ht="11.25" customHeight="1">
      <c r="A31" s="1" t="s">
        <v>240</v>
      </c>
      <c r="B31" s="1" t="str">
        <f ca="1">IFERROR(__xludf.DUMMYFUNCTION("GOOGLETRANSLATE(A31, ""en"", ""fr"")"),"ABRASIF")</f>
        <v>ABRASIF</v>
      </c>
      <c r="C31" s="1" t="s">
        <v>192</v>
      </c>
      <c r="E31" s="1" t="s">
        <v>16613</v>
      </c>
      <c r="I31" s="1" t="s">
        <v>5</v>
      </c>
      <c r="J31" s="1" t="s">
        <v>6</v>
      </c>
      <c r="V31" s="1" t="s">
        <v>18</v>
      </c>
      <c r="DQ31" s="1" t="s">
        <v>117</v>
      </c>
      <c r="GD31" s="1" t="s">
        <v>202</v>
      </c>
      <c r="GE31" s="1" t="s">
        <v>190</v>
      </c>
    </row>
    <row r="32" spans="1:187" ht="11.25" customHeight="1">
      <c r="A32" s="1" t="s">
        <v>241</v>
      </c>
      <c r="B32" s="1" t="str">
        <f ca="1">IFERROR(__xludf.DUMMYFUNCTION("GOOGLETRANSLATE(A32, ""en"", ""fr"")"),"À L'ÉTRANGER")</f>
        <v>À L'ÉTRANGER</v>
      </c>
      <c r="C32" s="1" t="s">
        <v>185</v>
      </c>
      <c r="DA32" s="1" t="s">
        <v>101</v>
      </c>
      <c r="GB32" s="1" t="s">
        <v>180</v>
      </c>
      <c r="GD32" s="1" t="s">
        <v>236</v>
      </c>
      <c r="GE32" s="1" t="s">
        <v>190</v>
      </c>
    </row>
    <row r="33" spans="1:187" ht="11.25" customHeight="1">
      <c r="A33" s="1" t="s">
        <v>242</v>
      </c>
      <c r="B33" s="1" t="str">
        <f ca="1">IFERROR(__xludf.DUMMYFUNCTION("GOOGLETRANSLATE(A33, ""en"", ""fr"")"),"BRUSQUE")</f>
        <v>BRUSQUE</v>
      </c>
      <c r="C33" s="1" t="s">
        <v>185</v>
      </c>
      <c r="E33" s="1" t="s">
        <v>16613</v>
      </c>
      <c r="H33" s="1" t="s">
        <v>4</v>
      </c>
      <c r="CY33" s="1" t="s">
        <v>99</v>
      </c>
      <c r="DW33" s="1" t="s">
        <v>123</v>
      </c>
      <c r="ED33" s="1" t="s">
        <v>130</v>
      </c>
      <c r="GD33" s="1" t="s">
        <v>202</v>
      </c>
      <c r="GE33" s="1" t="s">
        <v>190</v>
      </c>
    </row>
    <row r="34" spans="1:187" ht="11.25" customHeight="1">
      <c r="A34" s="1" t="s">
        <v>243</v>
      </c>
      <c r="B34" s="1" t="str">
        <f ca="1">IFERROR(__xludf.DUMMYFUNCTION("GOOGLETRANSLATE(A34, ""en"", ""fr"")"),"PRENDRE LA FUITE")</f>
        <v>PRENDRE LA FUITE</v>
      </c>
      <c r="C34" s="1" t="s">
        <v>192</v>
      </c>
      <c r="E34" s="1" t="s">
        <v>16613</v>
      </c>
      <c r="I34" s="1" t="s">
        <v>5</v>
      </c>
      <c r="L34" s="1" t="s">
        <v>8</v>
      </c>
      <c r="M34" s="1" t="s">
        <v>9</v>
      </c>
      <c r="N34" s="1" t="s">
        <v>10</v>
      </c>
      <c r="CE34" s="1" t="s">
        <v>79</v>
      </c>
      <c r="DN34" s="1" t="s">
        <v>114</v>
      </c>
      <c r="GD34" s="1" t="s">
        <v>189</v>
      </c>
      <c r="GE34" s="1" t="s">
        <v>190</v>
      </c>
    </row>
    <row r="35" spans="1:187" ht="11.25" customHeight="1">
      <c r="A35" s="1" t="s">
        <v>244</v>
      </c>
      <c r="B35" s="1" t="str">
        <f ca="1">IFERROR(__xludf.DUMMYFUNCTION("GOOGLETRANSLATE(A35, ""en"", ""fr"")"),"ABSENCE")</f>
        <v>ABSENCE</v>
      </c>
      <c r="C35" s="1" t="s">
        <v>185</v>
      </c>
      <c r="E35" s="1" t="s">
        <v>16613</v>
      </c>
      <c r="L35" s="1" t="s">
        <v>8</v>
      </c>
      <c r="BT35" s="1" t="s">
        <v>68</v>
      </c>
      <c r="CH35" s="1" t="s">
        <v>82</v>
      </c>
      <c r="GD35" s="1" t="s">
        <v>193</v>
      </c>
      <c r="GE35" s="1" t="s">
        <v>190</v>
      </c>
    </row>
    <row r="36" spans="1:187" ht="11.25" customHeight="1">
      <c r="A36" s="1" t="s">
        <v>245</v>
      </c>
      <c r="B36" s="1" t="str">
        <f ca="1">IFERROR(__xludf.DUMMYFUNCTION("GOOGLETRANSLATE(A36, ""en"", ""fr"")"),"Absent n ° 1")</f>
        <v>Absent n ° 1</v>
      </c>
      <c r="C36" s="1" t="s">
        <v>185</v>
      </c>
      <c r="E36" s="1" t="s">
        <v>16613</v>
      </c>
      <c r="L36" s="1" t="s">
        <v>8</v>
      </c>
      <c r="O36" s="1" t="s">
        <v>11</v>
      </c>
      <c r="BT36" s="1" t="s">
        <v>68</v>
      </c>
      <c r="DR36" s="1" t="s">
        <v>118</v>
      </c>
      <c r="GD36" s="1" t="s">
        <v>202</v>
      </c>
      <c r="GE36" s="1" t="s">
        <v>190</v>
      </c>
    </row>
    <row r="37" spans="1:187" ht="11.25" customHeight="1">
      <c r="A37" s="1" t="s">
        <v>246</v>
      </c>
      <c r="B37" s="1" t="str">
        <f ca="1">IFERROR(__xludf.DUMMYFUNCTION("GOOGLETRANSLATE(A37, ""en"", ""fr"")"),"Absent n ° 2")</f>
        <v>Absent n ° 2</v>
      </c>
      <c r="C37" s="1" t="s">
        <v>185</v>
      </c>
      <c r="O37" s="1" t="s">
        <v>11</v>
      </c>
      <c r="CE37" s="1" t="s">
        <v>79</v>
      </c>
      <c r="DO37" s="1" t="s">
        <v>115</v>
      </c>
      <c r="GD37" s="1" t="s">
        <v>189</v>
      </c>
    </row>
    <row r="38" spans="1:187" ht="11.25" customHeight="1">
      <c r="A38" s="1" t="s">
        <v>247</v>
      </c>
      <c r="B38" s="1" t="str">
        <f ca="1">IFERROR(__xludf.DUMMYFUNCTION("GOOGLETRANSLATE(A38, ""en"", ""fr"")"),"DISTRAIT")</f>
        <v>DISTRAIT</v>
      </c>
      <c r="C38" s="1" t="s">
        <v>192</v>
      </c>
      <c r="E38" s="1" t="s">
        <v>16613</v>
      </c>
      <c r="L38" s="1" t="s">
        <v>8</v>
      </c>
      <c r="O38" s="1" t="s">
        <v>11</v>
      </c>
      <c r="BT38" s="1" t="s">
        <v>68</v>
      </c>
      <c r="DR38" s="1" t="s">
        <v>118</v>
      </c>
      <c r="GD38" s="1" t="s">
        <v>202</v>
      </c>
      <c r="GE38" s="1" t="s">
        <v>190</v>
      </c>
    </row>
    <row r="39" spans="1:187" ht="11.25" customHeight="1">
      <c r="A39" s="1" t="s">
        <v>248</v>
      </c>
      <c r="B39" s="1" t="str">
        <f ca="1">IFERROR(__xludf.DUMMYFUNCTION("GOOGLETRANSLATE(A39, ""en"", ""fr"")"),"ABSENT")</f>
        <v>ABSENT</v>
      </c>
      <c r="C39" s="1" t="s">
        <v>192</v>
      </c>
      <c r="E39" s="1" t="s">
        <v>16613</v>
      </c>
      <c r="I39" s="1" t="s">
        <v>5</v>
      </c>
      <c r="L39" s="1" t="s">
        <v>8</v>
      </c>
      <c r="V39" s="1" t="s">
        <v>18</v>
      </c>
      <c r="AN39" s="1" t="s">
        <v>36</v>
      </c>
      <c r="BT39" s="1" t="s">
        <v>68</v>
      </c>
      <c r="GD39" s="1" t="s">
        <v>193</v>
      </c>
      <c r="GE39" s="1" t="s">
        <v>190</v>
      </c>
    </row>
    <row r="40" spans="1:187" ht="11.25" customHeight="1">
      <c r="A40" s="1" t="s">
        <v>249</v>
      </c>
      <c r="B40" s="1" t="str">
        <f ca="1">IFERROR(__xludf.DUMMYFUNCTION("GOOGLETRANSLATE(A40, ""en"", ""fr"")"),"Absolu # 1")</f>
        <v>Absolu # 1</v>
      </c>
      <c r="C40" s="1" t="s">
        <v>185</v>
      </c>
      <c r="J40" s="1" t="s">
        <v>6</v>
      </c>
      <c r="U40" s="1" t="s">
        <v>17</v>
      </c>
      <c r="W40" s="1" t="s">
        <v>19</v>
      </c>
      <c r="FY40" s="1" t="s">
        <v>177</v>
      </c>
      <c r="GD40" s="1" t="s">
        <v>202</v>
      </c>
      <c r="GE40" s="1" t="s">
        <v>250</v>
      </c>
    </row>
    <row r="41" spans="1:187" ht="11.25" customHeight="1">
      <c r="A41" s="1" t="s">
        <v>251</v>
      </c>
      <c r="B41" s="1" t="str">
        <f ca="1">IFERROR(__xludf.DUMMYFUNCTION("GOOGLETRANSLATE(A41, ""en"", ""fr"")"),"Absolu # 2")</f>
        <v>Absolu # 2</v>
      </c>
      <c r="C41" s="1" t="s">
        <v>185</v>
      </c>
      <c r="J41" s="1" t="s">
        <v>6</v>
      </c>
      <c r="W41" s="1" t="s">
        <v>19</v>
      </c>
      <c r="DJ41" s="1" t="s">
        <v>110</v>
      </c>
      <c r="FY41" s="1" t="s">
        <v>177</v>
      </c>
      <c r="GD41" s="1" t="s">
        <v>236</v>
      </c>
      <c r="GE41" s="1" t="s">
        <v>252</v>
      </c>
    </row>
    <row r="42" spans="1:187" ht="11.25" customHeight="1">
      <c r="A42" s="1" t="s">
        <v>253</v>
      </c>
      <c r="B42" s="1" t="str">
        <f ca="1">IFERROR(__xludf.DUMMYFUNCTION("GOOGLETRANSLATE(A42, ""en"", ""fr"")"),"ABSOUDRE")</f>
        <v>ABSOUDRE</v>
      </c>
      <c r="C42" s="1" t="s">
        <v>192</v>
      </c>
      <c r="D42" s="1" t="s">
        <v>16612</v>
      </c>
      <c r="N42" s="1" t="s">
        <v>10</v>
      </c>
      <c r="AN42" s="1" t="s">
        <v>36</v>
      </c>
      <c r="BK42" s="1" t="s">
        <v>59</v>
      </c>
      <c r="DN42" s="1" t="s">
        <v>114</v>
      </c>
      <c r="GD42" s="1" t="s">
        <v>189</v>
      </c>
      <c r="GE42" s="1" t="s">
        <v>190</v>
      </c>
    </row>
    <row r="43" spans="1:187" ht="11.25" customHeight="1">
      <c r="A43" s="1" t="s">
        <v>254</v>
      </c>
      <c r="B43" s="1" t="str">
        <f ca="1">IFERROR(__xludf.DUMMYFUNCTION("GOOGLETRANSLATE(A43, ""en"", ""fr"")"),"Absorber # 1")</f>
        <v>Absorber # 1</v>
      </c>
      <c r="C43" s="1" t="s">
        <v>185</v>
      </c>
      <c r="BQ43" s="1" t="s">
        <v>65</v>
      </c>
      <c r="GD43" s="1" t="s">
        <v>202</v>
      </c>
      <c r="GE43" s="1" t="s">
        <v>190</v>
      </c>
    </row>
    <row r="44" spans="1:187" ht="11.25" customHeight="1">
      <c r="A44" s="1" t="s">
        <v>255</v>
      </c>
      <c r="B44" s="1" t="str">
        <f ca="1">IFERROR(__xludf.DUMMYFUNCTION("GOOGLETRANSLATE(A44, ""en"", ""fr"")"),"Absorber # 2")</f>
        <v>Absorber # 2</v>
      </c>
      <c r="C44" s="1" t="s">
        <v>196</v>
      </c>
      <c r="GD44" s="1" t="s">
        <v>189</v>
      </c>
    </row>
    <row r="45" spans="1:187" ht="11.25" customHeight="1">
      <c r="A45" s="1" t="s">
        <v>256</v>
      </c>
      <c r="B45" s="1" t="str">
        <f ca="1">IFERROR(__xludf.DUMMYFUNCTION("GOOGLETRANSLATE(A45, ""en"", ""fr"")"),"ABSORBANT")</f>
        <v>ABSORBANT</v>
      </c>
      <c r="C45" s="1" t="s">
        <v>192</v>
      </c>
      <c r="D45" s="1" t="s">
        <v>16612</v>
      </c>
      <c r="BX45" s="1" t="s">
        <v>72</v>
      </c>
      <c r="DR45" s="1" t="s">
        <v>118</v>
      </c>
      <c r="GD45" s="1" t="s">
        <v>202</v>
      </c>
      <c r="GE45" s="1" t="s">
        <v>190</v>
      </c>
    </row>
    <row r="46" spans="1:187" ht="11.25" customHeight="1">
      <c r="A46" s="1" t="s">
        <v>257</v>
      </c>
      <c r="B46" s="1" t="str">
        <f ca="1">IFERROR(__xludf.DUMMYFUNCTION("GOOGLETRANSLATE(A46, ""en"", ""fr"")"),"ABSORPTION")</f>
        <v>ABSORPTION</v>
      </c>
      <c r="C46" s="1" t="s">
        <v>192</v>
      </c>
      <c r="D46" s="1" t="s">
        <v>16612</v>
      </c>
      <c r="G46" s="1" t="s">
        <v>3</v>
      </c>
      <c r="BX46" s="1" t="s">
        <v>72</v>
      </c>
      <c r="GD46" s="1" t="s">
        <v>193</v>
      </c>
      <c r="GE46" s="1" t="s">
        <v>190</v>
      </c>
    </row>
    <row r="47" spans="1:187" ht="11.25" customHeight="1">
      <c r="A47" s="1" t="s">
        <v>258</v>
      </c>
      <c r="B47" s="1" t="str">
        <f ca="1">IFERROR(__xludf.DUMMYFUNCTION("GOOGLETRANSLATE(A47, ""en"", ""fr"")"),"ABSTENTION")</f>
        <v>ABSTENTION</v>
      </c>
      <c r="C47" s="1" t="s">
        <v>196</v>
      </c>
      <c r="FP47" s="1" t="s">
        <v>168</v>
      </c>
      <c r="GD47" s="1" t="s">
        <v>189</v>
      </c>
    </row>
    <row r="48" spans="1:187" ht="11.25" customHeight="1">
      <c r="A48" s="1" t="s">
        <v>259</v>
      </c>
      <c r="B48" s="1" t="str">
        <f ca="1">IFERROR(__xludf.DUMMYFUNCTION("GOOGLETRANSLATE(A48, ""en"", ""fr"")"),"ABSTRAIT")</f>
        <v>ABSTRAIT</v>
      </c>
      <c r="C48" s="1" t="s">
        <v>185</v>
      </c>
      <c r="CH48" s="1" t="s">
        <v>82</v>
      </c>
      <c r="FH48" s="1" t="s">
        <v>160</v>
      </c>
      <c r="FI48" s="1" t="s">
        <v>161</v>
      </c>
      <c r="GD48" s="1" t="s">
        <v>202</v>
      </c>
      <c r="GE48" s="1" t="s">
        <v>190</v>
      </c>
    </row>
    <row r="49" spans="1:187" ht="11.25" customHeight="1">
      <c r="A49" s="1" t="s">
        <v>260</v>
      </c>
      <c r="B49" s="1" t="str">
        <f ca="1">IFERROR(__xludf.DUMMYFUNCTION("GOOGLETRANSLATE(A49, ""en"", ""fr"")"),"ABSTRACTION")</f>
        <v>ABSTRACTION</v>
      </c>
      <c r="C49" s="1" t="s">
        <v>185</v>
      </c>
      <c r="CH49" s="1" t="s">
        <v>82</v>
      </c>
      <c r="FH49" s="1" t="s">
        <v>160</v>
      </c>
      <c r="FI49" s="1" t="s">
        <v>161</v>
      </c>
      <c r="GD49" s="1" t="s">
        <v>193</v>
      </c>
      <c r="GE49" s="1" t="s">
        <v>190</v>
      </c>
    </row>
    <row r="50" spans="1:187" ht="11.25" customHeight="1">
      <c r="A50" s="1" t="s">
        <v>261</v>
      </c>
      <c r="B50" s="1" t="str">
        <f ca="1">IFERROR(__xludf.DUMMYFUNCTION("GOOGLETRANSLATE(A50, ""en"", ""fr"")"),"ABSURDE")</f>
        <v>ABSURDE</v>
      </c>
      <c r="C50" s="1" t="s">
        <v>185</v>
      </c>
      <c r="E50" s="1" t="s">
        <v>16613</v>
      </c>
      <c r="H50" s="1" t="s">
        <v>4</v>
      </c>
      <c r="V50" s="1" t="s">
        <v>18</v>
      </c>
      <c r="W50" s="1" t="s">
        <v>19</v>
      </c>
      <c r="GD50" s="1" t="s">
        <v>202</v>
      </c>
      <c r="GE50" s="1" t="s">
        <v>190</v>
      </c>
    </row>
    <row r="51" spans="1:187" ht="11.25" customHeight="1">
      <c r="A51" s="1" t="s">
        <v>262</v>
      </c>
      <c r="B51" s="1" t="str">
        <f ca="1">IFERROR(__xludf.DUMMYFUNCTION("GOOGLETRANSLATE(A51, ""en"", ""fr"")"),"ABSURDITÉ")</f>
        <v>ABSURDITÉ</v>
      </c>
      <c r="C51" s="1" t="s">
        <v>192</v>
      </c>
      <c r="E51" s="1" t="s">
        <v>16613</v>
      </c>
      <c r="V51" s="1" t="s">
        <v>18</v>
      </c>
      <c r="GD51" s="1" t="s">
        <v>193</v>
      </c>
      <c r="GE51" s="1" t="s">
        <v>190</v>
      </c>
    </row>
    <row r="52" spans="1:187" ht="11.25" customHeight="1">
      <c r="A52" s="1" t="s">
        <v>263</v>
      </c>
      <c r="B52" s="1" t="str">
        <f ca="1">IFERROR(__xludf.DUMMYFUNCTION("GOOGLETRANSLATE(A52, ""en"", ""fr"")"),"ABONDANCE")</f>
        <v>ABONDANCE</v>
      </c>
      <c r="C52" s="1" t="s">
        <v>185</v>
      </c>
      <c r="D52" s="1" t="s">
        <v>16612</v>
      </c>
      <c r="F52" s="1" t="s">
        <v>2</v>
      </c>
      <c r="J52" s="1" t="s">
        <v>6</v>
      </c>
      <c r="W52" s="1" t="s">
        <v>19</v>
      </c>
      <c r="AC52" s="1" t="s">
        <v>25</v>
      </c>
      <c r="CS52" s="1" t="s">
        <v>93</v>
      </c>
      <c r="EV52" s="1" t="s">
        <v>148</v>
      </c>
      <c r="EW52" s="1" t="s">
        <v>149</v>
      </c>
      <c r="GD52" s="1" t="s">
        <v>193</v>
      </c>
      <c r="GE52" s="1" t="s">
        <v>190</v>
      </c>
    </row>
    <row r="53" spans="1:187" ht="11.25" customHeight="1">
      <c r="A53" s="1" t="s">
        <v>264</v>
      </c>
      <c r="B53" s="1" t="str">
        <f ca="1">IFERROR(__xludf.DUMMYFUNCTION("GOOGLETRANSLATE(A53, ""en"", ""fr"")"),"ABONDANT")</f>
        <v>ABONDANT</v>
      </c>
      <c r="C53" s="1" t="s">
        <v>185</v>
      </c>
      <c r="D53" s="1" t="s">
        <v>16612</v>
      </c>
      <c r="F53" s="1" t="s">
        <v>2</v>
      </c>
      <c r="J53" s="1" t="s">
        <v>6</v>
      </c>
      <c r="W53" s="1" t="s">
        <v>19</v>
      </c>
      <c r="CS53" s="1" t="s">
        <v>93</v>
      </c>
      <c r="EV53" s="1" t="s">
        <v>148</v>
      </c>
      <c r="EW53" s="1" t="s">
        <v>149</v>
      </c>
      <c r="GD53" s="1" t="s">
        <v>202</v>
      </c>
      <c r="GE53" s="1" t="s">
        <v>190</v>
      </c>
    </row>
    <row r="54" spans="1:187" ht="11.25" customHeight="1">
      <c r="A54" s="1" t="s">
        <v>265</v>
      </c>
      <c r="B54" s="1" t="str">
        <f ca="1">IFERROR(__xludf.DUMMYFUNCTION("GOOGLETRANSLATE(A54, ""en"", ""fr"")"),"Abus # 1")</f>
        <v>Abus # 1</v>
      </c>
      <c r="C54" s="1" t="s">
        <v>185</v>
      </c>
      <c r="E54" s="1" t="s">
        <v>16613</v>
      </c>
      <c r="H54" s="1" t="s">
        <v>4</v>
      </c>
      <c r="I54" s="1" t="s">
        <v>5</v>
      </c>
      <c r="N54" s="1" t="s">
        <v>10</v>
      </c>
      <c r="V54" s="1" t="s">
        <v>18</v>
      </c>
      <c r="EL54" s="1" t="s">
        <v>138</v>
      </c>
      <c r="EN54" s="1" t="s">
        <v>140</v>
      </c>
      <c r="GD54" s="1" t="s">
        <v>193</v>
      </c>
      <c r="GE54" s="1" t="s">
        <v>190</v>
      </c>
    </row>
    <row r="55" spans="1:187" ht="11.25" customHeight="1">
      <c r="A55" s="1" t="s">
        <v>266</v>
      </c>
      <c r="B55" s="1" t="str">
        <f ca="1">IFERROR(__xludf.DUMMYFUNCTION("GOOGLETRANSLATE(A55, ""en"", ""fr"")"),"Abus # 2")</f>
        <v>Abus # 2</v>
      </c>
      <c r="C55" s="1" t="s">
        <v>185</v>
      </c>
      <c r="E55" s="1" t="s">
        <v>16613</v>
      </c>
      <c r="H55" s="1" t="s">
        <v>4</v>
      </c>
      <c r="I55" s="1" t="s">
        <v>5</v>
      </c>
      <c r="J55" s="1" t="s">
        <v>6</v>
      </c>
      <c r="N55" s="1" t="s">
        <v>10</v>
      </c>
      <c r="AN55" s="1" t="s">
        <v>36</v>
      </c>
      <c r="DN55" s="1" t="s">
        <v>114</v>
      </c>
      <c r="EL55" s="1" t="s">
        <v>138</v>
      </c>
      <c r="EN55" s="1" t="s">
        <v>140</v>
      </c>
      <c r="GD55" s="1" t="s">
        <v>189</v>
      </c>
      <c r="GE55" s="1" t="s">
        <v>190</v>
      </c>
    </row>
    <row r="56" spans="1:187" ht="11.25" customHeight="1">
      <c r="A56" s="1" t="s">
        <v>267</v>
      </c>
      <c r="B56" s="1" t="str">
        <f ca="1">IFERROR(__xludf.DUMMYFUNCTION("GOOGLETRANSLATE(A56, ""en"", ""fr"")"),"ABÎME")</f>
        <v>ABÎME</v>
      </c>
      <c r="C56" s="1" t="s">
        <v>185</v>
      </c>
      <c r="E56" s="1" t="s">
        <v>16613</v>
      </c>
      <c r="H56" s="1" t="s">
        <v>4</v>
      </c>
      <c r="AV56" s="1" t="s">
        <v>44</v>
      </c>
      <c r="BA56" s="1" t="s">
        <v>49</v>
      </c>
      <c r="GD56" s="1" t="s">
        <v>193</v>
      </c>
      <c r="GE56" s="1" t="s">
        <v>190</v>
      </c>
    </row>
    <row r="57" spans="1:187" ht="11.25" customHeight="1">
      <c r="A57" s="1" t="s">
        <v>268</v>
      </c>
      <c r="B57" s="1" t="str">
        <f ca="1">IFERROR(__xludf.DUMMYFUNCTION("GOOGLETRANSLATE(A57, ""en"", ""fr"")"),"ABYSSINIE")</f>
        <v>ABYSSINIE</v>
      </c>
      <c r="C57" s="1" t="s">
        <v>196</v>
      </c>
      <c r="FU57" s="1" t="s">
        <v>173</v>
      </c>
      <c r="GD57" s="1" t="s">
        <v>269</v>
      </c>
    </row>
    <row r="58" spans="1:187" ht="11.25" customHeight="1">
      <c r="A58" s="1" t="s">
        <v>270</v>
      </c>
      <c r="B58" s="1" t="str">
        <f ca="1">IFERROR(__xludf.DUMMYFUNCTION("GOOGLETRANSLATE(A58, ""en"", ""fr"")"),"ACADÉMIQUE")</f>
        <v>ACADÉMIQUE</v>
      </c>
      <c r="C58" s="1" t="s">
        <v>185</v>
      </c>
      <c r="Y58" s="1" t="s">
        <v>21</v>
      </c>
      <c r="Z58" s="1" t="s">
        <v>22</v>
      </c>
      <c r="FH58" s="1" t="s">
        <v>160</v>
      </c>
      <c r="FI58" s="1" t="s">
        <v>161</v>
      </c>
      <c r="GD58" s="1" t="s">
        <v>202</v>
      </c>
      <c r="GE58" s="1" t="s">
        <v>271</v>
      </c>
    </row>
    <row r="59" spans="1:187" ht="11.25" customHeight="1">
      <c r="A59" s="1" t="s">
        <v>272</v>
      </c>
      <c r="B59" s="1" t="str">
        <f ca="1">IFERROR(__xludf.DUMMYFUNCTION("GOOGLETRANSLATE(A59, ""en"", ""fr"")"),"ACADÉMIE")</f>
        <v>ACADÉMIE</v>
      </c>
      <c r="C59" s="1" t="s">
        <v>185</v>
      </c>
      <c r="Y59" s="1" t="s">
        <v>21</v>
      </c>
      <c r="AV59" s="1" t="s">
        <v>44</v>
      </c>
      <c r="AW59" s="1" t="s">
        <v>45</v>
      </c>
      <c r="FH59" s="1" t="s">
        <v>160</v>
      </c>
      <c r="FI59" s="1" t="s">
        <v>161</v>
      </c>
      <c r="GD59" s="1" t="s">
        <v>193</v>
      </c>
      <c r="GE59" s="1" t="s">
        <v>190</v>
      </c>
    </row>
    <row r="60" spans="1:187" ht="11.25" customHeight="1">
      <c r="A60" s="1" t="s">
        <v>273</v>
      </c>
      <c r="B60" s="1" t="str">
        <f ca="1">IFERROR(__xludf.DUMMYFUNCTION("GOOGLETRANSLATE(A60, ""en"", ""fr"")"),"Faire des accélérer")</f>
        <v>Faire des accélérer</v>
      </c>
      <c r="C60" s="1" t="s">
        <v>185</v>
      </c>
      <c r="D60" s="1" t="s">
        <v>16612</v>
      </c>
      <c r="G60" s="1" t="s">
        <v>3</v>
      </c>
      <c r="N60" s="1" t="s">
        <v>10</v>
      </c>
      <c r="BK60" s="1" t="s">
        <v>59</v>
      </c>
      <c r="DN60" s="1" t="s">
        <v>114</v>
      </c>
      <c r="DS60" s="1" t="s">
        <v>119</v>
      </c>
      <c r="ED60" s="1" t="s">
        <v>130</v>
      </c>
      <c r="GD60" s="1" t="s">
        <v>189</v>
      </c>
      <c r="GE60" s="1" t="s">
        <v>190</v>
      </c>
    </row>
    <row r="61" spans="1:187" ht="11.25" customHeight="1">
      <c r="A61" s="1" t="s">
        <v>274</v>
      </c>
      <c r="B61" s="1" t="str">
        <f ca="1">IFERROR(__xludf.DUMMYFUNCTION("GOOGLETRANSLATE(A61, ""en"", ""fr"")"),"ACCÉLÉRER")</f>
        <v>ACCÉLÉRER</v>
      </c>
      <c r="C61" s="1" t="s">
        <v>185</v>
      </c>
      <c r="J61" s="1" t="s">
        <v>6</v>
      </c>
      <c r="N61" s="1" t="s">
        <v>10</v>
      </c>
      <c r="BX61" s="1" t="s">
        <v>72</v>
      </c>
      <c r="DO61" s="1" t="s">
        <v>115</v>
      </c>
      <c r="FR61" s="1" t="s">
        <v>170</v>
      </c>
      <c r="GD61" s="1" t="s">
        <v>189</v>
      </c>
      <c r="GE61" s="1" t="s">
        <v>190</v>
      </c>
    </row>
    <row r="62" spans="1:187" ht="11.25" customHeight="1">
      <c r="A62" s="1" t="s">
        <v>275</v>
      </c>
      <c r="B62" s="1" t="str">
        <f ca="1">IFERROR(__xludf.DUMMYFUNCTION("GOOGLETRANSLATE(A62, ""en"", ""fr"")"),"ACCÉLÉRATION")</f>
        <v>ACCÉLÉRATION</v>
      </c>
      <c r="C62" s="1" t="s">
        <v>185</v>
      </c>
      <c r="J62" s="1" t="s">
        <v>6</v>
      </c>
      <c r="N62" s="1" t="s">
        <v>10</v>
      </c>
      <c r="BX62" s="1" t="s">
        <v>72</v>
      </c>
      <c r="GB62" s="1" t="s">
        <v>180</v>
      </c>
      <c r="GD62" s="1" t="s">
        <v>193</v>
      </c>
      <c r="GE62" s="1" t="s">
        <v>190</v>
      </c>
    </row>
    <row r="63" spans="1:187" ht="11.25" customHeight="1">
      <c r="A63" s="1" t="s">
        <v>276</v>
      </c>
      <c r="B63" s="1" t="str">
        <f ca="1">IFERROR(__xludf.DUMMYFUNCTION("GOOGLETRANSLATE(A63, ""en"", ""fr"")"),"ACCENTUER")</f>
        <v>ACCENTUER</v>
      </c>
      <c r="C63" s="1" t="s">
        <v>192</v>
      </c>
      <c r="D63" s="1" t="s">
        <v>16612</v>
      </c>
      <c r="N63" s="1" t="s">
        <v>10</v>
      </c>
      <c r="W63" s="1" t="s">
        <v>19</v>
      </c>
      <c r="DN63" s="1" t="s">
        <v>114</v>
      </c>
      <c r="GD63" s="1" t="s">
        <v>189</v>
      </c>
      <c r="GE63" s="1" t="s">
        <v>190</v>
      </c>
    </row>
    <row r="64" spans="1:187" ht="11.25" customHeight="1">
      <c r="A64" s="1" t="s">
        <v>277</v>
      </c>
      <c r="B64" s="1" t="str">
        <f ca="1">IFERROR(__xludf.DUMMYFUNCTION("GOOGLETRANSLATE(A64, ""en"", ""fr"")"),"ACCEPTER")</f>
        <v>ACCEPTER</v>
      </c>
      <c r="C64" s="1" t="s">
        <v>185</v>
      </c>
      <c r="D64" s="1" t="s">
        <v>16612</v>
      </c>
      <c r="F64" s="1" t="s">
        <v>2</v>
      </c>
      <c r="M64" s="1" t="s">
        <v>9</v>
      </c>
      <c r="O64" s="1" t="s">
        <v>11</v>
      </c>
      <c r="AN64" s="1" t="s">
        <v>36</v>
      </c>
      <c r="DN64" s="1" t="s">
        <v>114</v>
      </c>
      <c r="FX64" s="1" t="s">
        <v>176</v>
      </c>
      <c r="GD64" s="1" t="s">
        <v>189</v>
      </c>
      <c r="GE64" s="1" t="s">
        <v>278</v>
      </c>
    </row>
    <row r="65" spans="1:187" ht="11.25" customHeight="1">
      <c r="A65" s="1" t="s">
        <v>279</v>
      </c>
      <c r="B65" s="1" t="str">
        <f ca="1">IFERROR(__xludf.DUMMYFUNCTION("GOOGLETRANSLATE(A65, ""en"", ""fr"")"),"ACCEPTABLE")</f>
        <v>ACCEPTABLE</v>
      </c>
      <c r="C65" s="1" t="s">
        <v>185</v>
      </c>
      <c r="D65" s="1" t="s">
        <v>16612</v>
      </c>
      <c r="F65" s="1" t="s">
        <v>2</v>
      </c>
      <c r="U65" s="1" t="s">
        <v>17</v>
      </c>
      <c r="CN65" s="1" t="s">
        <v>88</v>
      </c>
      <c r="FX65" s="1" t="s">
        <v>176</v>
      </c>
      <c r="GD65" s="1" t="s">
        <v>202</v>
      </c>
      <c r="GE65" s="1" t="s">
        <v>190</v>
      </c>
    </row>
    <row r="66" spans="1:187" ht="11.25" customHeight="1">
      <c r="A66" s="1" t="s">
        <v>280</v>
      </c>
      <c r="B66" s="1" t="str">
        <f ca="1">IFERROR(__xludf.DUMMYFUNCTION("GOOGLETRANSLATE(A66, ""en"", ""fr"")"),"ACCEPTATION")</f>
        <v>ACCEPTATION</v>
      </c>
      <c r="C66" s="1" t="s">
        <v>185</v>
      </c>
      <c r="D66" s="1" t="s">
        <v>16612</v>
      </c>
      <c r="F66" s="1" t="s">
        <v>2</v>
      </c>
      <c r="G66" s="1" t="s">
        <v>3</v>
      </c>
      <c r="O66" s="1" t="s">
        <v>11</v>
      </c>
      <c r="AN66" s="1" t="s">
        <v>36</v>
      </c>
      <c r="FX66" s="1" t="s">
        <v>176</v>
      </c>
      <c r="GD66" s="1" t="s">
        <v>193</v>
      </c>
      <c r="GE66" s="1" t="s">
        <v>190</v>
      </c>
    </row>
    <row r="67" spans="1:187" ht="11.25" customHeight="1">
      <c r="A67" s="1" t="s">
        <v>281</v>
      </c>
      <c r="B67" s="1" t="str">
        <f ca="1">IFERROR(__xludf.DUMMYFUNCTION("GOOGLETRANSLATE(A67, ""en"", ""fr"")"),"ACCÉDER")</f>
        <v>ACCÉDER</v>
      </c>
      <c r="C67" s="1" t="s">
        <v>185</v>
      </c>
      <c r="BQ67" s="1" t="s">
        <v>65</v>
      </c>
      <c r="GD67" s="1" t="s">
        <v>193</v>
      </c>
      <c r="GE67" s="1" t="s">
        <v>190</v>
      </c>
    </row>
    <row r="68" spans="1:187" ht="11.25" customHeight="1">
      <c r="A68" s="1" t="s">
        <v>282</v>
      </c>
      <c r="B68" s="1" t="str">
        <f ca="1">IFERROR(__xludf.DUMMYFUNCTION("GOOGLETRANSLATE(A68, ""en"", ""fr"")"),"ACCESSIBLE")</f>
        <v>ACCESSIBLE</v>
      </c>
      <c r="C68" s="1" t="s">
        <v>192</v>
      </c>
      <c r="D68" s="1" t="s">
        <v>16612</v>
      </c>
      <c r="U68" s="1" t="s">
        <v>17</v>
      </c>
      <c r="DQ68" s="1" t="s">
        <v>117</v>
      </c>
      <c r="GD68" s="1" t="s">
        <v>202</v>
      </c>
      <c r="GE68" s="1" t="s">
        <v>190</v>
      </c>
    </row>
    <row r="69" spans="1:187" ht="11.25" customHeight="1">
      <c r="A69" s="1" t="s">
        <v>283</v>
      </c>
      <c r="B69" s="1" t="str">
        <f ca="1">IFERROR(__xludf.DUMMYFUNCTION("GOOGLETRANSLATE(A69, ""en"", ""fr"")"),"ACCESSION")</f>
        <v>ACCESSION</v>
      </c>
      <c r="C69" s="1" t="s">
        <v>192</v>
      </c>
      <c r="D69" s="1" t="s">
        <v>16612</v>
      </c>
      <c r="J69" s="1" t="s">
        <v>6</v>
      </c>
      <c r="BX69" s="1" t="s">
        <v>72</v>
      </c>
      <c r="GD69" s="1" t="s">
        <v>193</v>
      </c>
      <c r="GE69" s="1" t="s">
        <v>190</v>
      </c>
    </row>
    <row r="70" spans="1:187" ht="11.25" customHeight="1">
      <c r="A70" s="1" t="s">
        <v>284</v>
      </c>
      <c r="B70" s="1" t="str">
        <f ca="1">IFERROR(__xludf.DUMMYFUNCTION("GOOGLETRANSLATE(A70, ""en"", ""fr"")"),"ACCIDENT")</f>
        <v>ACCIDENT</v>
      </c>
      <c r="C70" s="1" t="s">
        <v>185</v>
      </c>
      <c r="E70" s="1" t="s">
        <v>16613</v>
      </c>
      <c r="H70" s="1" t="s">
        <v>4</v>
      </c>
      <c r="X70" s="1" t="s">
        <v>20</v>
      </c>
      <c r="CI70" s="1" t="s">
        <v>83</v>
      </c>
      <c r="FO70" s="1" t="s">
        <v>167</v>
      </c>
      <c r="GD70" s="1" t="s">
        <v>193</v>
      </c>
      <c r="GE70" s="1" t="s">
        <v>285</v>
      </c>
    </row>
    <row r="71" spans="1:187" ht="11.25" customHeight="1">
      <c r="A71" s="1" t="s">
        <v>286</v>
      </c>
      <c r="B71" s="1" t="str">
        <f ca="1">IFERROR(__xludf.DUMMYFUNCTION("GOOGLETRANSLATE(A71, ""en"", ""fr"")"),"ACCIDENTEL")</f>
        <v>ACCIDENTEL</v>
      </c>
      <c r="C71" s="1" t="s">
        <v>185</v>
      </c>
      <c r="X71" s="1" t="s">
        <v>20</v>
      </c>
      <c r="CI71" s="1" t="s">
        <v>83</v>
      </c>
      <c r="FO71" s="1" t="s">
        <v>167</v>
      </c>
      <c r="GD71" s="1" t="s">
        <v>202</v>
      </c>
      <c r="GE71" s="1" t="s">
        <v>190</v>
      </c>
    </row>
    <row r="72" spans="1:187" ht="11.25" customHeight="1">
      <c r="A72" s="1" t="s">
        <v>287</v>
      </c>
      <c r="B72" s="1" t="str">
        <f ca="1">IFERROR(__xludf.DUMMYFUNCTION("GOOGLETRANSLATE(A72, ""en"", ""fr"")"),"ACCLAMER")</f>
        <v>ACCLAMER</v>
      </c>
      <c r="C72" s="1" t="s">
        <v>192</v>
      </c>
      <c r="D72" s="1" t="s">
        <v>16612</v>
      </c>
      <c r="U72" s="1" t="s">
        <v>17</v>
      </c>
      <c r="BK72" s="1" t="s">
        <v>59</v>
      </c>
      <c r="GD72" s="1" t="s">
        <v>193</v>
      </c>
      <c r="GE72" s="1" t="s">
        <v>190</v>
      </c>
    </row>
    <row r="73" spans="1:187" ht="11.25" customHeight="1">
      <c r="A73" s="1" t="s">
        <v>288</v>
      </c>
      <c r="B73" s="1" t="str">
        <f ca="1">IFERROR(__xludf.DUMMYFUNCTION("GOOGLETRANSLATE(A73, ""en"", ""fr"")"),"ACCLAMATION")</f>
        <v>ACCLAMATION</v>
      </c>
      <c r="C73" s="1" t="s">
        <v>192</v>
      </c>
      <c r="D73" s="1" t="s">
        <v>16612</v>
      </c>
      <c r="U73" s="1" t="s">
        <v>17</v>
      </c>
      <c r="BK73" s="1" t="s">
        <v>59</v>
      </c>
      <c r="GD73" s="1" t="s">
        <v>193</v>
      </c>
      <c r="GE73" s="1" t="s">
        <v>190</v>
      </c>
    </row>
    <row r="74" spans="1:187" ht="11.25" customHeight="1">
      <c r="A74" s="1" t="s">
        <v>289</v>
      </c>
      <c r="B74" s="1" t="str">
        <f ca="1">IFERROR(__xludf.DUMMYFUNCTION("GOOGLETRANSLATE(A74, ""en"", ""fr"")"),"ACCOLADE")</f>
        <v>ACCOLADE</v>
      </c>
      <c r="C74" s="1" t="s">
        <v>192</v>
      </c>
      <c r="D74" s="1" t="s">
        <v>16612</v>
      </c>
      <c r="U74" s="1" t="s">
        <v>17</v>
      </c>
      <c r="BK74" s="1" t="s">
        <v>59</v>
      </c>
      <c r="GD74" s="1" t="s">
        <v>193</v>
      </c>
      <c r="GE74" s="1" t="s">
        <v>190</v>
      </c>
    </row>
    <row r="75" spans="1:187" ht="11.25" customHeight="1">
      <c r="A75" s="1" t="s">
        <v>290</v>
      </c>
      <c r="B75" s="1" t="str">
        <f ca="1">IFERROR(__xludf.DUMMYFUNCTION("GOOGLETRANSLATE(A75, ""en"", ""fr"")"),"ACCOMMODER")</f>
        <v>ACCOMMODER</v>
      </c>
      <c r="C75" s="1" t="s">
        <v>185</v>
      </c>
      <c r="D75" s="1" t="s">
        <v>16612</v>
      </c>
      <c r="F75" s="1" t="s">
        <v>2</v>
      </c>
      <c r="N75" s="1" t="s">
        <v>10</v>
      </c>
      <c r="BW75" s="1" t="s">
        <v>71</v>
      </c>
      <c r="DN75" s="1" t="s">
        <v>114</v>
      </c>
      <c r="DX75" s="1" t="s">
        <v>124</v>
      </c>
      <c r="ED75" s="1" t="s">
        <v>130</v>
      </c>
      <c r="GD75" s="1" t="s">
        <v>189</v>
      </c>
      <c r="GE75" s="1" t="s">
        <v>190</v>
      </c>
    </row>
    <row r="76" spans="1:187" ht="11.25" customHeight="1">
      <c r="A76" s="1" t="s">
        <v>291</v>
      </c>
      <c r="B76" s="1" t="str">
        <f ca="1">IFERROR(__xludf.DUMMYFUNCTION("GOOGLETRANSLATE(A76, ""en"", ""fr"")"),"HÉBERGEMENT")</f>
        <v>HÉBERGEMENT</v>
      </c>
      <c r="C76" s="1" t="s">
        <v>185</v>
      </c>
      <c r="D76" s="1" t="s">
        <v>16612</v>
      </c>
      <c r="U76" s="1" t="s">
        <v>17</v>
      </c>
      <c r="AV76" s="1" t="s">
        <v>44</v>
      </c>
      <c r="DX76" s="1" t="s">
        <v>124</v>
      </c>
      <c r="ED76" s="1" t="s">
        <v>130</v>
      </c>
      <c r="GD76" s="1" t="s">
        <v>193</v>
      </c>
      <c r="GE76" s="1" t="s">
        <v>190</v>
      </c>
    </row>
    <row r="77" spans="1:187" ht="11.25" customHeight="1">
      <c r="A77" s="1" t="s">
        <v>292</v>
      </c>
      <c r="B77" s="1" t="str">
        <f ca="1">IFERROR(__xludf.DUMMYFUNCTION("GOOGLETRANSLATE(A77, ""en"", ""fr"")"),"ACCOMPAGNEMENT")</f>
        <v>ACCOMPAGNEMENT</v>
      </c>
      <c r="C77" s="1" t="s">
        <v>192</v>
      </c>
      <c r="D77" s="1" t="s">
        <v>16612</v>
      </c>
      <c r="AN77" s="1" t="s">
        <v>36</v>
      </c>
      <c r="GD77" s="1" t="s">
        <v>193</v>
      </c>
      <c r="GE77" s="1" t="s">
        <v>190</v>
      </c>
    </row>
    <row r="78" spans="1:187" ht="11.25" customHeight="1">
      <c r="A78" s="1" t="s">
        <v>293</v>
      </c>
      <c r="B78" s="1" t="str">
        <f ca="1">IFERROR(__xludf.DUMMYFUNCTION("GOOGLETRANSLATE(A78, ""en"", ""fr"")"),"Accompagner # 1")</f>
        <v>Accompagner # 1</v>
      </c>
      <c r="C78" s="1" t="s">
        <v>185</v>
      </c>
      <c r="G78" s="1" t="s">
        <v>3</v>
      </c>
      <c r="N78" s="1" t="s">
        <v>10</v>
      </c>
      <c r="CE78" s="1" t="s">
        <v>79</v>
      </c>
      <c r="DN78" s="1" t="s">
        <v>114</v>
      </c>
      <c r="GD78" s="1" t="s">
        <v>189</v>
      </c>
      <c r="GE78" s="1" t="s">
        <v>294</v>
      </c>
    </row>
    <row r="79" spans="1:187" ht="11.25" customHeight="1">
      <c r="A79" s="1" t="s">
        <v>295</v>
      </c>
      <c r="B79" s="1" t="str">
        <f ca="1">IFERROR(__xludf.DUMMYFUNCTION("GOOGLETRANSLATE(A79, ""en"", ""fr"")"),"Accompagner # 2")</f>
        <v>Accompagner # 2</v>
      </c>
      <c r="C79" s="1" t="s">
        <v>185</v>
      </c>
      <c r="DD79" s="1" t="s">
        <v>104</v>
      </c>
      <c r="DO79" s="1" t="s">
        <v>115</v>
      </c>
      <c r="GD79" s="1" t="s">
        <v>189</v>
      </c>
      <c r="GE79" s="1" t="s">
        <v>296</v>
      </c>
    </row>
    <row r="80" spans="1:187" ht="11.25" customHeight="1">
      <c r="A80" s="1" t="s">
        <v>297</v>
      </c>
      <c r="B80" s="1" t="str">
        <f ca="1">IFERROR(__xludf.DUMMYFUNCTION("GOOGLETRANSLATE(A80, ""en"", ""fr"")"),"ACCOMPLIR")</f>
        <v>ACCOMPLIR</v>
      </c>
      <c r="C80" s="1" t="s">
        <v>185</v>
      </c>
      <c r="D80" s="1" t="s">
        <v>16612</v>
      </c>
      <c r="F80" s="1" t="s">
        <v>2</v>
      </c>
      <c r="J80" s="1" t="s">
        <v>6</v>
      </c>
      <c r="K80" s="1" t="s">
        <v>7</v>
      </c>
      <c r="N80" s="1" t="s">
        <v>10</v>
      </c>
      <c r="BS80" s="1" t="s">
        <v>67</v>
      </c>
      <c r="DN80" s="1" t="s">
        <v>114</v>
      </c>
      <c r="FR80" s="1" t="s">
        <v>170</v>
      </c>
      <c r="GD80" s="1" t="s">
        <v>189</v>
      </c>
      <c r="GE80" s="1" t="s">
        <v>298</v>
      </c>
    </row>
    <row r="81" spans="1:187" ht="11.25" customHeight="1">
      <c r="A81" s="1" t="s">
        <v>299</v>
      </c>
      <c r="B81" s="1" t="str">
        <f ca="1">IFERROR(__xludf.DUMMYFUNCTION("GOOGLETRANSLATE(A81, ""en"", ""fr"")"),"ACCOMPLISSEMENT")</f>
        <v>ACCOMPLISSEMENT</v>
      </c>
      <c r="C81" s="1" t="s">
        <v>185</v>
      </c>
      <c r="D81" s="1" t="s">
        <v>16612</v>
      </c>
      <c r="F81" s="1" t="s">
        <v>2</v>
      </c>
      <c r="J81" s="1" t="s">
        <v>6</v>
      </c>
      <c r="K81" s="1" t="s">
        <v>7</v>
      </c>
      <c r="N81" s="1" t="s">
        <v>10</v>
      </c>
      <c r="BO81" s="1" t="s">
        <v>63</v>
      </c>
      <c r="FR81" s="1" t="s">
        <v>170</v>
      </c>
      <c r="GD81" s="1" t="s">
        <v>193</v>
      </c>
      <c r="GE81" s="1" t="s">
        <v>190</v>
      </c>
    </row>
    <row r="82" spans="1:187" ht="11.25" customHeight="1">
      <c r="A82" s="1" t="s">
        <v>300</v>
      </c>
      <c r="B82" s="1" t="str">
        <f ca="1">IFERROR(__xludf.DUMMYFUNCTION("GOOGLETRANSLATE(A82, ""en"", ""fr"")"),"Accord # 1")</f>
        <v>Accord # 1</v>
      </c>
      <c r="C82" s="1" t="s">
        <v>185</v>
      </c>
      <c r="FH82" s="1" t="s">
        <v>160</v>
      </c>
      <c r="FI82" s="1" t="s">
        <v>161</v>
      </c>
      <c r="GD82" s="1" t="s">
        <v>215</v>
      </c>
      <c r="GE82" s="1" t="s">
        <v>301</v>
      </c>
    </row>
    <row r="83" spans="1:187" ht="11.25" customHeight="1">
      <c r="A83" s="1" t="s">
        <v>302</v>
      </c>
      <c r="B83" s="1" t="str">
        <f ca="1">IFERROR(__xludf.DUMMYFUNCTION("GOOGLETRANSLATE(A83, ""en"", ""fr"")"),"Accord # 2")</f>
        <v>Accord # 2</v>
      </c>
      <c r="C83" s="1" t="s">
        <v>185</v>
      </c>
      <c r="D83" s="1" t="s">
        <v>16612</v>
      </c>
      <c r="F83" s="1" t="s">
        <v>2</v>
      </c>
      <c r="AN83" s="1" t="s">
        <v>36</v>
      </c>
      <c r="DN83" s="1" t="s">
        <v>114</v>
      </c>
      <c r="FX83" s="1" t="s">
        <v>176</v>
      </c>
      <c r="GD83" s="1" t="s">
        <v>189</v>
      </c>
      <c r="GE83" s="1" t="s">
        <v>303</v>
      </c>
    </row>
    <row r="84" spans="1:187" ht="11.25" customHeight="1">
      <c r="A84" s="1" t="s">
        <v>304</v>
      </c>
      <c r="B84" s="1" t="str">
        <f ca="1">IFERROR(__xludf.DUMMYFUNCTION("GOOGLETRANSLATE(A84, ""en"", ""fr"")"),"Accord # 3")</f>
        <v>Accord # 3</v>
      </c>
      <c r="C84" s="1" t="s">
        <v>185</v>
      </c>
      <c r="D84" s="1" t="s">
        <v>16612</v>
      </c>
      <c r="F84" s="1" t="s">
        <v>2</v>
      </c>
      <c r="K84" s="1" t="s">
        <v>7</v>
      </c>
      <c r="AN84" s="1" t="s">
        <v>36</v>
      </c>
      <c r="DN84" s="1" t="s">
        <v>114</v>
      </c>
      <c r="FN84" s="1" t="s">
        <v>166</v>
      </c>
      <c r="GD84" s="1" t="s">
        <v>189</v>
      </c>
      <c r="GE84" s="1" t="s">
        <v>305</v>
      </c>
    </row>
    <row r="85" spans="1:187" ht="11.25" customHeight="1">
      <c r="A85" s="1" t="s">
        <v>306</v>
      </c>
      <c r="B85" s="1" t="str">
        <f ca="1">IFERROR(__xludf.DUMMYFUNCTION("GOOGLETRANSLATE(A85, ""en"", ""fr"")"),"Accord # 4")</f>
        <v>Accord # 4</v>
      </c>
      <c r="C85" s="1" t="s">
        <v>185</v>
      </c>
      <c r="FX85" s="1" t="s">
        <v>176</v>
      </c>
      <c r="GD85" s="1" t="s">
        <v>236</v>
      </c>
      <c r="GE85" s="1" t="s">
        <v>307</v>
      </c>
    </row>
    <row r="86" spans="1:187" ht="11.25" customHeight="1">
      <c r="A86" s="1" t="s">
        <v>308</v>
      </c>
      <c r="B86" s="1" t="str">
        <f ca="1">IFERROR(__xludf.DUMMYFUNCTION("GOOGLETRANSLATE(A86, ""en"", ""fr"")"),"Accord # 5")</f>
        <v>Accord # 5</v>
      </c>
      <c r="C86" s="1" t="s">
        <v>185</v>
      </c>
      <c r="D86" s="1" t="s">
        <v>16612</v>
      </c>
      <c r="F86" s="1" t="s">
        <v>2</v>
      </c>
      <c r="BQ86" s="1" t="s">
        <v>65</v>
      </c>
      <c r="EC86" s="1" t="s">
        <v>129</v>
      </c>
      <c r="ED86" s="1" t="s">
        <v>130</v>
      </c>
      <c r="GD86" s="1" t="s">
        <v>236</v>
      </c>
      <c r="GE86" s="1" t="s">
        <v>309</v>
      </c>
    </row>
    <row r="87" spans="1:187" ht="11.25" customHeight="1">
      <c r="A87" s="1" t="s">
        <v>310</v>
      </c>
      <c r="B87" s="1" t="str">
        <f ca="1">IFERROR(__xludf.DUMMYFUNCTION("GOOGLETRANSLATE(A87, ""en"", ""fr"")"),"CONFORMITÉ")</f>
        <v>CONFORMITÉ</v>
      </c>
      <c r="C87" s="1" t="s">
        <v>185</v>
      </c>
      <c r="D87" s="1" t="s">
        <v>16612</v>
      </c>
      <c r="F87" s="1" t="s">
        <v>2</v>
      </c>
      <c r="CH87" s="1" t="s">
        <v>82</v>
      </c>
      <c r="DX87" s="1" t="s">
        <v>124</v>
      </c>
      <c r="ED87" s="1" t="s">
        <v>130</v>
      </c>
      <c r="GD87" s="1" t="s">
        <v>193</v>
      </c>
      <c r="GE87" s="1" t="s">
        <v>190</v>
      </c>
    </row>
    <row r="88" spans="1:187" ht="11.25" customHeight="1">
      <c r="A88" s="1" t="s">
        <v>311</v>
      </c>
      <c r="B88" s="1" t="str">
        <f ca="1">IFERROR(__xludf.DUMMYFUNCTION("GOOGLETRANSLATE(A88, ""en"", ""fr"")"),"ACCOSTER")</f>
        <v>ACCOSTER</v>
      </c>
      <c r="C88" s="1" t="s">
        <v>192</v>
      </c>
      <c r="E88" s="1" t="s">
        <v>16613</v>
      </c>
      <c r="I88" s="1" t="s">
        <v>5</v>
      </c>
      <c r="N88" s="1" t="s">
        <v>10</v>
      </c>
      <c r="CC88" s="1" t="s">
        <v>77</v>
      </c>
      <c r="DN88" s="1" t="s">
        <v>114</v>
      </c>
      <c r="GD88" s="1" t="s">
        <v>189</v>
      </c>
      <c r="GE88" s="1" t="s">
        <v>190</v>
      </c>
    </row>
    <row r="89" spans="1:187" ht="11.25" customHeight="1">
      <c r="A89" s="1" t="s">
        <v>312</v>
      </c>
      <c r="B89" s="1" t="str">
        <f ca="1">IFERROR(__xludf.DUMMYFUNCTION("GOOGLETRANSLATE(A89, ""en"", ""fr"")"),"Compte n ° 1")</f>
        <v>Compte n ° 1</v>
      </c>
      <c r="C89" s="1" t="s">
        <v>185</v>
      </c>
      <c r="CI89" s="1" t="s">
        <v>83</v>
      </c>
      <c r="FH89" s="1" t="s">
        <v>160</v>
      </c>
      <c r="FI89" s="1" t="s">
        <v>161</v>
      </c>
      <c r="GD89" s="1" t="s">
        <v>215</v>
      </c>
      <c r="GE89" s="1" t="s">
        <v>313</v>
      </c>
    </row>
    <row r="90" spans="1:187" ht="11.25" customHeight="1">
      <c r="A90" s="1" t="s">
        <v>314</v>
      </c>
      <c r="B90" s="1" t="str">
        <f ca="1">IFERROR(__xludf.DUMMYFUNCTION("GOOGLETRANSLATE(A90, ""en"", ""fr"")"),"Compte n ° 2")</f>
        <v>Compte n ° 2</v>
      </c>
      <c r="C90" s="1" t="s">
        <v>185</v>
      </c>
      <c r="AA90" s="1" t="s">
        <v>23</v>
      </c>
      <c r="AC90" s="1" t="s">
        <v>25</v>
      </c>
      <c r="BK90" s="1" t="s">
        <v>59</v>
      </c>
      <c r="EV90" s="1" t="s">
        <v>148</v>
      </c>
      <c r="EW90" s="1" t="s">
        <v>149</v>
      </c>
      <c r="GD90" s="1" t="s">
        <v>193</v>
      </c>
      <c r="GE90" s="1" t="s">
        <v>315</v>
      </c>
    </row>
    <row r="91" spans="1:187" ht="11.25" customHeight="1">
      <c r="A91" s="1" t="s">
        <v>316</v>
      </c>
      <c r="B91" s="1" t="str">
        <f ca="1">IFERROR(__xludf.DUMMYFUNCTION("GOOGLETRANSLATE(A91, ""en"", ""fr"")"),"Compte n ° 3")</f>
        <v>Compte n ° 3</v>
      </c>
      <c r="C91" s="1" t="s">
        <v>185</v>
      </c>
      <c r="BK91" s="1" t="s">
        <v>59</v>
      </c>
      <c r="BL91" s="1" t="s">
        <v>60</v>
      </c>
      <c r="FH91" s="1" t="s">
        <v>160</v>
      </c>
      <c r="FI91" s="1" t="s">
        <v>161</v>
      </c>
      <c r="GC91" s="1" t="s">
        <v>181</v>
      </c>
      <c r="GD91" s="1" t="s">
        <v>193</v>
      </c>
      <c r="GE91" s="1" t="s">
        <v>317</v>
      </c>
    </row>
    <row r="92" spans="1:187" ht="11.25" customHeight="1">
      <c r="A92" s="1" t="s">
        <v>318</v>
      </c>
      <c r="B92" s="1" t="str">
        <f ca="1">IFERROR(__xludf.DUMMYFUNCTION("GOOGLETRANSLATE(A92, ""en"", ""fr"")"),"Compte n ° 4")</f>
        <v>Compte n ° 4</v>
      </c>
      <c r="C92" s="1" t="s">
        <v>185</v>
      </c>
      <c r="CH92" s="1" t="s">
        <v>82</v>
      </c>
      <c r="FH92" s="1" t="s">
        <v>160</v>
      </c>
      <c r="FI92" s="1" t="s">
        <v>161</v>
      </c>
      <c r="GD92" s="1" t="s">
        <v>193</v>
      </c>
      <c r="GE92" s="1" t="s">
        <v>319</v>
      </c>
    </row>
    <row r="93" spans="1:187" ht="11.25" customHeight="1">
      <c r="A93" s="1" t="s">
        <v>320</v>
      </c>
      <c r="B93" s="1" t="str">
        <f ca="1">IFERROR(__xludf.DUMMYFUNCTION("GOOGLETRANSLATE(A93, ""en"", ""fr"")"),"Compte n ° 5")</f>
        <v>Compte n ° 5</v>
      </c>
      <c r="C93" s="1" t="s">
        <v>185</v>
      </c>
      <c r="N93" s="1" t="s">
        <v>10</v>
      </c>
      <c r="CO93" s="1" t="s">
        <v>89</v>
      </c>
      <c r="DN93" s="1" t="s">
        <v>114</v>
      </c>
      <c r="FD93" s="1" t="s">
        <v>156</v>
      </c>
      <c r="FI93" s="1" t="s">
        <v>161</v>
      </c>
      <c r="GD93" s="1" t="s">
        <v>189</v>
      </c>
      <c r="GE93" s="1" t="s">
        <v>321</v>
      </c>
    </row>
    <row r="94" spans="1:187" ht="11.25" customHeight="1">
      <c r="A94" s="1" t="s">
        <v>322</v>
      </c>
      <c r="B94" s="1" t="str">
        <f ca="1">IFERROR(__xludf.DUMMYFUNCTION("GOOGLETRANSLATE(A94, ""en"", ""fr"")"),"Compte n ° 6")</f>
        <v>Compte n ° 6</v>
      </c>
      <c r="C94" s="1" t="s">
        <v>185</v>
      </c>
      <c r="CH94" s="1" t="s">
        <v>82</v>
      </c>
      <c r="FZ94" s="1" t="s">
        <v>178</v>
      </c>
      <c r="GD94" s="1" t="s">
        <v>193</v>
      </c>
      <c r="GE94" s="1" t="s">
        <v>323</v>
      </c>
    </row>
    <row r="95" spans="1:187" ht="11.25" customHeight="1">
      <c r="A95" s="1" t="s">
        <v>324</v>
      </c>
      <c r="B95" s="1" t="str">
        <f ca="1">IFERROR(__xludf.DUMMYFUNCTION("GOOGLETRANSLATE(A95, ""en"", ""fr"")"),"Compte n ° 7")</f>
        <v>Compte n ° 7</v>
      </c>
      <c r="C95" s="1" t="s">
        <v>185</v>
      </c>
      <c r="AA95" s="1" t="s">
        <v>23</v>
      </c>
      <c r="AC95" s="1" t="s">
        <v>25</v>
      </c>
      <c r="AL95" s="1" t="s">
        <v>34</v>
      </c>
      <c r="EV95" s="1" t="s">
        <v>148</v>
      </c>
      <c r="EW95" s="1" t="s">
        <v>149</v>
      </c>
      <c r="GD95" s="1" t="s">
        <v>202</v>
      </c>
      <c r="GE95" s="1" t="s">
        <v>325</v>
      </c>
    </row>
    <row r="96" spans="1:187" ht="11.25" customHeight="1">
      <c r="A96" s="1" t="s">
        <v>326</v>
      </c>
      <c r="B96" s="1" t="str">
        <f ca="1">IFERROR(__xludf.DUMMYFUNCTION("GOOGLETRANSLATE(A96, ""en"", ""fr"")"),"Compte n ° 8")</f>
        <v>Compte n ° 8</v>
      </c>
      <c r="C96" s="1" t="s">
        <v>185</v>
      </c>
      <c r="W96" s="1" t="s">
        <v>19</v>
      </c>
      <c r="CW96" s="1" t="s">
        <v>97</v>
      </c>
      <c r="DL96" s="1" t="s">
        <v>112</v>
      </c>
      <c r="FY96" s="1" t="s">
        <v>177</v>
      </c>
      <c r="GD96" s="1" t="s">
        <v>236</v>
      </c>
      <c r="GE96" s="1" t="s">
        <v>327</v>
      </c>
    </row>
    <row r="97" spans="1:187" ht="11.25" customHeight="1">
      <c r="A97" s="1" t="s">
        <v>328</v>
      </c>
      <c r="B97" s="1" t="str">
        <f ca="1">IFERROR(__xludf.DUMMYFUNCTION("GOOGLETRANSLATE(A97, ""en"", ""fr"")"),"REDEVABLE")</f>
        <v>REDEVABLE</v>
      </c>
      <c r="C97" s="1" t="s">
        <v>192</v>
      </c>
      <c r="D97" s="1" t="s">
        <v>16612</v>
      </c>
      <c r="CI97" s="1" t="s">
        <v>83</v>
      </c>
      <c r="DR97" s="1" t="s">
        <v>118</v>
      </c>
      <c r="GD97" s="1" t="s">
        <v>202</v>
      </c>
      <c r="GE97" s="1" t="s">
        <v>190</v>
      </c>
    </row>
    <row r="98" spans="1:187" ht="11.25" customHeight="1">
      <c r="A98" s="1" t="s">
        <v>329</v>
      </c>
      <c r="B98" s="1" t="str">
        <f ca="1">IFERROR(__xludf.DUMMYFUNCTION("GOOGLETRANSLATE(A98, ""en"", ""fr"")"),"S'accumuler")</f>
        <v>S'accumuler</v>
      </c>
      <c r="C98" s="1" t="s">
        <v>192</v>
      </c>
      <c r="D98" s="1" t="s">
        <v>16612</v>
      </c>
      <c r="N98" s="1" t="s">
        <v>10</v>
      </c>
      <c r="AA98" s="1" t="s">
        <v>23</v>
      </c>
      <c r="AC98" s="1" t="s">
        <v>25</v>
      </c>
      <c r="BX98" s="1" t="s">
        <v>72</v>
      </c>
      <c r="DO98" s="1" t="s">
        <v>115</v>
      </c>
      <c r="GD98" s="1" t="s">
        <v>189</v>
      </c>
      <c r="GE98" s="1" t="s">
        <v>190</v>
      </c>
    </row>
    <row r="99" spans="1:187" ht="11.25" customHeight="1">
      <c r="A99" s="1" t="s">
        <v>330</v>
      </c>
      <c r="B99" s="1" t="str">
        <f ca="1">IFERROR(__xludf.DUMMYFUNCTION("GOOGLETRANSLATE(A99, ""en"", ""fr"")"),"ACCUMULER")</f>
        <v>ACCUMULER</v>
      </c>
      <c r="C99" s="1" t="s">
        <v>185</v>
      </c>
      <c r="N99" s="1" t="s">
        <v>10</v>
      </c>
      <c r="BX99" s="1" t="s">
        <v>72</v>
      </c>
      <c r="DO99" s="1" t="s">
        <v>115</v>
      </c>
      <c r="FP99" s="1" t="s">
        <v>168</v>
      </c>
      <c r="GD99" s="1" t="s">
        <v>189</v>
      </c>
      <c r="GE99" s="1" t="s">
        <v>190</v>
      </c>
    </row>
    <row r="100" spans="1:187" ht="11.25" customHeight="1">
      <c r="A100" s="1" t="s">
        <v>331</v>
      </c>
      <c r="B100" s="1" t="str">
        <f ca="1">IFERROR(__xludf.DUMMYFUNCTION("GOOGLETRANSLATE(A100, ""en"", ""fr"")"),"ACCUMULATION")</f>
        <v>ACCUMULATION</v>
      </c>
      <c r="C100" s="1" t="s">
        <v>185</v>
      </c>
      <c r="N100" s="1" t="s">
        <v>10</v>
      </c>
      <c r="CS100" s="1" t="s">
        <v>93</v>
      </c>
      <c r="FP100" s="1" t="s">
        <v>168</v>
      </c>
      <c r="GD100" s="1" t="s">
        <v>193</v>
      </c>
      <c r="GE100" s="1" t="s">
        <v>190</v>
      </c>
    </row>
    <row r="101" spans="1:187" ht="11.25" customHeight="1">
      <c r="A101" s="1" t="s">
        <v>332</v>
      </c>
      <c r="B101" s="1" t="str">
        <f ca="1">IFERROR(__xludf.DUMMYFUNCTION("GOOGLETRANSLATE(A101, ""en"", ""fr"")"),"PRÉCISION")</f>
        <v>PRÉCISION</v>
      </c>
      <c r="C101" s="1" t="s">
        <v>185</v>
      </c>
      <c r="D101" s="1" t="s">
        <v>16612</v>
      </c>
      <c r="F101" s="1" t="s">
        <v>2</v>
      </c>
      <c r="U101" s="1" t="s">
        <v>17</v>
      </c>
      <c r="W101" s="1" t="s">
        <v>19</v>
      </c>
      <c r="CP101" s="1" t="s">
        <v>90</v>
      </c>
      <c r="CQ101" s="1" t="s">
        <v>91</v>
      </c>
      <c r="FH101" s="1" t="s">
        <v>160</v>
      </c>
      <c r="FI101" s="1" t="s">
        <v>161</v>
      </c>
      <c r="GD101" s="1" t="s">
        <v>193</v>
      </c>
      <c r="GE101" s="1" t="s">
        <v>190</v>
      </c>
    </row>
    <row r="102" spans="1:187" ht="11.25" customHeight="1">
      <c r="A102" s="1" t="s">
        <v>333</v>
      </c>
      <c r="B102" s="1" t="str">
        <f ca="1">IFERROR(__xludf.DUMMYFUNCTION("GOOGLETRANSLATE(A102, ""en"", ""fr"")"),"PRÉCIS")</f>
        <v>PRÉCIS</v>
      </c>
      <c r="C102" s="1" t="s">
        <v>185</v>
      </c>
      <c r="D102" s="1" t="s">
        <v>16612</v>
      </c>
      <c r="F102" s="1" t="s">
        <v>2</v>
      </c>
      <c r="U102" s="1" t="s">
        <v>17</v>
      </c>
      <c r="W102" s="1" t="s">
        <v>19</v>
      </c>
      <c r="FH102" s="1" t="s">
        <v>160</v>
      </c>
      <c r="FI102" s="1" t="s">
        <v>161</v>
      </c>
      <c r="GD102" s="1" t="s">
        <v>202</v>
      </c>
      <c r="GE102" s="1" t="s">
        <v>190</v>
      </c>
    </row>
    <row r="103" spans="1:187" ht="11.25" customHeight="1">
      <c r="A103" s="1" t="s">
        <v>334</v>
      </c>
      <c r="B103" s="1" t="str">
        <f ca="1">IFERROR(__xludf.DUMMYFUNCTION("GOOGLETRANSLATE(A103, ""en"", ""fr"")"),"Précision")</f>
        <v>Précision</v>
      </c>
      <c r="C103" s="1" t="s">
        <v>192</v>
      </c>
      <c r="D103" s="1" t="s">
        <v>16612</v>
      </c>
      <c r="U103" s="1" t="s">
        <v>17</v>
      </c>
      <c r="W103" s="1" t="s">
        <v>19</v>
      </c>
      <c r="GD103" s="1" t="s">
        <v>193</v>
      </c>
      <c r="GE103" s="1" t="s">
        <v>190</v>
      </c>
    </row>
    <row r="104" spans="1:187" ht="11.25" customHeight="1">
      <c r="A104" s="1" t="s">
        <v>335</v>
      </c>
      <c r="B104" s="1" t="str">
        <f ca="1">IFERROR(__xludf.DUMMYFUNCTION("GOOGLETRANSLATE(A104, ""en"", ""fr"")"),"MAUDIT")</f>
        <v>MAUDIT</v>
      </c>
      <c r="C104" s="1" t="s">
        <v>192</v>
      </c>
      <c r="E104" s="1" t="s">
        <v>16613</v>
      </c>
      <c r="I104" s="1" t="s">
        <v>5</v>
      </c>
      <c r="V104" s="1" t="s">
        <v>18</v>
      </c>
      <c r="DQ104" s="1" t="s">
        <v>117</v>
      </c>
      <c r="GD104" s="1" t="s">
        <v>202</v>
      </c>
      <c r="GE104" s="1" t="s">
        <v>190</v>
      </c>
    </row>
    <row r="105" spans="1:187" ht="11.25" customHeight="1">
      <c r="A105" s="1" t="s">
        <v>336</v>
      </c>
      <c r="B105" s="1" t="str">
        <f ca="1">IFERROR(__xludf.DUMMYFUNCTION("GOOGLETRANSLATE(A105, ""en"", ""fr"")"),"ACCUSATION")</f>
        <v>ACCUSATION</v>
      </c>
      <c r="C105" s="1" t="s">
        <v>192</v>
      </c>
      <c r="E105" s="1" t="s">
        <v>16613</v>
      </c>
      <c r="I105" s="1" t="s">
        <v>5</v>
      </c>
      <c r="AN105" s="1" t="s">
        <v>36</v>
      </c>
      <c r="BK105" s="1" t="s">
        <v>59</v>
      </c>
      <c r="GD105" s="1" t="s">
        <v>193</v>
      </c>
      <c r="GE105" s="1" t="s">
        <v>190</v>
      </c>
    </row>
    <row r="106" spans="1:187" ht="11.25" customHeight="1">
      <c r="A106" s="1" t="s">
        <v>337</v>
      </c>
      <c r="B106" s="1" t="str">
        <f ca="1">IFERROR(__xludf.DUMMYFUNCTION("GOOGLETRANSLATE(A106, ""en"", ""fr"")"),"Accuser n ° 1")</f>
        <v>Accuser n ° 1</v>
      </c>
      <c r="C106" s="1" t="s">
        <v>185</v>
      </c>
      <c r="E106" s="1" t="s">
        <v>16613</v>
      </c>
      <c r="H106" s="1" t="s">
        <v>4</v>
      </c>
      <c r="I106" s="1" t="s">
        <v>5</v>
      </c>
      <c r="AE106" s="1" t="s">
        <v>27</v>
      </c>
      <c r="BK106" s="1" t="s">
        <v>59</v>
      </c>
      <c r="EH106" s="1" t="s">
        <v>134</v>
      </c>
      <c r="EJ106" s="1" t="s">
        <v>136</v>
      </c>
      <c r="GD106" s="1" t="s">
        <v>202</v>
      </c>
      <c r="GE106" s="1" t="s">
        <v>190</v>
      </c>
    </row>
    <row r="107" spans="1:187" ht="11.25" customHeight="1">
      <c r="A107" s="1" t="s">
        <v>338</v>
      </c>
      <c r="B107" s="1" t="str">
        <f ca="1">IFERROR(__xludf.DUMMYFUNCTION("GOOGLETRANSLATE(A107, ""en"", ""fr"")"),"Accuse n ° 2")</f>
        <v>Accuse n ° 2</v>
      </c>
      <c r="C107" s="1" t="s">
        <v>185</v>
      </c>
      <c r="E107" s="1" t="s">
        <v>16613</v>
      </c>
      <c r="H107" s="1" t="s">
        <v>4</v>
      </c>
      <c r="I107" s="1" t="s">
        <v>5</v>
      </c>
      <c r="BK107" s="1" t="s">
        <v>59</v>
      </c>
      <c r="DN107" s="1" t="s">
        <v>114</v>
      </c>
      <c r="EH107" s="1" t="s">
        <v>134</v>
      </c>
      <c r="EJ107" s="1" t="s">
        <v>136</v>
      </c>
      <c r="GD107" s="1" t="s">
        <v>189</v>
      </c>
      <c r="GE107" s="1" t="s">
        <v>190</v>
      </c>
    </row>
    <row r="108" spans="1:187" ht="11.25" customHeight="1">
      <c r="A108" s="1" t="s">
        <v>339</v>
      </c>
      <c r="B108" s="1" t="str">
        <f ca="1">IFERROR(__xludf.DUMMYFUNCTION("GOOGLETRANSLATE(A108, ""en"", ""fr"")"),"Habitué n ° 1")</f>
        <v>Habitué n ° 1</v>
      </c>
      <c r="C108" s="1" t="s">
        <v>185</v>
      </c>
      <c r="O108" s="1" t="s">
        <v>11</v>
      </c>
      <c r="U108" s="1" t="s">
        <v>17</v>
      </c>
      <c r="X108" s="1" t="s">
        <v>20</v>
      </c>
      <c r="GD108" s="1" t="s">
        <v>202</v>
      </c>
      <c r="GE108" s="1" t="s">
        <v>190</v>
      </c>
    </row>
    <row r="109" spans="1:187" ht="11.25" customHeight="1">
      <c r="A109" s="1" t="s">
        <v>340</v>
      </c>
      <c r="B109" s="1" t="str">
        <f ca="1">IFERROR(__xludf.DUMMYFUNCTION("GOOGLETRANSLATE(A109, ""en"", ""fr"")"),"Habitué n ° 2")</f>
        <v>Habitué n ° 2</v>
      </c>
      <c r="C109" s="1" t="s">
        <v>185</v>
      </c>
      <c r="O109" s="1" t="s">
        <v>11</v>
      </c>
      <c r="BR109" s="1" t="s">
        <v>66</v>
      </c>
      <c r="DN109" s="1" t="s">
        <v>114</v>
      </c>
      <c r="GD109" s="1" t="s">
        <v>189</v>
      </c>
      <c r="GE109" s="1" t="s">
        <v>190</v>
      </c>
    </row>
    <row r="110" spans="1:187" ht="11.25" customHeight="1">
      <c r="A110" s="1" t="s">
        <v>341</v>
      </c>
      <c r="B110" s="1" t="str">
        <f ca="1">IFERROR(__xludf.DUMMYFUNCTION("GOOGLETRANSLATE(A110, ""en"", ""fr"")"),"MAL")</f>
        <v>MAL</v>
      </c>
      <c r="C110" s="1" t="s">
        <v>192</v>
      </c>
      <c r="E110" s="1" t="s">
        <v>16613</v>
      </c>
      <c r="O110" s="1" t="s">
        <v>11</v>
      </c>
      <c r="Q110" s="1" t="s">
        <v>13</v>
      </c>
      <c r="DP110" s="1" t="s">
        <v>116</v>
      </c>
      <c r="GD110" s="1" t="s">
        <v>189</v>
      </c>
      <c r="GE110" s="1" t="s">
        <v>190</v>
      </c>
    </row>
    <row r="111" spans="1:187" ht="11.25" customHeight="1">
      <c r="A111" s="1" t="s">
        <v>342</v>
      </c>
      <c r="B111" s="1" t="str">
        <f ca="1">IFERROR(__xludf.DUMMYFUNCTION("GOOGLETRANSLATE(A111, ""en"", ""fr"")"),"ATTEINDRE")</f>
        <v>ATTEINDRE</v>
      </c>
      <c r="C111" s="1" t="s">
        <v>185</v>
      </c>
      <c r="D111" s="1" t="s">
        <v>16612</v>
      </c>
      <c r="F111" s="1" t="s">
        <v>2</v>
      </c>
      <c r="J111" s="1" t="s">
        <v>6</v>
      </c>
      <c r="N111" s="1" t="s">
        <v>10</v>
      </c>
      <c r="BS111" s="1" t="s">
        <v>67</v>
      </c>
      <c r="DN111" s="1" t="s">
        <v>114</v>
      </c>
      <c r="FR111" s="1" t="s">
        <v>170</v>
      </c>
      <c r="GD111" s="1" t="s">
        <v>189</v>
      </c>
      <c r="GE111" s="1" t="s">
        <v>343</v>
      </c>
    </row>
    <row r="112" spans="1:187" ht="11.25" customHeight="1">
      <c r="A112" s="1" t="s">
        <v>344</v>
      </c>
      <c r="B112" s="1" t="str">
        <f ca="1">IFERROR(__xludf.DUMMYFUNCTION("GOOGLETRANSLATE(A112, ""en"", ""fr"")"),"RÉALISATION")</f>
        <v>RÉALISATION</v>
      </c>
      <c r="C112" s="1" t="s">
        <v>185</v>
      </c>
      <c r="D112" s="1" t="s">
        <v>16612</v>
      </c>
      <c r="F112" s="1" t="s">
        <v>2</v>
      </c>
      <c r="K112" s="1" t="s">
        <v>7</v>
      </c>
      <c r="N112" s="1" t="s">
        <v>10</v>
      </c>
      <c r="BO112" s="1" t="s">
        <v>63</v>
      </c>
      <c r="FR112" s="1" t="s">
        <v>170</v>
      </c>
      <c r="GD112" s="1" t="s">
        <v>193</v>
      </c>
      <c r="GE112" s="1" t="s">
        <v>190</v>
      </c>
    </row>
    <row r="113" spans="1:187" ht="11.25" customHeight="1">
      <c r="A113" s="1" t="s">
        <v>345</v>
      </c>
      <c r="B113" s="1" t="str">
        <f ca="1">IFERROR(__xludf.DUMMYFUNCTION("GOOGLETRANSLATE(A113, ""en"", ""fr"")"),"RECONNAÎTRE")</f>
        <v>RECONNAÎTRE</v>
      </c>
      <c r="C113" s="1" t="s">
        <v>185</v>
      </c>
      <c r="AN113" s="1" t="s">
        <v>36</v>
      </c>
      <c r="DN113" s="1" t="s">
        <v>114</v>
      </c>
      <c r="FP113" s="1" t="s">
        <v>168</v>
      </c>
      <c r="GD113" s="1" t="s">
        <v>189</v>
      </c>
      <c r="GE113" s="1" t="s">
        <v>190</v>
      </c>
    </row>
    <row r="114" spans="1:187" ht="11.25" customHeight="1">
      <c r="A114" s="1" t="s">
        <v>346</v>
      </c>
      <c r="B114" s="1" t="str">
        <f ca="1">IFERROR(__xludf.DUMMYFUNCTION("GOOGLETRANSLATE(A114, ""en"", ""fr"")"),"RECONNAISSANCE")</f>
        <v>RECONNAISSANCE</v>
      </c>
      <c r="C114" s="1" t="s">
        <v>192</v>
      </c>
      <c r="D114" s="1" t="s">
        <v>16612</v>
      </c>
      <c r="W114" s="1" t="s">
        <v>19</v>
      </c>
      <c r="BK114" s="1" t="s">
        <v>59</v>
      </c>
      <c r="GD114" s="1" t="s">
        <v>193</v>
      </c>
      <c r="GE114" s="1" t="s">
        <v>190</v>
      </c>
    </row>
    <row r="115" spans="1:187" ht="11.25" customHeight="1">
      <c r="A115" s="1" t="s">
        <v>347</v>
      </c>
      <c r="B115" s="1" t="str">
        <f ca="1">IFERROR(__xludf.DUMMYFUNCTION("GOOGLETRANSLATE(A115, ""en"", ""fr"")"),"RECONNAISSANCE")</f>
        <v>RECONNAISSANCE</v>
      </c>
      <c r="C115" s="1" t="s">
        <v>196</v>
      </c>
      <c r="EK115" s="1" t="s">
        <v>137</v>
      </c>
      <c r="EN115" s="1" t="s">
        <v>140</v>
      </c>
      <c r="GD115" s="1" t="s">
        <v>193</v>
      </c>
    </row>
    <row r="116" spans="1:187" ht="11.25" customHeight="1">
      <c r="A116" s="1" t="s">
        <v>348</v>
      </c>
      <c r="B116" s="1" t="str">
        <f ca="1">IFERROR(__xludf.DUMMYFUNCTION("GOOGLETRANSLATE(A116, ""en"", ""fr"")"),"INFORMER")</f>
        <v>INFORMER</v>
      </c>
      <c r="C116" s="1" t="s">
        <v>185</v>
      </c>
      <c r="D116" s="1" t="s">
        <v>16612</v>
      </c>
      <c r="F116" s="1" t="s">
        <v>2</v>
      </c>
      <c r="CO116" s="1" t="s">
        <v>89</v>
      </c>
      <c r="DN116" s="1" t="s">
        <v>114</v>
      </c>
      <c r="FD116" s="1" t="s">
        <v>156</v>
      </c>
      <c r="FI116" s="1" t="s">
        <v>161</v>
      </c>
      <c r="GD116" s="1" t="s">
        <v>189</v>
      </c>
      <c r="GE116" s="1" t="s">
        <v>190</v>
      </c>
    </row>
    <row r="117" spans="1:187" ht="11.25" customHeight="1">
      <c r="A117" s="1" t="s">
        <v>349</v>
      </c>
      <c r="B117" s="1" t="str">
        <f ca="1">IFERROR(__xludf.DUMMYFUNCTION("GOOGLETRANSLATE(A117, ""en"", ""fr"")"),"CONNAISSANCE")</f>
        <v>CONNAISSANCE</v>
      </c>
      <c r="C117" s="1" t="s">
        <v>185</v>
      </c>
      <c r="D117" s="1" t="s">
        <v>16612</v>
      </c>
      <c r="F117" s="1" t="s">
        <v>2</v>
      </c>
      <c r="G117" s="1" t="s">
        <v>3</v>
      </c>
      <c r="AJ117" s="1" t="s">
        <v>32</v>
      </c>
      <c r="AT117" s="1" t="s">
        <v>42</v>
      </c>
      <c r="ER117" s="1" t="s">
        <v>144</v>
      </c>
      <c r="ES117" s="1" t="s">
        <v>145</v>
      </c>
      <c r="GD117" s="1" t="s">
        <v>193</v>
      </c>
      <c r="GE117" s="1" t="s">
        <v>190</v>
      </c>
    </row>
    <row r="118" spans="1:187" ht="11.25" customHeight="1">
      <c r="A118" s="1" t="s">
        <v>350</v>
      </c>
      <c r="B118" s="1" t="str">
        <f ca="1">IFERROR(__xludf.DUMMYFUNCTION("GOOGLETRANSLATE(A118, ""en"", ""fr"")"),"Acquérir n ° 1")</f>
        <v>Acquérir n ° 1</v>
      </c>
      <c r="C118" s="1" t="s">
        <v>185</v>
      </c>
      <c r="J118" s="1" t="s">
        <v>6</v>
      </c>
      <c r="N118" s="1" t="s">
        <v>10</v>
      </c>
      <c r="CD118" s="1" t="s">
        <v>78</v>
      </c>
      <c r="FN118" s="1" t="s">
        <v>166</v>
      </c>
      <c r="GD118" s="1" t="s">
        <v>202</v>
      </c>
      <c r="GE118" s="1" t="s">
        <v>190</v>
      </c>
    </row>
    <row r="119" spans="1:187" ht="11.25" customHeight="1">
      <c r="A119" s="1" t="s">
        <v>351</v>
      </c>
      <c r="B119" s="1" t="str">
        <f ca="1">IFERROR(__xludf.DUMMYFUNCTION("GOOGLETRANSLATE(A119, ""en"", ""fr"")"),"Acquérir n ° 2")</f>
        <v>Acquérir n ° 2</v>
      </c>
      <c r="C119" s="1" t="s">
        <v>185</v>
      </c>
      <c r="J119" s="1" t="s">
        <v>6</v>
      </c>
      <c r="N119" s="1" t="s">
        <v>10</v>
      </c>
      <c r="BS119" s="1" t="s">
        <v>67</v>
      </c>
      <c r="DO119" s="1" t="s">
        <v>115</v>
      </c>
      <c r="FN119" s="1" t="s">
        <v>166</v>
      </c>
      <c r="GD119" s="1" t="s">
        <v>189</v>
      </c>
      <c r="GE119" s="1" t="s">
        <v>190</v>
      </c>
    </row>
    <row r="120" spans="1:187" ht="11.25" customHeight="1">
      <c r="A120" s="1" t="s">
        <v>352</v>
      </c>
      <c r="B120" s="1" t="str">
        <f ca="1">IFERROR(__xludf.DUMMYFUNCTION("GOOGLETRANSLATE(A120, ""en"", ""fr"")"),"ACQUISITION")</f>
        <v>ACQUISITION</v>
      </c>
      <c r="C120" s="1" t="s">
        <v>185</v>
      </c>
      <c r="J120" s="1" t="s">
        <v>6</v>
      </c>
      <c r="N120" s="1" t="s">
        <v>10</v>
      </c>
      <c r="AC120" s="1" t="s">
        <v>25</v>
      </c>
      <c r="BC120" s="1" t="s">
        <v>51</v>
      </c>
      <c r="BD120" s="1" t="s">
        <v>52</v>
      </c>
      <c r="FN120" s="1" t="s">
        <v>166</v>
      </c>
      <c r="GD120" s="1" t="s">
        <v>193</v>
      </c>
      <c r="GE120" s="1" t="s">
        <v>190</v>
      </c>
    </row>
    <row r="121" spans="1:187" ht="11.25" customHeight="1">
      <c r="A121" s="1" t="s">
        <v>353</v>
      </c>
      <c r="B121" s="1" t="str">
        <f ca="1">IFERROR(__xludf.DUMMYFUNCTION("GOOGLETRANSLATE(A121, ""en"", ""fr"")"),"ACQUITTER")</f>
        <v>ACQUITTER</v>
      </c>
      <c r="C121" s="1" t="s">
        <v>192</v>
      </c>
      <c r="D121" s="1" t="s">
        <v>16612</v>
      </c>
      <c r="AE121" s="1" t="s">
        <v>27</v>
      </c>
      <c r="CO121" s="1" t="s">
        <v>89</v>
      </c>
      <c r="DO121" s="1" t="s">
        <v>115</v>
      </c>
      <c r="GD121" s="1" t="s">
        <v>189</v>
      </c>
      <c r="GE121" s="1" t="s">
        <v>190</v>
      </c>
    </row>
    <row r="122" spans="1:187" ht="11.25" customHeight="1">
      <c r="A122" s="1" t="s">
        <v>354</v>
      </c>
      <c r="B122" s="1" t="str">
        <f ca="1">IFERROR(__xludf.DUMMYFUNCTION("GOOGLETRANSLATE(A122, ""en"", ""fr"")"),"ACQUITTEMENT")</f>
        <v>ACQUITTEMENT</v>
      </c>
      <c r="C122" s="1" t="s">
        <v>192</v>
      </c>
      <c r="D122" s="1" t="s">
        <v>16612</v>
      </c>
      <c r="AE122" s="1" t="s">
        <v>27</v>
      </c>
      <c r="CO122" s="1" t="s">
        <v>89</v>
      </c>
      <c r="GD122" s="1" t="s">
        <v>193</v>
      </c>
      <c r="GE122" s="1" t="s">
        <v>190</v>
      </c>
    </row>
    <row r="123" spans="1:187" ht="11.25" customHeight="1">
      <c r="A123" s="1" t="s">
        <v>355</v>
      </c>
      <c r="B123" s="1" t="str">
        <f ca="1">IFERROR(__xludf.DUMMYFUNCTION("GOOGLETRANSLATE(A123, ""en"", ""fr"")"),"ACRE")</f>
        <v>ACRE</v>
      </c>
      <c r="C123" s="1" t="s">
        <v>185</v>
      </c>
      <c r="DA123" s="1" t="s">
        <v>101</v>
      </c>
      <c r="EV123" s="1" t="s">
        <v>148</v>
      </c>
      <c r="EW123" s="1" t="s">
        <v>149</v>
      </c>
      <c r="GD123" s="1" t="s">
        <v>193</v>
      </c>
      <c r="GE123" s="1" t="s">
        <v>190</v>
      </c>
    </row>
    <row r="124" spans="1:187" ht="11.25" customHeight="1">
      <c r="A124" s="1" t="s">
        <v>356</v>
      </c>
      <c r="B124" s="1" t="str">
        <f ca="1">IFERROR(__xludf.DUMMYFUNCTION("GOOGLETRANSLATE(A124, ""en"", ""fr"")"),"ACRIMONIEUX")</f>
        <v>ACRIMONIEUX</v>
      </c>
      <c r="C124" s="1" t="s">
        <v>192</v>
      </c>
      <c r="E124" s="1" t="s">
        <v>16613</v>
      </c>
      <c r="I124" s="1" t="s">
        <v>5</v>
      </c>
      <c r="S124" s="1" t="s">
        <v>15</v>
      </c>
      <c r="DQ124" s="1" t="s">
        <v>117</v>
      </c>
      <c r="GD124" s="1" t="s">
        <v>202</v>
      </c>
      <c r="GE124" s="1" t="s">
        <v>190</v>
      </c>
    </row>
    <row r="125" spans="1:187" ht="11.25" customHeight="1">
      <c r="A125" s="1" t="s">
        <v>357</v>
      </c>
      <c r="B125" s="1" t="str">
        <f ca="1">IFERROR(__xludf.DUMMYFUNCTION("GOOGLETRANSLATE(A125, ""en"", ""fr"")"),"ACRIMONIE")</f>
        <v>ACRIMONIE</v>
      </c>
      <c r="C125" s="1" t="s">
        <v>192</v>
      </c>
      <c r="E125" s="1" t="s">
        <v>16613</v>
      </c>
      <c r="I125" s="1" t="s">
        <v>5</v>
      </c>
      <c r="O125" s="1" t="s">
        <v>11</v>
      </c>
      <c r="S125" s="1" t="s">
        <v>15</v>
      </c>
      <c r="V125" s="1" t="s">
        <v>18</v>
      </c>
      <c r="GD125" s="1" t="s">
        <v>193</v>
      </c>
      <c r="GE125" s="1" t="s">
        <v>190</v>
      </c>
    </row>
    <row r="126" spans="1:187" ht="11.25" customHeight="1">
      <c r="A126" s="1" t="s">
        <v>358</v>
      </c>
      <c r="B126" s="1" t="str">
        <f ca="1">IFERROR(__xludf.DUMMYFUNCTION("GOOGLETRANSLATE(A126, ""en"", ""fr"")"),"À travers n ° 1")</f>
        <v>À travers n ° 1</v>
      </c>
      <c r="C126" s="1" t="s">
        <v>185</v>
      </c>
      <c r="DA126" s="1" t="s">
        <v>101</v>
      </c>
      <c r="GB126" s="1" t="s">
        <v>180</v>
      </c>
      <c r="GD126" s="1" t="s">
        <v>215</v>
      </c>
      <c r="GE126" s="1" t="s">
        <v>359</v>
      </c>
    </row>
    <row r="127" spans="1:187" ht="11.25" customHeight="1">
      <c r="A127" s="1" t="s">
        <v>360</v>
      </c>
      <c r="B127" s="1" t="str">
        <f ca="1">IFERROR(__xludf.DUMMYFUNCTION("GOOGLETRANSLATE(A127, ""en"", ""fr"")"),"À travers # 2")</f>
        <v>À travers # 2</v>
      </c>
      <c r="C127" s="1" t="s">
        <v>185</v>
      </c>
      <c r="CE127" s="1" t="s">
        <v>79</v>
      </c>
      <c r="FH127" s="1" t="s">
        <v>160</v>
      </c>
      <c r="FI127" s="1" t="s">
        <v>161</v>
      </c>
      <c r="GD127" s="1" t="s">
        <v>236</v>
      </c>
      <c r="GE127" s="1" t="s">
        <v>361</v>
      </c>
    </row>
    <row r="128" spans="1:187" ht="11.25" customHeight="1">
      <c r="A128" s="1" t="s">
        <v>362</v>
      </c>
      <c r="B128" s="1" t="str">
        <f ca="1">IFERROR(__xludf.DUMMYFUNCTION("GOOGLETRANSLATE(A128, ""en"", ""fr"")"),"À travers # 3")</f>
        <v>À travers # 3</v>
      </c>
      <c r="C128" s="1" t="s">
        <v>185</v>
      </c>
      <c r="CO128" s="1" t="s">
        <v>89</v>
      </c>
      <c r="DN128" s="1" t="s">
        <v>114</v>
      </c>
      <c r="GD128" s="1" t="s">
        <v>189</v>
      </c>
      <c r="GE128" s="1" t="s">
        <v>363</v>
      </c>
    </row>
    <row r="129" spans="1:187" ht="11.25" customHeight="1">
      <c r="A129" s="1" t="s">
        <v>364</v>
      </c>
      <c r="B129" s="1" t="str">
        <f ca="1">IFERROR(__xludf.DUMMYFUNCTION("GOOGLETRANSLATE(A129, ""en"", ""fr"")"),"À travers # 4")</f>
        <v>À travers # 4</v>
      </c>
      <c r="C129" s="1" t="s">
        <v>185</v>
      </c>
      <c r="DA129" s="1" t="s">
        <v>101</v>
      </c>
      <c r="GB129" s="1" t="s">
        <v>180</v>
      </c>
      <c r="GD129" s="1" t="s">
        <v>215</v>
      </c>
      <c r="GE129" s="1" t="s">
        <v>365</v>
      </c>
    </row>
    <row r="130" spans="1:187" ht="11.25" customHeight="1">
      <c r="A130" s="1" t="s">
        <v>366</v>
      </c>
      <c r="B130" s="1" t="str">
        <f ca="1">IFERROR(__xludf.DUMMYFUNCTION("GOOGLETRANSLATE(A130, ""en"", ""fr"")"),"À travers # 5")</f>
        <v>À travers # 5</v>
      </c>
      <c r="C130" s="1" t="s">
        <v>185</v>
      </c>
      <c r="GD130" s="1" t="s">
        <v>225</v>
      </c>
      <c r="GE130" s="1" t="s">
        <v>367</v>
      </c>
    </row>
    <row r="131" spans="1:187" ht="11.25" customHeight="1">
      <c r="A131" s="1" t="s">
        <v>368</v>
      </c>
      <c r="B131" s="1" t="str">
        <f ca="1">IFERROR(__xludf.DUMMYFUNCTION("GOOGLETRANSLATE(A131, ""en"", ""fr"")"),"ACTE 1")</f>
        <v>ACTE 1</v>
      </c>
      <c r="C131" s="1" t="s">
        <v>185</v>
      </c>
      <c r="J131" s="1" t="s">
        <v>6</v>
      </c>
      <c r="N131" s="1" t="s">
        <v>10</v>
      </c>
      <c r="CC131" s="1" t="s">
        <v>77</v>
      </c>
      <c r="DO131" s="1" t="s">
        <v>115</v>
      </c>
      <c r="FP131" s="1" t="s">
        <v>168</v>
      </c>
      <c r="GD131" s="1" t="s">
        <v>189</v>
      </c>
      <c r="GE131" s="1" t="s">
        <v>369</v>
      </c>
    </row>
    <row r="132" spans="1:187" ht="11.25" customHeight="1">
      <c r="A132" s="1" t="s">
        <v>370</v>
      </c>
      <c r="B132" s="1" t="str">
        <f ca="1">IFERROR(__xludf.DUMMYFUNCTION("GOOGLETRANSLATE(A132, ""en"", ""fr"")"),"Acte n ° 2")</f>
        <v>Acte n ° 2</v>
      </c>
      <c r="C132" s="1" t="s">
        <v>185</v>
      </c>
      <c r="J132" s="1" t="s">
        <v>6</v>
      </c>
      <c r="N132" s="1" t="s">
        <v>10</v>
      </c>
      <c r="AL132" s="1" t="s">
        <v>34</v>
      </c>
      <c r="DN132" s="1" t="s">
        <v>114</v>
      </c>
      <c r="FP132" s="1" t="s">
        <v>168</v>
      </c>
      <c r="GD132" s="1" t="s">
        <v>189</v>
      </c>
      <c r="GE132" s="1" t="s">
        <v>371</v>
      </c>
    </row>
    <row r="133" spans="1:187" ht="11.25" customHeight="1">
      <c r="A133" s="1" t="s">
        <v>372</v>
      </c>
      <c r="B133" s="1" t="str">
        <f ca="1">IFERROR(__xludf.DUMMYFUNCTION("GOOGLETRANSLATE(A133, ""en"", ""fr"")"),"Acte n ° 3")</f>
        <v>Acte n ° 3</v>
      </c>
      <c r="C133" s="1" t="s">
        <v>185</v>
      </c>
      <c r="J133" s="1" t="s">
        <v>6</v>
      </c>
      <c r="N133" s="1" t="s">
        <v>10</v>
      </c>
      <c r="CC133" s="1" t="s">
        <v>77</v>
      </c>
      <c r="EC133" s="1" t="s">
        <v>129</v>
      </c>
      <c r="ED133" s="1" t="s">
        <v>130</v>
      </c>
      <c r="GD133" s="1" t="s">
        <v>193</v>
      </c>
      <c r="GE133" s="1" t="s">
        <v>373</v>
      </c>
    </row>
    <row r="134" spans="1:187" ht="11.25" customHeight="1">
      <c r="A134" s="1" t="s">
        <v>374</v>
      </c>
      <c r="B134" s="1" t="str">
        <f ca="1">IFERROR(__xludf.DUMMYFUNCTION("GOOGLETRANSLATE(A134, ""en"", ""fr"")"),"Acte n ° 4")</f>
        <v>Acte n ° 4</v>
      </c>
      <c r="C134" s="1" t="s">
        <v>185</v>
      </c>
      <c r="I134" s="1" t="s">
        <v>5</v>
      </c>
      <c r="N134" s="1" t="s">
        <v>10</v>
      </c>
      <c r="AN134" s="1" t="s">
        <v>36</v>
      </c>
      <c r="DN134" s="1" t="s">
        <v>114</v>
      </c>
      <c r="EG134" s="1" t="s">
        <v>133</v>
      </c>
      <c r="EJ134" s="1" t="s">
        <v>136</v>
      </c>
      <c r="GD134" s="1" t="s">
        <v>189</v>
      </c>
      <c r="GE134" s="1" t="s">
        <v>375</v>
      </c>
    </row>
    <row r="135" spans="1:187" ht="11.25" customHeight="1">
      <c r="A135" s="1" t="s">
        <v>376</v>
      </c>
      <c r="B135" s="1" t="str">
        <f ca="1">IFERROR(__xludf.DUMMYFUNCTION("GOOGLETRANSLATE(A135, ""en"", ""fr"")"),"ACTION")</f>
        <v>ACTION</v>
      </c>
      <c r="C135" s="1" t="s">
        <v>185</v>
      </c>
      <c r="J135" s="1" t="s">
        <v>6</v>
      </c>
      <c r="N135" s="1" t="s">
        <v>10</v>
      </c>
      <c r="CC135" s="1" t="s">
        <v>77</v>
      </c>
      <c r="CP135" s="1" t="s">
        <v>90</v>
      </c>
      <c r="CQ135" s="1" t="s">
        <v>91</v>
      </c>
      <c r="FP135" s="1" t="s">
        <v>168</v>
      </c>
      <c r="GD135" s="1" t="s">
        <v>193</v>
      </c>
      <c r="GE135" s="1" t="s">
        <v>377</v>
      </c>
    </row>
    <row r="136" spans="1:187" ht="11.25" customHeight="1">
      <c r="A136" s="1" t="s">
        <v>378</v>
      </c>
      <c r="B136" s="1" t="str">
        <f ca="1">IFERROR(__xludf.DUMMYFUNCTION("GOOGLETRANSLATE(A136, ""en"", ""fr"")"),"Actif # 1")</f>
        <v>Actif # 1</v>
      </c>
      <c r="C136" s="1" t="s">
        <v>185</v>
      </c>
      <c r="J136" s="1" t="s">
        <v>6</v>
      </c>
      <c r="N136" s="1" t="s">
        <v>10</v>
      </c>
      <c r="CC136" s="1" t="s">
        <v>77</v>
      </c>
      <c r="FR136" s="1" t="s">
        <v>170</v>
      </c>
      <c r="GD136" s="1" t="s">
        <v>202</v>
      </c>
      <c r="GE136" s="1" t="s">
        <v>379</v>
      </c>
    </row>
    <row r="137" spans="1:187" ht="11.25" customHeight="1">
      <c r="A137" s="1" t="s">
        <v>380</v>
      </c>
      <c r="B137" s="1" t="str">
        <f ca="1">IFERROR(__xludf.DUMMYFUNCTION("GOOGLETRANSLATE(A137, ""en"", ""fr"")"),"Actif # 2")</f>
        <v>Actif # 2</v>
      </c>
      <c r="C137" s="1" t="s">
        <v>185</v>
      </c>
      <c r="N137" s="1" t="s">
        <v>10</v>
      </c>
      <c r="W137" s="1" t="s">
        <v>19</v>
      </c>
      <c r="CC137" s="1" t="s">
        <v>77</v>
      </c>
      <c r="FR137" s="1" t="s">
        <v>170</v>
      </c>
      <c r="GD137" s="1" t="s">
        <v>236</v>
      </c>
      <c r="GE137" s="1" t="s">
        <v>381</v>
      </c>
    </row>
    <row r="138" spans="1:187" ht="11.25" customHeight="1">
      <c r="A138" s="1" t="s">
        <v>382</v>
      </c>
      <c r="B138" s="1" t="str">
        <f ca="1">IFERROR(__xludf.DUMMYFUNCTION("GOOGLETRANSLATE(A138, ""en"", ""fr"")"),"ACTIVITÉ")</f>
        <v>ACTIVITÉ</v>
      </c>
      <c r="C138" s="1" t="s">
        <v>185</v>
      </c>
      <c r="N138" s="1" t="s">
        <v>10</v>
      </c>
      <c r="CC138" s="1" t="s">
        <v>77</v>
      </c>
      <c r="CP138" s="1" t="s">
        <v>90</v>
      </c>
      <c r="CQ138" s="1" t="s">
        <v>91</v>
      </c>
      <c r="FR138" s="1" t="s">
        <v>170</v>
      </c>
      <c r="GD138" s="1" t="s">
        <v>193</v>
      </c>
      <c r="GE138" s="1" t="s">
        <v>383</v>
      </c>
    </row>
    <row r="139" spans="1:187" ht="11.25" customHeight="1">
      <c r="A139" s="1" t="s">
        <v>384</v>
      </c>
      <c r="B139" s="1" t="str">
        <f ca="1">IFERROR(__xludf.DUMMYFUNCTION("GOOGLETRANSLATE(A139, ""en"", ""fr"")"),"ACTEUR")</f>
        <v>ACTEUR</v>
      </c>
      <c r="C139" s="1" t="s">
        <v>185</v>
      </c>
      <c r="N139" s="1" t="s">
        <v>10</v>
      </c>
      <c r="AD139" s="1" t="s">
        <v>26</v>
      </c>
      <c r="AJ139" s="1" t="s">
        <v>32</v>
      </c>
      <c r="AQ139" s="1" t="s">
        <v>39</v>
      </c>
      <c r="AT139" s="1" t="s">
        <v>42</v>
      </c>
      <c r="DZ139" s="1" t="s">
        <v>126</v>
      </c>
      <c r="ED139" s="1" t="s">
        <v>130</v>
      </c>
      <c r="GD139" s="1" t="s">
        <v>193</v>
      </c>
      <c r="GE139" s="1" t="s">
        <v>190</v>
      </c>
    </row>
    <row r="140" spans="1:187" ht="11.25" customHeight="1">
      <c r="A140" s="1" t="s">
        <v>385</v>
      </c>
      <c r="B140" s="1" t="str">
        <f ca="1">IFERROR(__xludf.DUMMYFUNCTION("GOOGLETRANSLATE(A140, ""en"", ""fr"")"),"Réel n ° 1")</f>
        <v>Réel n ° 1</v>
      </c>
      <c r="C140" s="1" t="s">
        <v>185</v>
      </c>
      <c r="D140" s="1" t="s">
        <v>16612</v>
      </c>
      <c r="F140" s="1" t="s">
        <v>2</v>
      </c>
      <c r="U140" s="1" t="s">
        <v>17</v>
      </c>
      <c r="W140" s="1" t="s">
        <v>19</v>
      </c>
      <c r="FY140" s="1" t="s">
        <v>177</v>
      </c>
      <c r="GD140" s="1" t="s">
        <v>202</v>
      </c>
      <c r="GE140" s="1" t="s">
        <v>386</v>
      </c>
    </row>
    <row r="141" spans="1:187" ht="11.25" customHeight="1">
      <c r="A141" s="1" t="s">
        <v>387</v>
      </c>
      <c r="B141" s="1" t="str">
        <f ca="1">IFERROR(__xludf.DUMMYFUNCTION("GOOGLETRANSLATE(A141, ""en"", ""fr"")"),"Réel n ° 2")</f>
        <v>Réel n ° 2</v>
      </c>
      <c r="C141" s="1" t="s">
        <v>185</v>
      </c>
      <c r="D141" s="1" t="s">
        <v>16612</v>
      </c>
      <c r="F141" s="1" t="s">
        <v>2</v>
      </c>
      <c r="U141" s="1" t="s">
        <v>17</v>
      </c>
      <c r="W141" s="1" t="s">
        <v>19</v>
      </c>
      <c r="FY141" s="1" t="s">
        <v>177</v>
      </c>
      <c r="GD141" s="1" t="s">
        <v>236</v>
      </c>
      <c r="GE141" s="1" t="s">
        <v>388</v>
      </c>
    </row>
    <row r="142" spans="1:187" ht="11.25" customHeight="1">
      <c r="A142" s="1" t="s">
        <v>389</v>
      </c>
      <c r="B142" s="1" t="str">
        <f ca="1">IFERROR(__xludf.DUMMYFUNCTION("GOOGLETRANSLATE(A142, ""en"", ""fr"")"),"ACTUALITÉ")</f>
        <v>ACTUALITÉ</v>
      </c>
      <c r="C142" s="1" t="s">
        <v>185</v>
      </c>
      <c r="D142" s="1" t="s">
        <v>16612</v>
      </c>
      <c r="F142" s="1" t="s">
        <v>2</v>
      </c>
      <c r="U142" s="1" t="s">
        <v>17</v>
      </c>
      <c r="Z142" s="1" t="s">
        <v>22</v>
      </c>
      <c r="FY142" s="1" t="s">
        <v>177</v>
      </c>
      <c r="GD142" s="1" t="s">
        <v>193</v>
      </c>
      <c r="GE142" s="1" t="s">
        <v>190</v>
      </c>
    </row>
    <row r="143" spans="1:187" ht="11.25" customHeight="1">
      <c r="A143" s="1" t="s">
        <v>390</v>
      </c>
      <c r="B143" s="1" t="str">
        <f ca="1">IFERROR(__xludf.DUMMYFUNCTION("GOOGLETRANSLATE(A143, ""en"", ""fr"")"),"AIGU")</f>
        <v>AIGU</v>
      </c>
      <c r="C143" s="1" t="s">
        <v>185</v>
      </c>
      <c r="W143" s="1" t="s">
        <v>19</v>
      </c>
      <c r="CR143" s="1" t="s">
        <v>92</v>
      </c>
      <c r="FY143" s="1" t="s">
        <v>177</v>
      </c>
      <c r="GD143" s="1" t="s">
        <v>202</v>
      </c>
      <c r="GE143" s="1" t="s">
        <v>190</v>
      </c>
    </row>
    <row r="144" spans="1:187" ht="11.25" customHeight="1">
      <c r="A144" s="1" t="s">
        <v>391</v>
      </c>
      <c r="B144" s="1" t="str">
        <f ca="1">IFERROR(__xludf.DUMMYFUNCTION("GOOGLETRANSLATE(A144, ""en"", ""fr"")"),"CATÉGORIQUE")</f>
        <v>CATÉGORIQUE</v>
      </c>
      <c r="C144" s="1" t="s">
        <v>192</v>
      </c>
      <c r="D144" s="1" t="s">
        <v>16612</v>
      </c>
      <c r="J144" s="1" t="s">
        <v>6</v>
      </c>
      <c r="S144" s="1" t="s">
        <v>15</v>
      </c>
      <c r="CH144" s="1" t="s">
        <v>82</v>
      </c>
      <c r="DR144" s="1" t="s">
        <v>118</v>
      </c>
      <c r="GD144" s="1" t="s">
        <v>202</v>
      </c>
      <c r="GE144" s="1" t="s">
        <v>190</v>
      </c>
    </row>
    <row r="145" spans="1:187" ht="11.25" customHeight="1">
      <c r="A145" s="1" t="s">
        <v>392</v>
      </c>
      <c r="B145" s="1" t="str">
        <f ca="1">IFERROR(__xludf.DUMMYFUNCTION("GOOGLETRANSLATE(A145, ""en"", ""fr"")"),"ADAPTER")</f>
        <v>ADAPTER</v>
      </c>
      <c r="C145" s="1" t="s">
        <v>185</v>
      </c>
      <c r="J145" s="1" t="s">
        <v>6</v>
      </c>
      <c r="N145" s="1" t="s">
        <v>10</v>
      </c>
      <c r="AL145" s="1" t="s">
        <v>34</v>
      </c>
      <c r="DN145" s="1" t="s">
        <v>114</v>
      </c>
      <c r="GD145" s="1" t="s">
        <v>189</v>
      </c>
      <c r="GE145" s="1" t="s">
        <v>190</v>
      </c>
    </row>
    <row r="146" spans="1:187" ht="11.25" customHeight="1">
      <c r="A146" s="1" t="s">
        <v>393</v>
      </c>
      <c r="B146" s="1" t="str">
        <f ca="1">IFERROR(__xludf.DUMMYFUNCTION("GOOGLETRANSLATE(A146, ""en"", ""fr"")"),"ADAPTABILITÉ")</f>
        <v>ADAPTABILITÉ</v>
      </c>
      <c r="C146" s="1" t="s">
        <v>192</v>
      </c>
      <c r="D146" s="1" t="s">
        <v>16612</v>
      </c>
      <c r="J146" s="1" t="s">
        <v>6</v>
      </c>
      <c r="U146" s="1" t="s">
        <v>17</v>
      </c>
      <c r="BW146" s="1" t="s">
        <v>71</v>
      </c>
      <c r="GD146" s="1" t="s">
        <v>193</v>
      </c>
      <c r="GE146" s="1" t="s">
        <v>190</v>
      </c>
    </row>
    <row r="147" spans="1:187" ht="11.25" customHeight="1">
      <c r="A147" s="1" t="s">
        <v>394</v>
      </c>
      <c r="B147" s="1" t="str">
        <f ca="1">IFERROR(__xludf.DUMMYFUNCTION("GOOGLETRANSLATE(A147, ""en"", ""fr"")"),"ADAPTABLE")</f>
        <v>ADAPTABLE</v>
      </c>
      <c r="C147" s="1" t="s">
        <v>192</v>
      </c>
      <c r="D147" s="1" t="s">
        <v>16612</v>
      </c>
      <c r="J147" s="1" t="s">
        <v>6</v>
      </c>
      <c r="U147" s="1" t="s">
        <v>17</v>
      </c>
      <c r="BW147" s="1" t="s">
        <v>71</v>
      </c>
      <c r="DR147" s="1" t="s">
        <v>118</v>
      </c>
      <c r="GD147" s="1" t="s">
        <v>202</v>
      </c>
      <c r="GE147" s="1" t="s">
        <v>190</v>
      </c>
    </row>
    <row r="148" spans="1:187" ht="11.25" customHeight="1">
      <c r="A148" s="1" t="s">
        <v>395</v>
      </c>
      <c r="B148" s="1" t="str">
        <f ca="1">IFERROR(__xludf.DUMMYFUNCTION("GOOGLETRANSLATE(A148, ""en"", ""fr"")"),"ADAPTATION")</f>
        <v>ADAPTATION</v>
      </c>
      <c r="C148" s="1" t="s">
        <v>192</v>
      </c>
      <c r="D148" s="1" t="s">
        <v>16612</v>
      </c>
      <c r="J148" s="1" t="s">
        <v>6</v>
      </c>
      <c r="U148" s="1" t="s">
        <v>17</v>
      </c>
      <c r="BW148" s="1" t="s">
        <v>71</v>
      </c>
      <c r="GD148" s="1" t="s">
        <v>193</v>
      </c>
      <c r="GE148" s="1" t="s">
        <v>190</v>
      </c>
    </row>
    <row r="149" spans="1:187" ht="11.25" customHeight="1">
      <c r="A149" s="1" t="s">
        <v>396</v>
      </c>
      <c r="B149" s="1" t="str">
        <f ca="1">IFERROR(__xludf.DUMMYFUNCTION("GOOGLETRANSLATE(A149, ""en"", ""fr"")"),"ADAPTATIF")</f>
        <v>ADAPTATIF</v>
      </c>
      <c r="C149" s="1" t="s">
        <v>192</v>
      </c>
      <c r="D149" s="1" t="s">
        <v>16612</v>
      </c>
      <c r="J149" s="1" t="s">
        <v>6</v>
      </c>
      <c r="U149" s="1" t="s">
        <v>17</v>
      </c>
      <c r="BW149" s="1" t="s">
        <v>71</v>
      </c>
      <c r="DR149" s="1" t="s">
        <v>118</v>
      </c>
      <c r="GD149" s="1" t="s">
        <v>202</v>
      </c>
      <c r="GE149" s="1" t="s">
        <v>190</v>
      </c>
    </row>
    <row r="150" spans="1:187" ht="11.25" customHeight="1">
      <c r="A150" s="1" t="s">
        <v>397</v>
      </c>
      <c r="B150" s="1" t="str">
        <f ca="1">IFERROR(__xludf.DUMMYFUNCTION("GOOGLETRANSLATE(A150, ""en"", ""fr"")"),"Ajouter # 1")</f>
        <v>Ajouter # 1</v>
      </c>
      <c r="C150" s="1" t="s">
        <v>185</v>
      </c>
      <c r="J150" s="1" t="s">
        <v>6</v>
      </c>
      <c r="CS150" s="1" t="s">
        <v>93</v>
      </c>
      <c r="GD150" s="1" t="s">
        <v>202</v>
      </c>
      <c r="GE150" s="1" t="s">
        <v>398</v>
      </c>
    </row>
    <row r="151" spans="1:187" ht="11.25" customHeight="1">
      <c r="A151" s="1" t="s">
        <v>399</v>
      </c>
      <c r="B151" s="1" t="str">
        <f ca="1">IFERROR(__xludf.DUMMYFUNCTION("GOOGLETRANSLATE(A151, ""en"", ""fr"")"),"Ajouter # 2")</f>
        <v>Ajouter # 2</v>
      </c>
      <c r="C151" s="1" t="s">
        <v>185</v>
      </c>
      <c r="CO151" s="1" t="s">
        <v>89</v>
      </c>
      <c r="DO151" s="1" t="s">
        <v>115</v>
      </c>
      <c r="FN151" s="1" t="s">
        <v>166</v>
      </c>
      <c r="GD151" s="1" t="s">
        <v>400</v>
      </c>
      <c r="GE151" s="1" t="s">
        <v>401</v>
      </c>
    </row>
    <row r="152" spans="1:187" ht="11.25" customHeight="1">
      <c r="A152" s="1" t="s">
        <v>402</v>
      </c>
      <c r="B152" s="1" t="str">
        <f ca="1">IFERROR(__xludf.DUMMYFUNCTION("GOOGLETRANSLATE(A152, ""en"", ""fr"")"),"TOXICOMANE")</f>
        <v>TOXICOMANE</v>
      </c>
      <c r="C152" s="1" t="s">
        <v>192</v>
      </c>
      <c r="E152" s="1" t="s">
        <v>16613</v>
      </c>
      <c r="L152" s="1" t="s">
        <v>8</v>
      </c>
      <c r="AT152" s="1" t="s">
        <v>42</v>
      </c>
      <c r="BN152" s="1" t="s">
        <v>62</v>
      </c>
      <c r="GD152" s="1" t="s">
        <v>193</v>
      </c>
      <c r="GE152" s="1" t="s">
        <v>190</v>
      </c>
    </row>
    <row r="153" spans="1:187" ht="11.25" customHeight="1">
      <c r="A153" s="1" t="s">
        <v>403</v>
      </c>
      <c r="B153" s="1" t="str">
        <f ca="1">IFERROR(__xludf.DUMMYFUNCTION("GOOGLETRANSLATE(A153, ""en"", ""fr"")"),"DÉPENDANCE")</f>
        <v>DÉPENDANCE</v>
      </c>
      <c r="C153" s="1" t="s">
        <v>192</v>
      </c>
      <c r="E153" s="1" t="s">
        <v>16613</v>
      </c>
      <c r="L153" s="1" t="s">
        <v>8</v>
      </c>
      <c r="W153" s="1" t="s">
        <v>19</v>
      </c>
      <c r="BN153" s="1" t="s">
        <v>62</v>
      </c>
      <c r="GD153" s="1" t="s">
        <v>193</v>
      </c>
      <c r="GE153" s="1" t="s">
        <v>190</v>
      </c>
    </row>
    <row r="154" spans="1:187" ht="11.25" customHeight="1">
      <c r="A154" s="1" t="s">
        <v>404</v>
      </c>
      <c r="B154" s="1" t="str">
        <f ca="1">IFERROR(__xludf.DUMMYFUNCTION("GOOGLETRANSLATE(A154, ""en"", ""fr"")"),"Ajout n ° 1")</f>
        <v>Ajout n ° 1</v>
      </c>
      <c r="C154" s="1" t="s">
        <v>185</v>
      </c>
      <c r="CH154" s="1" t="s">
        <v>82</v>
      </c>
      <c r="FN154" s="1" t="s">
        <v>166</v>
      </c>
      <c r="GD154" s="1" t="s">
        <v>193</v>
      </c>
      <c r="GE154" s="1" t="s">
        <v>405</v>
      </c>
    </row>
    <row r="155" spans="1:187" ht="11.25" customHeight="1">
      <c r="A155" s="1" t="s">
        <v>406</v>
      </c>
      <c r="B155" s="1" t="str">
        <f ca="1">IFERROR(__xludf.DUMMYFUNCTION("GOOGLETRANSLATE(A155, ""en"", ""fr"")"),"Ajout n ° 2")</f>
        <v>Ajout n ° 2</v>
      </c>
      <c r="C155" s="1" t="s">
        <v>185</v>
      </c>
      <c r="J155" s="1" t="s">
        <v>6</v>
      </c>
      <c r="CS155" s="1" t="s">
        <v>93</v>
      </c>
      <c r="FZ155" s="1" t="s">
        <v>178</v>
      </c>
      <c r="GD155" s="1" t="s">
        <v>236</v>
      </c>
      <c r="GE155" s="1" t="s">
        <v>407</v>
      </c>
    </row>
    <row r="156" spans="1:187" ht="11.25" customHeight="1">
      <c r="A156" s="1" t="s">
        <v>408</v>
      </c>
      <c r="B156" s="1" t="str">
        <f ca="1">IFERROR(__xludf.DUMMYFUNCTION("GOOGLETRANSLATE(A156, ""en"", ""fr"")"),"SUPPLÉMENTAIRE")</f>
        <v>SUPPLÉMENTAIRE</v>
      </c>
      <c r="C156" s="1" t="s">
        <v>185</v>
      </c>
      <c r="J156" s="1" t="s">
        <v>6</v>
      </c>
      <c r="CS156" s="1" t="s">
        <v>93</v>
      </c>
      <c r="GD156" s="1" t="s">
        <v>202</v>
      </c>
      <c r="GE156" s="1" t="s">
        <v>190</v>
      </c>
    </row>
    <row r="157" spans="1:187" ht="11.25" customHeight="1">
      <c r="A157" s="1" t="s">
        <v>409</v>
      </c>
      <c r="B157" s="1" t="str">
        <f ca="1">IFERROR(__xludf.DUMMYFUNCTION("GOOGLETRANSLATE(A157, ""en"", ""fr"")"),"ADRESSE 1")</f>
        <v>ADRESSE 1</v>
      </c>
      <c r="C157" s="1" t="s">
        <v>185</v>
      </c>
      <c r="N157" s="1" t="s">
        <v>10</v>
      </c>
      <c r="BK157" s="1" t="s">
        <v>59</v>
      </c>
      <c r="DN157" s="1" t="s">
        <v>114</v>
      </c>
      <c r="FD157" s="1" t="s">
        <v>156</v>
      </c>
      <c r="FI157" s="1" t="s">
        <v>161</v>
      </c>
      <c r="GD157" s="1" t="s">
        <v>189</v>
      </c>
      <c r="GE157" s="1" t="s">
        <v>410</v>
      </c>
    </row>
    <row r="158" spans="1:187" ht="11.25" customHeight="1">
      <c r="A158" s="1" t="s">
        <v>411</v>
      </c>
      <c r="B158" s="1" t="str">
        <f ca="1">IFERROR(__xludf.DUMMYFUNCTION("GOOGLETRANSLATE(A158, ""en"", ""fr"")"),"ADRESSE 2")</f>
        <v>ADRESSE 2</v>
      </c>
      <c r="C158" s="1" t="s">
        <v>185</v>
      </c>
      <c r="N158" s="1" t="s">
        <v>10</v>
      </c>
      <c r="BK158" s="1" t="s">
        <v>59</v>
      </c>
      <c r="BL158" s="1" t="s">
        <v>60</v>
      </c>
      <c r="FH158" s="1" t="s">
        <v>160</v>
      </c>
      <c r="FI158" s="1" t="s">
        <v>161</v>
      </c>
      <c r="GC158" s="1" t="s">
        <v>181</v>
      </c>
      <c r="GD158" s="1" t="s">
        <v>193</v>
      </c>
      <c r="GE158" s="1" t="s">
        <v>412</v>
      </c>
    </row>
    <row r="159" spans="1:187" ht="11.25" customHeight="1">
      <c r="A159" s="1" t="s">
        <v>413</v>
      </c>
      <c r="B159" s="1" t="str">
        <f ca="1">IFERROR(__xludf.DUMMYFUNCTION("GOOGLETRANSLATE(A159, ""en"", ""fr"")"),"Adresse n ° 3")</f>
        <v>Adresse n ° 3</v>
      </c>
      <c r="C159" s="1" t="s">
        <v>185</v>
      </c>
      <c r="N159" s="1" t="s">
        <v>10</v>
      </c>
      <c r="BP159" s="1" t="s">
        <v>64</v>
      </c>
      <c r="DN159" s="1" t="s">
        <v>114</v>
      </c>
      <c r="FP159" s="1" t="s">
        <v>168</v>
      </c>
      <c r="GD159" s="1" t="s">
        <v>189</v>
      </c>
      <c r="GE159" s="1" t="s">
        <v>414</v>
      </c>
    </row>
    <row r="160" spans="1:187" ht="11.25" customHeight="1">
      <c r="A160" s="1" t="s">
        <v>415</v>
      </c>
      <c r="B160" s="1" t="str">
        <f ca="1">IFERROR(__xludf.DUMMYFUNCTION("GOOGLETRANSLATE(A160, ""en"", ""fr"")"),"Aden")</f>
        <v>Aden</v>
      </c>
      <c r="C160" s="1" t="s">
        <v>196</v>
      </c>
      <c r="FU160" s="1" t="s">
        <v>173</v>
      </c>
      <c r="GD160" s="1" t="s">
        <v>416</v>
      </c>
    </row>
    <row r="161" spans="1:187" ht="11.25" customHeight="1">
      <c r="A161" s="1" t="s">
        <v>417</v>
      </c>
      <c r="B161" s="1" t="str">
        <f ca="1">IFERROR(__xludf.DUMMYFUNCTION("GOOGLETRANSLATE(A161, ""en"", ""fr"")"),"EXPERT")</f>
        <v>EXPERT</v>
      </c>
      <c r="C161" s="1" t="s">
        <v>185</v>
      </c>
      <c r="D161" s="1" t="s">
        <v>16612</v>
      </c>
      <c r="F161" s="1" t="s">
        <v>2</v>
      </c>
      <c r="J161" s="1" t="s">
        <v>6</v>
      </c>
      <c r="U161" s="1" t="s">
        <v>17</v>
      </c>
      <c r="CN161" s="1" t="s">
        <v>88</v>
      </c>
      <c r="FL161" s="1" t="s">
        <v>164</v>
      </c>
      <c r="FM161" s="1" t="s">
        <v>418</v>
      </c>
      <c r="GD161" s="1" t="s">
        <v>202</v>
      </c>
      <c r="GE161" s="1" t="s">
        <v>190</v>
      </c>
    </row>
    <row r="162" spans="1:187" ht="11.25" customHeight="1">
      <c r="A162" s="1" t="s">
        <v>419</v>
      </c>
      <c r="B162" s="1" t="str">
        <f ca="1">IFERROR(__xludf.DUMMYFUNCTION("GOOGLETRANSLATE(A162, ""en"", ""fr"")"),"Adaptation")</f>
        <v>Adaptation</v>
      </c>
      <c r="C162" s="1" t="s">
        <v>192</v>
      </c>
      <c r="D162" s="1" t="s">
        <v>16612</v>
      </c>
      <c r="J162" s="1" t="s">
        <v>6</v>
      </c>
      <c r="U162" s="1" t="s">
        <v>17</v>
      </c>
      <c r="GD162" s="1" t="s">
        <v>193</v>
      </c>
      <c r="GE162" s="1" t="s">
        <v>190</v>
      </c>
    </row>
    <row r="163" spans="1:187" ht="11.25" customHeight="1">
      <c r="A163" s="1" t="s">
        <v>420</v>
      </c>
      <c r="B163" s="1" t="str">
        <f ca="1">IFERROR(__xludf.DUMMYFUNCTION("GOOGLETRANSLATE(A163, ""en"", ""fr"")"),"ADÉQUAT")</f>
        <v>ADÉQUAT</v>
      </c>
      <c r="C163" s="1" t="s">
        <v>185</v>
      </c>
      <c r="D163" s="1" t="s">
        <v>16612</v>
      </c>
      <c r="F163" s="1" t="s">
        <v>2</v>
      </c>
      <c r="U163" s="1" t="s">
        <v>17</v>
      </c>
      <c r="X163" s="1" t="s">
        <v>20</v>
      </c>
      <c r="CN163" s="1" t="s">
        <v>88</v>
      </c>
      <c r="FR163" s="1" t="s">
        <v>170</v>
      </c>
      <c r="GD163" s="1" t="s">
        <v>421</v>
      </c>
      <c r="GE163" s="1" t="s">
        <v>422</v>
      </c>
    </row>
    <row r="164" spans="1:187" ht="11.25" customHeight="1">
      <c r="A164" s="1" t="s">
        <v>423</v>
      </c>
      <c r="B164" s="1" t="str">
        <f ca="1">IFERROR(__xludf.DUMMYFUNCTION("GOOGLETRANSLATE(A164, ""en"", ""fr"")"),"ADHÉRER")</f>
        <v>ADHÉRER</v>
      </c>
      <c r="C164" s="1" t="s">
        <v>185</v>
      </c>
      <c r="O164" s="1" t="s">
        <v>11</v>
      </c>
      <c r="CA164" s="1" t="s">
        <v>75</v>
      </c>
      <c r="DN164" s="1" t="s">
        <v>114</v>
      </c>
      <c r="EE164" s="1" t="s">
        <v>131</v>
      </c>
      <c r="EJ164" s="1" t="s">
        <v>136</v>
      </c>
      <c r="GD164" s="1" t="s">
        <v>189</v>
      </c>
      <c r="GE164" s="1" t="s">
        <v>190</v>
      </c>
    </row>
    <row r="165" spans="1:187" ht="11.25" customHeight="1">
      <c r="A165" s="1" t="s">
        <v>424</v>
      </c>
      <c r="B165" s="1" t="str">
        <f ca="1">IFERROR(__xludf.DUMMYFUNCTION("GOOGLETRANSLATE(A165, ""en"", ""fr"")"),"ADHÉRENCE")</f>
        <v>ADHÉRENCE</v>
      </c>
      <c r="C165" s="1" t="s">
        <v>185</v>
      </c>
      <c r="D165" s="1" t="s">
        <v>16612</v>
      </c>
      <c r="G165" s="1" t="s">
        <v>3</v>
      </c>
      <c r="EE165" s="1" t="s">
        <v>131</v>
      </c>
      <c r="EJ165" s="1" t="s">
        <v>136</v>
      </c>
      <c r="GD165" s="1" t="s">
        <v>193</v>
      </c>
      <c r="GE165" s="1" t="s">
        <v>190</v>
      </c>
    </row>
    <row r="166" spans="1:187" ht="11.25" customHeight="1">
      <c r="A166" s="1" t="s">
        <v>425</v>
      </c>
      <c r="B166" s="1" t="str">
        <f ca="1">IFERROR(__xludf.DUMMYFUNCTION("GOOGLETRANSLATE(A166, ""en"", ""fr"")"),"ADHÉRENT")</f>
        <v>ADHÉRENT</v>
      </c>
      <c r="C166" s="1" t="s">
        <v>192</v>
      </c>
      <c r="D166" s="1" t="s">
        <v>16612</v>
      </c>
      <c r="G166" s="1" t="s">
        <v>3</v>
      </c>
      <c r="DR166" s="1" t="s">
        <v>118</v>
      </c>
      <c r="GD166" s="1" t="s">
        <v>202</v>
      </c>
      <c r="GE166" s="1" t="s">
        <v>190</v>
      </c>
    </row>
    <row r="167" spans="1:187" ht="11.25" customHeight="1">
      <c r="A167" s="1" t="s">
        <v>426</v>
      </c>
      <c r="B167" s="1" t="str">
        <f ca="1">IFERROR(__xludf.DUMMYFUNCTION("GOOGLETRANSLATE(A167, ""en"", ""fr"")"),"ADHÉSION")</f>
        <v>ADHÉSION</v>
      </c>
      <c r="C167" s="1" t="s">
        <v>192</v>
      </c>
      <c r="D167" s="1" t="s">
        <v>16612</v>
      </c>
      <c r="DD167" s="1" t="s">
        <v>104</v>
      </c>
      <c r="GD167" s="1" t="s">
        <v>193</v>
      </c>
      <c r="GE167" s="1" t="s">
        <v>190</v>
      </c>
    </row>
    <row r="168" spans="1:187" ht="11.25" customHeight="1">
      <c r="A168" s="1" t="s">
        <v>427</v>
      </c>
      <c r="B168" s="1" t="str">
        <f ca="1">IFERROR(__xludf.DUMMYFUNCTION("GOOGLETRANSLATE(A168, ""en"", ""fr"")"),"ADHÉSIF")</f>
        <v>ADHÉSIF</v>
      </c>
      <c r="C168" s="1" t="s">
        <v>192</v>
      </c>
      <c r="D168" s="1" t="s">
        <v>16612</v>
      </c>
      <c r="DD168" s="1" t="s">
        <v>104</v>
      </c>
      <c r="DR168" s="1" t="s">
        <v>118</v>
      </c>
      <c r="GD168" s="1" t="s">
        <v>202</v>
      </c>
      <c r="GE168" s="1" t="s">
        <v>190</v>
      </c>
    </row>
    <row r="169" spans="1:187" ht="11.25" customHeight="1">
      <c r="A169" s="1" t="s">
        <v>428</v>
      </c>
      <c r="B169" s="1" t="str">
        <f ca="1">IFERROR(__xludf.DUMMYFUNCTION("GOOGLETRANSLATE(A169, ""en"", ""fr"")"),"ADJACENT")</f>
        <v>ADJACENT</v>
      </c>
      <c r="C169" s="1" t="s">
        <v>185</v>
      </c>
      <c r="DA169" s="1" t="s">
        <v>101</v>
      </c>
      <c r="DB169" s="1" t="s">
        <v>102</v>
      </c>
      <c r="GB169" s="1" t="s">
        <v>180</v>
      </c>
      <c r="GD169" s="1" t="s">
        <v>202</v>
      </c>
      <c r="GE169" s="1" t="s">
        <v>190</v>
      </c>
    </row>
    <row r="170" spans="1:187" ht="11.25" customHeight="1">
      <c r="A170" s="1" t="s">
        <v>429</v>
      </c>
      <c r="B170" s="1" t="str">
        <f ca="1">IFERROR(__xludf.DUMMYFUNCTION("GOOGLETRANSLATE(A170, ""en"", ""fr"")"),"ADJOINDRE")</f>
        <v>ADJOINDRE</v>
      </c>
      <c r="C170" s="1" t="s">
        <v>185</v>
      </c>
      <c r="CA170" s="1" t="s">
        <v>75</v>
      </c>
      <c r="GD170" s="1" t="s">
        <v>202</v>
      </c>
      <c r="GE170" s="1" t="s">
        <v>190</v>
      </c>
    </row>
    <row r="171" spans="1:187" ht="11.25" customHeight="1">
      <c r="A171" s="1" t="s">
        <v>430</v>
      </c>
      <c r="B171" s="1" t="str">
        <f ca="1">IFERROR(__xludf.DUMMYFUNCTION("GOOGLETRANSLATE(A171, ""en"", ""fr"")"),"AJOURNEMENT")</f>
        <v>AJOURNEMENT</v>
      </c>
      <c r="C171" s="1" t="s">
        <v>185</v>
      </c>
      <c r="O171" s="1" t="s">
        <v>11</v>
      </c>
      <c r="AM171" s="1" t="s">
        <v>35</v>
      </c>
      <c r="EC171" s="1" t="s">
        <v>129</v>
      </c>
      <c r="ED171" s="1" t="s">
        <v>130</v>
      </c>
      <c r="GD171" s="1" t="s">
        <v>193</v>
      </c>
      <c r="GE171" s="1" t="s">
        <v>190</v>
      </c>
    </row>
    <row r="172" spans="1:187" ht="11.25" customHeight="1">
      <c r="A172" s="1" t="s">
        <v>431</v>
      </c>
      <c r="B172" s="1" t="str">
        <f ca="1">IFERROR(__xludf.DUMMYFUNCTION("GOOGLETRANSLATE(A172, ""en"", ""fr"")"),"ARBITRAGE")</f>
        <v>ARBITRAGE</v>
      </c>
      <c r="C172" s="1" t="s">
        <v>185</v>
      </c>
      <c r="K172" s="1" t="s">
        <v>7</v>
      </c>
      <c r="BK172" s="1" t="s">
        <v>59</v>
      </c>
      <c r="BL172" s="1" t="s">
        <v>60</v>
      </c>
      <c r="DW172" s="1" t="s">
        <v>123</v>
      </c>
      <c r="ED172" s="1" t="s">
        <v>130</v>
      </c>
      <c r="GC172" s="1" t="s">
        <v>181</v>
      </c>
      <c r="GD172" s="1" t="s">
        <v>193</v>
      </c>
      <c r="GE172" s="1" t="s">
        <v>190</v>
      </c>
    </row>
    <row r="173" spans="1:187" ht="11.25" customHeight="1">
      <c r="A173" s="1" t="s">
        <v>432</v>
      </c>
      <c r="B173" s="1" t="str">
        <f ca="1">IFERROR(__xludf.DUMMYFUNCTION("GOOGLETRANSLATE(A173, ""en"", ""fr"")"),"AUXILIAIRE")</f>
        <v>AUXILIAIRE</v>
      </c>
      <c r="C173" s="1" t="s">
        <v>192</v>
      </c>
      <c r="D173" s="1" t="s">
        <v>16612</v>
      </c>
      <c r="BX173" s="1" t="s">
        <v>72</v>
      </c>
      <c r="DD173" s="1" t="s">
        <v>104</v>
      </c>
      <c r="GD173" s="1" t="s">
        <v>193</v>
      </c>
      <c r="GE173" s="1" t="s">
        <v>190</v>
      </c>
    </row>
    <row r="174" spans="1:187" ht="11.25" customHeight="1">
      <c r="A174" s="1" t="s">
        <v>433</v>
      </c>
      <c r="B174" s="1" t="str">
        <f ca="1">IFERROR(__xludf.DUMMYFUNCTION("GOOGLETRANSLATE(A174, ""en"", ""fr"")"),"Ajuster n ° 1")</f>
        <v>Ajuster n ° 1</v>
      </c>
      <c r="C174" s="1" t="s">
        <v>185</v>
      </c>
      <c r="J174" s="1" t="s">
        <v>6</v>
      </c>
      <c r="AL174" s="1" t="s">
        <v>34</v>
      </c>
      <c r="DN174" s="1" t="s">
        <v>114</v>
      </c>
      <c r="FN174" s="1" t="s">
        <v>166</v>
      </c>
      <c r="GD174" s="1" t="s">
        <v>189</v>
      </c>
      <c r="GE174" s="1" t="s">
        <v>434</v>
      </c>
    </row>
    <row r="175" spans="1:187" ht="11.25" customHeight="1">
      <c r="A175" s="1" t="s">
        <v>435</v>
      </c>
      <c r="B175" s="1" t="str">
        <f ca="1">IFERROR(__xludf.DUMMYFUNCTION("GOOGLETRANSLATE(A175, ""en"", ""fr"")"),"Ajuster # 2")</f>
        <v>Ajuster # 2</v>
      </c>
      <c r="C175" s="1" t="s">
        <v>185</v>
      </c>
      <c r="D175" s="1" t="s">
        <v>16612</v>
      </c>
      <c r="F175" s="1" t="s">
        <v>2</v>
      </c>
      <c r="M175" s="1" t="s">
        <v>9</v>
      </c>
      <c r="U175" s="1" t="s">
        <v>17</v>
      </c>
      <c r="FA175" s="1" t="s">
        <v>153</v>
      </c>
      <c r="FC175" s="1" t="s">
        <v>155</v>
      </c>
      <c r="GD175" s="1" t="s">
        <v>202</v>
      </c>
      <c r="GE175" s="1" t="s">
        <v>436</v>
      </c>
    </row>
    <row r="176" spans="1:187" ht="11.25" customHeight="1">
      <c r="A176" s="1" t="s">
        <v>437</v>
      </c>
      <c r="B176" s="1" t="str">
        <f ca="1">IFERROR(__xludf.DUMMYFUNCTION("GOOGLETRANSLATE(A176, ""en"", ""fr"")"),"AJUSTABLE")</f>
        <v>AJUSTABLE</v>
      </c>
      <c r="C176" s="1" t="s">
        <v>192</v>
      </c>
      <c r="D176" s="1" t="s">
        <v>16612</v>
      </c>
      <c r="BW176" s="1" t="s">
        <v>71</v>
      </c>
      <c r="DR176" s="1" t="s">
        <v>118</v>
      </c>
      <c r="GD176" s="1" t="s">
        <v>202</v>
      </c>
      <c r="GE176" s="1" t="s">
        <v>190</v>
      </c>
    </row>
    <row r="177" spans="1:187" ht="11.25" customHeight="1">
      <c r="A177" s="1" t="s">
        <v>438</v>
      </c>
      <c r="B177" s="1" t="str">
        <f ca="1">IFERROR(__xludf.DUMMYFUNCTION("GOOGLETRANSLATE(A177, ""en"", ""fr"")"),"AJUSTEMENT")</f>
        <v>AJUSTEMENT</v>
      </c>
      <c r="C177" s="1" t="s">
        <v>185</v>
      </c>
      <c r="D177" s="1" t="s">
        <v>16612</v>
      </c>
      <c r="F177" s="1" t="s">
        <v>2</v>
      </c>
      <c r="O177" s="1" t="s">
        <v>11</v>
      </c>
      <c r="U177" s="1" t="s">
        <v>17</v>
      </c>
      <c r="GD177" s="1" t="s">
        <v>193</v>
      </c>
      <c r="GE177" s="1" t="s">
        <v>190</v>
      </c>
    </row>
    <row r="178" spans="1:187" ht="11.25" customHeight="1">
      <c r="A178" s="1" t="s">
        <v>439</v>
      </c>
      <c r="B178" s="1" t="str">
        <f ca="1">IFERROR(__xludf.DUMMYFUNCTION("GOOGLETRANSLATE(A178, ""en"", ""fr"")"),"ADMINISTRER")</f>
        <v>ADMINISTRER</v>
      </c>
      <c r="C178" s="1" t="s">
        <v>185</v>
      </c>
      <c r="J178" s="1" t="s">
        <v>6</v>
      </c>
      <c r="K178" s="1" t="s">
        <v>7</v>
      </c>
      <c r="N178" s="1" t="s">
        <v>10</v>
      </c>
      <c r="AN178" s="1" t="s">
        <v>36</v>
      </c>
      <c r="DN178" s="1" t="s">
        <v>114</v>
      </c>
      <c r="EB178" s="1" t="s">
        <v>128</v>
      </c>
      <c r="ED178" s="1" t="s">
        <v>130</v>
      </c>
      <c r="GD178" s="1" t="s">
        <v>189</v>
      </c>
      <c r="GE178" s="1" t="s">
        <v>190</v>
      </c>
    </row>
    <row r="179" spans="1:187" ht="11.25" customHeight="1">
      <c r="A179" s="1" t="s">
        <v>440</v>
      </c>
      <c r="B179" s="1" t="str">
        <f ca="1">IFERROR(__xludf.DUMMYFUNCTION("GOOGLETRANSLATE(A179, ""en"", ""fr"")"),"Administration n ° 1")</f>
        <v>Administration n ° 1</v>
      </c>
      <c r="C179" s="1" t="s">
        <v>185</v>
      </c>
      <c r="J179" s="1" t="s">
        <v>6</v>
      </c>
      <c r="K179" s="1" t="s">
        <v>7</v>
      </c>
      <c r="AG179" s="1" t="s">
        <v>29</v>
      </c>
      <c r="AH179" s="1" t="s">
        <v>30</v>
      </c>
      <c r="AK179" s="1" t="s">
        <v>33</v>
      </c>
      <c r="AT179" s="1" t="s">
        <v>42</v>
      </c>
      <c r="CQ179" s="1" t="s">
        <v>91</v>
      </c>
      <c r="CZ179" s="1" t="s">
        <v>100</v>
      </c>
      <c r="DY179" s="1" t="s">
        <v>125</v>
      </c>
      <c r="ED179" s="1" t="s">
        <v>130</v>
      </c>
      <c r="GD179" s="1" t="s">
        <v>193</v>
      </c>
      <c r="GE179" s="1" t="s">
        <v>441</v>
      </c>
    </row>
    <row r="180" spans="1:187" ht="11.25" customHeight="1">
      <c r="A180" s="1" t="s">
        <v>442</v>
      </c>
      <c r="B180" s="1" t="str">
        <f ca="1">IFERROR(__xludf.DUMMYFUNCTION("GOOGLETRANSLATE(A180, ""en"", ""fr"")"),"Administration n ° 2")</f>
        <v>Administration n ° 2</v>
      </c>
      <c r="C180" s="1" t="s">
        <v>185</v>
      </c>
      <c r="J180" s="1" t="s">
        <v>6</v>
      </c>
      <c r="K180" s="1" t="s">
        <v>7</v>
      </c>
      <c r="N180" s="1" t="s">
        <v>10</v>
      </c>
      <c r="Z180" s="1" t="s">
        <v>22</v>
      </c>
      <c r="AC180" s="1" t="s">
        <v>25</v>
      </c>
      <c r="EB180" s="1" t="s">
        <v>128</v>
      </c>
      <c r="ED180" s="1" t="s">
        <v>130</v>
      </c>
      <c r="GD180" s="1" t="s">
        <v>193</v>
      </c>
      <c r="GE180" s="1" t="s">
        <v>443</v>
      </c>
    </row>
    <row r="181" spans="1:187" ht="11.25" customHeight="1">
      <c r="A181" s="1" t="s">
        <v>444</v>
      </c>
      <c r="B181" s="1" t="str">
        <f ca="1">IFERROR(__xludf.DUMMYFUNCTION("GOOGLETRANSLATE(A181, ""en"", ""fr"")"),"ADMINISTRATIF")</f>
        <v>ADMINISTRATIF</v>
      </c>
      <c r="C181" s="1" t="s">
        <v>185</v>
      </c>
      <c r="J181" s="1" t="s">
        <v>6</v>
      </c>
      <c r="K181" s="1" t="s">
        <v>7</v>
      </c>
      <c r="N181" s="1" t="s">
        <v>10</v>
      </c>
      <c r="Z181" s="1" t="s">
        <v>22</v>
      </c>
      <c r="AC181" s="1" t="s">
        <v>25</v>
      </c>
      <c r="AH181" s="1" t="s">
        <v>30</v>
      </c>
      <c r="EB181" s="1" t="s">
        <v>128</v>
      </c>
      <c r="ED181" s="1" t="s">
        <v>130</v>
      </c>
      <c r="GD181" s="1" t="s">
        <v>202</v>
      </c>
      <c r="GE181" s="1" t="s">
        <v>190</v>
      </c>
    </row>
    <row r="182" spans="1:187" ht="11.25" customHeight="1">
      <c r="A182" s="1" t="s">
        <v>445</v>
      </c>
      <c r="B182" s="1" t="str">
        <f ca="1">IFERROR(__xludf.DUMMYFUNCTION("GOOGLETRANSLATE(A182, ""en"", ""fr"")"),"ADMINISTRATEUR")</f>
        <v>ADMINISTRATEUR</v>
      </c>
      <c r="C182" s="1" t="s">
        <v>185</v>
      </c>
      <c r="J182" s="1" t="s">
        <v>6</v>
      </c>
      <c r="K182" s="1" t="s">
        <v>7</v>
      </c>
      <c r="AC182" s="1" t="s">
        <v>25</v>
      </c>
      <c r="AH182" s="1" t="s">
        <v>30</v>
      </c>
      <c r="AJ182" s="1" t="s">
        <v>32</v>
      </c>
      <c r="AT182" s="1" t="s">
        <v>42</v>
      </c>
      <c r="DY182" s="1" t="s">
        <v>125</v>
      </c>
      <c r="ED182" s="1" t="s">
        <v>130</v>
      </c>
      <c r="GD182" s="1" t="s">
        <v>193</v>
      </c>
      <c r="GE182" s="1" t="s">
        <v>190</v>
      </c>
    </row>
    <row r="183" spans="1:187" ht="11.25" customHeight="1">
      <c r="A183" s="1" t="s">
        <v>446</v>
      </c>
      <c r="B183" s="1" t="str">
        <f ca="1">IFERROR(__xludf.DUMMYFUNCTION("GOOGLETRANSLATE(A183, ""en"", ""fr"")"),"ADMIRABLE")</f>
        <v>ADMIRABLE</v>
      </c>
      <c r="C183" s="1" t="s">
        <v>185</v>
      </c>
      <c r="D183" s="1" t="s">
        <v>16612</v>
      </c>
      <c r="U183" s="1" t="s">
        <v>17</v>
      </c>
      <c r="CM183" s="1" t="s">
        <v>87</v>
      </c>
      <c r="DQ183" s="1" t="s">
        <v>117</v>
      </c>
      <c r="EJ183" s="1" t="s">
        <v>136</v>
      </c>
      <c r="EM183" s="1" t="s">
        <v>139</v>
      </c>
      <c r="GD183" s="1" t="s">
        <v>202</v>
      </c>
      <c r="GE183" s="1" t="s">
        <v>190</v>
      </c>
    </row>
    <row r="184" spans="1:187" ht="11.25" customHeight="1">
      <c r="A184" s="1" t="s">
        <v>447</v>
      </c>
      <c r="B184" s="1" t="str">
        <f ca="1">IFERROR(__xludf.DUMMYFUNCTION("GOOGLETRANSLATE(A184, ""en"", ""fr"")"),"Amiral # 1")</f>
        <v>Amiral # 1</v>
      </c>
      <c r="C184" s="1" t="s">
        <v>196</v>
      </c>
      <c r="EM184" s="1" t="s">
        <v>139</v>
      </c>
      <c r="EN184" s="1" t="s">
        <v>140</v>
      </c>
      <c r="GD184" s="1" t="s">
        <v>448</v>
      </c>
    </row>
    <row r="185" spans="1:187" ht="11.25" customHeight="1">
      <c r="A185" s="1" t="s">
        <v>449</v>
      </c>
      <c r="B185" s="1" t="str">
        <f ca="1">IFERROR(__xludf.DUMMYFUNCTION("GOOGLETRANSLATE(A185, ""en"", ""fr"")"),"Amiral # 2")</f>
        <v>Amiral # 2</v>
      </c>
      <c r="C185" s="1" t="s">
        <v>196</v>
      </c>
      <c r="EM185" s="1" t="s">
        <v>139</v>
      </c>
      <c r="EN185" s="1" t="s">
        <v>140</v>
      </c>
      <c r="GD185" s="1" t="s">
        <v>448</v>
      </c>
    </row>
    <row r="186" spans="1:187" ht="11.25" customHeight="1">
      <c r="A186" s="1" t="s">
        <v>450</v>
      </c>
      <c r="B186" s="1" t="str">
        <f ca="1">IFERROR(__xludf.DUMMYFUNCTION("GOOGLETRANSLATE(A186, ""en"", ""fr"")"),"ADMIRATION")</f>
        <v>ADMIRATION</v>
      </c>
      <c r="C186" s="1" t="s">
        <v>185</v>
      </c>
      <c r="D186" s="1" t="s">
        <v>16612</v>
      </c>
      <c r="J186" s="1" t="s">
        <v>6</v>
      </c>
      <c r="P186" s="1" t="s">
        <v>12</v>
      </c>
      <c r="T186" s="1" t="s">
        <v>16</v>
      </c>
      <c r="U186" s="1" t="s">
        <v>17</v>
      </c>
      <c r="EM186" s="1" t="s">
        <v>139</v>
      </c>
      <c r="EN186" s="1" t="s">
        <v>140</v>
      </c>
      <c r="GD186" s="1" t="s">
        <v>193</v>
      </c>
      <c r="GE186" s="1" t="s">
        <v>190</v>
      </c>
    </row>
    <row r="187" spans="1:187" ht="11.25" customHeight="1">
      <c r="A187" s="1" t="s">
        <v>451</v>
      </c>
      <c r="B187" s="1" t="str">
        <f ca="1">IFERROR(__xludf.DUMMYFUNCTION("GOOGLETRANSLATE(A187, ""en"", ""fr"")"),"ADMIRER")</f>
        <v>ADMIRER</v>
      </c>
      <c r="C187" s="1" t="s">
        <v>185</v>
      </c>
      <c r="D187" s="1" t="s">
        <v>16612</v>
      </c>
      <c r="F187" s="1" t="s">
        <v>2</v>
      </c>
      <c r="G187" s="1" t="s">
        <v>3</v>
      </c>
      <c r="M187" s="1" t="s">
        <v>9</v>
      </c>
      <c r="O187" s="1" t="s">
        <v>11</v>
      </c>
      <c r="P187" s="1" t="s">
        <v>12</v>
      </c>
      <c r="DP187" s="1" t="s">
        <v>116</v>
      </c>
      <c r="EK187" s="1" t="s">
        <v>137</v>
      </c>
      <c r="EN187" s="1" t="s">
        <v>140</v>
      </c>
      <c r="GD187" s="1" t="s">
        <v>189</v>
      </c>
      <c r="GE187" s="1" t="s">
        <v>190</v>
      </c>
    </row>
    <row r="188" spans="1:187" ht="11.25" customHeight="1">
      <c r="A188" s="1" t="s">
        <v>452</v>
      </c>
      <c r="B188" s="1" t="str">
        <f ca="1">IFERROR(__xludf.DUMMYFUNCTION("GOOGLETRANSLATE(A188, ""en"", ""fr"")"),"ADMIRATEUR")</f>
        <v>ADMIRATEUR</v>
      </c>
      <c r="C188" s="1" t="s">
        <v>192</v>
      </c>
      <c r="D188" s="1" t="s">
        <v>16612</v>
      </c>
      <c r="J188" s="1" t="s">
        <v>6</v>
      </c>
      <c r="T188" s="1" t="s">
        <v>16</v>
      </c>
      <c r="AT188" s="1" t="s">
        <v>42</v>
      </c>
      <c r="GD188" s="1" t="s">
        <v>193</v>
      </c>
      <c r="GE188" s="1" t="s">
        <v>190</v>
      </c>
    </row>
    <row r="189" spans="1:187" ht="11.25" customHeight="1">
      <c r="A189" s="1" t="s">
        <v>453</v>
      </c>
      <c r="B189" s="1" t="str">
        <f ca="1">IFERROR(__xludf.DUMMYFUNCTION("GOOGLETRANSLATE(A189, ""en"", ""fr"")"),"ADMISSIBLE")</f>
        <v>ADMISSIBLE</v>
      </c>
      <c r="C189" s="1" t="s">
        <v>185</v>
      </c>
      <c r="M189" s="1" t="s">
        <v>9</v>
      </c>
      <c r="O189" s="1" t="s">
        <v>11</v>
      </c>
      <c r="BK189" s="1" t="s">
        <v>59</v>
      </c>
      <c r="EC189" s="1" t="s">
        <v>129</v>
      </c>
      <c r="ED189" s="1" t="s">
        <v>130</v>
      </c>
      <c r="GC189" s="1" t="s">
        <v>181</v>
      </c>
      <c r="GD189" s="1" t="s">
        <v>202</v>
      </c>
      <c r="GE189" s="1" t="s">
        <v>190</v>
      </c>
    </row>
    <row r="190" spans="1:187" ht="11.25" customHeight="1">
      <c r="A190" s="1" t="s">
        <v>454</v>
      </c>
      <c r="B190" s="1" t="str">
        <f ca="1">IFERROR(__xludf.DUMMYFUNCTION("GOOGLETRANSLATE(A190, ""en"", ""fr"")"),"ADMISSION")</f>
        <v>ADMISSION</v>
      </c>
      <c r="C190" s="1" t="s">
        <v>185</v>
      </c>
      <c r="M190" s="1" t="s">
        <v>9</v>
      </c>
      <c r="O190" s="1" t="s">
        <v>11</v>
      </c>
      <c r="BK190" s="1" t="s">
        <v>59</v>
      </c>
      <c r="BL190" s="1" t="s">
        <v>60</v>
      </c>
      <c r="EL190" s="1" t="s">
        <v>138</v>
      </c>
      <c r="EN190" s="1" t="s">
        <v>140</v>
      </c>
      <c r="GC190" s="1" t="s">
        <v>181</v>
      </c>
      <c r="GD190" s="1" t="s">
        <v>193</v>
      </c>
      <c r="GE190" s="1" t="s">
        <v>190</v>
      </c>
    </row>
    <row r="191" spans="1:187" ht="11.25" customHeight="1">
      <c r="A191" s="1" t="s">
        <v>455</v>
      </c>
      <c r="B191" s="1" t="str">
        <f ca="1">IFERROR(__xludf.DUMMYFUNCTION("GOOGLETRANSLATE(A191, ""en"", ""fr"")"),"Admettre # 1")</f>
        <v>Admettre # 1</v>
      </c>
      <c r="C191" s="1" t="s">
        <v>185</v>
      </c>
      <c r="D191" s="1" t="s">
        <v>16612</v>
      </c>
      <c r="F191" s="1" t="s">
        <v>2</v>
      </c>
      <c r="L191" s="1" t="s">
        <v>8</v>
      </c>
      <c r="M191" s="1" t="s">
        <v>9</v>
      </c>
      <c r="O191" s="1" t="s">
        <v>11</v>
      </c>
      <c r="BK191" s="1" t="s">
        <v>59</v>
      </c>
      <c r="DN191" s="1" t="s">
        <v>114</v>
      </c>
      <c r="EL191" s="1" t="s">
        <v>138</v>
      </c>
      <c r="EN191" s="1" t="s">
        <v>140</v>
      </c>
      <c r="GD191" s="1" t="s">
        <v>189</v>
      </c>
      <c r="GE191" s="1" t="s">
        <v>456</v>
      </c>
    </row>
    <row r="192" spans="1:187" ht="11.25" customHeight="1">
      <c r="A192" s="1" t="s">
        <v>457</v>
      </c>
      <c r="B192" s="1" t="str">
        <f ca="1">IFERROR(__xludf.DUMMYFUNCTION("GOOGLETRANSLATE(A192, ""en"", ""fr"")"),"Admettre # 2")</f>
        <v>Admettre # 2</v>
      </c>
      <c r="C192" s="1" t="s">
        <v>185</v>
      </c>
      <c r="D192" s="1" t="s">
        <v>16612</v>
      </c>
      <c r="F192" s="1" t="s">
        <v>2</v>
      </c>
      <c r="K192" s="1" t="s">
        <v>7</v>
      </c>
      <c r="O192" s="1" t="s">
        <v>11</v>
      </c>
      <c r="AN192" s="1" t="s">
        <v>36</v>
      </c>
      <c r="DO192" s="1" t="s">
        <v>115</v>
      </c>
      <c r="EC192" s="1" t="s">
        <v>129</v>
      </c>
      <c r="ED192" s="1" t="s">
        <v>130</v>
      </c>
      <c r="GD192" s="1" t="s">
        <v>189</v>
      </c>
      <c r="GE192" s="1" t="s">
        <v>458</v>
      </c>
    </row>
    <row r="193" spans="1:187" ht="11.25" customHeight="1">
      <c r="A193" s="1" t="s">
        <v>459</v>
      </c>
      <c r="B193" s="1" t="str">
        <f ca="1">IFERROR(__xludf.DUMMYFUNCTION("GOOGLETRANSLATE(A193, ""en"", ""fr"")"),"Admettre # 3")</f>
        <v>Admettre # 3</v>
      </c>
      <c r="C193" s="1" t="s">
        <v>185</v>
      </c>
      <c r="D193" s="1" t="s">
        <v>16612</v>
      </c>
      <c r="F193" s="1" t="s">
        <v>2</v>
      </c>
      <c r="L193" s="1" t="s">
        <v>8</v>
      </c>
      <c r="M193" s="1" t="s">
        <v>9</v>
      </c>
      <c r="O193" s="1" t="s">
        <v>11</v>
      </c>
      <c r="W193" s="1" t="s">
        <v>19</v>
      </c>
      <c r="BK193" s="1" t="s">
        <v>59</v>
      </c>
      <c r="EL193" s="1" t="s">
        <v>138</v>
      </c>
      <c r="EN193" s="1" t="s">
        <v>140</v>
      </c>
      <c r="GC193" s="1" t="s">
        <v>181</v>
      </c>
      <c r="GD193" s="1" t="s">
        <v>236</v>
      </c>
      <c r="GE193" s="1" t="s">
        <v>460</v>
      </c>
    </row>
    <row r="194" spans="1:187" ht="11.25" customHeight="1">
      <c r="A194" s="1" t="s">
        <v>461</v>
      </c>
      <c r="B194" s="1" t="str">
        <f ca="1">IFERROR(__xludf.DUMMYFUNCTION("GOOGLETRANSLATE(A194, ""en"", ""fr"")"),"ADMISSION")</f>
        <v>ADMISSION</v>
      </c>
      <c r="C194" s="1" t="s">
        <v>192</v>
      </c>
      <c r="D194" s="1" t="s">
        <v>16612</v>
      </c>
      <c r="N194" s="1" t="s">
        <v>10</v>
      </c>
      <c r="CE194" s="1" t="s">
        <v>79</v>
      </c>
      <c r="GD194" s="1" t="s">
        <v>193</v>
      </c>
      <c r="GE194" s="1" t="s">
        <v>190</v>
      </c>
    </row>
    <row r="195" spans="1:187" ht="11.25" customHeight="1">
      <c r="A195" s="1" t="s">
        <v>462</v>
      </c>
      <c r="B195" s="1" t="str">
        <f ca="1">IFERROR(__xludf.DUMMYFUNCTION("GOOGLETRANSLATE(A195, ""en"", ""fr"")"),"AVERTIR")</f>
        <v>AVERTIR</v>
      </c>
      <c r="C195" s="1" t="s">
        <v>192</v>
      </c>
      <c r="E195" s="1" t="s">
        <v>16613</v>
      </c>
      <c r="I195" s="1" t="s">
        <v>5</v>
      </c>
      <c r="J195" s="1" t="s">
        <v>6</v>
      </c>
      <c r="K195" s="1" t="s">
        <v>7</v>
      </c>
      <c r="N195" s="1" t="s">
        <v>10</v>
      </c>
      <c r="AN195" s="1" t="s">
        <v>36</v>
      </c>
      <c r="DN195" s="1" t="s">
        <v>114</v>
      </c>
      <c r="GD195" s="1" t="s">
        <v>189</v>
      </c>
      <c r="GE195" s="1" t="s">
        <v>190</v>
      </c>
    </row>
    <row r="196" spans="1:187" ht="11.25" customHeight="1">
      <c r="A196" s="1" t="s">
        <v>463</v>
      </c>
      <c r="B196" s="1" t="str">
        <f ca="1">IFERROR(__xludf.DUMMYFUNCTION("GOOGLETRANSLATE(A196, ""en"", ""fr"")"),"ADMONITION")</f>
        <v>ADMONITION</v>
      </c>
      <c r="C196" s="1" t="s">
        <v>192</v>
      </c>
      <c r="E196" s="1" t="s">
        <v>16613</v>
      </c>
      <c r="N196" s="1" t="s">
        <v>10</v>
      </c>
      <c r="BK196" s="1" t="s">
        <v>59</v>
      </c>
      <c r="GD196" s="1" t="s">
        <v>193</v>
      </c>
      <c r="GE196" s="1" t="s">
        <v>190</v>
      </c>
    </row>
    <row r="197" spans="1:187" ht="11.25" customHeight="1">
      <c r="A197" s="1" t="s">
        <v>464</v>
      </c>
      <c r="B197" s="1" t="str">
        <f ca="1">IFERROR(__xludf.DUMMYFUNCTION("GOOGLETRANSLATE(A197, ""en"", ""fr"")"),"ADOLESCENT")</f>
        <v>ADOLESCENT</v>
      </c>
      <c r="C197" s="1" t="s">
        <v>196</v>
      </c>
      <c r="EW197" s="1" t="s">
        <v>149</v>
      </c>
      <c r="FB197" s="1" t="s">
        <v>154</v>
      </c>
      <c r="GD197" s="1" t="s">
        <v>448</v>
      </c>
    </row>
    <row r="198" spans="1:187" ht="11.25" customHeight="1">
      <c r="A198" s="1" t="s">
        <v>465</v>
      </c>
      <c r="B198" s="1" t="str">
        <f ca="1">IFERROR(__xludf.DUMMYFUNCTION("GOOGLETRANSLATE(A198, ""en"", ""fr"")"),"Adopter # 1")</f>
        <v>Adopter # 1</v>
      </c>
      <c r="C198" s="1" t="s">
        <v>185</v>
      </c>
      <c r="G198" s="1" t="s">
        <v>3</v>
      </c>
      <c r="O198" s="1" t="s">
        <v>11</v>
      </c>
      <c r="AN198" s="1" t="s">
        <v>36</v>
      </c>
      <c r="EB198" s="1" t="s">
        <v>128</v>
      </c>
      <c r="ED198" s="1" t="s">
        <v>130</v>
      </c>
      <c r="GD198" s="1" t="s">
        <v>202</v>
      </c>
      <c r="GE198" s="1" t="s">
        <v>466</v>
      </c>
    </row>
    <row r="199" spans="1:187" ht="11.25" customHeight="1">
      <c r="A199" s="1" t="s">
        <v>467</v>
      </c>
      <c r="B199" s="1" t="str">
        <f ca="1">IFERROR(__xludf.DUMMYFUNCTION("GOOGLETRANSLATE(A199, ""en"", ""fr"")"),"Adopter # 2")</f>
        <v>Adopter # 2</v>
      </c>
      <c r="C199" s="1" t="s">
        <v>185</v>
      </c>
      <c r="G199" s="1" t="s">
        <v>3</v>
      </c>
      <c r="N199" s="1" t="s">
        <v>10</v>
      </c>
      <c r="AL199" s="1" t="s">
        <v>34</v>
      </c>
      <c r="DN199" s="1" t="s">
        <v>114</v>
      </c>
      <c r="EB199" s="1" t="s">
        <v>128</v>
      </c>
      <c r="ED199" s="1" t="s">
        <v>130</v>
      </c>
      <c r="GD199" s="1" t="s">
        <v>400</v>
      </c>
      <c r="GE199" s="1" t="s">
        <v>468</v>
      </c>
    </row>
    <row r="200" spans="1:187" ht="11.25" customHeight="1">
      <c r="A200" s="1" t="s">
        <v>469</v>
      </c>
      <c r="B200" s="1" t="str">
        <f ca="1">IFERROR(__xludf.DUMMYFUNCTION("GOOGLETRANSLATE(A200, ""en"", ""fr"")"),"ADOPTION")</f>
        <v>ADOPTION</v>
      </c>
      <c r="C200" s="1" t="s">
        <v>196</v>
      </c>
      <c r="EB200" s="1" t="s">
        <v>128</v>
      </c>
      <c r="ED200" s="1" t="s">
        <v>130</v>
      </c>
      <c r="GD200" s="1" t="s">
        <v>470</v>
      </c>
    </row>
    <row r="201" spans="1:187" ht="11.25" customHeight="1">
      <c r="A201" s="1" t="s">
        <v>471</v>
      </c>
      <c r="B201" s="1" t="str">
        <f ca="1">IFERROR(__xludf.DUMMYFUNCTION("GOOGLETRANSLATE(A201, ""en"", ""fr"")"),"ADORABLE")</f>
        <v>ADORABLE</v>
      </c>
      <c r="C201" s="1" t="s">
        <v>192</v>
      </c>
      <c r="D201" s="1" t="s">
        <v>16612</v>
      </c>
      <c r="U201" s="1" t="s">
        <v>17</v>
      </c>
      <c r="CM201" s="1" t="s">
        <v>87</v>
      </c>
      <c r="DR201" s="1" t="s">
        <v>118</v>
      </c>
      <c r="GD201" s="1" t="s">
        <v>202</v>
      </c>
      <c r="GE201" s="1" t="s">
        <v>190</v>
      </c>
    </row>
    <row r="202" spans="1:187" ht="11.25" customHeight="1">
      <c r="A202" s="1" t="s">
        <v>472</v>
      </c>
      <c r="B202" s="1" t="str">
        <f ca="1">IFERROR(__xludf.DUMMYFUNCTION("GOOGLETRANSLATE(A202, ""en"", ""fr"")"),"ADORER")</f>
        <v>ADORER</v>
      </c>
      <c r="C202" s="1" t="s">
        <v>192</v>
      </c>
      <c r="D202" s="1" t="s">
        <v>16612</v>
      </c>
      <c r="N202" s="1" t="s">
        <v>10</v>
      </c>
      <c r="P202" s="1" t="s">
        <v>12</v>
      </c>
      <c r="T202" s="1" t="s">
        <v>16</v>
      </c>
      <c r="DP202" s="1" t="s">
        <v>116</v>
      </c>
      <c r="GD202" s="1" t="s">
        <v>189</v>
      </c>
      <c r="GE202" s="1" t="s">
        <v>190</v>
      </c>
    </row>
    <row r="203" spans="1:187" ht="11.25" customHeight="1">
      <c r="A203" s="1" t="s">
        <v>473</v>
      </c>
      <c r="B203" s="1" t="str">
        <f ca="1">IFERROR(__xludf.DUMMYFUNCTION("GOOGLETRANSLATE(A203, ""en"", ""fr"")"),"ORNER")</f>
        <v>ORNER</v>
      </c>
      <c r="C203" s="1" t="s">
        <v>192</v>
      </c>
      <c r="D203" s="1" t="s">
        <v>16612</v>
      </c>
      <c r="J203" s="1" t="s">
        <v>6</v>
      </c>
      <c r="N203" s="1" t="s">
        <v>10</v>
      </c>
      <c r="CM203" s="1" t="s">
        <v>87</v>
      </c>
      <c r="DN203" s="1" t="s">
        <v>114</v>
      </c>
      <c r="GD203" s="1" t="s">
        <v>189</v>
      </c>
      <c r="GE203" s="1" t="s">
        <v>190</v>
      </c>
    </row>
    <row r="204" spans="1:187" ht="11.25" customHeight="1">
      <c r="A204" s="1" t="s">
        <v>474</v>
      </c>
      <c r="B204" s="1" t="str">
        <f ca="1">IFERROR(__xludf.DUMMYFUNCTION("GOOGLETRANSLATE(A204, ""en"", ""fr"")"),"ORNEMENT")</f>
        <v>ORNEMENT</v>
      </c>
      <c r="C204" s="1" t="s">
        <v>192</v>
      </c>
      <c r="D204" s="1" t="s">
        <v>16612</v>
      </c>
      <c r="U204" s="1" t="s">
        <v>17</v>
      </c>
      <c r="CM204" s="1" t="s">
        <v>87</v>
      </c>
      <c r="GD204" s="1" t="s">
        <v>193</v>
      </c>
      <c r="GE204" s="1" t="s">
        <v>190</v>
      </c>
    </row>
    <row r="205" spans="1:187" ht="11.25" customHeight="1">
      <c r="A205" s="1" t="s">
        <v>475</v>
      </c>
      <c r="B205" s="1" t="str">
        <f ca="1">IFERROR(__xludf.DUMMYFUNCTION("GOOGLETRANSLATE(A205, ""en"", ""fr"")"),"ADROIT")</f>
        <v>ADROIT</v>
      </c>
      <c r="C205" s="1" t="s">
        <v>192</v>
      </c>
      <c r="D205" s="1" t="s">
        <v>16612</v>
      </c>
      <c r="J205" s="1" t="s">
        <v>6</v>
      </c>
      <c r="U205" s="1" t="s">
        <v>17</v>
      </c>
      <c r="DR205" s="1" t="s">
        <v>118</v>
      </c>
      <c r="GD205" s="1" t="s">
        <v>202</v>
      </c>
      <c r="GE205" s="1" t="s">
        <v>190</v>
      </c>
    </row>
    <row r="206" spans="1:187" ht="11.25" customHeight="1">
      <c r="A206" s="1" t="s">
        <v>476</v>
      </c>
      <c r="B206" s="1" t="str">
        <f ca="1">IFERROR(__xludf.DUMMYFUNCTION("GOOGLETRANSLATE(A206, ""en"", ""fr"")"),"À la terre")</f>
        <v>À la terre</v>
      </c>
      <c r="C206" s="1" t="s">
        <v>192</v>
      </c>
      <c r="D206" s="1" t="s">
        <v>16612</v>
      </c>
      <c r="J206" s="1" t="s">
        <v>6</v>
      </c>
      <c r="U206" s="1" t="s">
        <v>17</v>
      </c>
      <c r="GD206" s="1" t="s">
        <v>202</v>
      </c>
      <c r="GE206" s="1" t="s">
        <v>190</v>
      </c>
    </row>
    <row r="207" spans="1:187" ht="11.25" customHeight="1">
      <c r="A207" s="1" t="s">
        <v>477</v>
      </c>
      <c r="B207" s="1" t="str">
        <f ca="1">IFERROR(__xludf.DUMMYFUNCTION("GOOGLETRANSLATE(A207, ""en"", ""fr"")"),"ADULATION")</f>
        <v>ADULATION</v>
      </c>
      <c r="C207" s="1" t="s">
        <v>192</v>
      </c>
      <c r="D207" s="1" t="s">
        <v>16612</v>
      </c>
      <c r="J207" s="1" t="s">
        <v>6</v>
      </c>
      <c r="P207" s="1" t="s">
        <v>12</v>
      </c>
      <c r="T207" s="1" t="s">
        <v>16</v>
      </c>
      <c r="BK207" s="1" t="s">
        <v>59</v>
      </c>
      <c r="CM207" s="1" t="s">
        <v>87</v>
      </c>
      <c r="GD207" s="1" t="s">
        <v>193</v>
      </c>
      <c r="GE207" s="1" t="s">
        <v>190</v>
      </c>
    </row>
    <row r="208" spans="1:187" ht="11.25" customHeight="1">
      <c r="A208" s="1" t="s">
        <v>478</v>
      </c>
      <c r="B208" s="1" t="str">
        <f ca="1">IFERROR(__xludf.DUMMYFUNCTION("GOOGLETRANSLATE(A208, ""en"", ""fr"")"),"Adulte n ° 1")</f>
        <v>Adulte n ° 1</v>
      </c>
      <c r="C208" s="1" t="s">
        <v>185</v>
      </c>
      <c r="J208" s="1" t="s">
        <v>6</v>
      </c>
      <c r="AJ208" s="1" t="s">
        <v>32</v>
      </c>
      <c r="AT208" s="1" t="s">
        <v>42</v>
      </c>
      <c r="FB208" s="1" t="s">
        <v>154</v>
      </c>
      <c r="FC208" s="1" t="s">
        <v>155</v>
      </c>
      <c r="GD208" s="1" t="s">
        <v>193</v>
      </c>
      <c r="GE208" s="1" t="s">
        <v>479</v>
      </c>
    </row>
    <row r="209" spans="1:187" ht="11.25" customHeight="1">
      <c r="A209" s="1" t="s">
        <v>480</v>
      </c>
      <c r="B209" s="1" t="str">
        <f ca="1">IFERROR(__xludf.DUMMYFUNCTION("GOOGLETRANSLATE(A209, ""en"", ""fr"")"),"Adulte # 2")</f>
        <v>Adulte # 2</v>
      </c>
      <c r="C209" s="1" t="s">
        <v>185</v>
      </c>
      <c r="D209" s="1" t="s">
        <v>16612</v>
      </c>
      <c r="F209" s="1" t="s">
        <v>2</v>
      </c>
      <c r="J209" s="1" t="s">
        <v>6</v>
      </c>
      <c r="U209" s="1" t="s">
        <v>17</v>
      </c>
      <c r="GD209" s="1" t="s">
        <v>202</v>
      </c>
      <c r="GE209" s="1" t="s">
        <v>481</v>
      </c>
    </row>
    <row r="210" spans="1:187" ht="11.25" customHeight="1">
      <c r="A210" s="1" t="s">
        <v>482</v>
      </c>
      <c r="B210" s="1" t="str">
        <f ca="1">IFERROR(__xludf.DUMMYFUNCTION("GOOGLETRANSLATE(A210, ""en"", ""fr"")"),"FALSIFIER")</f>
        <v>FALSIFIER</v>
      </c>
      <c r="C210" s="1" t="s">
        <v>192</v>
      </c>
      <c r="E210" s="1" t="s">
        <v>16613</v>
      </c>
      <c r="CC210" s="1" t="s">
        <v>77</v>
      </c>
      <c r="DN210" s="1" t="s">
        <v>114</v>
      </c>
      <c r="GD210" s="1" t="s">
        <v>189</v>
      </c>
      <c r="GE210" s="1" t="s">
        <v>190</v>
      </c>
    </row>
    <row r="211" spans="1:187" ht="11.25" customHeight="1">
      <c r="A211" s="1" t="s">
        <v>483</v>
      </c>
      <c r="B211" s="1" t="str">
        <f ca="1">IFERROR(__xludf.DUMMYFUNCTION("GOOGLETRANSLATE(A211, ""en"", ""fr"")"),"FALSIFICATION")</f>
        <v>FALSIFICATION</v>
      </c>
      <c r="C211" s="1" t="s">
        <v>192</v>
      </c>
      <c r="E211" s="1" t="s">
        <v>16613</v>
      </c>
      <c r="V211" s="1" t="s">
        <v>18</v>
      </c>
      <c r="GD211" s="1" t="s">
        <v>193</v>
      </c>
      <c r="GE211" s="1" t="s">
        <v>190</v>
      </c>
    </row>
    <row r="212" spans="1:187" ht="11.25" customHeight="1">
      <c r="A212" s="1" t="s">
        <v>484</v>
      </c>
      <c r="B212" s="1" t="str">
        <f ca="1">IFERROR(__xludf.DUMMYFUNCTION("GOOGLETRANSLATE(A212, ""en"", ""fr"")"),"ADULTÈRE")</f>
        <v>ADULTÈRE</v>
      </c>
      <c r="C212" s="1" t="s">
        <v>192</v>
      </c>
      <c r="E212" s="1" t="s">
        <v>16613</v>
      </c>
      <c r="V212" s="1" t="s">
        <v>18</v>
      </c>
      <c r="AN212" s="1" t="s">
        <v>36</v>
      </c>
      <c r="GD212" s="1" t="s">
        <v>193</v>
      </c>
      <c r="GE212" s="1" t="s">
        <v>190</v>
      </c>
    </row>
    <row r="213" spans="1:187" ht="11.25" customHeight="1">
      <c r="A213" s="1" t="s">
        <v>485</v>
      </c>
      <c r="B213" s="1" t="str">
        <f ca="1">IFERROR(__xludf.DUMMYFUNCTION("GOOGLETRANSLATE(A213, ""en"", ""fr"")"),"Advance # 1")</f>
        <v>Advance # 1</v>
      </c>
      <c r="C213" s="1" t="s">
        <v>185</v>
      </c>
      <c r="D213" s="1" t="s">
        <v>16612</v>
      </c>
      <c r="F213" s="1" t="s">
        <v>2</v>
      </c>
      <c r="J213" s="1" t="s">
        <v>6</v>
      </c>
      <c r="N213" s="1" t="s">
        <v>10</v>
      </c>
      <c r="CE213" s="1" t="s">
        <v>79</v>
      </c>
      <c r="DN213" s="1" t="s">
        <v>114</v>
      </c>
      <c r="FR213" s="1" t="s">
        <v>170</v>
      </c>
      <c r="GD213" s="1" t="s">
        <v>189</v>
      </c>
      <c r="GE213" s="1" t="s">
        <v>486</v>
      </c>
    </row>
    <row r="214" spans="1:187" ht="11.25" customHeight="1">
      <c r="A214" s="1" t="s">
        <v>487</v>
      </c>
      <c r="B214" s="1" t="str">
        <f ca="1">IFERROR(__xludf.DUMMYFUNCTION("GOOGLETRANSLATE(A214, ""en"", ""fr"")"),"Advance # 2")</f>
        <v>Advance # 2</v>
      </c>
      <c r="C214" s="1" t="s">
        <v>185</v>
      </c>
      <c r="D214" s="1" t="s">
        <v>16612</v>
      </c>
      <c r="F214" s="1" t="s">
        <v>2</v>
      </c>
      <c r="J214" s="1" t="s">
        <v>6</v>
      </c>
      <c r="N214" s="1" t="s">
        <v>10</v>
      </c>
      <c r="BQ214" s="1" t="s">
        <v>65</v>
      </c>
      <c r="FR214" s="1" t="s">
        <v>170</v>
      </c>
      <c r="GD214" s="1" t="s">
        <v>193</v>
      </c>
      <c r="GE214" s="1" t="s">
        <v>488</v>
      </c>
    </row>
    <row r="215" spans="1:187" ht="11.25" customHeight="1">
      <c r="A215" s="1" t="s">
        <v>489</v>
      </c>
      <c r="B215" s="1" t="str">
        <f ca="1">IFERROR(__xludf.DUMMYFUNCTION("GOOGLETRANSLATE(A215, ""en"", ""fr"")"),"Advance # 3")</f>
        <v>Advance # 3</v>
      </c>
      <c r="C215" s="1" t="s">
        <v>185</v>
      </c>
      <c r="D215" s="1" t="s">
        <v>16612</v>
      </c>
      <c r="F215" s="1" t="s">
        <v>2</v>
      </c>
      <c r="O215" s="1" t="s">
        <v>11</v>
      </c>
      <c r="U215" s="1" t="s">
        <v>17</v>
      </c>
      <c r="FR215" s="1" t="s">
        <v>170</v>
      </c>
      <c r="GD215" s="1" t="s">
        <v>202</v>
      </c>
      <c r="GE215" s="1" t="s">
        <v>490</v>
      </c>
    </row>
    <row r="216" spans="1:187" ht="11.25" customHeight="1">
      <c r="A216" s="1" t="s">
        <v>491</v>
      </c>
      <c r="B216" s="1" t="str">
        <f ca="1">IFERROR(__xludf.DUMMYFUNCTION("GOOGLETRANSLATE(A216, ""en"", ""fr"")"),"Advance # 4")</f>
        <v>Advance # 4</v>
      </c>
      <c r="C216" s="1" t="s">
        <v>185</v>
      </c>
      <c r="CY216" s="1" t="s">
        <v>99</v>
      </c>
      <c r="GB216" s="1" t="s">
        <v>180</v>
      </c>
      <c r="GD216" s="1" t="s">
        <v>236</v>
      </c>
      <c r="GE216" s="1" t="s">
        <v>492</v>
      </c>
    </row>
    <row r="217" spans="1:187" ht="11.25" customHeight="1">
      <c r="A217" s="1" t="s">
        <v>493</v>
      </c>
      <c r="B217" s="1" t="str">
        <f ca="1">IFERROR(__xludf.DUMMYFUNCTION("GOOGLETRANSLATE(A217, ""en"", ""fr"")"),"AVANCEMENT")</f>
        <v>AVANCEMENT</v>
      </c>
      <c r="C217" s="1" t="s">
        <v>185</v>
      </c>
      <c r="D217" s="1" t="s">
        <v>16612</v>
      </c>
      <c r="F217" s="1" t="s">
        <v>2</v>
      </c>
      <c r="BX217" s="1" t="s">
        <v>72</v>
      </c>
      <c r="FR217" s="1" t="s">
        <v>170</v>
      </c>
      <c r="GD217" s="1" t="s">
        <v>193</v>
      </c>
      <c r="GE217" s="1" t="s">
        <v>190</v>
      </c>
    </row>
    <row r="218" spans="1:187" ht="11.25" customHeight="1">
      <c r="A218" s="1" t="s">
        <v>494</v>
      </c>
      <c r="B218" s="1" t="str">
        <f ca="1">IFERROR(__xludf.DUMMYFUNCTION("GOOGLETRANSLATE(A218, ""en"", ""fr"")"),"AVANTAGE")</f>
        <v>AVANTAGE</v>
      </c>
      <c r="C218" s="1" t="s">
        <v>185</v>
      </c>
      <c r="D218" s="1" t="s">
        <v>16612</v>
      </c>
      <c r="F218" s="1" t="s">
        <v>2</v>
      </c>
      <c r="J218" s="1" t="s">
        <v>6</v>
      </c>
      <c r="U218" s="1" t="s">
        <v>17</v>
      </c>
      <c r="AC218" s="1" t="s">
        <v>25</v>
      </c>
      <c r="CP218" s="1" t="s">
        <v>90</v>
      </c>
      <c r="CQ218" s="1" t="s">
        <v>91</v>
      </c>
      <c r="FQ218" s="1" t="s">
        <v>169</v>
      </c>
      <c r="GD218" s="1" t="s">
        <v>193</v>
      </c>
      <c r="GE218" s="1" t="s">
        <v>495</v>
      </c>
    </row>
    <row r="219" spans="1:187" ht="11.25" customHeight="1">
      <c r="A219" s="1" t="s">
        <v>496</v>
      </c>
      <c r="B219" s="1" t="str">
        <f ca="1">IFERROR(__xludf.DUMMYFUNCTION("GOOGLETRANSLATE(A219, ""en"", ""fr"")"),"AVANTAGEUX")</f>
        <v>AVANTAGEUX</v>
      </c>
      <c r="C219" s="1" t="s">
        <v>185</v>
      </c>
      <c r="D219" s="1" t="s">
        <v>16612</v>
      </c>
      <c r="F219" s="1" t="s">
        <v>2</v>
      </c>
      <c r="J219" s="1" t="s">
        <v>6</v>
      </c>
      <c r="U219" s="1" t="s">
        <v>17</v>
      </c>
      <c r="FQ219" s="1" t="s">
        <v>169</v>
      </c>
      <c r="GD219" s="1" t="s">
        <v>202</v>
      </c>
      <c r="GE219" s="1" t="s">
        <v>190</v>
      </c>
    </row>
    <row r="220" spans="1:187" ht="11.25" customHeight="1">
      <c r="A220" s="1" t="s">
        <v>497</v>
      </c>
      <c r="B220" s="1" t="str">
        <f ca="1">IFERROR(__xludf.DUMMYFUNCTION("GOOGLETRANSLATE(A220, ""en"", ""fr"")"),"AVÈNEMENT")</f>
        <v>AVÈNEMENT</v>
      </c>
      <c r="C220" s="1" t="s">
        <v>192</v>
      </c>
      <c r="D220" s="1" t="s">
        <v>16612</v>
      </c>
      <c r="BV220" s="1" t="s">
        <v>70</v>
      </c>
      <c r="GD220" s="1" t="s">
        <v>193</v>
      </c>
      <c r="GE220" s="1" t="s">
        <v>190</v>
      </c>
    </row>
    <row r="221" spans="1:187" ht="11.25" customHeight="1">
      <c r="A221" s="1" t="s">
        <v>498</v>
      </c>
      <c r="B221" s="1" t="str">
        <f ca="1">IFERROR(__xludf.DUMMYFUNCTION("GOOGLETRANSLATE(A221, ""en"", ""fr"")"),"AVENTURE")</f>
        <v>AVENTURE</v>
      </c>
      <c r="C221" s="1" t="s">
        <v>185</v>
      </c>
      <c r="N221" s="1" t="s">
        <v>10</v>
      </c>
      <c r="CE221" s="1" t="s">
        <v>79</v>
      </c>
      <c r="GD221" s="1" t="s">
        <v>193</v>
      </c>
      <c r="GE221" s="1" t="s">
        <v>190</v>
      </c>
    </row>
    <row r="222" spans="1:187" ht="11.25" customHeight="1">
      <c r="A222" s="1" t="s">
        <v>499</v>
      </c>
      <c r="B222" s="1" t="str">
        <f ca="1">IFERROR(__xludf.DUMMYFUNCTION("GOOGLETRANSLATE(A222, ""en"", ""fr"")"),"AVENTUREUX")</f>
        <v>AVENTUREUX</v>
      </c>
      <c r="C222" s="1" t="s">
        <v>192</v>
      </c>
      <c r="D222" s="1" t="s">
        <v>16612</v>
      </c>
      <c r="J222" s="1" t="s">
        <v>6</v>
      </c>
      <c r="N222" s="1" t="s">
        <v>10</v>
      </c>
      <c r="DR222" s="1" t="s">
        <v>118</v>
      </c>
      <c r="GD222" s="1" t="s">
        <v>202</v>
      </c>
      <c r="GE222" s="1" t="s">
        <v>190</v>
      </c>
    </row>
    <row r="223" spans="1:187" ht="11.25" customHeight="1">
      <c r="A223" s="1" t="s">
        <v>500</v>
      </c>
      <c r="B223" s="1" t="str">
        <f ca="1">IFERROR(__xludf.DUMMYFUNCTION("GOOGLETRANSLATE(A223, ""en"", ""fr"")"),"AVENTUREUX")</f>
        <v>AVENTUREUX</v>
      </c>
      <c r="C223" s="1" t="s">
        <v>185</v>
      </c>
      <c r="D223" s="1" t="s">
        <v>16612</v>
      </c>
      <c r="J223" s="1" t="s">
        <v>6</v>
      </c>
      <c r="N223" s="1" t="s">
        <v>10</v>
      </c>
      <c r="DR223" s="1" t="s">
        <v>118</v>
      </c>
      <c r="FX223" s="1" t="s">
        <v>176</v>
      </c>
      <c r="GD223" s="1" t="s">
        <v>202</v>
      </c>
      <c r="GE223" s="1" t="s">
        <v>190</v>
      </c>
    </row>
    <row r="224" spans="1:187" ht="11.25" customHeight="1">
      <c r="A224" s="1" t="s">
        <v>501</v>
      </c>
      <c r="B224" s="1" t="str">
        <f ca="1">IFERROR(__xludf.DUMMYFUNCTION("GOOGLETRANSLATE(A224, ""en"", ""fr"")"),"ADVERSAIRE")</f>
        <v>ADVERSAIRE</v>
      </c>
      <c r="C224" s="1" t="s">
        <v>185</v>
      </c>
      <c r="E224" s="1" t="s">
        <v>16613</v>
      </c>
      <c r="I224" s="1" t="s">
        <v>5</v>
      </c>
      <c r="AG224" s="1" t="s">
        <v>29</v>
      </c>
      <c r="AJ224" s="1" t="s">
        <v>32</v>
      </c>
      <c r="AN224" s="1" t="s">
        <v>36</v>
      </c>
      <c r="AT224" s="1" t="s">
        <v>42</v>
      </c>
      <c r="DW224" s="1" t="s">
        <v>123</v>
      </c>
      <c r="ED224" s="1" t="s">
        <v>130</v>
      </c>
      <c r="GD224" s="1" t="s">
        <v>193</v>
      </c>
      <c r="GE224" s="1" t="s">
        <v>190</v>
      </c>
    </row>
    <row r="225" spans="1:187" ht="11.25" customHeight="1">
      <c r="A225" s="1" t="s">
        <v>502</v>
      </c>
      <c r="B225" s="1" t="str">
        <f ca="1">IFERROR(__xludf.DUMMYFUNCTION("GOOGLETRANSLATE(A225, ""en"", ""fr"")"),"NÉGATIF")</f>
        <v>NÉGATIF</v>
      </c>
      <c r="C225" s="1" t="s">
        <v>185</v>
      </c>
      <c r="E225" s="1" t="s">
        <v>16613</v>
      </c>
      <c r="H225" s="1" t="s">
        <v>4</v>
      </c>
      <c r="V225" s="1" t="s">
        <v>18</v>
      </c>
      <c r="FW225" s="1" t="s">
        <v>175</v>
      </c>
      <c r="GD225" s="1" t="s">
        <v>202</v>
      </c>
      <c r="GE225" s="1" t="s">
        <v>190</v>
      </c>
    </row>
    <row r="226" spans="1:187" ht="11.25" customHeight="1">
      <c r="A226" s="1" t="s">
        <v>503</v>
      </c>
      <c r="B226" s="1" t="str">
        <f ca="1">IFERROR(__xludf.DUMMYFUNCTION("GOOGLETRANSLATE(A226, ""en"", ""fr"")"),"ADVERSITÉ")</f>
        <v>ADVERSITÉ</v>
      </c>
      <c r="C226" s="1" t="s">
        <v>192</v>
      </c>
      <c r="E226" s="1" t="s">
        <v>16613</v>
      </c>
      <c r="V226" s="1" t="s">
        <v>18</v>
      </c>
      <c r="GD226" s="1" t="s">
        <v>193</v>
      </c>
      <c r="GE226" s="1" t="s">
        <v>190</v>
      </c>
    </row>
    <row r="227" spans="1:187" ht="11.25" customHeight="1">
      <c r="A227" s="1" t="s">
        <v>504</v>
      </c>
      <c r="B227" s="1" t="str">
        <f ca="1">IFERROR(__xludf.DUMMYFUNCTION("GOOGLETRANSLATE(A227, ""en"", ""fr"")"),"CONSEIL")</f>
        <v>CONSEIL</v>
      </c>
      <c r="C227" s="1" t="s">
        <v>185</v>
      </c>
      <c r="G227" s="1" t="s">
        <v>3</v>
      </c>
      <c r="BK227" s="1" t="s">
        <v>59</v>
      </c>
      <c r="BL227" s="1" t="s">
        <v>60</v>
      </c>
      <c r="GC227" s="1" t="s">
        <v>181</v>
      </c>
      <c r="GD227" s="1" t="s">
        <v>193</v>
      </c>
      <c r="GE227" s="1" t="s">
        <v>505</v>
      </c>
    </row>
    <row r="228" spans="1:187" ht="11.25" customHeight="1">
      <c r="A228" s="1" t="s">
        <v>506</v>
      </c>
      <c r="B228" s="1" t="str">
        <f ca="1">IFERROR(__xludf.DUMMYFUNCTION("GOOGLETRANSLATE(A228, ""en"", ""fr"")"),"CONSEILLÉ")</f>
        <v>CONSEILLÉ</v>
      </c>
      <c r="C228" s="1" t="s">
        <v>185</v>
      </c>
      <c r="D228" s="1" t="s">
        <v>16612</v>
      </c>
      <c r="CH228" s="1" t="s">
        <v>82</v>
      </c>
      <c r="CM228" s="1" t="s">
        <v>87</v>
      </c>
      <c r="CR228" s="1" t="s">
        <v>92</v>
      </c>
      <c r="DQ228" s="1" t="s">
        <v>117</v>
      </c>
      <c r="FX228" s="1" t="s">
        <v>176</v>
      </c>
      <c r="GD228" s="1" t="s">
        <v>202</v>
      </c>
      <c r="GE228" s="1" t="s">
        <v>190</v>
      </c>
    </row>
    <row r="229" spans="1:187" ht="11.25" customHeight="1">
      <c r="A229" s="1" t="s">
        <v>507</v>
      </c>
      <c r="B229" s="1" t="str">
        <f ca="1">IFERROR(__xludf.DUMMYFUNCTION("GOOGLETRANSLATE(A229, ""en"", ""fr"")"),"CONSEILLER")</f>
        <v>CONSEILLER</v>
      </c>
      <c r="C229" s="1" t="s">
        <v>185</v>
      </c>
      <c r="G229" s="1" t="s">
        <v>3</v>
      </c>
      <c r="AN229" s="1" t="s">
        <v>36</v>
      </c>
      <c r="DN229" s="1" t="s">
        <v>114</v>
      </c>
      <c r="GD229" s="1" t="s">
        <v>189</v>
      </c>
      <c r="GE229" s="1" t="s">
        <v>190</v>
      </c>
    </row>
    <row r="230" spans="1:187" ht="11.25" customHeight="1">
      <c r="A230" s="1" t="s">
        <v>508</v>
      </c>
      <c r="B230" s="1" t="str">
        <f ca="1">IFERROR(__xludf.DUMMYFUNCTION("GOOGLETRANSLATE(A230, ""en"", ""fr"")"),"CONSEILLER")</f>
        <v>CONSEILLER</v>
      </c>
      <c r="C230" s="1" t="s">
        <v>185</v>
      </c>
      <c r="K230" s="1" t="s">
        <v>7</v>
      </c>
      <c r="AJ230" s="1" t="s">
        <v>32</v>
      </c>
      <c r="AT230" s="1" t="s">
        <v>42</v>
      </c>
      <c r="FG230" s="1" t="s">
        <v>159</v>
      </c>
      <c r="FI230" s="1" t="s">
        <v>161</v>
      </c>
      <c r="GD230" s="1" t="s">
        <v>193</v>
      </c>
      <c r="GE230" s="1" t="s">
        <v>190</v>
      </c>
    </row>
    <row r="231" spans="1:187" ht="11.25" customHeight="1">
      <c r="A231" s="1" t="s">
        <v>509</v>
      </c>
      <c r="B231" s="1" t="str">
        <f ca="1">IFERROR(__xludf.DUMMYFUNCTION("GOOGLETRANSLATE(A231, ""en"", ""fr"")"),"CONSEILLER")</f>
        <v>CONSEILLER</v>
      </c>
      <c r="C231" s="1" t="s">
        <v>185</v>
      </c>
      <c r="K231" s="1" t="s">
        <v>7</v>
      </c>
      <c r="AJ231" s="1" t="s">
        <v>32</v>
      </c>
      <c r="AT231" s="1" t="s">
        <v>42</v>
      </c>
      <c r="FG231" s="1" t="s">
        <v>159</v>
      </c>
      <c r="FI231" s="1" t="s">
        <v>161</v>
      </c>
      <c r="GD231" s="1" t="s">
        <v>193</v>
      </c>
      <c r="GE231" s="1" t="s">
        <v>190</v>
      </c>
    </row>
    <row r="232" spans="1:187" ht="11.25" customHeight="1">
      <c r="A232" s="1" t="s">
        <v>510</v>
      </c>
      <c r="B232" s="1" t="str">
        <f ca="1">IFERROR(__xludf.DUMMYFUNCTION("GOOGLETRANSLATE(A232, ""en"", ""fr"")"),"CONSULTATIF")</f>
        <v>CONSULTATIF</v>
      </c>
      <c r="C232" s="1" t="s">
        <v>185</v>
      </c>
      <c r="BK232" s="1" t="s">
        <v>59</v>
      </c>
      <c r="GC232" s="1" t="s">
        <v>181</v>
      </c>
      <c r="GD232" s="1" t="s">
        <v>202</v>
      </c>
      <c r="GE232" s="1" t="s">
        <v>190</v>
      </c>
    </row>
    <row r="233" spans="1:187" ht="11.25" customHeight="1">
      <c r="A233" s="1" t="s">
        <v>511</v>
      </c>
      <c r="B233" s="1" t="str">
        <f ca="1">IFERROR(__xludf.DUMMYFUNCTION("GOOGLETRANSLATE(A233, ""en"", ""fr"")"),"PLAIDOYER")</f>
        <v>PLAIDOYER</v>
      </c>
      <c r="C233" s="1" t="s">
        <v>185</v>
      </c>
      <c r="D233" s="1" t="s">
        <v>16612</v>
      </c>
      <c r="G233" s="1" t="s">
        <v>3</v>
      </c>
      <c r="BK233" s="1" t="s">
        <v>59</v>
      </c>
      <c r="GD233" s="1" t="s">
        <v>193</v>
      </c>
      <c r="GE233" s="1" t="s">
        <v>190</v>
      </c>
    </row>
    <row r="234" spans="1:187" ht="11.25" customHeight="1">
      <c r="A234" s="1" t="s">
        <v>512</v>
      </c>
      <c r="B234" s="1" t="str">
        <f ca="1">IFERROR(__xludf.DUMMYFUNCTION("GOOGLETRANSLATE(A234, ""en"", ""fr"")"),"Advocat n ° 1")</f>
        <v>Advocat n ° 1</v>
      </c>
      <c r="C234" s="1" t="s">
        <v>185</v>
      </c>
      <c r="J234" s="1" t="s">
        <v>6</v>
      </c>
      <c r="N234" s="1" t="s">
        <v>10</v>
      </c>
      <c r="AE234" s="1" t="s">
        <v>27</v>
      </c>
      <c r="AH234" s="1" t="s">
        <v>30</v>
      </c>
      <c r="AJ234" s="1" t="s">
        <v>32</v>
      </c>
      <c r="AT234" s="1" t="s">
        <v>42</v>
      </c>
      <c r="DY234" s="1" t="s">
        <v>125</v>
      </c>
      <c r="ED234" s="1" t="s">
        <v>130</v>
      </c>
      <c r="GD234" s="1" t="s">
        <v>193</v>
      </c>
      <c r="GE234" s="1" t="s">
        <v>190</v>
      </c>
    </row>
    <row r="235" spans="1:187" ht="11.25" customHeight="1">
      <c r="A235" s="1" t="s">
        <v>513</v>
      </c>
      <c r="B235" s="1" t="str">
        <f ca="1">IFERROR(__xludf.DUMMYFUNCTION("GOOGLETRANSLATE(A235, ""en"", ""fr"")"),"Advocat # 2")</f>
        <v>Advocat # 2</v>
      </c>
      <c r="C235" s="1" t="s">
        <v>185</v>
      </c>
      <c r="J235" s="1" t="s">
        <v>6</v>
      </c>
      <c r="K235" s="1" t="s">
        <v>7</v>
      </c>
      <c r="N235" s="1" t="s">
        <v>10</v>
      </c>
      <c r="BK235" s="1" t="s">
        <v>59</v>
      </c>
      <c r="DN235" s="1" t="s">
        <v>114</v>
      </c>
      <c r="FN235" s="1" t="s">
        <v>166</v>
      </c>
      <c r="GD235" s="1" t="s">
        <v>189</v>
      </c>
      <c r="GE235" s="1" t="s">
        <v>190</v>
      </c>
    </row>
    <row r="236" spans="1:187" ht="11.25" customHeight="1">
      <c r="A236" s="1" t="s">
        <v>514</v>
      </c>
      <c r="B236" s="1" t="str">
        <f ca="1">IFERROR(__xludf.DUMMYFUNCTION("GOOGLETRANSLATE(A236, ""en"", ""fr"")"),"ESTHÉTIQUE")</f>
        <v>ESTHÉTIQUE</v>
      </c>
      <c r="C236" s="1" t="s">
        <v>185</v>
      </c>
      <c r="Z236" s="1" t="s">
        <v>22</v>
      </c>
      <c r="AD236" s="1" t="s">
        <v>26</v>
      </c>
      <c r="FJ236" s="1" t="s">
        <v>162</v>
      </c>
      <c r="FM236" s="1" t="s">
        <v>418</v>
      </c>
      <c r="GD236" s="1" t="s">
        <v>202</v>
      </c>
      <c r="GE236" s="1" t="s">
        <v>190</v>
      </c>
    </row>
    <row r="237" spans="1:187" ht="11.25" customHeight="1">
      <c r="A237" s="1" t="s">
        <v>515</v>
      </c>
      <c r="B237" s="1" t="str">
        <f ca="1">IFERROR(__xludf.DUMMYFUNCTION("GOOGLETRANSLATE(A237, ""en"", ""fr"")"),"AFFABILITÉ")</f>
        <v>AFFABILITÉ</v>
      </c>
      <c r="C237" s="1" t="s">
        <v>192</v>
      </c>
      <c r="D237" s="1" t="s">
        <v>16612</v>
      </c>
      <c r="U237" s="1" t="s">
        <v>17</v>
      </c>
      <c r="GD237" s="1" t="s">
        <v>193</v>
      </c>
      <c r="GE237" s="1" t="s">
        <v>190</v>
      </c>
    </row>
    <row r="238" spans="1:187" ht="11.25" customHeight="1">
      <c r="A238" s="1" t="s">
        <v>516</v>
      </c>
      <c r="B238" s="1" t="str">
        <f ca="1">IFERROR(__xludf.DUMMYFUNCTION("GOOGLETRANSLATE(A238, ""en"", ""fr"")"),"AFFABLE")</f>
        <v>AFFABLE</v>
      </c>
      <c r="C238" s="1" t="s">
        <v>192</v>
      </c>
      <c r="D238" s="1" t="s">
        <v>16612</v>
      </c>
      <c r="U238" s="1" t="s">
        <v>17</v>
      </c>
      <c r="DQ238" s="1" t="s">
        <v>117</v>
      </c>
      <c r="GD238" s="1" t="s">
        <v>202</v>
      </c>
      <c r="GE238" s="1" t="s">
        <v>190</v>
      </c>
    </row>
    <row r="239" spans="1:187" ht="11.25" customHeight="1">
      <c r="A239" s="1" t="s">
        <v>517</v>
      </c>
      <c r="B239" s="1" t="str">
        <f ca="1">IFERROR(__xludf.DUMMYFUNCTION("GOOGLETRANSLATE(A239, ""en"", ""fr"")"),"Affaire n ° 1")</f>
        <v>Affaire n ° 1</v>
      </c>
      <c r="C239" s="1" t="s">
        <v>185</v>
      </c>
      <c r="N239" s="1" t="s">
        <v>10</v>
      </c>
      <c r="BW239" s="1" t="s">
        <v>71</v>
      </c>
      <c r="GD239" s="1" t="s">
        <v>193</v>
      </c>
      <c r="GE239" s="1" t="s">
        <v>518</v>
      </c>
    </row>
    <row r="240" spans="1:187" ht="11.25" customHeight="1">
      <c r="A240" s="1" t="s">
        <v>519</v>
      </c>
      <c r="B240" s="1" t="str">
        <f ca="1">IFERROR(__xludf.DUMMYFUNCTION("GOOGLETRANSLATE(A240, ""en"", ""fr"")"),"Affaire n ° 2")</f>
        <v>Affaire n ° 2</v>
      </c>
      <c r="C240" s="1" t="s">
        <v>185</v>
      </c>
      <c r="G240" s="1" t="s">
        <v>3</v>
      </c>
      <c r="AM240" s="1" t="s">
        <v>35</v>
      </c>
      <c r="EO240" s="1" t="s">
        <v>141</v>
      </c>
      <c r="ES240" s="1" t="s">
        <v>145</v>
      </c>
      <c r="GD240" s="1" t="s">
        <v>193</v>
      </c>
      <c r="GE240" s="1" t="s">
        <v>520</v>
      </c>
    </row>
    <row r="241" spans="1:187" ht="11.25" customHeight="1">
      <c r="A241" s="1" t="s">
        <v>521</v>
      </c>
      <c r="B241" s="1" t="str">
        <f ca="1">IFERROR(__xludf.DUMMYFUNCTION("GOOGLETRANSLATE(A241, ""en"", ""fr"")"),"Affaire n ° 3")</f>
        <v>Affaire n ° 3</v>
      </c>
      <c r="C241" s="1" t="s">
        <v>185</v>
      </c>
      <c r="GD241" s="1" t="s">
        <v>225</v>
      </c>
      <c r="GE241" s="1" t="s">
        <v>522</v>
      </c>
    </row>
    <row r="242" spans="1:187" ht="11.25" customHeight="1">
      <c r="A242" s="1" t="s">
        <v>523</v>
      </c>
      <c r="B242" s="1" t="str">
        <f ca="1">IFERROR(__xludf.DUMMYFUNCTION("GOOGLETRANSLATE(A242, ""en"", ""fr"")"),"AFFECTER")</f>
        <v>AFFECTER</v>
      </c>
      <c r="C242" s="1" t="s">
        <v>185</v>
      </c>
      <c r="N242" s="1" t="s">
        <v>10</v>
      </c>
      <c r="BW242" s="1" t="s">
        <v>71</v>
      </c>
      <c r="DN242" s="1" t="s">
        <v>114</v>
      </c>
      <c r="GD242" s="1" t="s">
        <v>189</v>
      </c>
      <c r="GE242" s="1" t="s">
        <v>524</v>
      </c>
    </row>
    <row r="243" spans="1:187" ht="11.25" customHeight="1">
      <c r="A243" s="1" t="s">
        <v>525</v>
      </c>
      <c r="B243" s="1" t="str">
        <f ca="1">IFERROR(__xludf.DUMMYFUNCTION("GOOGLETRANSLATE(A243, ""en"", ""fr"")"),"AFFECTATION")</f>
        <v>AFFECTATION</v>
      </c>
      <c r="C243" s="1" t="s">
        <v>192</v>
      </c>
      <c r="E243" s="1" t="s">
        <v>16613</v>
      </c>
      <c r="V243" s="1" t="s">
        <v>18</v>
      </c>
      <c r="GD243" s="1" t="s">
        <v>193</v>
      </c>
      <c r="GE243" s="1" t="s">
        <v>190</v>
      </c>
    </row>
    <row r="244" spans="1:187" ht="11.25" customHeight="1">
      <c r="A244" s="1" t="s">
        <v>526</v>
      </c>
      <c r="B244" s="1" t="str">
        <f ca="1">IFERROR(__xludf.DUMMYFUNCTION("GOOGLETRANSLATE(A244, ""en"", ""fr"")"),"AFFECTION")</f>
        <v>AFFECTION</v>
      </c>
      <c r="C244" s="1" t="s">
        <v>185</v>
      </c>
      <c r="D244" s="1" t="s">
        <v>16612</v>
      </c>
      <c r="F244" s="1" t="s">
        <v>2</v>
      </c>
      <c r="G244" s="1" t="s">
        <v>3</v>
      </c>
      <c r="S244" s="1" t="s">
        <v>15</v>
      </c>
      <c r="T244" s="1" t="s">
        <v>16</v>
      </c>
      <c r="ER244" s="1" t="s">
        <v>144</v>
      </c>
      <c r="ES244" s="1" t="s">
        <v>145</v>
      </c>
      <c r="GD244" s="1" t="s">
        <v>193</v>
      </c>
      <c r="GE244" s="1" t="s">
        <v>190</v>
      </c>
    </row>
    <row r="245" spans="1:187" ht="11.25" customHeight="1">
      <c r="A245" s="1" t="s">
        <v>527</v>
      </c>
      <c r="B245" s="1" t="str">
        <f ca="1">IFERROR(__xludf.DUMMYFUNCTION("GOOGLETRANSLATE(A245, ""en"", ""fr"")"),"AFFECTUEUX")</f>
        <v>AFFECTUEUX</v>
      </c>
      <c r="C245" s="1" t="s">
        <v>185</v>
      </c>
      <c r="D245" s="1" t="s">
        <v>16612</v>
      </c>
      <c r="F245" s="1" t="s">
        <v>2</v>
      </c>
      <c r="G245" s="1" t="s">
        <v>3</v>
      </c>
      <c r="S245" s="1" t="s">
        <v>15</v>
      </c>
      <c r="T245" s="1" t="s">
        <v>16</v>
      </c>
      <c r="ER245" s="1" t="s">
        <v>144</v>
      </c>
      <c r="ES245" s="1" t="s">
        <v>145</v>
      </c>
      <c r="GD245" s="1" t="s">
        <v>202</v>
      </c>
      <c r="GE245" s="1" t="s">
        <v>190</v>
      </c>
    </row>
    <row r="246" spans="1:187" ht="11.25" customHeight="1">
      <c r="A246" s="1" t="s">
        <v>528</v>
      </c>
      <c r="B246" s="1" t="str">
        <f ca="1">IFERROR(__xludf.DUMMYFUNCTION("GOOGLETRANSLATE(A246, ""en"", ""fr"")"),"AFFILIER")</f>
        <v>AFFILIER</v>
      </c>
      <c r="C246" s="1" t="s">
        <v>185</v>
      </c>
      <c r="D246" s="1" t="s">
        <v>16612</v>
      </c>
      <c r="G246" s="1" t="s">
        <v>3</v>
      </c>
      <c r="N246" s="1" t="s">
        <v>10</v>
      </c>
      <c r="DN246" s="1" t="s">
        <v>114</v>
      </c>
      <c r="DX246" s="1" t="s">
        <v>124</v>
      </c>
      <c r="ED246" s="1" t="s">
        <v>130</v>
      </c>
      <c r="GD246" s="1" t="s">
        <v>189</v>
      </c>
      <c r="GE246" s="1" t="s">
        <v>190</v>
      </c>
    </row>
    <row r="247" spans="1:187" ht="11.25" customHeight="1">
      <c r="A247" s="1" t="s">
        <v>529</v>
      </c>
      <c r="B247" s="1" t="str">
        <f ca="1">IFERROR(__xludf.DUMMYFUNCTION("GOOGLETRANSLATE(A247, ""en"", ""fr"")"),"Affiliation")</f>
        <v>Affiliation</v>
      </c>
      <c r="C247" s="1" t="s">
        <v>192</v>
      </c>
      <c r="D247" s="1" t="s">
        <v>16612</v>
      </c>
      <c r="G247" s="1" t="s">
        <v>3</v>
      </c>
      <c r="GD247" s="1" t="s">
        <v>193</v>
      </c>
      <c r="GE247" s="1" t="s">
        <v>190</v>
      </c>
    </row>
    <row r="248" spans="1:187" ht="11.25" customHeight="1">
      <c r="A248" s="1" t="s">
        <v>530</v>
      </c>
      <c r="B248" s="1" t="str">
        <f ca="1">IFERROR(__xludf.DUMMYFUNCTION("GOOGLETRANSLATE(A248, ""en"", ""fr"")"),"AFFINITÉ")</f>
        <v>AFFINITÉ</v>
      </c>
      <c r="C248" s="1" t="s">
        <v>192</v>
      </c>
      <c r="D248" s="1" t="s">
        <v>16612</v>
      </c>
      <c r="J248" s="1" t="s">
        <v>6</v>
      </c>
      <c r="U248" s="1" t="s">
        <v>17</v>
      </c>
      <c r="GD248" s="1" t="s">
        <v>193</v>
      </c>
      <c r="GE248" s="1" t="s">
        <v>190</v>
      </c>
    </row>
    <row r="249" spans="1:187" ht="11.25" customHeight="1">
      <c r="A249" s="1" t="s">
        <v>531</v>
      </c>
      <c r="B249" s="1" t="str">
        <f ca="1">IFERROR(__xludf.DUMMYFUNCTION("GOOGLETRANSLATE(A249, ""en"", ""fr"")"),"AFFIRMER")</f>
        <v>AFFIRMER</v>
      </c>
      <c r="C249" s="1" t="s">
        <v>185</v>
      </c>
      <c r="D249" s="1" t="s">
        <v>16612</v>
      </c>
      <c r="F249" s="1" t="s">
        <v>2</v>
      </c>
      <c r="J249" s="1" t="s">
        <v>6</v>
      </c>
      <c r="K249" s="1" t="s">
        <v>7</v>
      </c>
      <c r="BK249" s="1" t="s">
        <v>59</v>
      </c>
      <c r="DN249" s="1" t="s">
        <v>114</v>
      </c>
      <c r="FN249" s="1" t="s">
        <v>166</v>
      </c>
      <c r="GD249" s="1" t="s">
        <v>189</v>
      </c>
      <c r="GE249" s="1" t="s">
        <v>190</v>
      </c>
    </row>
    <row r="250" spans="1:187" ht="11.25" customHeight="1">
      <c r="A250" s="1" t="s">
        <v>532</v>
      </c>
      <c r="B250" s="1" t="str">
        <f ca="1">IFERROR(__xludf.DUMMYFUNCTION("GOOGLETRANSLATE(A250, ""en"", ""fr"")"),"Affirmation")</f>
        <v>Affirmation</v>
      </c>
      <c r="C250" s="1" t="s">
        <v>196</v>
      </c>
      <c r="FN250" s="1" t="s">
        <v>166</v>
      </c>
      <c r="GD250" s="1" t="s">
        <v>193</v>
      </c>
    </row>
    <row r="251" spans="1:187" ht="11.25" customHeight="1">
      <c r="A251" s="1" t="s">
        <v>533</v>
      </c>
      <c r="B251" s="1" t="str">
        <f ca="1">IFERROR(__xludf.DUMMYFUNCTION("GOOGLETRANSLATE(A251, ""en"", ""fr"")"),"AFFIRMATION")</f>
        <v>AFFIRMATION</v>
      </c>
      <c r="C251" s="1" t="s">
        <v>192</v>
      </c>
      <c r="D251" s="1" t="s">
        <v>16612</v>
      </c>
      <c r="BK251" s="1" t="s">
        <v>59</v>
      </c>
      <c r="CM251" s="1" t="s">
        <v>87</v>
      </c>
      <c r="GD251" s="1" t="s">
        <v>193</v>
      </c>
      <c r="GE251" s="1" t="s">
        <v>190</v>
      </c>
    </row>
    <row r="252" spans="1:187" ht="11.25" customHeight="1">
      <c r="A252" s="1" t="s">
        <v>534</v>
      </c>
      <c r="B252" s="1" t="str">
        <f ca="1">IFERROR(__xludf.DUMMYFUNCTION("GOOGLETRANSLATE(A252, ""en"", ""fr"")"),"AFFIRMATIVE")</f>
        <v>AFFIRMATIVE</v>
      </c>
      <c r="C252" s="1" t="s">
        <v>192</v>
      </c>
      <c r="D252" s="1" t="s">
        <v>16612</v>
      </c>
      <c r="GD252" s="1" t="s">
        <v>193</v>
      </c>
      <c r="GE252" s="1" t="s">
        <v>190</v>
      </c>
    </row>
    <row r="253" spans="1:187" ht="11.25" customHeight="1">
      <c r="A253" s="1" t="s">
        <v>535</v>
      </c>
      <c r="B253" s="1" t="str">
        <f ca="1">IFERROR(__xludf.DUMMYFUNCTION("GOOGLETRANSLATE(A253, ""en"", ""fr"")"),"AFFIXE")</f>
        <v>AFFIXE</v>
      </c>
      <c r="C253" s="1" t="s">
        <v>192</v>
      </c>
      <c r="D253" s="1" t="s">
        <v>16612</v>
      </c>
      <c r="G253" s="1" t="s">
        <v>3</v>
      </c>
      <c r="N253" s="1" t="s">
        <v>10</v>
      </c>
      <c r="CC253" s="1" t="s">
        <v>77</v>
      </c>
      <c r="DO253" s="1" t="s">
        <v>115</v>
      </c>
      <c r="GD253" s="1" t="s">
        <v>189</v>
      </c>
      <c r="GE253" s="1" t="s">
        <v>190</v>
      </c>
    </row>
    <row r="254" spans="1:187" ht="11.25" customHeight="1">
      <c r="A254" s="1" t="s">
        <v>536</v>
      </c>
      <c r="B254" s="1" t="str">
        <f ca="1">IFERROR(__xludf.DUMMYFUNCTION("GOOGLETRANSLATE(A254, ""en"", ""fr"")"),"AFFLIGER")</f>
        <v>AFFLIGER</v>
      </c>
      <c r="C254" s="1" t="s">
        <v>185</v>
      </c>
      <c r="E254" s="1" t="s">
        <v>16613</v>
      </c>
      <c r="H254" s="1" t="s">
        <v>4</v>
      </c>
      <c r="I254" s="1" t="s">
        <v>5</v>
      </c>
      <c r="J254" s="1" t="s">
        <v>6</v>
      </c>
      <c r="N254" s="1" t="s">
        <v>10</v>
      </c>
      <c r="AN254" s="1" t="s">
        <v>36</v>
      </c>
      <c r="DN254" s="1" t="s">
        <v>114</v>
      </c>
      <c r="FO254" s="1" t="s">
        <v>167</v>
      </c>
      <c r="GD254" s="1" t="s">
        <v>189</v>
      </c>
      <c r="GE254" s="1" t="s">
        <v>190</v>
      </c>
    </row>
    <row r="255" spans="1:187" ht="11.25" customHeight="1">
      <c r="A255" s="1" t="s">
        <v>537</v>
      </c>
      <c r="B255" s="1" t="str">
        <f ca="1">IFERROR(__xludf.DUMMYFUNCTION("GOOGLETRANSLATE(A255, ""en"", ""fr"")"),"AFFLICTION")</f>
        <v>AFFLICTION</v>
      </c>
      <c r="C255" s="1" t="s">
        <v>185</v>
      </c>
      <c r="E255" s="1" t="s">
        <v>16613</v>
      </c>
      <c r="H255" s="1" t="s">
        <v>4</v>
      </c>
      <c r="L255" s="1" t="s">
        <v>8</v>
      </c>
      <c r="O255" s="1" t="s">
        <v>11</v>
      </c>
      <c r="V255" s="1" t="s">
        <v>18</v>
      </c>
      <c r="FO255" s="1" t="s">
        <v>167</v>
      </c>
      <c r="GD255" s="1" t="s">
        <v>193</v>
      </c>
      <c r="GE255" s="1" t="s">
        <v>190</v>
      </c>
    </row>
    <row r="256" spans="1:187" ht="11.25" customHeight="1">
      <c r="A256" s="1" t="s">
        <v>538</v>
      </c>
      <c r="B256" s="1" t="str">
        <f ca="1">IFERROR(__xludf.DUMMYFUNCTION("GOOGLETRANSLATE(A256, ""en"", ""fr"")"),"RICHESSE")</f>
        <v>RICHESSE</v>
      </c>
      <c r="C256" s="1" t="s">
        <v>185</v>
      </c>
      <c r="D256" s="1" t="s">
        <v>16612</v>
      </c>
      <c r="AA256" s="1" t="s">
        <v>23</v>
      </c>
      <c r="CR256" s="1" t="s">
        <v>92</v>
      </c>
      <c r="EV256" s="1" t="s">
        <v>148</v>
      </c>
      <c r="EW256" s="1" t="s">
        <v>149</v>
      </c>
      <c r="GD256" s="1" t="s">
        <v>193</v>
      </c>
      <c r="GE256" s="1" t="s">
        <v>190</v>
      </c>
    </row>
    <row r="257" spans="1:187" ht="11.25" customHeight="1">
      <c r="A257" s="1" t="s">
        <v>539</v>
      </c>
      <c r="B257" s="1" t="str">
        <f ca="1">IFERROR(__xludf.DUMMYFUNCTION("GOOGLETRANSLATE(A257, ""en"", ""fr"")"),"AFFLUENT")</f>
        <v>AFFLUENT</v>
      </c>
      <c r="C257" s="1" t="s">
        <v>192</v>
      </c>
      <c r="D257" s="1" t="s">
        <v>16612</v>
      </c>
      <c r="AA257" s="1" t="s">
        <v>23</v>
      </c>
      <c r="CR257" s="1" t="s">
        <v>92</v>
      </c>
      <c r="DR257" s="1" t="s">
        <v>118</v>
      </c>
      <c r="GD257" s="1" t="s">
        <v>202</v>
      </c>
      <c r="GE257" s="1" t="s">
        <v>190</v>
      </c>
    </row>
    <row r="258" spans="1:187" ht="11.25" customHeight="1">
      <c r="A258" s="1" t="s">
        <v>540</v>
      </c>
      <c r="B258" s="1" t="str">
        <f ca="1">IFERROR(__xludf.DUMMYFUNCTION("GOOGLETRANSLATE(A258, ""en"", ""fr"")"),"Affaire # 1")</f>
        <v>Affaire # 1</v>
      </c>
      <c r="C258" s="1" t="s">
        <v>185</v>
      </c>
      <c r="J258" s="1" t="s">
        <v>6</v>
      </c>
      <c r="AA258" s="1" t="s">
        <v>23</v>
      </c>
      <c r="BS258" s="1" t="s">
        <v>67</v>
      </c>
      <c r="DN258" s="1" t="s">
        <v>114</v>
      </c>
      <c r="EU258" s="1" t="s">
        <v>147</v>
      </c>
      <c r="EW258" s="1" t="s">
        <v>149</v>
      </c>
      <c r="GD258" s="1" t="s">
        <v>189</v>
      </c>
      <c r="GE258" s="1" t="s">
        <v>541</v>
      </c>
    </row>
    <row r="259" spans="1:187" ht="11.25" customHeight="1">
      <c r="A259" s="1" t="s">
        <v>542</v>
      </c>
      <c r="B259" s="1" t="str">
        <f ca="1">IFERROR(__xludf.DUMMYFUNCTION("GOOGLETRANSLATE(A259, ""en"", ""fr"")"),"Affaire # 2")</f>
        <v>Affaire # 2</v>
      </c>
      <c r="C259" s="1" t="s">
        <v>185</v>
      </c>
      <c r="J259" s="1" t="s">
        <v>6</v>
      </c>
      <c r="K259" s="1" t="s">
        <v>7</v>
      </c>
      <c r="AL259" s="1" t="s">
        <v>34</v>
      </c>
      <c r="DN259" s="1" t="s">
        <v>114</v>
      </c>
      <c r="FN259" s="1" t="s">
        <v>166</v>
      </c>
      <c r="GD259" s="1" t="s">
        <v>189</v>
      </c>
      <c r="GE259" s="1" t="s">
        <v>543</v>
      </c>
    </row>
    <row r="260" spans="1:187" ht="11.25" customHeight="1">
      <c r="A260" s="1" t="s">
        <v>544</v>
      </c>
      <c r="B260" s="1" t="str">
        <f ca="1">IFERROR(__xludf.DUMMYFUNCTION("GOOGLETRANSLATE(A260, ""en"", ""fr"")"),"Afghanistan")</f>
        <v>Afghanistan</v>
      </c>
      <c r="C260" s="1" t="s">
        <v>196</v>
      </c>
      <c r="FU260" s="1" t="s">
        <v>173</v>
      </c>
      <c r="GD260" s="1" t="s">
        <v>545</v>
      </c>
    </row>
    <row r="261" spans="1:187" ht="11.25" customHeight="1">
      <c r="A261" s="1" t="s">
        <v>546</v>
      </c>
      <c r="B261" s="1" t="str">
        <f ca="1">IFERROR(__xludf.DUMMYFUNCTION("GOOGLETRANSLATE(A261, ""en"", ""fr"")"),"À FLOT")</f>
        <v>À FLOT</v>
      </c>
      <c r="C261" s="1" t="s">
        <v>192</v>
      </c>
      <c r="D261" s="1" t="s">
        <v>16612</v>
      </c>
      <c r="J261" s="1" t="s">
        <v>6</v>
      </c>
      <c r="AA261" s="1" t="s">
        <v>23</v>
      </c>
      <c r="DR261" s="1" t="s">
        <v>118</v>
      </c>
      <c r="GD261" s="1" t="s">
        <v>202</v>
      </c>
      <c r="GE261" s="1" t="s">
        <v>190</v>
      </c>
    </row>
    <row r="262" spans="1:187" ht="11.25" customHeight="1">
      <c r="A262" s="1" t="s">
        <v>547</v>
      </c>
      <c r="B262" s="1" t="str">
        <f ca="1">IFERROR(__xludf.DUMMYFUNCTION("GOOGLETRANSLATE(A262, ""en"", ""fr"")"),"Peur # 1")</f>
        <v>Peur # 1</v>
      </c>
      <c r="C262" s="1" t="s">
        <v>185</v>
      </c>
      <c r="M262" s="1" t="s">
        <v>9</v>
      </c>
      <c r="O262" s="1" t="s">
        <v>11</v>
      </c>
      <c r="Q262" s="1" t="s">
        <v>13</v>
      </c>
      <c r="T262" s="1" t="s">
        <v>16</v>
      </c>
      <c r="FA262" s="1" t="s">
        <v>153</v>
      </c>
      <c r="FC262" s="1" t="s">
        <v>155</v>
      </c>
      <c r="GD262" s="1" t="s">
        <v>421</v>
      </c>
      <c r="GE262" s="1" t="s">
        <v>548</v>
      </c>
    </row>
    <row r="263" spans="1:187" ht="11.25" customHeight="1">
      <c r="A263" s="1" t="s">
        <v>549</v>
      </c>
      <c r="B263" s="1" t="str">
        <f ca="1">IFERROR(__xludf.DUMMYFUNCTION("GOOGLETRANSLATE(A263, ""en"", ""fr"")"),"Peur # 2")</f>
        <v>Peur # 2</v>
      </c>
      <c r="C263" s="1" t="s">
        <v>185</v>
      </c>
      <c r="E263" s="1" t="s">
        <v>16613</v>
      </c>
      <c r="H263" s="1" t="s">
        <v>4</v>
      </c>
      <c r="L263" s="1" t="s">
        <v>8</v>
      </c>
      <c r="DL263" s="1" t="s">
        <v>112</v>
      </c>
      <c r="GA263" s="1" t="s">
        <v>179</v>
      </c>
      <c r="GD263" s="1" t="s">
        <v>236</v>
      </c>
      <c r="GE263" s="1" t="s">
        <v>550</v>
      </c>
    </row>
    <row r="264" spans="1:187" ht="11.25" customHeight="1">
      <c r="A264" s="1" t="s">
        <v>551</v>
      </c>
      <c r="B264" s="1" t="str">
        <f ca="1">IFERROR(__xludf.DUMMYFUNCTION("GOOGLETRANSLATE(A264, ""en"", ""fr"")"),"AFRIQUE")</f>
        <v>AFRIQUE</v>
      </c>
      <c r="C264" s="1" t="s">
        <v>185</v>
      </c>
      <c r="AC264" s="1" t="s">
        <v>25</v>
      </c>
      <c r="AH264" s="1" t="s">
        <v>30</v>
      </c>
      <c r="DI264" s="1" t="s">
        <v>109</v>
      </c>
      <c r="DV264" s="1" t="s">
        <v>122</v>
      </c>
      <c r="ED264" s="1" t="s">
        <v>130</v>
      </c>
      <c r="GD264" s="1" t="s">
        <v>193</v>
      </c>
      <c r="GE264" s="1" t="s">
        <v>190</v>
      </c>
    </row>
    <row r="265" spans="1:187" ht="11.25" customHeight="1">
      <c r="A265" s="1" t="s">
        <v>552</v>
      </c>
      <c r="B265" s="1" t="str">
        <f ca="1">IFERROR(__xludf.DUMMYFUNCTION("GOOGLETRANSLATE(A265, ""en"", ""fr"")"),"AFRICAIN")</f>
        <v>AFRICAIN</v>
      </c>
      <c r="C265" s="1" t="s">
        <v>185</v>
      </c>
      <c r="AC265" s="1" t="s">
        <v>25</v>
      </c>
      <c r="AH265" s="1" t="s">
        <v>30</v>
      </c>
      <c r="DI265" s="1" t="s">
        <v>109</v>
      </c>
      <c r="DV265" s="1" t="s">
        <v>122</v>
      </c>
      <c r="ED265" s="1" t="s">
        <v>130</v>
      </c>
      <c r="GD265" s="1" t="s">
        <v>193</v>
      </c>
      <c r="GE265" s="1" t="s">
        <v>190</v>
      </c>
    </row>
    <row r="266" spans="1:187" ht="11.25" customHeight="1">
      <c r="A266" s="1" t="s">
        <v>553</v>
      </c>
      <c r="B266" s="1" t="str">
        <f ca="1">IFERROR(__xludf.DUMMYFUNCTION("GOOGLETRANSLATE(A266, ""en"", ""fr"")"),"Après n ° 1")</f>
        <v>Après n ° 1</v>
      </c>
      <c r="C266" s="1" t="s">
        <v>185</v>
      </c>
      <c r="CY266" s="1" t="s">
        <v>99</v>
      </c>
      <c r="GB266" s="1" t="s">
        <v>180</v>
      </c>
      <c r="GD266" s="1" t="s">
        <v>554</v>
      </c>
      <c r="GE266" s="1" t="s">
        <v>555</v>
      </c>
    </row>
    <row r="267" spans="1:187" ht="11.25" customHeight="1">
      <c r="A267" s="1" t="s">
        <v>556</v>
      </c>
      <c r="B267" s="1" t="str">
        <f ca="1">IFERROR(__xludf.DUMMYFUNCTION("GOOGLETRANSLATE(A267, ""en"", ""fr"")"),"Après # 2")</f>
        <v>Après # 2</v>
      </c>
      <c r="C267" s="1" t="s">
        <v>185</v>
      </c>
      <c r="W267" s="1" t="s">
        <v>19</v>
      </c>
      <c r="FY267" s="1" t="s">
        <v>177</v>
      </c>
      <c r="GD267" s="1" t="s">
        <v>236</v>
      </c>
      <c r="GE267" s="1" t="s">
        <v>557</v>
      </c>
    </row>
    <row r="268" spans="1:187" ht="11.25" customHeight="1">
      <c r="A268" s="1" t="s">
        <v>558</v>
      </c>
      <c r="B268" s="1" t="str">
        <f ca="1">IFERROR(__xludf.DUMMYFUNCTION("GOOGLETRANSLATE(A268, ""en"", ""fr"")"),"Après # 3")</f>
        <v>Après # 3</v>
      </c>
      <c r="C268" s="1" t="s">
        <v>185</v>
      </c>
      <c r="GD268" s="1" t="s">
        <v>225</v>
      </c>
      <c r="GE268" s="1" t="s">
        <v>559</v>
      </c>
    </row>
    <row r="269" spans="1:187" ht="11.25" customHeight="1">
      <c r="A269" s="1" t="s">
        <v>560</v>
      </c>
      <c r="B269" s="1" t="str">
        <f ca="1">IFERROR(__xludf.DUMMYFUNCTION("GOOGLETRANSLATE(A269, ""en"", ""fr"")"),"APRÈS-MIDI")</f>
        <v>APRÈS-MIDI</v>
      </c>
      <c r="C269" s="1" t="s">
        <v>185</v>
      </c>
      <c r="CQ269" s="1" t="s">
        <v>91</v>
      </c>
      <c r="CY269" s="1" t="s">
        <v>99</v>
      </c>
      <c r="CZ269" s="1" t="s">
        <v>100</v>
      </c>
      <c r="GB269" s="1" t="s">
        <v>180</v>
      </c>
      <c r="GD269" s="1" t="s">
        <v>193</v>
      </c>
      <c r="GE269" s="1" t="s">
        <v>561</v>
      </c>
    </row>
    <row r="270" spans="1:187" ht="11.25" customHeight="1">
      <c r="A270" s="1" t="s">
        <v>562</v>
      </c>
      <c r="B270" s="1" t="str">
        <f ca="1">IFERROR(__xludf.DUMMYFUNCTION("GOOGLETRANSLATE(A270, ""en"", ""fr"")"),"APRÈS")</f>
        <v>APRÈS</v>
      </c>
      <c r="C270" s="1" t="s">
        <v>185</v>
      </c>
      <c r="CY270" s="1" t="s">
        <v>99</v>
      </c>
      <c r="GB270" s="1" t="s">
        <v>180</v>
      </c>
      <c r="GD270" s="1" t="s">
        <v>563</v>
      </c>
      <c r="GE270" s="1" t="s">
        <v>564</v>
      </c>
    </row>
    <row r="271" spans="1:187" ht="11.25" customHeight="1">
      <c r="A271" s="1" t="s">
        <v>565</v>
      </c>
      <c r="B271" s="1" t="str">
        <f ca="1">IFERROR(__xludf.DUMMYFUNCTION("GOOGLETRANSLATE(A271, ""en"", ""fr"")"),"Encore une fois # 1")</f>
        <v>Encore une fois # 1</v>
      </c>
      <c r="C271" s="1" t="s">
        <v>185</v>
      </c>
      <c r="CW271" s="1" t="s">
        <v>97</v>
      </c>
      <c r="GB271" s="1" t="s">
        <v>180</v>
      </c>
      <c r="GD271" s="1" t="s">
        <v>236</v>
      </c>
      <c r="GE271" s="1" t="s">
        <v>566</v>
      </c>
    </row>
    <row r="272" spans="1:187" ht="11.25" customHeight="1">
      <c r="A272" s="1" t="s">
        <v>567</v>
      </c>
      <c r="B272" s="1" t="str">
        <f ca="1">IFERROR(__xludf.DUMMYFUNCTION("GOOGLETRANSLATE(A272, ""en"", ""fr"")"),"Encore une fois # 2")</f>
        <v>Encore une fois # 2</v>
      </c>
      <c r="C272" s="1" t="s">
        <v>185</v>
      </c>
      <c r="W272" s="1" t="s">
        <v>19</v>
      </c>
      <c r="CW272" s="1" t="s">
        <v>97</v>
      </c>
      <c r="GB272" s="1" t="s">
        <v>180</v>
      </c>
      <c r="GD272" s="1" t="s">
        <v>236</v>
      </c>
      <c r="GE272" s="1" t="s">
        <v>568</v>
      </c>
    </row>
    <row r="273" spans="1:187" ht="11.25" customHeight="1">
      <c r="A273" s="1" t="s">
        <v>569</v>
      </c>
      <c r="B273" s="1" t="str">
        <f ca="1">IFERROR(__xludf.DUMMYFUNCTION("GOOGLETRANSLATE(A273, ""en"", ""fr"")"),"Encore une fois # 3")</f>
        <v>Encore une fois # 3</v>
      </c>
      <c r="C273" s="1" t="s">
        <v>185</v>
      </c>
      <c r="GD273" s="1" t="s">
        <v>225</v>
      </c>
      <c r="GE273" s="1" t="s">
        <v>570</v>
      </c>
    </row>
    <row r="274" spans="1:187" ht="11.25" customHeight="1">
      <c r="A274" s="1" t="s">
        <v>571</v>
      </c>
      <c r="B274" s="1" t="str">
        <f ca="1">IFERROR(__xludf.DUMMYFUNCTION("GOOGLETRANSLATE(A274, ""en"", ""fr"")"),"CONTRE")</f>
        <v>CONTRE</v>
      </c>
      <c r="C274" s="1" t="s">
        <v>185</v>
      </c>
      <c r="E274" s="1" t="s">
        <v>16613</v>
      </c>
      <c r="H274" s="1" t="s">
        <v>4</v>
      </c>
      <c r="FW274" s="1" t="s">
        <v>175</v>
      </c>
      <c r="GD274" s="1" t="s">
        <v>215</v>
      </c>
      <c r="GE274" s="1" t="s">
        <v>572</v>
      </c>
    </row>
    <row r="275" spans="1:187" ht="11.25" customHeight="1">
      <c r="A275" s="1" t="s">
        <v>573</v>
      </c>
      <c r="B275" s="1" t="str">
        <f ca="1">IFERROR(__xludf.DUMMYFUNCTION("GOOGLETRANSLATE(A275, ""en"", ""fr"")"),"Âge n ° 1")</f>
        <v>Âge n ° 1</v>
      </c>
      <c r="C275" s="1" t="s">
        <v>185</v>
      </c>
      <c r="CQ275" s="1" t="s">
        <v>91</v>
      </c>
      <c r="CY275" s="1" t="s">
        <v>99</v>
      </c>
      <c r="CZ275" s="1" t="s">
        <v>100</v>
      </c>
      <c r="GB275" s="1" t="s">
        <v>180</v>
      </c>
      <c r="GD275" s="1" t="s">
        <v>193</v>
      </c>
      <c r="GE275" s="1" t="s">
        <v>574</v>
      </c>
    </row>
    <row r="276" spans="1:187" ht="11.25" customHeight="1">
      <c r="A276" s="1" t="s">
        <v>575</v>
      </c>
      <c r="B276" s="1" t="str">
        <f ca="1">IFERROR(__xludf.DUMMYFUNCTION("GOOGLETRANSLATE(A276, ""en"", ""fr"")"),"Âge # 2")</f>
        <v>Âge # 2</v>
      </c>
      <c r="C276" s="1" t="s">
        <v>185</v>
      </c>
      <c r="AJ276" s="1" t="s">
        <v>32</v>
      </c>
      <c r="AT276" s="1" t="s">
        <v>42</v>
      </c>
      <c r="EM276" s="1" t="s">
        <v>139</v>
      </c>
      <c r="EN276" s="1" t="s">
        <v>140</v>
      </c>
      <c r="GD276" s="1" t="s">
        <v>576</v>
      </c>
      <c r="GE276" s="1" t="s">
        <v>577</v>
      </c>
    </row>
    <row r="277" spans="1:187" ht="11.25" customHeight="1">
      <c r="A277" s="1" t="s">
        <v>578</v>
      </c>
      <c r="B277" s="1" t="str">
        <f ca="1">IFERROR(__xludf.DUMMYFUNCTION("GOOGLETRANSLATE(A277, ""en"", ""fr"")"),"Âge # 3")</f>
        <v>Âge # 3</v>
      </c>
      <c r="C277" s="1" t="s">
        <v>185</v>
      </c>
      <c r="BU277" s="1" t="s">
        <v>69</v>
      </c>
      <c r="DO277" s="1" t="s">
        <v>115</v>
      </c>
      <c r="FR277" s="1" t="s">
        <v>170</v>
      </c>
      <c r="GD277" s="1" t="s">
        <v>189</v>
      </c>
      <c r="GE277" s="1" t="s">
        <v>579</v>
      </c>
    </row>
    <row r="278" spans="1:187" ht="11.25" customHeight="1">
      <c r="A278" s="1" t="s">
        <v>580</v>
      </c>
      <c r="B278" s="1" t="str">
        <f ca="1">IFERROR(__xludf.DUMMYFUNCTION("GOOGLETRANSLATE(A278, ""en"", ""fr"")"),"Âge # 4")</f>
        <v>Âge # 4</v>
      </c>
      <c r="C278" s="1" t="s">
        <v>185</v>
      </c>
      <c r="CY278" s="1" t="s">
        <v>99</v>
      </c>
      <c r="GB278" s="1" t="s">
        <v>180</v>
      </c>
      <c r="GD278" s="1" t="s">
        <v>193</v>
      </c>
      <c r="GE278" s="1" t="s">
        <v>581</v>
      </c>
    </row>
    <row r="279" spans="1:187" ht="11.25" customHeight="1">
      <c r="A279" s="1" t="s">
        <v>582</v>
      </c>
      <c r="B279" s="1" t="str">
        <f ca="1">IFERROR(__xludf.DUMMYFUNCTION("GOOGLETRANSLATE(A279, ""en"", ""fr"")"),"AGENCE")</f>
        <v>AGENCE</v>
      </c>
      <c r="C279" s="1" t="s">
        <v>185</v>
      </c>
      <c r="K279" s="1" t="s">
        <v>7</v>
      </c>
      <c r="AA279" s="1" t="s">
        <v>23</v>
      </c>
      <c r="AC279" s="1" t="s">
        <v>25</v>
      </c>
      <c r="AH279" s="1" t="s">
        <v>30</v>
      </c>
      <c r="AK279" s="1" t="s">
        <v>33</v>
      </c>
      <c r="AT279" s="1" t="s">
        <v>42</v>
      </c>
      <c r="DY279" s="1" t="s">
        <v>125</v>
      </c>
      <c r="ED279" s="1" t="s">
        <v>130</v>
      </c>
      <c r="GD279" s="1" t="s">
        <v>193</v>
      </c>
      <c r="GE279" s="1" t="s">
        <v>583</v>
      </c>
    </row>
    <row r="280" spans="1:187" ht="11.25" customHeight="1">
      <c r="A280" s="1" t="s">
        <v>584</v>
      </c>
      <c r="B280" s="1" t="str">
        <f ca="1">IFERROR(__xludf.DUMMYFUNCTION("GOOGLETRANSLATE(A280, ""en"", ""fr"")"),"AGENT")</f>
        <v>AGENT</v>
      </c>
      <c r="C280" s="1" t="s">
        <v>185</v>
      </c>
      <c r="AE280" s="1" t="s">
        <v>27</v>
      </c>
      <c r="AJ280" s="1" t="s">
        <v>32</v>
      </c>
      <c r="AT280" s="1" t="s">
        <v>42</v>
      </c>
      <c r="DZ280" s="1" t="s">
        <v>126</v>
      </c>
      <c r="ED280" s="1" t="s">
        <v>130</v>
      </c>
      <c r="GD280" s="1" t="s">
        <v>193</v>
      </c>
      <c r="GE280" s="1" t="s">
        <v>190</v>
      </c>
    </row>
    <row r="281" spans="1:187" ht="11.25" customHeight="1">
      <c r="A281" s="1" t="s">
        <v>585</v>
      </c>
      <c r="B281" s="1" t="str">
        <f ca="1">IFERROR(__xludf.DUMMYFUNCTION("GOOGLETRANSLATE(A281, ""en"", ""fr"")"),"AGGRAVER")</f>
        <v>AGGRAVER</v>
      </c>
      <c r="C281" s="1" t="s">
        <v>185</v>
      </c>
      <c r="E281" s="1" t="s">
        <v>16613</v>
      </c>
      <c r="H281" s="1" t="s">
        <v>4</v>
      </c>
      <c r="I281" s="1" t="s">
        <v>5</v>
      </c>
      <c r="J281" s="1" t="s">
        <v>6</v>
      </c>
      <c r="N281" s="1" t="s">
        <v>10</v>
      </c>
      <c r="AN281" s="1" t="s">
        <v>36</v>
      </c>
      <c r="DN281" s="1" t="s">
        <v>114</v>
      </c>
      <c r="DW281" s="1" t="s">
        <v>123</v>
      </c>
      <c r="ED281" s="1" t="s">
        <v>130</v>
      </c>
      <c r="GD281" s="1" t="s">
        <v>189</v>
      </c>
      <c r="GE281" s="1" t="s">
        <v>190</v>
      </c>
    </row>
    <row r="282" spans="1:187" ht="11.25" customHeight="1">
      <c r="A282" s="1" t="s">
        <v>586</v>
      </c>
      <c r="B282" s="1" t="str">
        <f ca="1">IFERROR(__xludf.DUMMYFUNCTION("GOOGLETRANSLATE(A282, ""en"", ""fr"")"),"AGGRAVATION")</f>
        <v>AGGRAVATION</v>
      </c>
      <c r="C282" s="1" t="s">
        <v>185</v>
      </c>
      <c r="E282" s="1" t="s">
        <v>16613</v>
      </c>
      <c r="H282" s="1" t="s">
        <v>4</v>
      </c>
      <c r="I282" s="1" t="s">
        <v>5</v>
      </c>
      <c r="J282" s="1" t="s">
        <v>6</v>
      </c>
      <c r="N282" s="1" t="s">
        <v>10</v>
      </c>
      <c r="V282" s="1" t="s">
        <v>18</v>
      </c>
      <c r="DW282" s="1" t="s">
        <v>123</v>
      </c>
      <c r="ED282" s="1" t="s">
        <v>130</v>
      </c>
      <c r="GD282" s="1" t="s">
        <v>193</v>
      </c>
      <c r="GE282" s="1" t="s">
        <v>190</v>
      </c>
    </row>
    <row r="283" spans="1:187" ht="11.25" customHeight="1">
      <c r="A283" s="1" t="s">
        <v>587</v>
      </c>
      <c r="B283" s="1" t="str">
        <f ca="1">IFERROR(__xludf.DUMMYFUNCTION("GOOGLETRANSLATE(A283, ""en"", ""fr"")"),"AGRÉGAT")</f>
        <v>AGRÉGAT</v>
      </c>
      <c r="C283" s="1" t="s">
        <v>192</v>
      </c>
      <c r="D283" s="1" t="s">
        <v>16612</v>
      </c>
      <c r="CS283" s="1" t="s">
        <v>93</v>
      </c>
      <c r="GD283" s="1" t="s">
        <v>193</v>
      </c>
      <c r="GE283" s="1" t="s">
        <v>190</v>
      </c>
    </row>
    <row r="284" spans="1:187" ht="11.25" customHeight="1">
      <c r="A284" s="1" t="s">
        <v>588</v>
      </c>
      <c r="B284" s="1" t="str">
        <f ca="1">IFERROR(__xludf.DUMMYFUNCTION("GOOGLETRANSLATE(A284, ""en"", ""fr"")"),"AGRÉGATION")</f>
        <v>AGRÉGATION</v>
      </c>
      <c r="C284" s="1" t="s">
        <v>192</v>
      </c>
      <c r="D284" s="1" t="s">
        <v>16612</v>
      </c>
      <c r="CS284" s="1" t="s">
        <v>93</v>
      </c>
      <c r="GD284" s="1" t="s">
        <v>193</v>
      </c>
      <c r="GE284" s="1" t="s">
        <v>190</v>
      </c>
    </row>
    <row r="285" spans="1:187" ht="11.25" customHeight="1">
      <c r="A285" s="1" t="s">
        <v>589</v>
      </c>
      <c r="B285" s="1" t="str">
        <f ca="1">IFERROR(__xludf.DUMMYFUNCTION("GOOGLETRANSLATE(A285, ""en"", ""fr"")"),"AGRESSION")</f>
        <v>AGRESSION</v>
      </c>
      <c r="C285" s="1" t="s">
        <v>185</v>
      </c>
      <c r="E285" s="1" t="s">
        <v>16613</v>
      </c>
      <c r="H285" s="1" t="s">
        <v>4</v>
      </c>
      <c r="I285" s="1" t="s">
        <v>5</v>
      </c>
      <c r="J285" s="1" t="s">
        <v>6</v>
      </c>
      <c r="N285" s="1" t="s">
        <v>10</v>
      </c>
      <c r="V285" s="1" t="s">
        <v>18</v>
      </c>
      <c r="DW285" s="1" t="s">
        <v>123</v>
      </c>
      <c r="ED285" s="1" t="s">
        <v>130</v>
      </c>
      <c r="GD285" s="1" t="s">
        <v>193</v>
      </c>
      <c r="GE285" s="1" t="s">
        <v>190</v>
      </c>
    </row>
    <row r="286" spans="1:187" ht="11.25" customHeight="1">
      <c r="A286" s="1" t="s">
        <v>590</v>
      </c>
      <c r="B286" s="1" t="str">
        <f ca="1">IFERROR(__xludf.DUMMYFUNCTION("GOOGLETRANSLATE(A286, ""en"", ""fr"")"),"AGRESSIF")</f>
        <v>AGRESSIF</v>
      </c>
      <c r="C286" s="1" t="s">
        <v>185</v>
      </c>
      <c r="E286" s="1" t="s">
        <v>16613</v>
      </c>
      <c r="H286" s="1" t="s">
        <v>4</v>
      </c>
      <c r="I286" s="1" t="s">
        <v>5</v>
      </c>
      <c r="J286" s="1" t="s">
        <v>6</v>
      </c>
      <c r="N286" s="1" t="s">
        <v>10</v>
      </c>
      <c r="T286" s="1" t="s">
        <v>16</v>
      </c>
      <c r="DW286" s="1" t="s">
        <v>123</v>
      </c>
      <c r="ED286" s="1" t="s">
        <v>130</v>
      </c>
      <c r="GD286" s="1" t="s">
        <v>421</v>
      </c>
      <c r="GE286" s="1" t="s">
        <v>591</v>
      </c>
    </row>
    <row r="287" spans="1:187" ht="11.25" customHeight="1">
      <c r="A287" s="1" t="s">
        <v>592</v>
      </c>
      <c r="B287" s="1" t="str">
        <f ca="1">IFERROR(__xludf.DUMMYFUNCTION("GOOGLETRANSLATE(A287, ""en"", ""fr"")"),"AGRESSIVITÉ")</f>
        <v>AGRESSIVITÉ</v>
      </c>
      <c r="C287" s="1" t="s">
        <v>185</v>
      </c>
      <c r="E287" s="1" t="s">
        <v>16613</v>
      </c>
      <c r="H287" s="1" t="s">
        <v>4</v>
      </c>
      <c r="I287" s="1" t="s">
        <v>5</v>
      </c>
      <c r="J287" s="1" t="s">
        <v>6</v>
      </c>
      <c r="N287" s="1" t="s">
        <v>10</v>
      </c>
      <c r="V287" s="1" t="s">
        <v>18</v>
      </c>
      <c r="DW287" s="1" t="s">
        <v>123</v>
      </c>
      <c r="ED287" s="1" t="s">
        <v>130</v>
      </c>
      <c r="GD287" s="1" t="s">
        <v>193</v>
      </c>
      <c r="GE287" s="1" t="s">
        <v>190</v>
      </c>
    </row>
    <row r="288" spans="1:187" ht="11.25" customHeight="1">
      <c r="A288" s="1" t="s">
        <v>593</v>
      </c>
      <c r="B288" s="1" t="str">
        <f ca="1">IFERROR(__xludf.DUMMYFUNCTION("GOOGLETRANSLATE(A288, ""en"", ""fr"")"),"AGRESSEUR")</f>
        <v>AGRESSEUR</v>
      </c>
      <c r="C288" s="1" t="s">
        <v>185</v>
      </c>
      <c r="E288" s="1" t="s">
        <v>16613</v>
      </c>
      <c r="I288" s="1" t="s">
        <v>5</v>
      </c>
      <c r="AN288" s="1" t="s">
        <v>36</v>
      </c>
      <c r="AT288" s="1" t="s">
        <v>42</v>
      </c>
      <c r="CC288" s="1" t="s">
        <v>77</v>
      </c>
      <c r="DW288" s="1" t="s">
        <v>123</v>
      </c>
      <c r="ED288" s="1" t="s">
        <v>130</v>
      </c>
      <c r="GD288" s="1" t="s">
        <v>193</v>
      </c>
      <c r="GE288" s="1" t="s">
        <v>190</v>
      </c>
    </row>
    <row r="289" spans="1:187" ht="11.25" customHeight="1">
      <c r="A289" s="1" t="s">
        <v>594</v>
      </c>
      <c r="B289" s="1" t="str">
        <f ca="1">IFERROR(__xludf.DUMMYFUNCTION("GOOGLETRANSLATE(A289, ""en"", ""fr"")"),"AFFLIGER")</f>
        <v>AFFLIGER</v>
      </c>
      <c r="C289" s="1" t="s">
        <v>192</v>
      </c>
      <c r="E289" s="1" t="s">
        <v>16613</v>
      </c>
      <c r="I289" s="1" t="s">
        <v>5</v>
      </c>
      <c r="N289" s="1" t="s">
        <v>10</v>
      </c>
      <c r="BK289" s="1" t="s">
        <v>59</v>
      </c>
      <c r="DP289" s="1" t="s">
        <v>116</v>
      </c>
      <c r="GD289" s="1" t="s">
        <v>189</v>
      </c>
      <c r="GE289" s="1" t="s">
        <v>190</v>
      </c>
    </row>
    <row r="290" spans="1:187" ht="11.25" customHeight="1">
      <c r="A290" s="1" t="s">
        <v>595</v>
      </c>
      <c r="B290" s="1" t="str">
        <f ca="1">IFERROR(__xludf.DUMMYFUNCTION("GOOGLETRANSLATE(A290, ""en"", ""fr"")"),"ATTERRÉ")</f>
        <v>ATTERRÉ</v>
      </c>
      <c r="C290" s="1" t="s">
        <v>192</v>
      </c>
      <c r="E290" s="1" t="s">
        <v>16613</v>
      </c>
      <c r="V290" s="1" t="s">
        <v>18</v>
      </c>
      <c r="W290" s="1" t="s">
        <v>19</v>
      </c>
      <c r="DQ290" s="1" t="s">
        <v>117</v>
      </c>
      <c r="GD290" s="1" t="s">
        <v>202</v>
      </c>
      <c r="GE290" s="1" t="s">
        <v>190</v>
      </c>
    </row>
    <row r="291" spans="1:187" ht="11.25" customHeight="1">
      <c r="A291" s="1" t="s">
        <v>596</v>
      </c>
      <c r="B291" s="1" t="str">
        <f ca="1">IFERROR(__xludf.DUMMYFUNCTION("GOOGLETRANSLATE(A291, ""en"", ""fr"")"),"AGILE")</f>
        <v>AGILE</v>
      </c>
      <c r="C291" s="1" t="s">
        <v>192</v>
      </c>
      <c r="D291" s="1" t="s">
        <v>16612</v>
      </c>
      <c r="J291" s="1" t="s">
        <v>6</v>
      </c>
      <c r="U291" s="1" t="s">
        <v>17</v>
      </c>
      <c r="DR291" s="1" t="s">
        <v>118</v>
      </c>
      <c r="GD291" s="1" t="s">
        <v>202</v>
      </c>
      <c r="GE291" s="1" t="s">
        <v>190</v>
      </c>
    </row>
    <row r="292" spans="1:187" ht="11.25" customHeight="1">
      <c r="A292" s="1" t="s">
        <v>597</v>
      </c>
      <c r="B292" s="1" t="str">
        <f ca="1">IFERROR(__xludf.DUMMYFUNCTION("GOOGLETRANSLATE(A292, ""en"", ""fr"")"),"AGILITÉ")</f>
        <v>AGILITÉ</v>
      </c>
      <c r="C292" s="1" t="s">
        <v>192</v>
      </c>
      <c r="D292" s="1" t="s">
        <v>16612</v>
      </c>
      <c r="J292" s="1" t="s">
        <v>6</v>
      </c>
      <c r="U292" s="1" t="s">
        <v>17</v>
      </c>
      <c r="GD292" s="1" t="s">
        <v>193</v>
      </c>
      <c r="GE292" s="1" t="s">
        <v>190</v>
      </c>
    </row>
    <row r="293" spans="1:187" ht="11.25" customHeight="1">
      <c r="A293" s="1" t="s">
        <v>598</v>
      </c>
      <c r="B293" s="1" t="str">
        <f ca="1">IFERROR(__xludf.DUMMYFUNCTION("GOOGLETRANSLATE(A293, ""en"", ""fr"")"),"AGITER")</f>
        <v>AGITER</v>
      </c>
      <c r="C293" s="1" t="s">
        <v>185</v>
      </c>
      <c r="E293" s="1" t="s">
        <v>16613</v>
      </c>
      <c r="H293" s="1" t="s">
        <v>4</v>
      </c>
      <c r="J293" s="1" t="s">
        <v>6</v>
      </c>
      <c r="N293" s="1" t="s">
        <v>10</v>
      </c>
      <c r="CC293" s="1" t="s">
        <v>77</v>
      </c>
      <c r="DN293" s="1" t="s">
        <v>114</v>
      </c>
      <c r="DW293" s="1" t="s">
        <v>123</v>
      </c>
      <c r="ED293" s="1" t="s">
        <v>130</v>
      </c>
      <c r="GD293" s="1" t="s">
        <v>189</v>
      </c>
      <c r="GE293" s="1" t="s">
        <v>190</v>
      </c>
    </row>
    <row r="294" spans="1:187" ht="11.25" customHeight="1">
      <c r="A294" s="1" t="s">
        <v>599</v>
      </c>
      <c r="B294" s="1" t="str">
        <f ca="1">IFERROR(__xludf.DUMMYFUNCTION("GOOGLETRANSLATE(A294, ""en"", ""fr"")"),"AGITATION")</f>
        <v>AGITATION</v>
      </c>
      <c r="C294" s="1" t="s">
        <v>185</v>
      </c>
      <c r="E294" s="1" t="s">
        <v>16613</v>
      </c>
      <c r="H294" s="1" t="s">
        <v>4</v>
      </c>
      <c r="J294" s="1" t="s">
        <v>6</v>
      </c>
      <c r="N294" s="1" t="s">
        <v>10</v>
      </c>
      <c r="V294" s="1" t="s">
        <v>18</v>
      </c>
      <c r="DW294" s="1" t="s">
        <v>123</v>
      </c>
      <c r="ED294" s="1" t="s">
        <v>130</v>
      </c>
      <c r="GD294" s="1" t="s">
        <v>193</v>
      </c>
      <c r="GE294" s="1" t="s">
        <v>190</v>
      </c>
    </row>
    <row r="295" spans="1:187" ht="11.25" customHeight="1">
      <c r="A295" s="1" t="s">
        <v>600</v>
      </c>
      <c r="B295" s="1" t="str">
        <f ca="1">IFERROR(__xludf.DUMMYFUNCTION("GOOGLETRANSLATE(A295, ""en"", ""fr"")"),"AGITATEUR")</f>
        <v>AGITATEUR</v>
      </c>
      <c r="C295" s="1" t="s">
        <v>192</v>
      </c>
      <c r="E295" s="1" t="s">
        <v>16613</v>
      </c>
      <c r="I295" s="1" t="s">
        <v>5</v>
      </c>
      <c r="AN295" s="1" t="s">
        <v>36</v>
      </c>
      <c r="AT295" s="1" t="s">
        <v>42</v>
      </c>
      <c r="CC295" s="1" t="s">
        <v>77</v>
      </c>
      <c r="GD295" s="1" t="s">
        <v>193</v>
      </c>
      <c r="GE295" s="1" t="s">
        <v>190</v>
      </c>
    </row>
    <row r="296" spans="1:187" ht="11.25" customHeight="1">
      <c r="A296" s="1" t="s">
        <v>601</v>
      </c>
      <c r="B296" s="1" t="str">
        <f ca="1">IFERROR(__xludf.DUMMYFUNCTION("GOOGLETRANSLATE(A296, ""en"", ""fr"")"),"IL Y A")</f>
        <v>IL Y A</v>
      </c>
      <c r="C296" s="1" t="s">
        <v>185</v>
      </c>
      <c r="CY296" s="1" t="s">
        <v>99</v>
      </c>
      <c r="GB296" s="1" t="s">
        <v>180</v>
      </c>
      <c r="GD296" s="1" t="s">
        <v>202</v>
      </c>
      <c r="GE296" s="1" t="s">
        <v>602</v>
      </c>
    </row>
    <row r="297" spans="1:187" ht="11.25" customHeight="1">
      <c r="A297" s="1" t="s">
        <v>603</v>
      </c>
      <c r="B297" s="1" t="str">
        <f ca="1">IFERROR(__xludf.DUMMYFUNCTION("GOOGLETRANSLATE(A297, ""en"", ""fr"")"),"TOURMENTER")</f>
        <v>TOURMENTER</v>
      </c>
      <c r="C297" s="1" t="s">
        <v>192</v>
      </c>
      <c r="E297" s="1" t="s">
        <v>16613</v>
      </c>
      <c r="O297" s="1" t="s">
        <v>11</v>
      </c>
      <c r="Q297" s="1" t="s">
        <v>13</v>
      </c>
      <c r="DP297" s="1" t="s">
        <v>116</v>
      </c>
      <c r="GD297" s="1" t="s">
        <v>189</v>
      </c>
      <c r="GE297" s="1" t="s">
        <v>190</v>
      </c>
    </row>
    <row r="298" spans="1:187" ht="11.25" customHeight="1">
      <c r="A298" s="1" t="s">
        <v>604</v>
      </c>
      <c r="B298" s="1" t="str">
        <f ca="1">IFERROR(__xludf.DUMMYFUNCTION("GOOGLETRANSLATE(A298, ""en"", ""fr"")"),"AGONIE")</f>
        <v>AGONIE</v>
      </c>
      <c r="C298" s="1" t="s">
        <v>185</v>
      </c>
      <c r="E298" s="1" t="s">
        <v>16613</v>
      </c>
      <c r="H298" s="1" t="s">
        <v>4</v>
      </c>
      <c r="Q298" s="1" t="s">
        <v>13</v>
      </c>
      <c r="FW298" s="1" t="s">
        <v>175</v>
      </c>
      <c r="GD298" s="1" t="s">
        <v>193</v>
      </c>
      <c r="GE298" s="1" t="s">
        <v>190</v>
      </c>
    </row>
    <row r="299" spans="1:187" ht="11.25" customHeight="1">
      <c r="A299" s="1" t="s">
        <v>605</v>
      </c>
      <c r="B299" s="1" t="str">
        <f ca="1">IFERROR(__xludf.DUMMYFUNCTION("GOOGLETRANSLATE(A299, ""en"", ""fr"")"),"AGRAIRE")</f>
        <v>AGRAIRE</v>
      </c>
      <c r="C299" s="1" t="s">
        <v>196</v>
      </c>
      <c r="GD299" s="1" t="s">
        <v>202</v>
      </c>
    </row>
    <row r="300" spans="1:187" ht="11.25" customHeight="1">
      <c r="A300" s="1" t="s">
        <v>606</v>
      </c>
      <c r="B300" s="1" t="str">
        <f ca="1">IFERROR(__xludf.DUMMYFUNCTION("GOOGLETRANSLATE(A300, ""en"", ""fr"")"),"D'accord n ​​° 1")</f>
        <v>D'accord n ​​° 1</v>
      </c>
      <c r="C300" s="1" t="s">
        <v>185</v>
      </c>
      <c r="F300" s="1" t="s">
        <v>2</v>
      </c>
      <c r="G300" s="1" t="s">
        <v>3</v>
      </c>
      <c r="DJ300" s="1" t="s">
        <v>110</v>
      </c>
      <c r="DN300" s="1" t="s">
        <v>114</v>
      </c>
      <c r="DS300" s="1" t="s">
        <v>119</v>
      </c>
      <c r="ED300" s="1" t="s">
        <v>130</v>
      </c>
      <c r="GD300" s="1" t="s">
        <v>189</v>
      </c>
      <c r="GE300" s="1" t="s">
        <v>607</v>
      </c>
    </row>
    <row r="301" spans="1:187" ht="11.25" customHeight="1">
      <c r="A301" s="1" t="s">
        <v>608</v>
      </c>
      <c r="B301" s="1" t="str">
        <f ca="1">IFERROR(__xludf.DUMMYFUNCTION("GOOGLETRANSLATE(A301, ""en"", ""fr"")"),"D'accord n ​​° 2")</f>
        <v>D'accord n ​​° 2</v>
      </c>
      <c r="C301" s="1" t="s">
        <v>185</v>
      </c>
      <c r="G301" s="1" t="s">
        <v>3</v>
      </c>
      <c r="O301" s="1" t="s">
        <v>11</v>
      </c>
      <c r="BK301" s="1" t="s">
        <v>59</v>
      </c>
      <c r="DX301" s="1" t="s">
        <v>124</v>
      </c>
      <c r="ED301" s="1" t="s">
        <v>130</v>
      </c>
      <c r="GC301" s="1" t="s">
        <v>181</v>
      </c>
      <c r="GD301" s="1" t="s">
        <v>202</v>
      </c>
      <c r="GE301" s="1" t="s">
        <v>609</v>
      </c>
    </row>
    <row r="302" spans="1:187" ht="11.25" customHeight="1">
      <c r="A302" s="1" t="s">
        <v>610</v>
      </c>
      <c r="B302" s="1" t="str">
        <f ca="1">IFERROR(__xludf.DUMMYFUNCTION("GOOGLETRANSLATE(A302, ""en"", ""fr"")"),"AGRÉABLE")</f>
        <v>AGRÉABLE</v>
      </c>
      <c r="C302" s="1" t="s">
        <v>185</v>
      </c>
      <c r="D302" s="1" t="s">
        <v>16612</v>
      </c>
      <c r="F302" s="1" t="s">
        <v>2</v>
      </c>
      <c r="BK302" s="1" t="s">
        <v>59</v>
      </c>
      <c r="CN302" s="1" t="s">
        <v>88</v>
      </c>
      <c r="DX302" s="1" t="s">
        <v>124</v>
      </c>
      <c r="ED302" s="1" t="s">
        <v>130</v>
      </c>
      <c r="GC302" s="1" t="s">
        <v>181</v>
      </c>
      <c r="GD302" s="1" t="s">
        <v>202</v>
      </c>
      <c r="GE302" s="1" t="s">
        <v>190</v>
      </c>
    </row>
    <row r="303" spans="1:187" ht="11.25" customHeight="1">
      <c r="A303" s="1" t="s">
        <v>611</v>
      </c>
      <c r="B303" s="1" t="str">
        <f ca="1">IFERROR(__xludf.DUMMYFUNCTION("GOOGLETRANSLATE(A303, ""en"", ""fr"")"),"ACCORD")</f>
        <v>ACCORD</v>
      </c>
      <c r="C303" s="1" t="s">
        <v>185</v>
      </c>
      <c r="D303" s="1" t="s">
        <v>16612</v>
      </c>
      <c r="F303" s="1" t="s">
        <v>2</v>
      </c>
      <c r="G303" s="1" t="s">
        <v>3</v>
      </c>
      <c r="J303" s="1" t="s">
        <v>6</v>
      </c>
      <c r="BK303" s="1" t="s">
        <v>59</v>
      </c>
      <c r="BL303" s="1" t="s">
        <v>60</v>
      </c>
      <c r="DX303" s="1" t="s">
        <v>124</v>
      </c>
      <c r="ED303" s="1" t="s">
        <v>130</v>
      </c>
      <c r="GC303" s="1" t="s">
        <v>181</v>
      </c>
      <c r="GD303" s="1" t="s">
        <v>193</v>
      </c>
      <c r="GE303" s="1" t="s">
        <v>612</v>
      </c>
    </row>
    <row r="304" spans="1:187" ht="11.25" customHeight="1">
      <c r="A304" s="1" t="s">
        <v>613</v>
      </c>
      <c r="B304" s="1" t="str">
        <f ca="1">IFERROR(__xludf.DUMMYFUNCTION("GOOGLETRANSLATE(A304, ""en"", ""fr"")"),"AGRICOLE")</f>
        <v>AGRICOLE</v>
      </c>
      <c r="C304" s="1" t="s">
        <v>185</v>
      </c>
      <c r="Z304" s="1" t="s">
        <v>22</v>
      </c>
      <c r="AA304" s="1" t="s">
        <v>23</v>
      </c>
      <c r="AC304" s="1" t="s">
        <v>25</v>
      </c>
      <c r="EV304" s="1" t="s">
        <v>148</v>
      </c>
      <c r="EW304" s="1" t="s">
        <v>149</v>
      </c>
      <c r="GD304" s="1" t="s">
        <v>202</v>
      </c>
      <c r="GE304" s="1" t="s">
        <v>614</v>
      </c>
    </row>
    <row r="305" spans="1:187" ht="11.25" customHeight="1">
      <c r="A305" s="1" t="s">
        <v>615</v>
      </c>
      <c r="B305" s="1" t="str">
        <f ca="1">IFERROR(__xludf.DUMMYFUNCTION("GOOGLETRANSLATE(A305, ""en"", ""fr"")"),"AGRICULTURE")</f>
        <v>AGRICULTURE</v>
      </c>
      <c r="C305" s="1" t="s">
        <v>185</v>
      </c>
      <c r="Z305" s="1" t="s">
        <v>22</v>
      </c>
      <c r="AA305" s="1" t="s">
        <v>23</v>
      </c>
      <c r="AC305" s="1" t="s">
        <v>25</v>
      </c>
      <c r="AH305" s="1" t="s">
        <v>30</v>
      </c>
      <c r="EV305" s="1" t="s">
        <v>148</v>
      </c>
      <c r="EW305" s="1" t="s">
        <v>149</v>
      </c>
      <c r="GD305" s="1" t="s">
        <v>193</v>
      </c>
      <c r="GE305" s="1" t="s">
        <v>190</v>
      </c>
    </row>
    <row r="306" spans="1:187" ht="11.25" customHeight="1">
      <c r="A306" s="1" t="s">
        <v>616</v>
      </c>
      <c r="B306" s="1" t="str">
        <f ca="1">IFERROR(__xludf.DUMMYFUNCTION("GOOGLETRANSLATE(A306, ""en"", ""fr"")"),"DEVANT")</f>
        <v>DEVANT</v>
      </c>
      <c r="C306" s="1" t="s">
        <v>185</v>
      </c>
      <c r="CY306" s="1" t="s">
        <v>99</v>
      </c>
      <c r="GB306" s="1" t="s">
        <v>180</v>
      </c>
      <c r="GD306" s="1" t="s">
        <v>236</v>
      </c>
      <c r="GE306" s="1" t="s">
        <v>617</v>
      </c>
    </row>
    <row r="307" spans="1:187" ht="11.25" customHeight="1">
      <c r="A307" s="1" t="s">
        <v>618</v>
      </c>
      <c r="B307" s="1" t="str">
        <f ca="1">IFERROR(__xludf.DUMMYFUNCTION("GOOGLETRANSLATE(A307, ""en"", ""fr"")"),"Aide n ° 1")</f>
        <v>Aide n ° 1</v>
      </c>
      <c r="C307" s="1" t="s">
        <v>185</v>
      </c>
      <c r="D307" s="1" t="s">
        <v>16612</v>
      </c>
      <c r="F307" s="1" t="s">
        <v>2</v>
      </c>
      <c r="G307" s="1" t="s">
        <v>3</v>
      </c>
      <c r="J307" s="1" t="s">
        <v>6</v>
      </c>
      <c r="N307" s="1" t="s">
        <v>10</v>
      </c>
      <c r="AN307" s="1" t="s">
        <v>36</v>
      </c>
      <c r="DN307" s="1" t="s">
        <v>114</v>
      </c>
      <c r="DS307" s="1" t="s">
        <v>119</v>
      </c>
      <c r="ED307" s="1" t="s">
        <v>130</v>
      </c>
      <c r="GD307" s="1" t="s">
        <v>189</v>
      </c>
      <c r="GE307" s="1" t="s">
        <v>619</v>
      </c>
    </row>
    <row r="308" spans="1:187" ht="11.25" customHeight="1">
      <c r="A308" s="1" t="s">
        <v>620</v>
      </c>
      <c r="B308" s="1" t="str">
        <f ca="1">IFERROR(__xludf.DUMMYFUNCTION("GOOGLETRANSLATE(A308, ""en"", ""fr"")"),"Aide n ° 2")</f>
        <v>Aide n ° 2</v>
      </c>
      <c r="C308" s="1" t="s">
        <v>185</v>
      </c>
      <c r="D308" s="1" t="s">
        <v>16612</v>
      </c>
      <c r="F308" s="1" t="s">
        <v>2</v>
      </c>
      <c r="G308" s="1" t="s">
        <v>3</v>
      </c>
      <c r="N308" s="1" t="s">
        <v>10</v>
      </c>
      <c r="U308" s="1" t="s">
        <v>17</v>
      </c>
      <c r="FQ308" s="1" t="s">
        <v>169</v>
      </c>
      <c r="GD308" s="1" t="s">
        <v>193</v>
      </c>
      <c r="GE308" s="1" t="s">
        <v>621</v>
      </c>
    </row>
    <row r="309" spans="1:187" ht="11.25" customHeight="1">
      <c r="A309" s="1" t="s">
        <v>622</v>
      </c>
      <c r="B309" s="1" t="str">
        <f ca="1">IFERROR(__xludf.DUMMYFUNCTION("GOOGLETRANSLATE(A309, ""en"", ""fr"")"),"Aide n ° 3")</f>
        <v>Aide n ° 3</v>
      </c>
      <c r="C309" s="1" t="s">
        <v>185</v>
      </c>
      <c r="GD309" s="1" t="s">
        <v>225</v>
      </c>
      <c r="GE309" s="1" t="s">
        <v>623</v>
      </c>
    </row>
    <row r="310" spans="1:187" ht="11.25" customHeight="1">
      <c r="A310" s="1" t="s">
        <v>624</v>
      </c>
      <c r="B310" s="1" t="str">
        <f ca="1">IFERROR(__xludf.DUMMYFUNCTION("GOOGLETRANSLATE(A310, ""en"", ""fr"")"),"AIDE")</f>
        <v>AIDE</v>
      </c>
      <c r="C310" s="1" t="s">
        <v>185</v>
      </c>
      <c r="AH310" s="1" t="s">
        <v>30</v>
      </c>
      <c r="AJ310" s="1" t="s">
        <v>32</v>
      </c>
      <c r="AT310" s="1" t="s">
        <v>42</v>
      </c>
      <c r="DY310" s="1" t="s">
        <v>125</v>
      </c>
      <c r="ED310" s="1" t="s">
        <v>130</v>
      </c>
      <c r="GD310" s="1" t="s">
        <v>193</v>
      </c>
      <c r="GE310" s="1" t="s">
        <v>190</v>
      </c>
    </row>
    <row r="311" spans="1:187" ht="11.25" customHeight="1">
      <c r="A311" s="1" t="s">
        <v>625</v>
      </c>
      <c r="B311" s="1" t="str">
        <f ca="1">IFERROR(__xludf.DUMMYFUNCTION("GOOGLETRANSLATE(A311, ""en"", ""fr"")"),"Mord")</f>
        <v>Mord</v>
      </c>
      <c r="C311" s="1" t="s">
        <v>192</v>
      </c>
      <c r="E311" s="1" t="s">
        <v>16613</v>
      </c>
      <c r="O311" s="1" t="s">
        <v>11</v>
      </c>
      <c r="Q311" s="1" t="s">
        <v>13</v>
      </c>
      <c r="DP311" s="1" t="s">
        <v>116</v>
      </c>
      <c r="GD311" s="1" t="s">
        <v>189</v>
      </c>
      <c r="GE311" s="1" t="s">
        <v>190</v>
      </c>
    </row>
    <row r="312" spans="1:187" ht="11.25" customHeight="1">
      <c r="A312" s="1" t="s">
        <v>626</v>
      </c>
      <c r="B312" s="1" t="str">
        <f ca="1">IFERROR(__xludf.DUMMYFUNCTION("GOOGLETRANSLATE(A312, ""en"", ""fr"")"),"MALADIE")</f>
        <v>MALADIE</v>
      </c>
      <c r="C312" s="1" t="s">
        <v>192</v>
      </c>
      <c r="E312" s="1" t="s">
        <v>16613</v>
      </c>
      <c r="Q312" s="1" t="s">
        <v>13</v>
      </c>
      <c r="GD312" s="1" t="s">
        <v>193</v>
      </c>
      <c r="GE312" s="1" t="s">
        <v>190</v>
      </c>
    </row>
    <row r="313" spans="1:187" ht="11.25" customHeight="1">
      <c r="A313" s="1" t="s">
        <v>627</v>
      </c>
      <c r="B313" s="1" t="str">
        <f ca="1">IFERROR(__xludf.DUMMYFUNCTION("GOOGLETRANSLATE(A313, ""en"", ""fr"")"),"Objectif n ° 1")</f>
        <v>Objectif n ° 1</v>
      </c>
      <c r="C313" s="1" t="s">
        <v>185</v>
      </c>
      <c r="N313" s="1" t="s">
        <v>10</v>
      </c>
      <c r="BO313" s="1" t="s">
        <v>63</v>
      </c>
      <c r="CP313" s="1" t="s">
        <v>90</v>
      </c>
      <c r="CQ313" s="1" t="s">
        <v>91</v>
      </c>
      <c r="FR313" s="1" t="s">
        <v>170</v>
      </c>
      <c r="GD313" s="1" t="s">
        <v>193</v>
      </c>
      <c r="GE313" s="1" t="s">
        <v>628</v>
      </c>
    </row>
    <row r="314" spans="1:187" ht="11.25" customHeight="1">
      <c r="A314" s="1" t="s">
        <v>629</v>
      </c>
      <c r="B314" s="1" t="str">
        <f ca="1">IFERROR(__xludf.DUMMYFUNCTION("GOOGLETRANSLATE(A314, ""en"", ""fr"")"),"Objectif n ° 2")</f>
        <v>Objectif n ° 2</v>
      </c>
      <c r="C314" s="1" t="s">
        <v>185</v>
      </c>
      <c r="N314" s="1" t="s">
        <v>10</v>
      </c>
      <c r="BP314" s="1" t="s">
        <v>64</v>
      </c>
      <c r="DN314" s="1" t="s">
        <v>114</v>
      </c>
      <c r="FP314" s="1" t="s">
        <v>168</v>
      </c>
      <c r="GD314" s="1" t="s">
        <v>189</v>
      </c>
      <c r="GE314" s="1" t="s">
        <v>630</v>
      </c>
    </row>
    <row r="315" spans="1:187" ht="11.25" customHeight="1">
      <c r="A315" s="1" t="s">
        <v>631</v>
      </c>
      <c r="B315" s="1" t="str">
        <f ca="1">IFERROR(__xludf.DUMMYFUNCTION("GOOGLETRANSLATE(A315, ""en"", ""fr"")"),"SANS BUT")</f>
        <v>SANS BUT</v>
      </c>
      <c r="C315" s="1" t="s">
        <v>185</v>
      </c>
      <c r="E315" s="1" t="s">
        <v>16613</v>
      </c>
      <c r="M315" s="1" t="s">
        <v>9</v>
      </c>
      <c r="O315" s="1" t="s">
        <v>11</v>
      </c>
      <c r="BT315" s="1" t="s">
        <v>68</v>
      </c>
      <c r="DR315" s="1" t="s">
        <v>118</v>
      </c>
      <c r="FV315" s="1" t="s">
        <v>174</v>
      </c>
      <c r="GD315" s="1" t="s">
        <v>202</v>
      </c>
      <c r="GE315" s="1" t="s">
        <v>190</v>
      </c>
    </row>
    <row r="316" spans="1:187" ht="11.25" customHeight="1">
      <c r="A316" s="1" t="s">
        <v>632</v>
      </c>
      <c r="B316" s="1" t="str">
        <f ca="1">IFERROR(__xludf.DUMMYFUNCTION("GOOGLETRANSLATE(A316, ""en"", ""fr"")"),"Ce n'est pas")</f>
        <v>Ce n'est pas</v>
      </c>
      <c r="C316" s="1" t="s">
        <v>185</v>
      </c>
      <c r="DL316" s="1" t="s">
        <v>112</v>
      </c>
      <c r="DP316" s="1" t="s">
        <v>116</v>
      </c>
      <c r="GD316" s="1" t="s">
        <v>633</v>
      </c>
      <c r="GE316" s="1" t="s">
        <v>190</v>
      </c>
    </row>
    <row r="317" spans="1:187" ht="11.25" customHeight="1">
      <c r="A317" s="1" t="s">
        <v>634</v>
      </c>
      <c r="B317" s="1" t="str">
        <f ca="1">IFERROR(__xludf.DUMMYFUNCTION("GOOGLETRANSLATE(A317, ""en"", ""fr"")"),"Air # 1")</f>
        <v>Air # 1</v>
      </c>
      <c r="C317" s="1" t="s">
        <v>185</v>
      </c>
      <c r="AV317" s="1" t="s">
        <v>44</v>
      </c>
      <c r="BB317" s="1" t="s">
        <v>50</v>
      </c>
      <c r="GD317" s="1" t="s">
        <v>193</v>
      </c>
      <c r="GE317" s="1" t="s">
        <v>635</v>
      </c>
    </row>
    <row r="318" spans="1:187" ht="11.25" customHeight="1">
      <c r="A318" s="1" t="s">
        <v>636</v>
      </c>
      <c r="B318" s="1" t="str">
        <f ca="1">IFERROR(__xludf.DUMMYFUNCTION("GOOGLETRANSLATE(A318, ""en"", ""fr"")"),"Air # 2")</f>
        <v>Air # 2</v>
      </c>
      <c r="C318" s="1" t="s">
        <v>185</v>
      </c>
      <c r="AF318" s="1" t="s">
        <v>28</v>
      </c>
      <c r="AH318" s="1" t="s">
        <v>30</v>
      </c>
      <c r="AK318" s="1" t="s">
        <v>33</v>
      </c>
      <c r="AT318" s="1" t="s">
        <v>42</v>
      </c>
      <c r="DY318" s="1" t="s">
        <v>125</v>
      </c>
      <c r="ED318" s="1" t="s">
        <v>130</v>
      </c>
      <c r="GD318" s="1" t="s">
        <v>193</v>
      </c>
      <c r="GE318" s="1" t="s">
        <v>637</v>
      </c>
    </row>
    <row r="319" spans="1:187" ht="11.25" customHeight="1">
      <c r="A319" s="1" t="s">
        <v>638</v>
      </c>
      <c r="B319" s="1" t="str">
        <f ca="1">IFERROR(__xludf.DUMMYFUNCTION("GOOGLETRANSLATE(A319, ""en"", ""fr"")"),"Air # 3")</f>
        <v>Air # 3</v>
      </c>
      <c r="C319" s="1" t="s">
        <v>185</v>
      </c>
      <c r="BK319" s="1" t="s">
        <v>59</v>
      </c>
      <c r="BL319" s="1" t="s">
        <v>60</v>
      </c>
      <c r="EL319" s="1" t="s">
        <v>138</v>
      </c>
      <c r="EN319" s="1" t="s">
        <v>140</v>
      </c>
      <c r="GC319" s="1" t="s">
        <v>181</v>
      </c>
      <c r="GD319" s="1" t="s">
        <v>193</v>
      </c>
      <c r="GE319" s="1" t="s">
        <v>639</v>
      </c>
    </row>
    <row r="320" spans="1:187" ht="11.25" customHeight="1">
      <c r="A320" s="1" t="s">
        <v>640</v>
      </c>
      <c r="B320" s="1" t="str">
        <f ca="1">IFERROR(__xludf.DUMMYFUNCTION("GOOGLETRANSLATE(A320, ""en"", ""fr"")"),"Air # 4")</f>
        <v>Air # 4</v>
      </c>
      <c r="C320" s="1" t="s">
        <v>185</v>
      </c>
      <c r="J320" s="1" t="s">
        <v>6</v>
      </c>
      <c r="BK320" s="1" t="s">
        <v>59</v>
      </c>
      <c r="DN320" s="1" t="s">
        <v>114</v>
      </c>
      <c r="FD320" s="1" t="s">
        <v>156</v>
      </c>
      <c r="FI320" s="1" t="s">
        <v>161</v>
      </c>
      <c r="GD320" s="1" t="s">
        <v>189</v>
      </c>
      <c r="GE320" s="1" t="s">
        <v>641</v>
      </c>
    </row>
    <row r="321" spans="1:187" ht="11.25" customHeight="1">
      <c r="A321" s="1" t="s">
        <v>642</v>
      </c>
      <c r="B321" s="1" t="str">
        <f ca="1">IFERROR(__xludf.DUMMYFUNCTION("GOOGLETRANSLATE(A321, ""en"", ""fr"")"),"Air # 5")</f>
        <v>Air # 5</v>
      </c>
      <c r="C321" s="1" t="s">
        <v>185</v>
      </c>
      <c r="BC321" s="1" t="s">
        <v>51</v>
      </c>
      <c r="BD321" s="1" t="s">
        <v>52</v>
      </c>
      <c r="EZ321" s="1" t="s">
        <v>152</v>
      </c>
      <c r="FC321" s="1" t="s">
        <v>155</v>
      </c>
      <c r="GD321" s="1" t="s">
        <v>193</v>
      </c>
      <c r="GE321" s="1" t="s">
        <v>643</v>
      </c>
    </row>
    <row r="322" spans="1:187" ht="11.25" customHeight="1">
      <c r="A322" s="1" t="s">
        <v>644</v>
      </c>
      <c r="B322" s="1" t="str">
        <f ca="1">IFERROR(__xludf.DUMMYFUNCTION("GOOGLETRANSLATE(A322, ""en"", ""fr"")"),"Air # 6")</f>
        <v>Air # 6</v>
      </c>
      <c r="C322" s="1" t="s">
        <v>185</v>
      </c>
      <c r="BK322" s="1" t="s">
        <v>59</v>
      </c>
      <c r="BL322" s="1" t="s">
        <v>60</v>
      </c>
      <c r="GC322" s="1" t="s">
        <v>181</v>
      </c>
      <c r="GD322" s="1" t="s">
        <v>193</v>
      </c>
      <c r="GE322" s="1" t="s">
        <v>645</v>
      </c>
    </row>
    <row r="323" spans="1:187" ht="11.25" customHeight="1">
      <c r="A323" s="1" t="s">
        <v>646</v>
      </c>
      <c r="B323" s="1" t="str">
        <f ca="1">IFERROR(__xludf.DUMMYFUNCTION("GOOGLETRANSLATE(A323, ""en"", ""fr"")"),"Air # 7")</f>
        <v>Air # 7</v>
      </c>
      <c r="C323" s="1" t="s">
        <v>185</v>
      </c>
      <c r="GD323" s="1" t="s">
        <v>225</v>
      </c>
      <c r="GE323" s="1" t="s">
        <v>647</v>
      </c>
    </row>
    <row r="324" spans="1:187" ht="11.25" customHeight="1">
      <c r="A324" s="1" t="s">
        <v>648</v>
      </c>
      <c r="B324" s="1" t="str">
        <f ca="1">IFERROR(__xludf.DUMMYFUNCTION("GOOGLETRANSLATE(A324, ""en"", ""fr"")"),"AVION")</f>
        <v>AVION</v>
      </c>
      <c r="C324" s="1" t="s">
        <v>185</v>
      </c>
      <c r="BC324" s="1" t="s">
        <v>51</v>
      </c>
      <c r="BF324" s="1" t="s">
        <v>54</v>
      </c>
      <c r="GD324" s="1" t="s">
        <v>193</v>
      </c>
      <c r="GE324" s="1" t="s">
        <v>190</v>
      </c>
    </row>
    <row r="325" spans="1:187" ht="11.25" customHeight="1">
      <c r="A325" s="1" t="s">
        <v>649</v>
      </c>
      <c r="B325" s="1" t="str">
        <f ca="1">IFERROR(__xludf.DUMMYFUNCTION("GOOGLETRANSLATE(A325, ""en"", ""fr"")"),"AVION")</f>
        <v>AVION</v>
      </c>
      <c r="C325" s="1" t="s">
        <v>185</v>
      </c>
      <c r="BC325" s="1" t="s">
        <v>51</v>
      </c>
      <c r="BF325" s="1" t="s">
        <v>54</v>
      </c>
      <c r="GD325" s="1" t="s">
        <v>193</v>
      </c>
      <c r="GE325" s="1" t="s">
        <v>190</v>
      </c>
    </row>
    <row r="326" spans="1:187" ht="11.25" customHeight="1">
      <c r="A326" s="1" t="s">
        <v>650</v>
      </c>
      <c r="B326" s="1" t="str">
        <f ca="1">IFERROR(__xludf.DUMMYFUNCTION("GOOGLETRANSLATE(A326, ""en"", ""fr"")"),"AÉROPORT")</f>
        <v>AÉROPORT</v>
      </c>
      <c r="C326" s="1" t="s">
        <v>185</v>
      </c>
      <c r="AV326" s="1" t="s">
        <v>44</v>
      </c>
      <c r="AW326" s="1" t="s">
        <v>45</v>
      </c>
      <c r="GD326" s="1" t="s">
        <v>193</v>
      </c>
      <c r="GE326" s="1" t="s">
        <v>190</v>
      </c>
    </row>
    <row r="327" spans="1:187" ht="11.25" customHeight="1">
      <c r="A327" s="1" t="s">
        <v>651</v>
      </c>
      <c r="B327" s="1" t="str">
        <f ca="1">IFERROR(__xludf.DUMMYFUNCTION("GOOGLETRANSLATE(A327, ""en"", ""fr"")"),"PROCHE")</f>
        <v>PROCHE</v>
      </c>
      <c r="C327" s="1" t="s">
        <v>185</v>
      </c>
      <c r="CH327" s="1" t="s">
        <v>82</v>
      </c>
      <c r="GD327" s="1" t="s">
        <v>202</v>
      </c>
      <c r="GE327" s="1" t="s">
        <v>190</v>
      </c>
    </row>
    <row r="328" spans="1:187" ht="11.25" customHeight="1">
      <c r="A328" s="1" t="s">
        <v>652</v>
      </c>
      <c r="B328" s="1" t="str">
        <f ca="1">IFERROR(__xludf.DUMMYFUNCTION("GOOGLETRANSLATE(A328, ""en"", ""fr"")"),"ALABAMA")</f>
        <v>ALABAMA</v>
      </c>
      <c r="C328" s="1" t="s">
        <v>196</v>
      </c>
      <c r="GD328" s="1" t="s">
        <v>653</v>
      </c>
    </row>
    <row r="329" spans="1:187" ht="11.25" customHeight="1">
      <c r="A329" s="1" t="s">
        <v>654</v>
      </c>
      <c r="B329" s="1" t="str">
        <f ca="1">IFERROR(__xludf.DUMMYFUNCTION("GOOGLETRANSLATE(A329, ""en"", ""fr"")"),"Alarme n ° 1")</f>
        <v>Alarme n ° 1</v>
      </c>
      <c r="C329" s="1" t="s">
        <v>185</v>
      </c>
      <c r="N329" s="1" t="s">
        <v>10</v>
      </c>
      <c r="BK329" s="1" t="s">
        <v>59</v>
      </c>
      <c r="BL329" s="1" t="s">
        <v>60</v>
      </c>
      <c r="FW329" s="1" t="s">
        <v>175</v>
      </c>
      <c r="GC329" s="1" t="s">
        <v>181</v>
      </c>
      <c r="GD329" s="1" t="s">
        <v>193</v>
      </c>
      <c r="GE329" s="1" t="s">
        <v>190</v>
      </c>
    </row>
    <row r="330" spans="1:187" ht="11.25" customHeight="1">
      <c r="A330" s="1" t="s">
        <v>655</v>
      </c>
      <c r="B330" s="1" t="str">
        <f ca="1">IFERROR(__xludf.DUMMYFUNCTION("GOOGLETRANSLATE(A330, ""en"", ""fr"")"),"Alarme n ° 2")</f>
        <v>Alarme n ° 2</v>
      </c>
      <c r="C330" s="1" t="s">
        <v>185</v>
      </c>
      <c r="E330" s="1" t="s">
        <v>16613</v>
      </c>
      <c r="H330" s="1" t="s">
        <v>4</v>
      </c>
      <c r="N330" s="1" t="s">
        <v>10</v>
      </c>
      <c r="BK330" s="1" t="s">
        <v>59</v>
      </c>
      <c r="DN330" s="1" t="s">
        <v>114</v>
      </c>
      <c r="FW330" s="1" t="s">
        <v>175</v>
      </c>
      <c r="GD330" s="1" t="s">
        <v>189</v>
      </c>
      <c r="GE330" s="1" t="s">
        <v>190</v>
      </c>
    </row>
    <row r="331" spans="1:187" ht="11.25" customHeight="1">
      <c r="A331" s="1" t="s">
        <v>656</v>
      </c>
      <c r="B331" s="1" t="str">
        <f ca="1">IFERROR(__xludf.DUMMYFUNCTION("GOOGLETRANSLATE(A331, ""en"", ""fr"")"),"ALARMANT")</f>
        <v>ALARMANT</v>
      </c>
      <c r="C331" s="1" t="s">
        <v>192</v>
      </c>
      <c r="E331" s="1" t="s">
        <v>16613</v>
      </c>
      <c r="V331" s="1" t="s">
        <v>18</v>
      </c>
      <c r="W331" s="1" t="s">
        <v>19</v>
      </c>
      <c r="DR331" s="1" t="s">
        <v>118</v>
      </c>
      <c r="GD331" s="1" t="s">
        <v>202</v>
      </c>
      <c r="GE331" s="1" t="s">
        <v>190</v>
      </c>
    </row>
    <row r="332" spans="1:187" ht="11.25" customHeight="1">
      <c r="A332" s="1" t="s">
        <v>657</v>
      </c>
      <c r="B332" s="1" t="str">
        <f ca="1">IFERROR(__xludf.DUMMYFUNCTION("GOOGLETRANSLATE(A332, ""en"", ""fr"")"),"HÉLAS")</f>
        <v>HÉLAS</v>
      </c>
      <c r="C332" s="1" t="s">
        <v>192</v>
      </c>
      <c r="E332" s="1" t="s">
        <v>16613</v>
      </c>
      <c r="W332" s="1" t="s">
        <v>19</v>
      </c>
      <c r="DM332" s="1" t="s">
        <v>113</v>
      </c>
      <c r="GE332" s="1" t="s">
        <v>190</v>
      </c>
    </row>
    <row r="333" spans="1:187" ht="11.25" customHeight="1">
      <c r="A333" s="1" t="s">
        <v>658</v>
      </c>
      <c r="B333" s="1" t="str">
        <f ca="1">IFERROR(__xludf.DUMMYFUNCTION("GOOGLETRANSLATE(A333, ""en"", ""fr"")"),"ALASKA")</f>
        <v>ALASKA</v>
      </c>
      <c r="C333" s="1" t="s">
        <v>185</v>
      </c>
      <c r="AC333" s="1" t="s">
        <v>25</v>
      </c>
      <c r="AH333" s="1" t="s">
        <v>30</v>
      </c>
      <c r="DI333" s="1" t="s">
        <v>109</v>
      </c>
      <c r="GD333" s="1" t="s">
        <v>193</v>
      </c>
      <c r="GE333" s="1" t="s">
        <v>190</v>
      </c>
    </row>
    <row r="334" spans="1:187" ht="11.25" customHeight="1">
      <c r="A334" s="1" t="s">
        <v>659</v>
      </c>
      <c r="B334" s="1" t="str">
        <f ca="1">IFERROR(__xludf.DUMMYFUNCTION("GOOGLETRANSLATE(A334, ""en"", ""fr"")"),"ALBANIE")</f>
        <v>ALBANIE</v>
      </c>
      <c r="C334" s="1" t="s">
        <v>196</v>
      </c>
      <c r="FU334" s="1" t="s">
        <v>173</v>
      </c>
      <c r="GD334" s="1" t="s">
        <v>545</v>
      </c>
    </row>
    <row r="335" spans="1:187" ht="11.25" customHeight="1">
      <c r="A335" s="1" t="s">
        <v>660</v>
      </c>
      <c r="B335" s="1" t="str">
        <f ca="1">IFERROR(__xludf.DUMMYFUNCTION("GOOGLETRANSLATE(A335, ""en"", ""fr"")"),"ALBUM")</f>
        <v>ALBUM</v>
      </c>
      <c r="C335" s="1" t="s">
        <v>185</v>
      </c>
      <c r="BC335" s="1" t="s">
        <v>51</v>
      </c>
      <c r="BH335" s="1" t="s">
        <v>56</v>
      </c>
      <c r="BL335" s="1" t="s">
        <v>60</v>
      </c>
      <c r="GD335" s="1" t="s">
        <v>193</v>
      </c>
      <c r="GE335" s="1" t="s">
        <v>190</v>
      </c>
    </row>
    <row r="336" spans="1:187" ht="11.25" customHeight="1">
      <c r="A336" s="1" t="s">
        <v>661</v>
      </c>
      <c r="B336" s="1" t="str">
        <f ca="1">IFERROR(__xludf.DUMMYFUNCTION("GOOGLETRANSLATE(A336, ""en"", ""fr"")"),"ALCOOLIQUE")</f>
        <v>ALCOOLIQUE</v>
      </c>
      <c r="C336" s="1" t="s">
        <v>185</v>
      </c>
      <c r="AJ336" s="1" t="s">
        <v>32</v>
      </c>
      <c r="AT336" s="1" t="s">
        <v>42</v>
      </c>
      <c r="FB336" s="1" t="s">
        <v>154</v>
      </c>
      <c r="FC336" s="1" t="s">
        <v>155</v>
      </c>
      <c r="GD336" s="1" t="s">
        <v>193</v>
      </c>
      <c r="GE336" s="1" t="s">
        <v>190</v>
      </c>
    </row>
    <row r="337" spans="1:187" ht="11.25" customHeight="1">
      <c r="A337" s="1" t="s">
        <v>662</v>
      </c>
      <c r="B337" s="1" t="str">
        <f ca="1">IFERROR(__xludf.DUMMYFUNCTION("GOOGLETRANSLATE(A337, ""en"", ""fr"")"),"ALERTE")</f>
        <v>ALERTE</v>
      </c>
      <c r="C337" s="1" t="s">
        <v>185</v>
      </c>
      <c r="J337" s="1" t="s">
        <v>6</v>
      </c>
      <c r="N337" s="1" t="s">
        <v>10</v>
      </c>
      <c r="S337" s="1" t="s">
        <v>15</v>
      </c>
      <c r="GD337" s="1" t="s">
        <v>202</v>
      </c>
      <c r="GE337" s="1" t="s">
        <v>190</v>
      </c>
    </row>
    <row r="338" spans="1:187" ht="11.25" customHeight="1">
      <c r="A338" s="1" t="s">
        <v>663</v>
      </c>
      <c r="B338" s="1" t="str">
        <f ca="1">IFERROR(__xludf.DUMMYFUNCTION("GOOGLETRANSLATE(A338, ""en"", ""fr"")"),"VIGILANCE")</f>
        <v>VIGILANCE</v>
      </c>
      <c r="C338" s="1" t="s">
        <v>192</v>
      </c>
      <c r="D338" s="1" t="s">
        <v>16612</v>
      </c>
      <c r="U338" s="1" t="s">
        <v>17</v>
      </c>
      <c r="CG338" s="1" t="s">
        <v>81</v>
      </c>
      <c r="GD338" s="1" t="s">
        <v>193</v>
      </c>
      <c r="GE338" s="1" t="s">
        <v>190</v>
      </c>
    </row>
    <row r="339" spans="1:187" ht="11.25" customHeight="1">
      <c r="A339" s="1" t="s">
        <v>664</v>
      </c>
      <c r="B339" s="1" t="str">
        <f ca="1">IFERROR(__xludf.DUMMYFUNCTION("GOOGLETRANSLATE(A339, ""en"", ""fr"")"),"ALGÉRIE")</f>
        <v>ALGÉRIE</v>
      </c>
      <c r="C339" s="1" t="s">
        <v>196</v>
      </c>
      <c r="FU339" s="1" t="s">
        <v>173</v>
      </c>
      <c r="GD339" s="1" t="s">
        <v>416</v>
      </c>
    </row>
    <row r="340" spans="1:187" ht="11.25" customHeight="1">
      <c r="A340" s="1" t="s">
        <v>665</v>
      </c>
      <c r="B340" s="1" t="str">
        <f ca="1">IFERROR(__xludf.DUMMYFUNCTION("GOOGLETRANSLATE(A340, ""en"", ""fr"")"),"Algiers")</f>
        <v>Algiers</v>
      </c>
      <c r="C340" s="1" t="s">
        <v>196</v>
      </c>
      <c r="FU340" s="1" t="s">
        <v>173</v>
      </c>
      <c r="GD340" s="1" t="s">
        <v>666</v>
      </c>
    </row>
    <row r="341" spans="1:187" ht="11.25" customHeight="1">
      <c r="A341" s="1" t="s">
        <v>667</v>
      </c>
      <c r="B341" s="1" t="str">
        <f ca="1">IFERROR(__xludf.DUMMYFUNCTION("GOOGLETRANSLATE(A341, ""en"", ""fr"")"),"ALIBI")</f>
        <v>ALIBI</v>
      </c>
      <c r="C341" s="1" t="s">
        <v>192</v>
      </c>
      <c r="E341" s="1" t="s">
        <v>16613</v>
      </c>
      <c r="L341" s="1" t="s">
        <v>8</v>
      </c>
      <c r="M341" s="1" t="s">
        <v>9</v>
      </c>
      <c r="O341" s="1" t="s">
        <v>11</v>
      </c>
      <c r="BK341" s="1" t="s">
        <v>59</v>
      </c>
      <c r="GD341" s="1" t="s">
        <v>193</v>
      </c>
      <c r="GE341" s="1" t="s">
        <v>190</v>
      </c>
    </row>
    <row r="342" spans="1:187" ht="11.25" customHeight="1">
      <c r="A342" s="1" t="s">
        <v>668</v>
      </c>
      <c r="B342" s="1" t="str">
        <f ca="1">IFERROR(__xludf.DUMMYFUNCTION("GOOGLETRANSLATE(A342, ""en"", ""fr"")"),"EXTRATERRESTRE")</f>
        <v>EXTRATERRESTRE</v>
      </c>
      <c r="C342" s="1" t="s">
        <v>185</v>
      </c>
      <c r="E342" s="1" t="s">
        <v>16613</v>
      </c>
      <c r="H342" s="1" t="s">
        <v>4</v>
      </c>
      <c r="AH342" s="1" t="s">
        <v>30</v>
      </c>
      <c r="AJ342" s="1" t="s">
        <v>32</v>
      </c>
      <c r="AT342" s="1" t="s">
        <v>42</v>
      </c>
      <c r="GD342" s="1" t="s">
        <v>193</v>
      </c>
      <c r="GE342" s="1" t="s">
        <v>190</v>
      </c>
    </row>
    <row r="343" spans="1:187" ht="11.25" customHeight="1">
      <c r="A343" s="1" t="s">
        <v>669</v>
      </c>
      <c r="B343" s="1" t="str">
        <f ca="1">IFERROR(__xludf.DUMMYFUNCTION("GOOGLETRANSLATE(A343, ""en"", ""fr"")"),"ALIÉNER")</f>
        <v>ALIÉNER</v>
      </c>
      <c r="C343" s="1" t="s">
        <v>192</v>
      </c>
      <c r="E343" s="1" t="s">
        <v>16613</v>
      </c>
      <c r="G343" s="1" t="s">
        <v>3</v>
      </c>
      <c r="I343" s="1" t="s">
        <v>5</v>
      </c>
      <c r="AN343" s="1" t="s">
        <v>36</v>
      </c>
      <c r="DN343" s="1" t="s">
        <v>114</v>
      </c>
      <c r="GD343" s="1" t="s">
        <v>670</v>
      </c>
      <c r="GE343" s="1" t="s">
        <v>190</v>
      </c>
    </row>
    <row r="344" spans="1:187" ht="11.25" customHeight="1">
      <c r="A344" s="1" t="s">
        <v>671</v>
      </c>
      <c r="B344" s="1" t="str">
        <f ca="1">IFERROR(__xludf.DUMMYFUNCTION("GOOGLETRANSLATE(A344, ""en"", ""fr"")"),"ALIÉNATION")</f>
        <v>ALIÉNATION</v>
      </c>
      <c r="C344" s="1" t="s">
        <v>185</v>
      </c>
      <c r="E344" s="1" t="s">
        <v>16613</v>
      </c>
      <c r="H344" s="1" t="s">
        <v>4</v>
      </c>
      <c r="T344" s="1" t="s">
        <v>16</v>
      </c>
      <c r="V344" s="1" t="s">
        <v>18</v>
      </c>
      <c r="CP344" s="1" t="s">
        <v>90</v>
      </c>
      <c r="CQ344" s="1" t="s">
        <v>91</v>
      </c>
      <c r="EP344" s="1" t="s">
        <v>142</v>
      </c>
      <c r="ES344" s="1" t="s">
        <v>145</v>
      </c>
      <c r="GD344" s="1" t="s">
        <v>193</v>
      </c>
      <c r="GE344" s="1" t="s">
        <v>190</v>
      </c>
    </row>
    <row r="345" spans="1:187" ht="11.25" customHeight="1">
      <c r="A345" s="1" t="s">
        <v>672</v>
      </c>
      <c r="B345" s="1" t="str">
        <f ca="1">IFERROR(__xludf.DUMMYFUNCTION("GOOGLETRANSLATE(A345, ""en"", ""fr"")"),"UNE LUMIÈRE")</f>
        <v>UNE LUMIÈRE</v>
      </c>
      <c r="C345" s="1" t="s">
        <v>192</v>
      </c>
      <c r="D345" s="1" t="s">
        <v>16612</v>
      </c>
      <c r="U345" s="1" t="s">
        <v>17</v>
      </c>
      <c r="W345" s="1" t="s">
        <v>19</v>
      </c>
      <c r="DR345" s="1" t="s">
        <v>118</v>
      </c>
      <c r="GD345" s="1" t="s">
        <v>202</v>
      </c>
      <c r="GE345" s="1" t="s">
        <v>190</v>
      </c>
    </row>
    <row r="346" spans="1:187" ht="11.25" customHeight="1">
      <c r="A346" s="1" t="s">
        <v>673</v>
      </c>
      <c r="B346" s="1" t="str">
        <f ca="1">IFERROR(__xludf.DUMMYFUNCTION("GOOGLETRANSLATE(A346, ""en"", ""fr"")"),"Aligner n ° 1")</f>
        <v>Aligner n ° 1</v>
      </c>
      <c r="C346" s="1" t="s">
        <v>196</v>
      </c>
      <c r="DV346" s="1" t="s">
        <v>122</v>
      </c>
      <c r="ED346" s="1" t="s">
        <v>130</v>
      </c>
      <c r="GD346" s="1" t="s">
        <v>202</v>
      </c>
    </row>
    <row r="347" spans="1:187" ht="11.25" customHeight="1">
      <c r="A347" s="1" t="s">
        <v>674</v>
      </c>
      <c r="B347" s="1" t="str">
        <f ca="1">IFERROR(__xludf.DUMMYFUNCTION("GOOGLETRANSLATE(A347, ""en"", ""fr"")"),"Aligner n ° 2")</f>
        <v>Aligner n ° 2</v>
      </c>
      <c r="C347" s="1" t="s">
        <v>196</v>
      </c>
      <c r="DX347" s="1" t="s">
        <v>124</v>
      </c>
      <c r="ED347" s="1" t="s">
        <v>130</v>
      </c>
      <c r="GD347" s="1" t="s">
        <v>189</v>
      </c>
    </row>
    <row r="348" spans="1:187" ht="11.25" customHeight="1">
      <c r="A348" s="1" t="s">
        <v>675</v>
      </c>
      <c r="B348" s="1" t="str">
        <f ca="1">IFERROR(__xludf.DUMMYFUNCTION("GOOGLETRANSLATE(A348, ""en"", ""fr"")"),"RESSEMBLENT")</f>
        <v>RESSEMBLENT</v>
      </c>
      <c r="C348" s="1" t="s">
        <v>185</v>
      </c>
      <c r="CH348" s="1" t="s">
        <v>82</v>
      </c>
      <c r="GD348" s="1" t="s">
        <v>202</v>
      </c>
      <c r="GE348" s="1" t="s">
        <v>190</v>
      </c>
    </row>
    <row r="349" spans="1:187" ht="11.25" customHeight="1">
      <c r="A349" s="1" t="s">
        <v>676</v>
      </c>
      <c r="B349" s="1" t="str">
        <f ca="1">IFERROR(__xludf.DUMMYFUNCTION("GOOGLETRANSLATE(A349, ""en"", ""fr"")"),"VIVANT")</f>
        <v>VIVANT</v>
      </c>
      <c r="C349" s="1" t="s">
        <v>185</v>
      </c>
      <c r="D349" s="1" t="s">
        <v>16612</v>
      </c>
      <c r="F349" s="1" t="s">
        <v>2</v>
      </c>
      <c r="J349" s="1" t="s">
        <v>6</v>
      </c>
      <c r="N349" s="1" t="s">
        <v>10</v>
      </c>
      <c r="BU349" s="1" t="s">
        <v>69</v>
      </c>
      <c r="EZ349" s="1" t="s">
        <v>152</v>
      </c>
      <c r="FC349" s="1" t="s">
        <v>155</v>
      </c>
      <c r="GD349" s="1" t="s">
        <v>202</v>
      </c>
      <c r="GE349" s="1" t="s">
        <v>677</v>
      </c>
    </row>
    <row r="350" spans="1:187" ht="11.25" customHeight="1">
      <c r="A350" s="1" t="s">
        <v>678</v>
      </c>
      <c r="B350" s="1" t="str">
        <f ca="1">IFERROR(__xludf.DUMMYFUNCTION("GOOGLETRANSLATE(A350, ""en"", ""fr"")"),"Tout # 1")</f>
        <v>Tout # 1</v>
      </c>
      <c r="C350" s="1" t="s">
        <v>185</v>
      </c>
      <c r="W350" s="1" t="s">
        <v>19</v>
      </c>
      <c r="CS350" s="1" t="s">
        <v>93</v>
      </c>
      <c r="FY350" s="1" t="s">
        <v>177</v>
      </c>
      <c r="GD350" s="1" t="s">
        <v>679</v>
      </c>
      <c r="GE350" s="1" t="s">
        <v>680</v>
      </c>
    </row>
    <row r="351" spans="1:187" ht="11.25" customHeight="1">
      <c r="A351" s="1" t="s">
        <v>681</v>
      </c>
      <c r="B351" s="1" t="str">
        <f ca="1">IFERROR(__xludf.DUMMYFUNCTION("GOOGLETRANSLATE(A351, ""en"", ""fr"")"),"Tout # 10")</f>
        <v>Tout # 10</v>
      </c>
      <c r="C351" s="1" t="s">
        <v>196</v>
      </c>
      <c r="GD351" s="1" t="s">
        <v>225</v>
      </c>
    </row>
    <row r="352" spans="1:187" ht="11.25" customHeight="1">
      <c r="A352" s="1" t="s">
        <v>682</v>
      </c>
      <c r="B352" s="1" t="str">
        <f ca="1">IFERROR(__xludf.DUMMYFUNCTION("GOOGLETRANSLATE(A352, ""en"", ""fr"")"),"Tout # 11")</f>
        <v>Tout # 11</v>
      </c>
      <c r="C352" s="1" t="s">
        <v>196</v>
      </c>
      <c r="GD352" s="1" t="s">
        <v>225</v>
      </c>
    </row>
    <row r="353" spans="1:187" ht="11.25" customHeight="1">
      <c r="A353" s="1" t="s">
        <v>683</v>
      </c>
      <c r="B353" s="1" t="str">
        <f ca="1">IFERROR(__xludf.DUMMYFUNCTION("GOOGLETRANSLATE(A353, ""en"", ""fr"")"),"Tout # 12")</f>
        <v>Tout # 12</v>
      </c>
      <c r="C353" s="1" t="s">
        <v>196</v>
      </c>
      <c r="GD353" s="1" t="s">
        <v>225</v>
      </c>
    </row>
    <row r="354" spans="1:187" ht="11.25" customHeight="1">
      <c r="A354" s="1" t="s">
        <v>684</v>
      </c>
      <c r="B354" s="1" t="str">
        <f ca="1">IFERROR(__xludf.DUMMYFUNCTION("GOOGLETRANSLATE(A354, ""en"", ""fr"")"),"Tout # 13")</f>
        <v>Tout # 13</v>
      </c>
      <c r="C354" s="1" t="s">
        <v>196</v>
      </c>
      <c r="GD354" s="1" t="s">
        <v>225</v>
      </c>
    </row>
    <row r="355" spans="1:187" ht="11.25" customHeight="1">
      <c r="A355" s="1" t="s">
        <v>685</v>
      </c>
      <c r="B355" s="1" t="str">
        <f ca="1">IFERROR(__xludf.DUMMYFUNCTION("GOOGLETRANSLATE(A355, ""en"", ""fr"")"),"Tout # 2")</f>
        <v>Tout # 2</v>
      </c>
      <c r="C355" s="1" t="s">
        <v>185</v>
      </c>
      <c r="W355" s="1" t="s">
        <v>19</v>
      </c>
      <c r="FY355" s="1" t="s">
        <v>177</v>
      </c>
      <c r="GD355" s="1" t="s">
        <v>686</v>
      </c>
      <c r="GE355" s="1" t="s">
        <v>687</v>
      </c>
    </row>
    <row r="356" spans="1:187" ht="11.25" customHeight="1">
      <c r="A356" s="1" t="s">
        <v>688</v>
      </c>
      <c r="B356" s="1" t="str">
        <f ca="1">IFERROR(__xludf.DUMMYFUNCTION("GOOGLETRANSLATE(A356, ""en"", ""fr"")"),"Tout # 3")</f>
        <v>Tout # 3</v>
      </c>
      <c r="C356" s="1" t="s">
        <v>185</v>
      </c>
      <c r="X356" s="1" t="s">
        <v>20</v>
      </c>
      <c r="CS356" s="1" t="s">
        <v>93</v>
      </c>
      <c r="FY356" s="1" t="s">
        <v>177</v>
      </c>
      <c r="GD356" s="1" t="s">
        <v>236</v>
      </c>
      <c r="GE356" s="1" t="s">
        <v>689</v>
      </c>
    </row>
    <row r="357" spans="1:187" ht="11.25" customHeight="1">
      <c r="A357" s="1" t="s">
        <v>690</v>
      </c>
      <c r="B357" s="1" t="str">
        <f ca="1">IFERROR(__xludf.DUMMYFUNCTION("GOOGLETRANSLATE(A357, ""en"", ""fr"")"),"Tout # 4")</f>
        <v>Tout # 4</v>
      </c>
      <c r="C357" s="1" t="s">
        <v>185</v>
      </c>
      <c r="GD357" s="1" t="s">
        <v>225</v>
      </c>
      <c r="GE357" s="1" t="s">
        <v>691</v>
      </c>
    </row>
    <row r="358" spans="1:187" ht="11.25" customHeight="1">
      <c r="A358" s="1" t="s">
        <v>692</v>
      </c>
      <c r="B358" s="1" t="str">
        <f ca="1">IFERROR(__xludf.DUMMYFUNCTION("GOOGLETRANSLATE(A358, ""en"", ""fr"")"),"Tout # 5")</f>
        <v>Tout # 5</v>
      </c>
      <c r="C358" s="1" t="s">
        <v>185</v>
      </c>
      <c r="GD358" s="1" t="s">
        <v>225</v>
      </c>
      <c r="GE358" s="1" t="s">
        <v>693</v>
      </c>
    </row>
    <row r="359" spans="1:187" ht="11.25" customHeight="1">
      <c r="A359" s="1" t="s">
        <v>694</v>
      </c>
      <c r="B359" s="1" t="str">
        <f ca="1">IFERROR(__xludf.DUMMYFUNCTION("GOOGLETRANSLATE(A359, ""en"", ""fr"")"),"Tout # 6")</f>
        <v>Tout # 6</v>
      </c>
      <c r="C359" s="1" t="s">
        <v>185</v>
      </c>
      <c r="GD359" s="1" t="s">
        <v>225</v>
      </c>
      <c r="GE359" s="1" t="s">
        <v>695</v>
      </c>
    </row>
    <row r="360" spans="1:187" ht="11.25" customHeight="1">
      <c r="A360" s="1" t="s">
        <v>696</v>
      </c>
      <c r="B360" s="1" t="str">
        <f ca="1">IFERROR(__xludf.DUMMYFUNCTION("GOOGLETRANSLATE(A360, ""en"", ""fr"")"),"Tout # 7")</f>
        <v>Tout # 7</v>
      </c>
      <c r="C360" s="1" t="s">
        <v>185</v>
      </c>
      <c r="GD360" s="1" t="s">
        <v>225</v>
      </c>
      <c r="GE360" s="1" t="s">
        <v>697</v>
      </c>
    </row>
    <row r="361" spans="1:187" ht="11.25" customHeight="1">
      <c r="A361" s="1" t="s">
        <v>698</v>
      </c>
      <c r="B361" s="1" t="str">
        <f ca="1">IFERROR(__xludf.DUMMYFUNCTION("GOOGLETRANSLATE(A361, ""en"", ""fr"")"),"Tout # 8")</f>
        <v>Tout # 8</v>
      </c>
      <c r="C361" s="1" t="s">
        <v>185</v>
      </c>
      <c r="GD361" s="1" t="s">
        <v>225</v>
      </c>
      <c r="GE361" s="1" t="s">
        <v>699</v>
      </c>
    </row>
    <row r="362" spans="1:187" ht="11.25" customHeight="1">
      <c r="A362" s="1" t="s">
        <v>700</v>
      </c>
      <c r="B362" s="1" t="str">
        <f ca="1">IFERROR(__xludf.DUMMYFUNCTION("GOOGLETRANSLATE(A362, ""en"", ""fr"")"),"Tout # 9")</f>
        <v>Tout # 9</v>
      </c>
      <c r="C362" s="1" t="s">
        <v>185</v>
      </c>
      <c r="GD362" s="1" t="s">
        <v>225</v>
      </c>
      <c r="GE362" s="1" t="s">
        <v>701</v>
      </c>
    </row>
    <row r="363" spans="1:187" ht="11.25" customHeight="1">
      <c r="A363" s="1" t="s">
        <v>702</v>
      </c>
      <c r="B363" s="1" t="str">
        <f ca="1">IFERROR(__xludf.DUMMYFUNCTION("GOOGLETRANSLATE(A363, ""en"", ""fr"")"),"Tout # _10")</f>
        <v>Tout # _10</v>
      </c>
      <c r="C363" s="1" t="s">
        <v>192</v>
      </c>
      <c r="GD363" s="1" t="s">
        <v>225</v>
      </c>
      <c r="GE363" s="1" t="s">
        <v>703</v>
      </c>
    </row>
    <row r="364" spans="1:187" ht="11.25" customHeight="1">
      <c r="A364" s="1" t="s">
        <v>704</v>
      </c>
      <c r="B364" s="1" t="str">
        <f ca="1">IFERROR(__xludf.DUMMYFUNCTION("GOOGLETRANSLATE(A364, ""en"", ""fr"")"),"Tout # _11")</f>
        <v>Tout # _11</v>
      </c>
      <c r="C364" s="1" t="s">
        <v>192</v>
      </c>
      <c r="GD364" s="1" t="s">
        <v>225</v>
      </c>
      <c r="GE364" s="1" t="s">
        <v>705</v>
      </c>
    </row>
    <row r="365" spans="1:187" ht="11.25" customHeight="1">
      <c r="A365" s="1" t="s">
        <v>706</v>
      </c>
      <c r="B365" s="1" t="str">
        <f ca="1">IFERROR(__xludf.DUMMYFUNCTION("GOOGLETRANSLATE(A365, ""en"", ""fr"")"),"Tout # _12")</f>
        <v>Tout # _12</v>
      </c>
      <c r="C365" s="1" t="s">
        <v>192</v>
      </c>
      <c r="GD365" s="1" t="s">
        <v>225</v>
      </c>
      <c r="GE365" s="1" t="s">
        <v>707</v>
      </c>
    </row>
    <row r="366" spans="1:187" ht="11.25" customHeight="1">
      <c r="A366" s="1" t="s">
        <v>708</v>
      </c>
      <c r="B366" s="1" t="str">
        <f ca="1">IFERROR(__xludf.DUMMYFUNCTION("GOOGLETRANSLATE(A366, ""en"", ""fr"")"),"Tout # _13")</f>
        <v>Tout # _13</v>
      </c>
      <c r="C366" s="1" t="s">
        <v>192</v>
      </c>
      <c r="GD366" s="1" t="s">
        <v>225</v>
      </c>
      <c r="GE366" s="1" t="s">
        <v>709</v>
      </c>
    </row>
    <row r="367" spans="1:187" ht="11.25" customHeight="1">
      <c r="A367" s="1" t="s">
        <v>710</v>
      </c>
      <c r="B367" s="1" t="str">
        <f ca="1">IFERROR(__xludf.DUMMYFUNCTION("GOOGLETRANSLATE(A367, ""en"", ""fr"")"),"AllEdge")</f>
        <v>AllEdge</v>
      </c>
      <c r="C367" s="1" t="s">
        <v>196</v>
      </c>
      <c r="EC367" s="1" t="s">
        <v>129</v>
      </c>
      <c r="ED367" s="1" t="s">
        <v>130</v>
      </c>
      <c r="GD367" s="1" t="s">
        <v>189</v>
      </c>
    </row>
    <row r="368" spans="1:187" ht="11.25" customHeight="1">
      <c r="A368" s="1" t="s">
        <v>711</v>
      </c>
      <c r="B368" s="1" t="str">
        <f ca="1">IFERROR(__xludf.DUMMYFUNCTION("GOOGLETRANSLATE(A368, ""en"", ""fr"")"),"ALLÉGATION")</f>
        <v>ALLÉGATION</v>
      </c>
      <c r="C368" s="1" t="s">
        <v>185</v>
      </c>
      <c r="E368" s="1" t="s">
        <v>16613</v>
      </c>
      <c r="H368" s="1" t="s">
        <v>4</v>
      </c>
      <c r="I368" s="1" t="s">
        <v>5</v>
      </c>
      <c r="AE368" s="1" t="s">
        <v>27</v>
      </c>
      <c r="BK368" s="1" t="s">
        <v>59</v>
      </c>
      <c r="BL368" s="1" t="s">
        <v>60</v>
      </c>
      <c r="DW368" s="1" t="s">
        <v>123</v>
      </c>
      <c r="ED368" s="1" t="s">
        <v>130</v>
      </c>
      <c r="GC368" s="1" t="s">
        <v>181</v>
      </c>
      <c r="GD368" s="1" t="s">
        <v>193</v>
      </c>
      <c r="GE368" s="1" t="s">
        <v>190</v>
      </c>
    </row>
    <row r="369" spans="1:187" ht="11.25" customHeight="1">
      <c r="A369" s="1" t="s">
        <v>712</v>
      </c>
      <c r="B369" s="1" t="str">
        <f ca="1">IFERROR(__xludf.DUMMYFUNCTION("GOOGLETRANSLATE(A369, ""en"", ""fr"")"),"ALLÉGUER")</f>
        <v>ALLÉGUER</v>
      </c>
      <c r="C369" s="1" t="s">
        <v>192</v>
      </c>
      <c r="E369" s="1" t="s">
        <v>16613</v>
      </c>
      <c r="L369" s="1" t="s">
        <v>8</v>
      </c>
      <c r="X369" s="1" t="s">
        <v>20</v>
      </c>
      <c r="BK369" s="1" t="s">
        <v>59</v>
      </c>
      <c r="DN369" s="1" t="s">
        <v>114</v>
      </c>
      <c r="GD369" s="1" t="s">
        <v>189</v>
      </c>
      <c r="GE369" s="1" t="s">
        <v>190</v>
      </c>
    </row>
    <row r="370" spans="1:187" ht="11.25" customHeight="1">
      <c r="A370" s="1" t="s">
        <v>713</v>
      </c>
      <c r="B370" s="1" t="str">
        <f ca="1">IFERROR(__xludf.DUMMYFUNCTION("GOOGLETRANSLATE(A370, ""en"", ""fr"")"),"ALLÉGEANCE")</f>
        <v>ALLÉGEANCE</v>
      </c>
      <c r="C370" s="1" t="s">
        <v>185</v>
      </c>
      <c r="D370" s="1" t="s">
        <v>16612</v>
      </c>
      <c r="G370" s="1" t="s">
        <v>3</v>
      </c>
      <c r="U370" s="1" t="s">
        <v>17</v>
      </c>
      <c r="ER370" s="1" t="s">
        <v>144</v>
      </c>
      <c r="ES370" s="1" t="s">
        <v>145</v>
      </c>
      <c r="GD370" s="1" t="s">
        <v>193</v>
      </c>
      <c r="GE370" s="1" t="s">
        <v>190</v>
      </c>
    </row>
    <row r="371" spans="1:187" ht="11.25" customHeight="1">
      <c r="A371" s="1" t="s">
        <v>714</v>
      </c>
      <c r="B371" s="1" t="str">
        <f ca="1">IFERROR(__xludf.DUMMYFUNCTION("GOOGLETRANSLATE(A371, ""en"", ""fr"")"),"SOULAGER")</f>
        <v>SOULAGER</v>
      </c>
      <c r="C371" s="1" t="s">
        <v>185</v>
      </c>
      <c r="D371" s="1" t="s">
        <v>16612</v>
      </c>
      <c r="G371" s="1" t="s">
        <v>3</v>
      </c>
      <c r="N371" s="1" t="s">
        <v>10</v>
      </c>
      <c r="BY371" s="1" t="s">
        <v>73</v>
      </c>
      <c r="CC371" s="1" t="s">
        <v>77</v>
      </c>
      <c r="DN371" s="1" t="s">
        <v>114</v>
      </c>
      <c r="FN371" s="1" t="s">
        <v>166</v>
      </c>
      <c r="GD371" s="1" t="s">
        <v>189</v>
      </c>
      <c r="GE371" s="1" t="s">
        <v>190</v>
      </c>
    </row>
    <row r="372" spans="1:187" ht="11.25" customHeight="1">
      <c r="A372" s="1" t="s">
        <v>715</v>
      </c>
      <c r="B372" s="1" t="str">
        <f ca="1">IFERROR(__xludf.DUMMYFUNCTION("GOOGLETRANSLATE(A372, ""en"", ""fr"")"),"ALLIANCE")</f>
        <v>ALLIANCE</v>
      </c>
      <c r="C372" s="1" t="s">
        <v>185</v>
      </c>
      <c r="D372" s="1" t="s">
        <v>16612</v>
      </c>
      <c r="F372" s="1" t="s">
        <v>2</v>
      </c>
      <c r="J372" s="1" t="s">
        <v>6</v>
      </c>
      <c r="K372" s="1" t="s">
        <v>7</v>
      </c>
      <c r="AG372" s="1" t="s">
        <v>29</v>
      </c>
      <c r="AH372" s="1" t="s">
        <v>30</v>
      </c>
      <c r="AK372" s="1" t="s">
        <v>33</v>
      </c>
      <c r="AT372" s="1" t="s">
        <v>42</v>
      </c>
      <c r="DX372" s="1" t="s">
        <v>124</v>
      </c>
      <c r="ED372" s="1" t="s">
        <v>130</v>
      </c>
      <c r="GD372" s="1" t="s">
        <v>193</v>
      </c>
      <c r="GE372" s="1" t="s">
        <v>190</v>
      </c>
    </row>
    <row r="373" spans="1:187" ht="11.25" customHeight="1">
      <c r="A373" s="1" t="s">
        <v>716</v>
      </c>
      <c r="B373" s="1" t="str">
        <f ca="1">IFERROR(__xludf.DUMMYFUNCTION("GOOGLETRANSLATE(A373, ""en"", ""fr"")"),"ALLIÉ")</f>
        <v>ALLIÉ</v>
      </c>
      <c r="C373" s="1" t="s">
        <v>185</v>
      </c>
      <c r="D373" s="1" t="s">
        <v>16612</v>
      </c>
      <c r="F373" s="1" t="s">
        <v>2</v>
      </c>
      <c r="G373" s="1" t="s">
        <v>3</v>
      </c>
      <c r="J373" s="1" t="s">
        <v>6</v>
      </c>
      <c r="AG373" s="1" t="s">
        <v>29</v>
      </c>
      <c r="AN373" s="1" t="s">
        <v>36</v>
      </c>
      <c r="DN373" s="1" t="s">
        <v>114</v>
      </c>
      <c r="DX373" s="1" t="s">
        <v>124</v>
      </c>
      <c r="ED373" s="1" t="s">
        <v>130</v>
      </c>
      <c r="GD373" s="1" t="s">
        <v>189</v>
      </c>
      <c r="GE373" s="1" t="s">
        <v>190</v>
      </c>
    </row>
    <row r="374" spans="1:187" ht="11.25" customHeight="1">
      <c r="A374" s="1" t="s">
        <v>717</v>
      </c>
      <c r="B374" s="1" t="str">
        <f ca="1">IFERROR(__xludf.DUMMYFUNCTION("GOOGLETRANSLATE(A374, ""en"", ""fr"")"),"Alliés")</f>
        <v>Alliés</v>
      </c>
      <c r="C374" s="1" t="s">
        <v>192</v>
      </c>
      <c r="D374" s="1" t="s">
        <v>16612</v>
      </c>
      <c r="G374" s="1" t="s">
        <v>3</v>
      </c>
      <c r="AJ374" s="1" t="s">
        <v>32</v>
      </c>
      <c r="AN374" s="1" t="s">
        <v>36</v>
      </c>
      <c r="AT374" s="1" t="s">
        <v>42</v>
      </c>
      <c r="GD374" s="1" t="s">
        <v>193</v>
      </c>
      <c r="GE374" s="1" t="s">
        <v>190</v>
      </c>
    </row>
    <row r="375" spans="1:187" ht="11.25" customHeight="1">
      <c r="A375" s="1" t="s">
        <v>718</v>
      </c>
      <c r="B375" s="1" t="str">
        <f ca="1">IFERROR(__xludf.DUMMYFUNCTION("GOOGLETRANSLATE(A375, ""en"", ""fr"")"),"ALLOCATION")</f>
        <v>ALLOCATION</v>
      </c>
      <c r="C375" s="1" t="s">
        <v>185</v>
      </c>
      <c r="AC375" s="1" t="s">
        <v>25</v>
      </c>
      <c r="AH375" s="1" t="s">
        <v>30</v>
      </c>
      <c r="BL375" s="1" t="s">
        <v>60</v>
      </c>
      <c r="CS375" s="1" t="s">
        <v>93</v>
      </c>
      <c r="GC375" s="1" t="s">
        <v>181</v>
      </c>
      <c r="GD375" s="1" t="s">
        <v>193</v>
      </c>
      <c r="GE375" s="1" t="s">
        <v>190</v>
      </c>
    </row>
    <row r="376" spans="1:187" ht="11.25" customHeight="1">
      <c r="A376" s="1" t="s">
        <v>719</v>
      </c>
      <c r="B376" s="1" t="str">
        <f ca="1">IFERROR(__xludf.DUMMYFUNCTION("GOOGLETRANSLATE(A376, ""en"", ""fr"")"),"ATTRIBUER")</f>
        <v>ATTRIBUER</v>
      </c>
      <c r="C376" s="1" t="s">
        <v>185</v>
      </c>
      <c r="K376" s="1" t="s">
        <v>7</v>
      </c>
      <c r="AN376" s="1" t="s">
        <v>36</v>
      </c>
      <c r="DN376" s="1" t="s">
        <v>114</v>
      </c>
      <c r="EC376" s="1" t="s">
        <v>129</v>
      </c>
      <c r="ED376" s="1" t="s">
        <v>130</v>
      </c>
      <c r="GD376" s="1" t="s">
        <v>189</v>
      </c>
      <c r="GE376" s="1" t="s">
        <v>190</v>
      </c>
    </row>
    <row r="377" spans="1:187" ht="11.25" customHeight="1">
      <c r="A377" s="1" t="s">
        <v>720</v>
      </c>
      <c r="B377" s="1" t="str">
        <f ca="1">IFERROR(__xludf.DUMMYFUNCTION("GOOGLETRANSLATE(A377, ""en"", ""fr"")"),"ATTRIBUTION")</f>
        <v>ATTRIBUTION</v>
      </c>
      <c r="C377" s="1" t="s">
        <v>185</v>
      </c>
      <c r="AC377" s="1" t="s">
        <v>25</v>
      </c>
      <c r="CS377" s="1" t="s">
        <v>93</v>
      </c>
      <c r="EC377" s="1" t="s">
        <v>129</v>
      </c>
      <c r="ED377" s="1" t="s">
        <v>130</v>
      </c>
      <c r="GD377" s="1" t="s">
        <v>193</v>
      </c>
      <c r="GE377" s="1" t="s">
        <v>190</v>
      </c>
    </row>
    <row r="378" spans="1:187" ht="11.25" customHeight="1">
      <c r="A378" s="1" t="s">
        <v>721</v>
      </c>
      <c r="B378" s="1" t="str">
        <f ca="1">IFERROR(__xludf.DUMMYFUNCTION("GOOGLETRANSLATE(A378, ""en"", ""fr"")"),"Autoriser le n ° 1")</f>
        <v>Autoriser le n ° 1</v>
      </c>
      <c r="C378" s="1" t="s">
        <v>185</v>
      </c>
      <c r="D378" s="1" t="s">
        <v>16612</v>
      </c>
      <c r="F378" s="1" t="s">
        <v>2</v>
      </c>
      <c r="K378" s="1" t="s">
        <v>7</v>
      </c>
      <c r="O378" s="1" t="s">
        <v>11</v>
      </c>
      <c r="AN378" s="1" t="s">
        <v>36</v>
      </c>
      <c r="DN378" s="1" t="s">
        <v>114</v>
      </c>
      <c r="DS378" s="1" t="s">
        <v>119</v>
      </c>
      <c r="ED378" s="1" t="s">
        <v>130</v>
      </c>
      <c r="GD378" s="1" t="s">
        <v>400</v>
      </c>
      <c r="GE378" s="1" t="s">
        <v>722</v>
      </c>
    </row>
    <row r="379" spans="1:187" ht="11.25" customHeight="1">
      <c r="A379" s="1" t="s">
        <v>723</v>
      </c>
      <c r="B379" s="1" t="str">
        <f ca="1">IFERROR(__xludf.DUMMYFUNCTION("GOOGLETRANSLATE(A379, ""en"", ""fr"")"),"Autoriser le n ° 2")</f>
        <v>Autoriser le n ° 2</v>
      </c>
      <c r="C379" s="1" t="s">
        <v>185</v>
      </c>
      <c r="CO379" s="1" t="s">
        <v>89</v>
      </c>
      <c r="DN379" s="1" t="s">
        <v>114</v>
      </c>
      <c r="FP379" s="1" t="s">
        <v>168</v>
      </c>
      <c r="GD379" s="1" t="s">
        <v>189</v>
      </c>
      <c r="GE379" s="1" t="s">
        <v>724</v>
      </c>
    </row>
    <row r="380" spans="1:187" ht="11.25" customHeight="1">
      <c r="A380" s="1" t="s">
        <v>725</v>
      </c>
      <c r="B380" s="1" t="str">
        <f ca="1">IFERROR(__xludf.DUMMYFUNCTION("GOOGLETRANSLATE(A380, ""en"", ""fr"")"),"ADMISSIBLE")</f>
        <v>ADMISSIBLE</v>
      </c>
      <c r="C380" s="1" t="s">
        <v>192</v>
      </c>
      <c r="D380" s="1" t="s">
        <v>16612</v>
      </c>
      <c r="CM380" s="1" t="s">
        <v>87</v>
      </c>
      <c r="CR380" s="1" t="s">
        <v>92</v>
      </c>
      <c r="DQ380" s="1" t="s">
        <v>117</v>
      </c>
      <c r="GD380" s="1" t="s">
        <v>202</v>
      </c>
      <c r="GE380" s="1" t="s">
        <v>190</v>
      </c>
    </row>
    <row r="381" spans="1:187" ht="11.25" customHeight="1">
      <c r="A381" s="1" t="s">
        <v>726</v>
      </c>
      <c r="B381" s="1" t="str">
        <f ca="1">IFERROR(__xludf.DUMMYFUNCTION("GOOGLETRANSLATE(A381, ""en"", ""fr"")"),"ALLOCATION")</f>
        <v>ALLOCATION</v>
      </c>
      <c r="C381" s="1" t="s">
        <v>185</v>
      </c>
      <c r="D381" s="1" t="s">
        <v>16612</v>
      </c>
      <c r="AA381" s="1" t="s">
        <v>23</v>
      </c>
      <c r="CS381" s="1" t="s">
        <v>93</v>
      </c>
      <c r="EV381" s="1" t="s">
        <v>148</v>
      </c>
      <c r="EW381" s="1" t="s">
        <v>149</v>
      </c>
      <c r="GD381" s="1" t="s">
        <v>193</v>
      </c>
      <c r="GE381" s="1" t="s">
        <v>190</v>
      </c>
    </row>
    <row r="382" spans="1:187" ht="11.25" customHeight="1">
      <c r="A382" s="1" t="s">
        <v>727</v>
      </c>
      <c r="B382" s="1" t="str">
        <f ca="1">IFERROR(__xludf.DUMMYFUNCTION("GOOGLETRANSLATE(A382, ""en"", ""fr"")"),"SÉDUIRE")</f>
        <v>SÉDUIRE</v>
      </c>
      <c r="C382" s="1" t="s">
        <v>192</v>
      </c>
      <c r="D382" s="1" t="s">
        <v>16612</v>
      </c>
      <c r="U382" s="1" t="s">
        <v>17</v>
      </c>
      <c r="GD382" s="1" t="s">
        <v>193</v>
      </c>
      <c r="GE382" s="1" t="s">
        <v>190</v>
      </c>
    </row>
    <row r="383" spans="1:187" ht="11.25" customHeight="1">
      <c r="A383" s="1" t="s">
        <v>728</v>
      </c>
      <c r="B383" s="1" t="str">
        <f ca="1">IFERROR(__xludf.DUMMYFUNCTION("GOOGLETRANSLATE(A383, ""en"", ""fr"")"),"ALLUSION")</f>
        <v>ALLUSION</v>
      </c>
      <c r="C383" s="1" t="s">
        <v>185</v>
      </c>
      <c r="BK383" s="1" t="s">
        <v>59</v>
      </c>
      <c r="BL383" s="1" t="s">
        <v>60</v>
      </c>
      <c r="GC383" s="1" t="s">
        <v>181</v>
      </c>
      <c r="GD383" s="1" t="s">
        <v>193</v>
      </c>
      <c r="GE383" s="1" t="s">
        <v>190</v>
      </c>
    </row>
    <row r="384" spans="1:187" ht="11.25" customHeight="1">
      <c r="A384" s="1" t="s">
        <v>729</v>
      </c>
      <c r="B384" s="1" t="str">
        <f ca="1">IFERROR(__xludf.DUMMYFUNCTION("GOOGLETRANSLATE(A384, ""en"", ""fr"")"),"Allié # 1")</f>
        <v>Allié # 1</v>
      </c>
      <c r="C384" s="1" t="s">
        <v>185</v>
      </c>
      <c r="D384" s="1" t="s">
        <v>16612</v>
      </c>
      <c r="F384" s="1" t="s">
        <v>2</v>
      </c>
      <c r="G384" s="1" t="s">
        <v>3</v>
      </c>
      <c r="J384" s="1" t="s">
        <v>6</v>
      </c>
      <c r="AG384" s="1" t="s">
        <v>29</v>
      </c>
      <c r="AH384" s="1" t="s">
        <v>30</v>
      </c>
      <c r="AJ384" s="1" t="s">
        <v>32</v>
      </c>
      <c r="AT384" s="1" t="s">
        <v>42</v>
      </c>
      <c r="DX384" s="1" t="s">
        <v>124</v>
      </c>
      <c r="ED384" s="1" t="s">
        <v>130</v>
      </c>
      <c r="GD384" s="1" t="s">
        <v>193</v>
      </c>
      <c r="GE384" s="1" t="s">
        <v>190</v>
      </c>
    </row>
    <row r="385" spans="1:187" ht="11.25" customHeight="1">
      <c r="A385" s="1" t="s">
        <v>730</v>
      </c>
      <c r="B385" s="1" t="str">
        <f ca="1">IFERROR(__xludf.DUMMYFUNCTION("GOOGLETRANSLATE(A385, ""en"", ""fr"")"),"Allié # 2")</f>
        <v>Allié # 2</v>
      </c>
      <c r="C385" s="1" t="s">
        <v>185</v>
      </c>
      <c r="G385" s="1" t="s">
        <v>3</v>
      </c>
      <c r="AG385" s="1" t="s">
        <v>29</v>
      </c>
      <c r="AN385" s="1" t="s">
        <v>36</v>
      </c>
      <c r="DN385" s="1" t="s">
        <v>114</v>
      </c>
      <c r="DX385" s="1" t="s">
        <v>124</v>
      </c>
      <c r="ED385" s="1" t="s">
        <v>130</v>
      </c>
      <c r="GD385" s="1" t="s">
        <v>189</v>
      </c>
      <c r="GE385" s="1" t="s">
        <v>190</v>
      </c>
    </row>
    <row r="386" spans="1:187" ht="11.25" customHeight="1">
      <c r="A386" s="1" t="s">
        <v>731</v>
      </c>
      <c r="B386" s="1" t="str">
        <f ca="1">IFERROR(__xludf.DUMMYFUNCTION("GOOGLETRANSLATE(A386, ""en"", ""fr"")"),"Tout-puissant")</f>
        <v>Tout-puissant</v>
      </c>
      <c r="C386" s="1" t="s">
        <v>185</v>
      </c>
      <c r="D386" s="1" t="s">
        <v>16612</v>
      </c>
      <c r="J386" s="1" t="s">
        <v>6</v>
      </c>
      <c r="K386" s="1" t="s">
        <v>7</v>
      </c>
      <c r="T386" s="1" t="s">
        <v>16</v>
      </c>
      <c r="U386" s="1" t="s">
        <v>17</v>
      </c>
      <c r="DR386" s="1" t="s">
        <v>118</v>
      </c>
      <c r="EM386" s="1" t="s">
        <v>139</v>
      </c>
      <c r="EN386" s="1" t="s">
        <v>140</v>
      </c>
      <c r="GD386" s="1" t="s">
        <v>202</v>
      </c>
      <c r="GE386" s="1" t="s">
        <v>190</v>
      </c>
    </row>
    <row r="387" spans="1:187" ht="11.25" customHeight="1">
      <c r="A387" s="1" t="s">
        <v>732</v>
      </c>
      <c r="B387" s="1" t="str">
        <f ca="1">IFERROR(__xludf.DUMMYFUNCTION("GOOGLETRANSLATE(A387, ""en"", ""fr"")"),"PRESQUE")</f>
        <v>PRESQUE</v>
      </c>
      <c r="C387" s="1" t="s">
        <v>185</v>
      </c>
      <c r="W387" s="1" t="s">
        <v>19</v>
      </c>
      <c r="CS387" s="1" t="s">
        <v>93</v>
      </c>
      <c r="FZ387" s="1" t="s">
        <v>178</v>
      </c>
      <c r="GD387" s="1" t="s">
        <v>236</v>
      </c>
      <c r="GE387" s="1" t="s">
        <v>733</v>
      </c>
    </row>
    <row r="388" spans="1:187" ht="11.25" customHeight="1">
      <c r="A388" s="1" t="s">
        <v>734</v>
      </c>
      <c r="B388" s="1" t="str">
        <f ca="1">IFERROR(__xludf.DUMMYFUNCTION("GOOGLETRANSLATE(A388, ""en"", ""fr"")"),"Seul # 1")</f>
        <v>Seul # 1</v>
      </c>
      <c r="C388" s="1" t="s">
        <v>185</v>
      </c>
      <c r="L388" s="1" t="s">
        <v>8</v>
      </c>
      <c r="DA388" s="1" t="s">
        <v>101</v>
      </c>
      <c r="EP388" s="1" t="s">
        <v>142</v>
      </c>
      <c r="ES388" s="1" t="s">
        <v>145</v>
      </c>
      <c r="GD388" s="1" t="s">
        <v>236</v>
      </c>
      <c r="GE388" s="1" t="s">
        <v>735</v>
      </c>
    </row>
    <row r="389" spans="1:187" ht="11.25" customHeight="1">
      <c r="A389" s="1" t="s">
        <v>736</v>
      </c>
      <c r="B389" s="1" t="str">
        <f ca="1">IFERROR(__xludf.DUMMYFUNCTION("GOOGLETRANSLATE(A389, ""en"", ""fr"")"),"Seul # 2")</f>
        <v>Seul # 2</v>
      </c>
      <c r="C389" s="1" t="s">
        <v>185</v>
      </c>
      <c r="W389" s="1" t="s">
        <v>19</v>
      </c>
      <c r="CS389" s="1" t="s">
        <v>93</v>
      </c>
      <c r="FY389" s="1" t="s">
        <v>177</v>
      </c>
      <c r="GD389" s="1" t="s">
        <v>236</v>
      </c>
      <c r="GE389" s="1" t="s">
        <v>737</v>
      </c>
    </row>
    <row r="390" spans="1:187" ht="11.25" customHeight="1">
      <c r="A390" s="1" t="s">
        <v>738</v>
      </c>
      <c r="B390" s="1" t="str">
        <f ca="1">IFERROR(__xludf.DUMMYFUNCTION("GOOGLETRANSLATE(A390, ""en"", ""fr"")"),"Seul # 3")</f>
        <v>Seul # 3</v>
      </c>
      <c r="C390" s="1" t="s">
        <v>185</v>
      </c>
      <c r="W390" s="1" t="s">
        <v>19</v>
      </c>
      <c r="GD390" s="1" t="s">
        <v>236</v>
      </c>
      <c r="GE390" s="1" t="s">
        <v>739</v>
      </c>
    </row>
    <row r="391" spans="1:187" ht="11.25" customHeight="1">
      <c r="A391" s="1" t="s">
        <v>740</v>
      </c>
      <c r="B391" s="1" t="str">
        <f ca="1">IFERROR(__xludf.DUMMYFUNCTION("GOOGLETRANSLATE(A391, ""en"", ""fr"")"),"Le long du n ° 1")</f>
        <v>Le long du n ° 1</v>
      </c>
      <c r="C391" s="1" t="s">
        <v>185</v>
      </c>
      <c r="BQ391" s="1" t="s">
        <v>65</v>
      </c>
      <c r="GB391" s="1" t="s">
        <v>180</v>
      </c>
      <c r="GD391" s="1" t="s">
        <v>207</v>
      </c>
      <c r="GE391" s="1" t="s">
        <v>741</v>
      </c>
    </row>
    <row r="392" spans="1:187" ht="11.25" customHeight="1">
      <c r="A392" s="1" t="s">
        <v>742</v>
      </c>
      <c r="B392" s="1" t="str">
        <f ca="1">IFERROR(__xludf.DUMMYFUNCTION("GOOGLETRANSLATE(A392, ""en"", ""fr"")"),"Le long de # 2")</f>
        <v>Le long de # 2</v>
      </c>
      <c r="C392" s="1" t="s">
        <v>185</v>
      </c>
      <c r="G392" s="1" t="s">
        <v>3</v>
      </c>
      <c r="AN392" s="1" t="s">
        <v>36</v>
      </c>
      <c r="DN392" s="1" t="s">
        <v>114</v>
      </c>
      <c r="DX392" s="1" t="s">
        <v>124</v>
      </c>
      <c r="ED392" s="1" t="s">
        <v>130</v>
      </c>
      <c r="GD392" s="1" t="s">
        <v>189</v>
      </c>
      <c r="GE392" s="1" t="s">
        <v>743</v>
      </c>
    </row>
    <row r="393" spans="1:187" ht="11.25" customHeight="1">
      <c r="A393" s="1" t="s">
        <v>744</v>
      </c>
      <c r="B393" s="1" t="str">
        <f ca="1">IFERROR(__xludf.DUMMYFUNCTION("GOOGLETRANSLATE(A393, ""en"", ""fr"")"),"Le long du # 3")</f>
        <v>Le long du # 3</v>
      </c>
      <c r="C393" s="1" t="s">
        <v>185</v>
      </c>
      <c r="G393" s="1" t="s">
        <v>3</v>
      </c>
      <c r="BK393" s="1" t="s">
        <v>59</v>
      </c>
      <c r="DN393" s="1" t="s">
        <v>114</v>
      </c>
      <c r="DX393" s="1" t="s">
        <v>124</v>
      </c>
      <c r="ED393" s="1" t="s">
        <v>130</v>
      </c>
      <c r="GD393" s="1" t="s">
        <v>189</v>
      </c>
      <c r="GE393" s="1" t="s">
        <v>745</v>
      </c>
    </row>
    <row r="394" spans="1:187" ht="11.25" customHeight="1">
      <c r="A394" s="1" t="s">
        <v>746</v>
      </c>
      <c r="B394" s="1" t="str">
        <f ca="1">IFERROR(__xludf.DUMMYFUNCTION("GOOGLETRANSLATE(A394, ""en"", ""fr"")"),"Le long du n ° 4")</f>
        <v>Le long du n ° 4</v>
      </c>
      <c r="C394" s="1" t="s">
        <v>185</v>
      </c>
      <c r="GD394" s="1" t="s">
        <v>225</v>
      </c>
      <c r="GE394" s="1" t="s">
        <v>747</v>
      </c>
    </row>
    <row r="395" spans="1:187" ht="11.25" customHeight="1">
      <c r="A395" s="1" t="s">
        <v>748</v>
      </c>
      <c r="B395" s="1" t="str">
        <f ca="1">IFERROR(__xludf.DUMMYFUNCTION("GOOGLETRANSLATE(A395, ""en"", ""fr"")"),"AUX CÔTÉS DE")</f>
        <v>AUX CÔTÉS DE</v>
      </c>
      <c r="C395" s="1" t="s">
        <v>185</v>
      </c>
      <c r="BQ395" s="1" t="s">
        <v>65</v>
      </c>
      <c r="GB395" s="1" t="s">
        <v>180</v>
      </c>
      <c r="GD395" s="1" t="s">
        <v>207</v>
      </c>
      <c r="GE395" s="1" t="s">
        <v>190</v>
      </c>
    </row>
    <row r="396" spans="1:187" ht="11.25" customHeight="1">
      <c r="A396" s="1" t="s">
        <v>749</v>
      </c>
      <c r="B396" s="1" t="str">
        <f ca="1">IFERROR(__xludf.DUMMYFUNCTION("GOOGLETRANSLATE(A396, ""en"", ""fr"")"),"DISTANT")</f>
        <v>DISTANT</v>
      </c>
      <c r="C396" s="1" t="s">
        <v>192</v>
      </c>
      <c r="E396" s="1" t="s">
        <v>16613</v>
      </c>
      <c r="O396" s="1" t="s">
        <v>11</v>
      </c>
      <c r="R396" s="1" t="s">
        <v>14</v>
      </c>
      <c r="X396" s="1" t="s">
        <v>20</v>
      </c>
      <c r="DQ396" s="1" t="s">
        <v>117</v>
      </c>
      <c r="GD396" s="1" t="s">
        <v>202</v>
      </c>
      <c r="GE396" s="1" t="s">
        <v>190</v>
      </c>
    </row>
    <row r="397" spans="1:187" ht="11.25" customHeight="1">
      <c r="A397" s="1" t="s">
        <v>750</v>
      </c>
      <c r="B397" s="1" t="str">
        <f ca="1">IFERROR(__xludf.DUMMYFUNCTION("GOOGLETRANSLATE(A397, ""en"", ""fr"")"),"À HAUTE VOIX")</f>
        <v>À HAUTE VOIX</v>
      </c>
      <c r="C397" s="1" t="s">
        <v>185</v>
      </c>
      <c r="CR397" s="1" t="s">
        <v>92</v>
      </c>
      <c r="GD397" s="1" t="s">
        <v>236</v>
      </c>
      <c r="GE397" s="1" t="s">
        <v>190</v>
      </c>
    </row>
    <row r="398" spans="1:187" ht="11.25" customHeight="1">
      <c r="A398" s="1" t="s">
        <v>751</v>
      </c>
      <c r="B398" s="1" t="str">
        <f ca="1">IFERROR(__xludf.DUMMYFUNCTION("GOOGLETRANSLATE(A398, ""en"", ""fr"")"),"DÉJÀ")</f>
        <v>DÉJÀ</v>
      </c>
      <c r="C398" s="1" t="s">
        <v>185</v>
      </c>
      <c r="CY398" s="1" t="s">
        <v>99</v>
      </c>
      <c r="GD398" s="1" t="s">
        <v>236</v>
      </c>
      <c r="GE398" s="1" t="s">
        <v>752</v>
      </c>
    </row>
    <row r="399" spans="1:187" ht="11.25" customHeight="1">
      <c r="A399" s="1" t="s">
        <v>753</v>
      </c>
      <c r="B399" s="1" t="str">
        <f ca="1">IFERROR(__xludf.DUMMYFUNCTION("GOOGLETRANSLATE(A399, ""en"", ""fr"")"),"BIEN")</f>
        <v>BIEN</v>
      </c>
      <c r="C399" s="1" t="s">
        <v>192</v>
      </c>
      <c r="DJ399" s="1" t="s">
        <v>110</v>
      </c>
      <c r="DM399" s="1" t="s">
        <v>113</v>
      </c>
      <c r="GE399" s="1" t="s">
        <v>190</v>
      </c>
    </row>
    <row r="400" spans="1:187" ht="11.25" customHeight="1">
      <c r="A400" s="1" t="s">
        <v>754</v>
      </c>
      <c r="B400" s="1" t="str">
        <f ca="1">IFERROR(__xludf.DUMMYFUNCTION("GOOGLETRANSLATE(A400, ""en"", ""fr"")"),"AUSSI")</f>
        <v>AUSSI</v>
      </c>
      <c r="C400" s="1" t="s">
        <v>185</v>
      </c>
      <c r="CS400" s="1" t="s">
        <v>93</v>
      </c>
      <c r="GD400" s="1" t="s">
        <v>563</v>
      </c>
      <c r="GE400" s="1" t="s">
        <v>755</v>
      </c>
    </row>
    <row r="401" spans="1:187" ht="11.25" customHeight="1">
      <c r="A401" s="1" t="s">
        <v>756</v>
      </c>
      <c r="B401" s="1" t="str">
        <f ca="1">IFERROR(__xludf.DUMMYFUNCTION("GOOGLETRANSLATE(A401, ""en"", ""fr"")"),"MODIFIER")</f>
        <v>MODIFIER</v>
      </c>
      <c r="C401" s="1" t="s">
        <v>185</v>
      </c>
      <c r="J401" s="1" t="s">
        <v>6</v>
      </c>
      <c r="N401" s="1" t="s">
        <v>10</v>
      </c>
      <c r="BW401" s="1" t="s">
        <v>71</v>
      </c>
      <c r="DN401" s="1" t="s">
        <v>114</v>
      </c>
      <c r="FP401" s="1" t="s">
        <v>168</v>
      </c>
      <c r="GD401" s="1" t="s">
        <v>189</v>
      </c>
      <c r="GE401" s="1" t="s">
        <v>190</v>
      </c>
    </row>
    <row r="402" spans="1:187" ht="11.25" customHeight="1">
      <c r="A402" s="1" t="s">
        <v>757</v>
      </c>
      <c r="B402" s="1" t="str">
        <f ca="1">IFERROR(__xludf.DUMMYFUNCTION("GOOGLETRANSLATE(A402, ""en"", ""fr"")"),"ALTÉRATION")</f>
        <v>ALTÉRATION</v>
      </c>
      <c r="C402" s="1" t="s">
        <v>185</v>
      </c>
      <c r="BW402" s="1" t="s">
        <v>71</v>
      </c>
      <c r="FP402" s="1" t="s">
        <v>168</v>
      </c>
      <c r="GD402" s="1" t="s">
        <v>193</v>
      </c>
      <c r="GE402" s="1" t="s">
        <v>190</v>
      </c>
    </row>
    <row r="403" spans="1:187" ht="11.25" customHeight="1">
      <c r="A403" s="1" t="s">
        <v>758</v>
      </c>
      <c r="B403" s="1" t="str">
        <f ca="1">IFERROR(__xludf.DUMMYFUNCTION("GOOGLETRANSLATE(A403, ""en"", ""fr"")"),"ALTERCATION")</f>
        <v>ALTERCATION</v>
      </c>
      <c r="C403" s="1" t="s">
        <v>192</v>
      </c>
      <c r="E403" s="1" t="s">
        <v>16613</v>
      </c>
      <c r="I403" s="1" t="s">
        <v>5</v>
      </c>
      <c r="AN403" s="1" t="s">
        <v>36</v>
      </c>
      <c r="CC403" s="1" t="s">
        <v>77</v>
      </c>
      <c r="GD403" s="1" t="s">
        <v>193</v>
      </c>
      <c r="GE403" s="1" t="s">
        <v>190</v>
      </c>
    </row>
    <row r="404" spans="1:187" ht="11.25" customHeight="1">
      <c r="A404" s="1" t="s">
        <v>759</v>
      </c>
      <c r="B404" s="1" t="str">
        <f ca="1">IFERROR(__xludf.DUMMYFUNCTION("GOOGLETRANSLATE(A404, ""en"", ""fr"")"),"Alternative n ° 1")</f>
        <v>Alternative n ° 1</v>
      </c>
      <c r="C404" s="1" t="s">
        <v>185</v>
      </c>
      <c r="BQ404" s="1" t="s">
        <v>65</v>
      </c>
      <c r="GD404" s="1" t="s">
        <v>202</v>
      </c>
      <c r="GE404" s="1" t="s">
        <v>190</v>
      </c>
    </row>
    <row r="405" spans="1:187" ht="11.25" customHeight="1">
      <c r="A405" s="1" t="s">
        <v>760</v>
      </c>
      <c r="B405" s="1" t="str">
        <f ca="1">IFERROR(__xludf.DUMMYFUNCTION("GOOGLETRANSLATE(A405, ""en"", ""fr"")"),"Alternative # 2")</f>
        <v>Alternative # 2</v>
      </c>
      <c r="C405" s="1" t="s">
        <v>185</v>
      </c>
      <c r="N405" s="1" t="s">
        <v>10</v>
      </c>
      <c r="BW405" s="1" t="s">
        <v>71</v>
      </c>
      <c r="DN405" s="1" t="s">
        <v>114</v>
      </c>
      <c r="GD405" s="1" t="s">
        <v>189</v>
      </c>
      <c r="GE405" s="1" t="s">
        <v>190</v>
      </c>
    </row>
    <row r="406" spans="1:187" ht="11.25" customHeight="1">
      <c r="A406" s="1" t="s">
        <v>761</v>
      </c>
      <c r="B406" s="1" t="str">
        <f ca="1">IFERROR(__xludf.DUMMYFUNCTION("GOOGLETRANSLATE(A406, ""en"", ""fr"")"),"ALTERNATIVE")</f>
        <v>ALTERNATIVE</v>
      </c>
      <c r="C406" s="1" t="s">
        <v>185</v>
      </c>
      <c r="CH406" s="1" t="s">
        <v>82</v>
      </c>
      <c r="FR406" s="1" t="s">
        <v>170</v>
      </c>
      <c r="GD406" s="1" t="s">
        <v>193</v>
      </c>
      <c r="GE406" s="1" t="s">
        <v>190</v>
      </c>
    </row>
    <row r="407" spans="1:187" ht="11.25" customHeight="1">
      <c r="A407" s="1" t="s">
        <v>762</v>
      </c>
      <c r="B407" s="1" t="str">
        <f ca="1">IFERROR(__xludf.DUMMYFUNCTION("GOOGLETRANSLATE(A407, ""en"", ""fr"")"),"BIEN QUE")</f>
        <v>BIEN QUE</v>
      </c>
      <c r="C407" s="1" t="s">
        <v>185</v>
      </c>
      <c r="GD407" s="1" t="s">
        <v>763</v>
      </c>
      <c r="GE407" s="1" t="s">
        <v>764</v>
      </c>
    </row>
    <row r="408" spans="1:187" ht="11.25" customHeight="1">
      <c r="A408" s="1" t="s">
        <v>765</v>
      </c>
      <c r="B408" s="1" t="str">
        <f ca="1">IFERROR(__xludf.DUMMYFUNCTION("GOOGLETRANSLATE(A408, ""en"", ""fr"")"),"TOUT À FAIT")</f>
        <v>TOUT À FAIT</v>
      </c>
      <c r="C408" s="1" t="s">
        <v>185</v>
      </c>
      <c r="W408" s="1" t="s">
        <v>19</v>
      </c>
      <c r="FY408" s="1" t="s">
        <v>177</v>
      </c>
      <c r="GD408" s="1" t="s">
        <v>236</v>
      </c>
      <c r="GE408" s="1" t="s">
        <v>190</v>
      </c>
    </row>
    <row r="409" spans="1:187" ht="11.25" customHeight="1">
      <c r="A409" s="1" t="s">
        <v>766</v>
      </c>
      <c r="B409" s="1" t="str">
        <f ca="1">IFERROR(__xludf.DUMMYFUNCTION("GOOGLETRANSLATE(A409, ""en"", ""fr"")"),"ALTRUISTE")</f>
        <v>ALTRUISTE</v>
      </c>
      <c r="C409" s="1" t="s">
        <v>192</v>
      </c>
      <c r="D409" s="1" t="s">
        <v>16612</v>
      </c>
      <c r="G409" s="1" t="s">
        <v>3</v>
      </c>
      <c r="U409" s="1" t="s">
        <v>17</v>
      </c>
      <c r="CD409" s="1" t="s">
        <v>78</v>
      </c>
      <c r="DQ409" s="1" t="s">
        <v>117</v>
      </c>
      <c r="GD409" s="1" t="s">
        <v>202</v>
      </c>
      <c r="GE409" s="1" t="s">
        <v>190</v>
      </c>
    </row>
    <row r="410" spans="1:187" ht="11.25" customHeight="1">
      <c r="A410" s="1" t="s">
        <v>767</v>
      </c>
      <c r="B410" s="1" t="str">
        <f ca="1">IFERROR(__xludf.DUMMYFUNCTION("GOOGLETRANSLATE(A410, ""en"", ""fr"")"),"Aluminium # 1")</f>
        <v>Aluminium # 1</v>
      </c>
      <c r="C410" s="1" t="s">
        <v>192</v>
      </c>
      <c r="GE410" s="1" t="s">
        <v>190</v>
      </c>
    </row>
    <row r="411" spans="1:187" ht="11.25" customHeight="1">
      <c r="A411" s="1" t="s">
        <v>768</v>
      </c>
      <c r="B411" s="1" t="str">
        <f ca="1">IFERROR(__xludf.DUMMYFUNCTION("GOOGLETRANSLATE(A411, ""en"", ""fr"")"),"ALUMINIUM")</f>
        <v>ALUMINIUM</v>
      </c>
      <c r="C411" s="1" t="s">
        <v>185</v>
      </c>
      <c r="AA411" s="1" t="s">
        <v>23</v>
      </c>
      <c r="AC411" s="1" t="s">
        <v>25</v>
      </c>
      <c r="BC411" s="1" t="s">
        <v>51</v>
      </c>
      <c r="BD411" s="1" t="s">
        <v>52</v>
      </c>
      <c r="GD411" s="1" t="s">
        <v>193</v>
      </c>
      <c r="GE411" s="1" t="s">
        <v>190</v>
      </c>
    </row>
    <row r="412" spans="1:187" ht="11.25" customHeight="1">
      <c r="A412" s="1" t="s">
        <v>769</v>
      </c>
      <c r="B412" s="1" t="str">
        <f ca="1">IFERROR(__xludf.DUMMYFUNCTION("GOOGLETRANSLATE(A412, ""en"", ""fr"")"),"TOUJOURS")</f>
        <v>TOUJOURS</v>
      </c>
      <c r="C412" s="1" t="s">
        <v>185</v>
      </c>
      <c r="W412" s="1" t="s">
        <v>19</v>
      </c>
      <c r="BR412" s="1" t="s">
        <v>66</v>
      </c>
      <c r="FY412" s="1" t="s">
        <v>177</v>
      </c>
      <c r="GD412" s="1" t="s">
        <v>236</v>
      </c>
      <c r="GE412" s="1" t="s">
        <v>770</v>
      </c>
    </row>
    <row r="413" spans="1:187" ht="11.25" customHeight="1">
      <c r="A413" s="1" t="s">
        <v>771</v>
      </c>
      <c r="B413" s="1" t="str">
        <f ca="1">IFERROR(__xludf.DUMMYFUNCTION("GOOGLETRANSLATE(A413, ""en"", ""fr"")"),"Am # 1")</f>
        <v>Am # 1</v>
      </c>
      <c r="C413" s="1" t="s">
        <v>185</v>
      </c>
      <c r="DP413" s="1" t="s">
        <v>116</v>
      </c>
      <c r="GD413" s="1" t="s">
        <v>772</v>
      </c>
      <c r="GE413" s="1" t="s">
        <v>773</v>
      </c>
    </row>
    <row r="414" spans="1:187" ht="11.25" customHeight="1">
      <c r="A414" s="1" t="s">
        <v>774</v>
      </c>
      <c r="B414" s="1" t="str">
        <f ca="1">IFERROR(__xludf.DUMMYFUNCTION("GOOGLETRANSLATE(A414, ""en"", ""fr"")"),"Am # 2")</f>
        <v>Am # 2</v>
      </c>
      <c r="C414" s="1" t="s">
        <v>185</v>
      </c>
      <c r="DP414" s="1" t="s">
        <v>116</v>
      </c>
      <c r="GD414" s="1" t="s">
        <v>772</v>
      </c>
      <c r="GE414" s="1" t="s">
        <v>775</v>
      </c>
    </row>
    <row r="415" spans="1:187" ht="11.25" customHeight="1">
      <c r="A415" s="1" t="s">
        <v>776</v>
      </c>
      <c r="B415" s="1" t="str">
        <f ca="1">IFERROR(__xludf.DUMMYFUNCTION("GOOGLETRANSLATE(A415, ""en"", ""fr"")"),"Am # 3")</f>
        <v>Am # 3</v>
      </c>
      <c r="C415" s="1" t="s">
        <v>185</v>
      </c>
      <c r="CY415" s="1" t="s">
        <v>99</v>
      </c>
      <c r="GB415" s="1" t="s">
        <v>180</v>
      </c>
      <c r="GD415" s="1" t="s">
        <v>236</v>
      </c>
      <c r="GE415" s="1" t="s">
        <v>777</v>
      </c>
    </row>
    <row r="416" spans="1:187" ht="11.25" customHeight="1">
      <c r="A416" s="1" t="s">
        <v>778</v>
      </c>
      <c r="B416" s="1" t="str">
        <f ca="1">IFERROR(__xludf.DUMMYFUNCTION("GOOGLETRANSLATE(A416, ""en"", ""fr"")"),"AMATEUR")</f>
        <v>AMATEUR</v>
      </c>
      <c r="C416" s="1" t="s">
        <v>185</v>
      </c>
      <c r="L416" s="1" t="s">
        <v>8</v>
      </c>
      <c r="AJ416" s="1" t="s">
        <v>32</v>
      </c>
      <c r="AT416" s="1" t="s">
        <v>42</v>
      </c>
      <c r="FK416" s="1" t="s">
        <v>163</v>
      </c>
      <c r="FM416" s="1" t="s">
        <v>418</v>
      </c>
      <c r="GD416" s="1" t="s">
        <v>193</v>
      </c>
      <c r="GE416" s="1" t="s">
        <v>190</v>
      </c>
    </row>
    <row r="417" spans="1:187" ht="11.25" customHeight="1">
      <c r="A417" s="1" t="s">
        <v>779</v>
      </c>
      <c r="B417" s="1" t="str">
        <f ca="1">IFERROR(__xludf.DUMMYFUNCTION("GOOGLETRANSLATE(A417, ""en"", ""fr"")"),"Étonner # 1")</f>
        <v>Étonner # 1</v>
      </c>
      <c r="C417" s="1" t="s">
        <v>185</v>
      </c>
      <c r="S417" s="1" t="s">
        <v>15</v>
      </c>
      <c r="W417" s="1" t="s">
        <v>19</v>
      </c>
      <c r="GD417" s="1" t="s">
        <v>202</v>
      </c>
      <c r="GE417" s="1" t="s">
        <v>190</v>
      </c>
    </row>
    <row r="418" spans="1:187" ht="11.25" customHeight="1">
      <c r="A418" s="1" t="s">
        <v>780</v>
      </c>
      <c r="B418" s="1" t="str">
        <f ca="1">IFERROR(__xludf.DUMMYFUNCTION("GOOGLETRANSLATE(A418, ""en"", ""fr"")"),"Étonnant # 2")</f>
        <v>Étonnant # 2</v>
      </c>
      <c r="C418" s="1" t="s">
        <v>185</v>
      </c>
      <c r="S418" s="1" t="s">
        <v>15</v>
      </c>
      <c r="W418" s="1" t="s">
        <v>19</v>
      </c>
      <c r="DN418" s="1" t="s">
        <v>114</v>
      </c>
      <c r="GD418" s="1" t="s">
        <v>189</v>
      </c>
      <c r="GE418" s="1" t="s">
        <v>190</v>
      </c>
    </row>
    <row r="419" spans="1:187" ht="11.25" customHeight="1">
      <c r="A419" s="1" t="s">
        <v>781</v>
      </c>
      <c r="B419" s="1" t="str">
        <f ca="1">IFERROR(__xludf.DUMMYFUNCTION("GOOGLETRANSLATE(A419, ""en"", ""fr"")"),"STUPÉFACTION")</f>
        <v>STUPÉFACTION</v>
      </c>
      <c r="C419" s="1" t="s">
        <v>192</v>
      </c>
      <c r="D419" s="1" t="s">
        <v>16612</v>
      </c>
      <c r="J419" s="1" t="s">
        <v>6</v>
      </c>
      <c r="K419" s="1" t="s">
        <v>7</v>
      </c>
      <c r="GD419" s="1" t="s">
        <v>193</v>
      </c>
      <c r="GE419" s="1" t="s">
        <v>190</v>
      </c>
    </row>
    <row r="420" spans="1:187" ht="11.25" customHeight="1">
      <c r="A420" s="1" t="s">
        <v>782</v>
      </c>
      <c r="B420" s="1" t="str">
        <f ca="1">IFERROR(__xludf.DUMMYFUNCTION("GOOGLETRANSLATE(A420, ""en"", ""fr"")"),"INCROYABLE")</f>
        <v>INCROYABLE</v>
      </c>
      <c r="C420" s="1" t="s">
        <v>192</v>
      </c>
      <c r="D420" s="1" t="s">
        <v>16612</v>
      </c>
      <c r="J420" s="1" t="s">
        <v>6</v>
      </c>
      <c r="K420" s="1" t="s">
        <v>7</v>
      </c>
      <c r="W420" s="1" t="s">
        <v>19</v>
      </c>
      <c r="DR420" s="1" t="s">
        <v>118</v>
      </c>
      <c r="GD420" s="1" t="s">
        <v>202</v>
      </c>
      <c r="GE420" s="1" t="s">
        <v>190</v>
      </c>
    </row>
    <row r="421" spans="1:187" ht="11.25" customHeight="1">
      <c r="A421" s="1" t="s">
        <v>783</v>
      </c>
      <c r="B421" s="1" t="str">
        <f ca="1">IFERROR(__xludf.DUMMYFUNCTION("GOOGLETRANSLATE(A421, ""en"", ""fr"")"),"AMBASSADEUR")</f>
        <v>AMBASSADEUR</v>
      </c>
      <c r="C421" s="1" t="s">
        <v>185</v>
      </c>
      <c r="K421" s="1" t="s">
        <v>7</v>
      </c>
      <c r="AG421" s="1" t="s">
        <v>29</v>
      </c>
      <c r="AH421" s="1" t="s">
        <v>30</v>
      </c>
      <c r="AJ421" s="1" t="s">
        <v>32</v>
      </c>
      <c r="AT421" s="1" t="s">
        <v>42</v>
      </c>
      <c r="DY421" s="1" t="s">
        <v>125</v>
      </c>
      <c r="ED421" s="1" t="s">
        <v>130</v>
      </c>
      <c r="GD421" s="1" t="s">
        <v>193</v>
      </c>
      <c r="GE421" s="1" t="s">
        <v>190</v>
      </c>
    </row>
    <row r="422" spans="1:187" ht="11.25" customHeight="1">
      <c r="A422" s="1" t="s">
        <v>784</v>
      </c>
      <c r="B422" s="1" t="str">
        <f ca="1">IFERROR(__xludf.DUMMYFUNCTION("GOOGLETRANSLATE(A422, ""en"", ""fr"")"),"AMBIGUÏTÉ")</f>
        <v>AMBIGUÏTÉ</v>
      </c>
      <c r="C422" s="1" t="s">
        <v>185</v>
      </c>
      <c r="E422" s="1" t="s">
        <v>16613</v>
      </c>
      <c r="H422" s="1" t="s">
        <v>4</v>
      </c>
      <c r="X422" s="1" t="s">
        <v>20</v>
      </c>
      <c r="CK422" s="1" t="s">
        <v>85</v>
      </c>
      <c r="FZ422" s="1" t="s">
        <v>178</v>
      </c>
      <c r="GD422" s="1" t="s">
        <v>193</v>
      </c>
      <c r="GE422" s="1" t="s">
        <v>190</v>
      </c>
    </row>
    <row r="423" spans="1:187" ht="11.25" customHeight="1">
      <c r="A423" s="1" t="s">
        <v>785</v>
      </c>
      <c r="B423" s="1" t="str">
        <f ca="1">IFERROR(__xludf.DUMMYFUNCTION("GOOGLETRANSLATE(A423, ""en"", ""fr"")"),"AMBIGUË")</f>
        <v>AMBIGUË</v>
      </c>
      <c r="C423" s="1" t="s">
        <v>185</v>
      </c>
      <c r="E423" s="1" t="s">
        <v>16613</v>
      </c>
      <c r="H423" s="1" t="s">
        <v>4</v>
      </c>
      <c r="X423" s="1" t="s">
        <v>20</v>
      </c>
      <c r="CK423" s="1" t="s">
        <v>85</v>
      </c>
      <c r="FZ423" s="1" t="s">
        <v>178</v>
      </c>
      <c r="GD423" s="1" t="s">
        <v>202</v>
      </c>
      <c r="GE423" s="1" t="s">
        <v>190</v>
      </c>
    </row>
    <row r="424" spans="1:187" ht="11.25" customHeight="1">
      <c r="A424" s="1" t="s">
        <v>786</v>
      </c>
      <c r="B424" s="1" t="str">
        <f ca="1">IFERROR(__xludf.DUMMYFUNCTION("GOOGLETRANSLATE(A424, ""en"", ""fr"")"),"AMBITION")</f>
        <v>AMBITION</v>
      </c>
      <c r="C424" s="1" t="s">
        <v>185</v>
      </c>
      <c r="J424" s="1" t="s">
        <v>6</v>
      </c>
      <c r="K424" s="1" t="s">
        <v>7</v>
      </c>
      <c r="U424" s="1" t="s">
        <v>17</v>
      </c>
      <c r="AC424" s="1" t="s">
        <v>25</v>
      </c>
      <c r="AH424" s="1" t="s">
        <v>30</v>
      </c>
      <c r="DU424" s="1" t="s">
        <v>121</v>
      </c>
      <c r="ED424" s="1" t="s">
        <v>130</v>
      </c>
      <c r="GD424" s="1" t="s">
        <v>193</v>
      </c>
      <c r="GE424" s="1" t="s">
        <v>787</v>
      </c>
    </row>
    <row r="425" spans="1:187" ht="11.25" customHeight="1">
      <c r="A425" s="1" t="s">
        <v>788</v>
      </c>
      <c r="B425" s="1" t="str">
        <f ca="1">IFERROR(__xludf.DUMMYFUNCTION("GOOGLETRANSLATE(A425, ""en"", ""fr"")"),"AMBITIEUX")</f>
        <v>AMBITIEUX</v>
      </c>
      <c r="C425" s="1" t="s">
        <v>185</v>
      </c>
      <c r="J425" s="1" t="s">
        <v>6</v>
      </c>
      <c r="K425" s="1" t="s">
        <v>7</v>
      </c>
      <c r="N425" s="1" t="s">
        <v>10</v>
      </c>
      <c r="U425" s="1" t="s">
        <v>17</v>
      </c>
      <c r="DU425" s="1" t="s">
        <v>121</v>
      </c>
      <c r="ED425" s="1" t="s">
        <v>130</v>
      </c>
      <c r="GD425" s="1" t="s">
        <v>202</v>
      </c>
      <c r="GE425" s="1" t="s">
        <v>190</v>
      </c>
    </row>
    <row r="426" spans="1:187" ht="11.25" customHeight="1">
      <c r="A426" s="1" t="s">
        <v>789</v>
      </c>
      <c r="B426" s="1" t="str">
        <f ca="1">IFERROR(__xludf.DUMMYFUNCTION("GOOGLETRANSLATE(A426, ""en"", ""fr"")"),"AMBIVALENT")</f>
        <v>AMBIVALENT</v>
      </c>
      <c r="C426" s="1" t="s">
        <v>185</v>
      </c>
      <c r="E426" s="1" t="s">
        <v>16613</v>
      </c>
      <c r="H426" s="1" t="s">
        <v>4</v>
      </c>
      <c r="L426" s="1" t="s">
        <v>8</v>
      </c>
      <c r="Q426" s="1" t="s">
        <v>13</v>
      </c>
      <c r="T426" s="1" t="s">
        <v>16</v>
      </c>
      <c r="FZ426" s="1" t="s">
        <v>178</v>
      </c>
      <c r="GD426" s="1" t="s">
        <v>202</v>
      </c>
      <c r="GE426" s="1" t="s">
        <v>190</v>
      </c>
    </row>
    <row r="427" spans="1:187" ht="11.25" customHeight="1">
      <c r="A427" s="1" t="s">
        <v>790</v>
      </c>
      <c r="B427" s="1" t="str">
        <f ca="1">IFERROR(__xludf.DUMMYFUNCTION("GOOGLETRANSLATE(A427, ""en"", ""fr"")"),"AMBULANCE")</f>
        <v>AMBULANCE</v>
      </c>
      <c r="C427" s="1" t="s">
        <v>196</v>
      </c>
      <c r="EZ427" s="1" t="s">
        <v>152</v>
      </c>
      <c r="FC427" s="1" t="s">
        <v>155</v>
      </c>
      <c r="GD427" s="1" t="s">
        <v>193</v>
      </c>
    </row>
    <row r="428" spans="1:187" ht="11.25" customHeight="1">
      <c r="A428" s="1" t="s">
        <v>791</v>
      </c>
      <c r="B428" s="1" t="str">
        <f ca="1">IFERROR(__xludf.DUMMYFUNCTION("GOOGLETRANSLATE(A428, ""en"", ""fr"")"),"Ambuscade # 1")</f>
        <v>Ambuscade # 1</v>
      </c>
      <c r="C428" s="1" t="s">
        <v>185</v>
      </c>
      <c r="E428" s="1" t="s">
        <v>16613</v>
      </c>
      <c r="H428" s="1" t="s">
        <v>4</v>
      </c>
      <c r="I428" s="1" t="s">
        <v>5</v>
      </c>
      <c r="J428" s="1" t="s">
        <v>6</v>
      </c>
      <c r="N428" s="1" t="s">
        <v>10</v>
      </c>
      <c r="AF428" s="1" t="s">
        <v>28</v>
      </c>
      <c r="AM428" s="1" t="s">
        <v>35</v>
      </c>
      <c r="DW428" s="1" t="s">
        <v>123</v>
      </c>
      <c r="ED428" s="1" t="s">
        <v>130</v>
      </c>
      <c r="GD428" s="1" t="s">
        <v>193</v>
      </c>
      <c r="GE428" s="1" t="s">
        <v>190</v>
      </c>
    </row>
    <row r="429" spans="1:187" ht="11.25" customHeight="1">
      <c r="A429" s="1" t="s">
        <v>792</v>
      </c>
      <c r="B429" s="1" t="str">
        <f ca="1">IFERROR(__xludf.DUMMYFUNCTION("GOOGLETRANSLATE(A429, ""en"", ""fr"")"),"Ambuscade # 2")</f>
        <v>Ambuscade # 2</v>
      </c>
      <c r="C429" s="1" t="s">
        <v>185</v>
      </c>
      <c r="E429" s="1" t="s">
        <v>16613</v>
      </c>
      <c r="H429" s="1" t="s">
        <v>4</v>
      </c>
      <c r="I429" s="1" t="s">
        <v>5</v>
      </c>
      <c r="J429" s="1" t="s">
        <v>6</v>
      </c>
      <c r="N429" s="1" t="s">
        <v>10</v>
      </c>
      <c r="AF429" s="1" t="s">
        <v>28</v>
      </c>
      <c r="AN429" s="1" t="s">
        <v>36</v>
      </c>
      <c r="DN429" s="1" t="s">
        <v>114</v>
      </c>
      <c r="DW429" s="1" t="s">
        <v>123</v>
      </c>
      <c r="ED429" s="1" t="s">
        <v>130</v>
      </c>
      <c r="GD429" s="1" t="s">
        <v>189</v>
      </c>
      <c r="GE429" s="1" t="s">
        <v>190</v>
      </c>
    </row>
    <row r="430" spans="1:187" ht="11.25" customHeight="1">
      <c r="A430" s="1" t="s">
        <v>793</v>
      </c>
      <c r="B430" s="1" t="str">
        <f ca="1">IFERROR(__xludf.DUMMYFUNCTION("GOOGLETRANSLATE(A430, ""en"", ""fr"")"),"AMÉLIORER")</f>
        <v>AMÉLIORER</v>
      </c>
      <c r="C430" s="1" t="s">
        <v>185</v>
      </c>
      <c r="D430" s="1" t="s">
        <v>16612</v>
      </c>
      <c r="F430" s="1" t="s">
        <v>2</v>
      </c>
      <c r="G430" s="1" t="s">
        <v>3</v>
      </c>
      <c r="N430" s="1" t="s">
        <v>10</v>
      </c>
      <c r="AN430" s="1" t="s">
        <v>36</v>
      </c>
      <c r="DN430" s="1" t="s">
        <v>114</v>
      </c>
      <c r="FN430" s="1" t="s">
        <v>166</v>
      </c>
      <c r="GD430" s="1" t="s">
        <v>189</v>
      </c>
      <c r="GE430" s="1" t="s">
        <v>190</v>
      </c>
    </row>
    <row r="431" spans="1:187" ht="11.25" customHeight="1">
      <c r="A431" s="1" t="s">
        <v>794</v>
      </c>
      <c r="B431" s="1" t="str">
        <f ca="1">IFERROR(__xludf.DUMMYFUNCTION("GOOGLETRANSLATE(A431, ""en"", ""fr"")"),"AMÉLIORATION")</f>
        <v>AMÉLIORATION</v>
      </c>
      <c r="C431" s="1" t="s">
        <v>196</v>
      </c>
      <c r="EX431" s="1" t="s">
        <v>150</v>
      </c>
      <c r="FC431" s="1" t="s">
        <v>155</v>
      </c>
      <c r="GD431" s="1" t="s">
        <v>193</v>
      </c>
    </row>
    <row r="432" spans="1:187" ht="11.25" customHeight="1">
      <c r="A432" s="1" t="s">
        <v>795</v>
      </c>
      <c r="B432" s="1" t="str">
        <f ca="1">IFERROR(__xludf.DUMMYFUNCTION("GOOGLETRANSLATE(A432, ""en"", ""fr"")"),"AMEN")</f>
        <v>AMEN</v>
      </c>
      <c r="C432" s="1" t="s">
        <v>192</v>
      </c>
      <c r="DJ432" s="1" t="s">
        <v>110</v>
      </c>
      <c r="DM432" s="1" t="s">
        <v>113</v>
      </c>
      <c r="GE432" s="1" t="s">
        <v>190</v>
      </c>
    </row>
    <row r="433" spans="1:187" ht="11.25" customHeight="1">
      <c r="A433" s="1" t="s">
        <v>796</v>
      </c>
      <c r="B433" s="1" t="str">
        <f ca="1">IFERROR(__xludf.DUMMYFUNCTION("GOOGLETRANSLATE(A433, ""en"", ""fr"")"),"Prudent")</f>
        <v>Prudent</v>
      </c>
      <c r="C433" s="1" t="s">
        <v>192</v>
      </c>
      <c r="D433" s="1" t="s">
        <v>16612</v>
      </c>
      <c r="G433" s="1" t="s">
        <v>3</v>
      </c>
      <c r="U433" s="1" t="s">
        <v>17</v>
      </c>
      <c r="BW433" s="1" t="s">
        <v>71</v>
      </c>
      <c r="DR433" s="1" t="s">
        <v>118</v>
      </c>
      <c r="GD433" s="1" t="s">
        <v>202</v>
      </c>
      <c r="GE433" s="1" t="s">
        <v>190</v>
      </c>
    </row>
    <row r="434" spans="1:187" ht="11.25" customHeight="1">
      <c r="A434" s="1" t="s">
        <v>797</v>
      </c>
      <c r="B434" s="1" t="str">
        <f ca="1">IFERROR(__xludf.DUMMYFUNCTION("GOOGLETRANSLATE(A434, ""en"", ""fr"")"),"Modifier n ° 1")</f>
        <v>Modifier n ° 1</v>
      </c>
      <c r="C434" s="1" t="s">
        <v>185</v>
      </c>
      <c r="BW434" s="1" t="s">
        <v>71</v>
      </c>
      <c r="EB434" s="1" t="s">
        <v>128</v>
      </c>
      <c r="ED434" s="1" t="s">
        <v>130</v>
      </c>
      <c r="GD434" s="1" t="s">
        <v>202</v>
      </c>
      <c r="GE434" s="1" t="s">
        <v>190</v>
      </c>
    </row>
    <row r="435" spans="1:187" ht="11.25" customHeight="1">
      <c r="A435" s="1" t="s">
        <v>798</v>
      </c>
      <c r="B435" s="1" t="str">
        <f ca="1">IFERROR(__xludf.DUMMYFUNCTION("GOOGLETRANSLATE(A435, ""en"", ""fr"")"),"Modifier n ° 2")</f>
        <v>Modifier n ° 2</v>
      </c>
      <c r="C435" s="1" t="s">
        <v>185</v>
      </c>
      <c r="N435" s="1" t="s">
        <v>10</v>
      </c>
      <c r="BW435" s="1" t="s">
        <v>71</v>
      </c>
      <c r="DN435" s="1" t="s">
        <v>114</v>
      </c>
      <c r="EB435" s="1" t="s">
        <v>128</v>
      </c>
      <c r="ED435" s="1" t="s">
        <v>130</v>
      </c>
      <c r="GD435" s="1" t="s">
        <v>189</v>
      </c>
      <c r="GE435" s="1" t="s">
        <v>190</v>
      </c>
    </row>
    <row r="436" spans="1:187" ht="11.25" customHeight="1">
      <c r="A436" s="1" t="s">
        <v>799</v>
      </c>
      <c r="B436" s="1" t="str">
        <f ca="1">IFERROR(__xludf.DUMMYFUNCTION("GOOGLETRANSLATE(A436, ""en"", ""fr"")"),"AMENDEMENT")</f>
        <v>AMENDEMENT</v>
      </c>
      <c r="C436" s="1" t="s">
        <v>185</v>
      </c>
      <c r="AE436" s="1" t="s">
        <v>27</v>
      </c>
      <c r="AG436" s="1" t="s">
        <v>29</v>
      </c>
      <c r="AH436" s="1" t="s">
        <v>30</v>
      </c>
      <c r="BK436" s="1" t="s">
        <v>59</v>
      </c>
      <c r="BL436" s="1" t="s">
        <v>60</v>
      </c>
      <c r="EB436" s="1" t="s">
        <v>128</v>
      </c>
      <c r="ED436" s="1" t="s">
        <v>130</v>
      </c>
      <c r="GC436" s="1" t="s">
        <v>181</v>
      </c>
      <c r="GD436" s="1" t="s">
        <v>193</v>
      </c>
      <c r="GE436" s="1" t="s">
        <v>190</v>
      </c>
    </row>
    <row r="437" spans="1:187" ht="11.25" customHeight="1">
      <c r="A437" s="1" t="s">
        <v>800</v>
      </c>
      <c r="B437" s="1" t="str">
        <f ca="1">IFERROR(__xludf.DUMMYFUNCTION("GOOGLETRANSLATE(A437, ""en"", ""fr"")"),"AMÉNITÉ")</f>
        <v>AMÉNITÉ</v>
      </c>
      <c r="C437" s="1" t="s">
        <v>185</v>
      </c>
      <c r="D437" s="1" t="s">
        <v>16612</v>
      </c>
      <c r="BC437" s="1" t="s">
        <v>51</v>
      </c>
      <c r="GD437" s="1" t="s">
        <v>193</v>
      </c>
      <c r="GE437" s="1" t="s">
        <v>190</v>
      </c>
    </row>
    <row r="438" spans="1:187" ht="11.25" customHeight="1">
      <c r="A438" s="1" t="s">
        <v>801</v>
      </c>
      <c r="B438" s="1" t="str">
        <f ca="1">IFERROR(__xludf.DUMMYFUNCTION("GOOGLETRANSLATE(A438, ""en"", ""fr"")"),"AMÉRIQUE")</f>
        <v>AMÉRIQUE</v>
      </c>
      <c r="C438" s="1" t="s">
        <v>185</v>
      </c>
      <c r="AC438" s="1" t="s">
        <v>25</v>
      </c>
      <c r="AH438" s="1" t="s">
        <v>30</v>
      </c>
      <c r="DI438" s="1" t="s">
        <v>109</v>
      </c>
      <c r="GD438" s="1" t="s">
        <v>193</v>
      </c>
      <c r="GE438" s="1" t="s">
        <v>190</v>
      </c>
    </row>
    <row r="439" spans="1:187" ht="11.25" customHeight="1">
      <c r="A439" s="1" t="s">
        <v>802</v>
      </c>
      <c r="B439" s="1" t="str">
        <f ca="1">IFERROR(__xludf.DUMMYFUNCTION("GOOGLETRANSLATE(A439, ""en"", ""fr"")"),"AMÉRICAIN")</f>
        <v>AMÉRICAIN</v>
      </c>
      <c r="C439" s="1" t="s">
        <v>185</v>
      </c>
      <c r="AC439" s="1" t="s">
        <v>25</v>
      </c>
      <c r="AH439" s="1" t="s">
        <v>30</v>
      </c>
      <c r="DI439" s="1" t="s">
        <v>109</v>
      </c>
      <c r="GD439" s="1" t="s">
        <v>193</v>
      </c>
      <c r="GE439" s="1" t="s">
        <v>190</v>
      </c>
    </row>
    <row r="440" spans="1:187" ht="11.25" customHeight="1">
      <c r="A440" s="1" t="s">
        <v>803</v>
      </c>
      <c r="B440" s="1" t="str">
        <f ca="1">IFERROR(__xludf.DUMMYFUNCTION("GOOGLETRANSLATE(A440, ""en"", ""fr"")"),"AMABILITÉ")</f>
        <v>AMABILITÉ</v>
      </c>
      <c r="C440" s="1" t="s">
        <v>192</v>
      </c>
      <c r="D440" s="1" t="s">
        <v>16612</v>
      </c>
      <c r="G440" s="1" t="s">
        <v>3</v>
      </c>
      <c r="U440" s="1" t="s">
        <v>17</v>
      </c>
      <c r="GD440" s="1" t="s">
        <v>193</v>
      </c>
      <c r="GE440" s="1" t="s">
        <v>190</v>
      </c>
    </row>
    <row r="441" spans="1:187" ht="11.25" customHeight="1">
      <c r="A441" s="1" t="s">
        <v>804</v>
      </c>
      <c r="B441" s="1" t="str">
        <f ca="1">IFERROR(__xludf.DUMMYFUNCTION("GOOGLETRANSLATE(A441, ""en"", ""fr"")"),"AIMABLE")</f>
        <v>AIMABLE</v>
      </c>
      <c r="C441" s="1" t="s">
        <v>192</v>
      </c>
      <c r="D441" s="1" t="s">
        <v>16612</v>
      </c>
      <c r="G441" s="1" t="s">
        <v>3</v>
      </c>
      <c r="U441" s="1" t="s">
        <v>17</v>
      </c>
      <c r="DQ441" s="1" t="s">
        <v>117</v>
      </c>
      <c r="GD441" s="1" t="s">
        <v>202</v>
      </c>
      <c r="GE441" s="1" t="s">
        <v>190</v>
      </c>
    </row>
    <row r="442" spans="1:187" ht="11.25" customHeight="1">
      <c r="A442" s="1" t="s">
        <v>805</v>
      </c>
      <c r="B442" s="1" t="str">
        <f ca="1">IFERROR(__xludf.DUMMYFUNCTION("GOOGLETRANSLATE(A442, ""en"", ""fr"")"),"AMICAL")</f>
        <v>AMICAL</v>
      </c>
      <c r="C442" s="1" t="s">
        <v>185</v>
      </c>
      <c r="D442" s="1" t="s">
        <v>16612</v>
      </c>
      <c r="G442" s="1" t="s">
        <v>3</v>
      </c>
      <c r="U442" s="1" t="s">
        <v>17</v>
      </c>
      <c r="DQ442" s="1" t="s">
        <v>117</v>
      </c>
      <c r="ER442" s="1" t="s">
        <v>144</v>
      </c>
      <c r="ES442" s="1" t="s">
        <v>145</v>
      </c>
      <c r="GD442" s="1" t="s">
        <v>202</v>
      </c>
      <c r="GE442" s="1" t="s">
        <v>190</v>
      </c>
    </row>
    <row r="443" spans="1:187" ht="11.25" customHeight="1">
      <c r="A443" s="1" t="s">
        <v>806</v>
      </c>
      <c r="B443" s="1" t="str">
        <f ca="1">IFERROR(__xludf.DUMMYFUNCTION("GOOGLETRANSLATE(A443, ""en"", ""fr"")"),"AU MILIEU DE")</f>
        <v>AU MILIEU DE</v>
      </c>
      <c r="C443" s="1" t="s">
        <v>185</v>
      </c>
      <c r="DA443" s="1" t="s">
        <v>101</v>
      </c>
      <c r="GB443" s="1" t="s">
        <v>180</v>
      </c>
      <c r="GD443" s="1" t="s">
        <v>215</v>
      </c>
      <c r="GE443" s="1" t="s">
        <v>190</v>
      </c>
    </row>
    <row r="444" spans="1:187" ht="11.25" customHeight="1">
      <c r="A444" s="1" t="s">
        <v>807</v>
      </c>
      <c r="B444" s="1" t="str">
        <f ca="1">IFERROR(__xludf.DUMMYFUNCTION("GOOGLETRANSLATE(A444, ""en"", ""fr"")"),"AU MILIEU DE")</f>
        <v>AU MILIEU DE</v>
      </c>
      <c r="C444" s="1" t="s">
        <v>185</v>
      </c>
      <c r="DA444" s="1" t="s">
        <v>101</v>
      </c>
      <c r="GB444" s="1" t="s">
        <v>180</v>
      </c>
      <c r="GD444" s="1" t="s">
        <v>215</v>
      </c>
      <c r="GE444" s="1" t="s">
        <v>190</v>
      </c>
    </row>
    <row r="445" spans="1:187" ht="11.25" customHeight="1">
      <c r="A445" s="1" t="s">
        <v>808</v>
      </c>
      <c r="B445" s="1" t="str">
        <f ca="1">IFERROR(__xludf.DUMMYFUNCTION("GOOGLETRANSLATE(A445, ""en"", ""fr"")"),"UN RATÉ")</f>
        <v>UN RATÉ</v>
      </c>
      <c r="C445" s="1" t="s">
        <v>185</v>
      </c>
      <c r="E445" s="1" t="s">
        <v>16613</v>
      </c>
      <c r="H445" s="1" t="s">
        <v>4</v>
      </c>
      <c r="V445" s="1" t="s">
        <v>18</v>
      </c>
      <c r="FW445" s="1" t="s">
        <v>175</v>
      </c>
      <c r="GD445" s="1" t="s">
        <v>236</v>
      </c>
      <c r="GE445" s="1" t="s">
        <v>190</v>
      </c>
    </row>
    <row r="446" spans="1:187" ht="11.25" customHeight="1">
      <c r="A446" s="1" t="s">
        <v>809</v>
      </c>
      <c r="B446" s="1" t="str">
        <f ca="1">IFERROR(__xludf.DUMMYFUNCTION("GOOGLETRANSLATE(A446, ""en"", ""fr"")"),"MUNITION")</f>
        <v>MUNITION</v>
      </c>
      <c r="C446" s="1" t="s">
        <v>185</v>
      </c>
      <c r="AF446" s="1" t="s">
        <v>28</v>
      </c>
      <c r="BC446" s="1" t="s">
        <v>51</v>
      </c>
      <c r="BD446" s="1" t="s">
        <v>52</v>
      </c>
      <c r="DW446" s="1" t="s">
        <v>123</v>
      </c>
      <c r="ED446" s="1" t="s">
        <v>130</v>
      </c>
      <c r="GD446" s="1" t="s">
        <v>193</v>
      </c>
      <c r="GE446" s="1" t="s">
        <v>190</v>
      </c>
    </row>
    <row r="447" spans="1:187" ht="11.25" customHeight="1">
      <c r="A447" s="1" t="s">
        <v>810</v>
      </c>
      <c r="B447" s="1" t="str">
        <f ca="1">IFERROR(__xludf.DUMMYFUNCTION("GOOGLETRANSLATE(A447, ""en"", ""fr"")"),"AMNISTIE")</f>
        <v>AMNISTIE</v>
      </c>
      <c r="C447" s="1" t="s">
        <v>192</v>
      </c>
      <c r="D447" s="1" t="s">
        <v>16612</v>
      </c>
      <c r="K447" s="1" t="s">
        <v>7</v>
      </c>
      <c r="Z447" s="1" t="s">
        <v>22</v>
      </c>
      <c r="AE447" s="1" t="s">
        <v>27</v>
      </c>
      <c r="GD447" s="1" t="s">
        <v>193</v>
      </c>
      <c r="GE447" s="1" t="s">
        <v>190</v>
      </c>
    </row>
    <row r="448" spans="1:187" ht="11.25" customHeight="1">
      <c r="A448" s="1" t="s">
        <v>811</v>
      </c>
      <c r="B448" s="1" t="str">
        <f ca="1">IFERROR(__xludf.DUMMYFUNCTION("GOOGLETRANSLATE(A448, ""en"", ""fr"")"),"PARMI")</f>
        <v>PARMI</v>
      </c>
      <c r="C448" s="1" t="s">
        <v>185</v>
      </c>
      <c r="DA448" s="1" t="s">
        <v>101</v>
      </c>
      <c r="GB448" s="1" t="s">
        <v>180</v>
      </c>
      <c r="GD448" s="1" t="s">
        <v>215</v>
      </c>
      <c r="GE448" s="1" t="s">
        <v>812</v>
      </c>
    </row>
    <row r="449" spans="1:187" ht="11.25" customHeight="1">
      <c r="A449" s="1" t="s">
        <v>813</v>
      </c>
      <c r="B449" s="1" t="str">
        <f ca="1">IFERROR(__xludf.DUMMYFUNCTION("GOOGLETRANSLATE(A449, ""en"", ""fr"")"),"Montant n ° 1")</f>
        <v>Montant n ° 1</v>
      </c>
      <c r="C449" s="1" t="s">
        <v>185</v>
      </c>
      <c r="CS449" s="1" t="s">
        <v>93</v>
      </c>
      <c r="FR449" s="1" t="s">
        <v>170</v>
      </c>
      <c r="GD449" s="1" t="s">
        <v>193</v>
      </c>
      <c r="GE449" s="1" t="s">
        <v>814</v>
      </c>
    </row>
    <row r="450" spans="1:187" ht="11.25" customHeight="1">
      <c r="A450" s="1" t="s">
        <v>815</v>
      </c>
      <c r="B450" s="1" t="str">
        <f ca="1">IFERROR(__xludf.DUMMYFUNCTION("GOOGLETRANSLATE(A450, ""en"", ""fr"")"),"Montant n ° 2")</f>
        <v>Montant n ° 2</v>
      </c>
      <c r="C450" s="1" t="s">
        <v>185</v>
      </c>
      <c r="DN450" s="1" t="s">
        <v>114</v>
      </c>
      <c r="FR450" s="1" t="s">
        <v>170</v>
      </c>
      <c r="GD450" s="1" t="s">
        <v>400</v>
      </c>
      <c r="GE450" s="1" t="s">
        <v>816</v>
      </c>
    </row>
    <row r="451" spans="1:187" ht="11.25" customHeight="1">
      <c r="A451" s="1" t="s">
        <v>817</v>
      </c>
      <c r="B451" s="1" t="str">
        <f ca="1">IFERROR(__xludf.DUMMYFUNCTION("GOOGLETRANSLATE(A451, ""en"", ""fr"")"),"AMOUR")</f>
        <v>AMOUR</v>
      </c>
      <c r="C451" s="1" t="s">
        <v>192</v>
      </c>
      <c r="D451" s="1" t="s">
        <v>16612</v>
      </c>
      <c r="P451" s="1" t="s">
        <v>12</v>
      </c>
      <c r="T451" s="1" t="s">
        <v>16</v>
      </c>
      <c r="GD451" s="1" t="s">
        <v>193</v>
      </c>
      <c r="GE451" s="1" t="s">
        <v>190</v>
      </c>
    </row>
    <row r="452" spans="1:187" ht="11.25" customHeight="1">
      <c r="A452" s="1" t="s">
        <v>818</v>
      </c>
      <c r="B452" s="1" t="str">
        <f ca="1">IFERROR(__xludf.DUMMYFUNCTION("GOOGLETRANSLATE(A452, ""en"", ""fr"")"),"AMPLE")</f>
        <v>AMPLE</v>
      </c>
      <c r="C452" s="1" t="s">
        <v>185</v>
      </c>
      <c r="D452" s="1" t="s">
        <v>16612</v>
      </c>
      <c r="F452" s="1" t="s">
        <v>2</v>
      </c>
      <c r="J452" s="1" t="s">
        <v>6</v>
      </c>
      <c r="CS452" s="1" t="s">
        <v>93</v>
      </c>
      <c r="FR452" s="1" t="s">
        <v>170</v>
      </c>
      <c r="GD452" s="1" t="s">
        <v>202</v>
      </c>
      <c r="GE452" s="1" t="s">
        <v>190</v>
      </c>
    </row>
    <row r="453" spans="1:187" ht="11.25" customHeight="1">
      <c r="A453" s="1" t="s">
        <v>819</v>
      </c>
      <c r="B453" s="1" t="str">
        <f ca="1">IFERROR(__xludf.DUMMYFUNCTION("GOOGLETRANSLATE(A453, ""en"", ""fr"")"),"AMPLIFIER")</f>
        <v>AMPLIFIER</v>
      </c>
      <c r="C453" s="1" t="s">
        <v>192</v>
      </c>
      <c r="D453" s="1" t="s">
        <v>16612</v>
      </c>
      <c r="J453" s="1" t="s">
        <v>6</v>
      </c>
      <c r="N453" s="1" t="s">
        <v>10</v>
      </c>
      <c r="BX453" s="1" t="s">
        <v>72</v>
      </c>
      <c r="DO453" s="1" t="s">
        <v>115</v>
      </c>
      <c r="GD453" s="1" t="s">
        <v>189</v>
      </c>
      <c r="GE453" s="1" t="s">
        <v>190</v>
      </c>
    </row>
    <row r="454" spans="1:187" ht="11.25" customHeight="1">
      <c r="A454" s="1" t="s">
        <v>820</v>
      </c>
      <c r="B454" s="1" t="str">
        <f ca="1">IFERROR(__xludf.DUMMYFUNCTION("GOOGLETRANSLATE(A454, ""en"", ""fr"")"),"AMPLEMENT")</f>
        <v>AMPLEMENT</v>
      </c>
      <c r="C454" s="1" t="s">
        <v>192</v>
      </c>
      <c r="D454" s="1" t="s">
        <v>16612</v>
      </c>
      <c r="J454" s="1" t="s">
        <v>6</v>
      </c>
      <c r="BX454" s="1" t="s">
        <v>72</v>
      </c>
      <c r="GD454" s="1" t="s">
        <v>202</v>
      </c>
      <c r="GE454" s="1" t="s">
        <v>190</v>
      </c>
    </row>
    <row r="455" spans="1:187" ht="11.25" customHeight="1">
      <c r="A455" s="1" t="s">
        <v>821</v>
      </c>
      <c r="B455" s="1" t="str">
        <f ca="1">IFERROR(__xludf.DUMMYFUNCTION("GOOGLETRANSLATE(A455, ""en"", ""fr"")"),"AMPUTER")</f>
        <v>AMPUTER</v>
      </c>
      <c r="C455" s="1" t="s">
        <v>192</v>
      </c>
      <c r="E455" s="1" t="s">
        <v>16613</v>
      </c>
      <c r="N455" s="1" t="s">
        <v>10</v>
      </c>
      <c r="BY455" s="1" t="s">
        <v>73</v>
      </c>
      <c r="DN455" s="1" t="s">
        <v>114</v>
      </c>
      <c r="GD455" s="1" t="s">
        <v>189</v>
      </c>
      <c r="GE455" s="1" t="s">
        <v>190</v>
      </c>
    </row>
    <row r="456" spans="1:187" ht="11.25" customHeight="1">
      <c r="A456" s="1" t="s">
        <v>822</v>
      </c>
      <c r="B456" s="1" t="str">
        <f ca="1">IFERROR(__xludf.DUMMYFUNCTION("GOOGLETRANSLATE(A456, ""en"", ""fr"")"),"AMUSER")</f>
        <v>AMUSER</v>
      </c>
      <c r="C456" s="1" t="s">
        <v>185</v>
      </c>
      <c r="D456" s="1" t="s">
        <v>16612</v>
      </c>
      <c r="N456" s="1" t="s">
        <v>10</v>
      </c>
      <c r="P456" s="1" t="s">
        <v>12</v>
      </c>
      <c r="T456" s="1" t="s">
        <v>16</v>
      </c>
      <c r="DN456" s="1" t="s">
        <v>114</v>
      </c>
      <c r="EX456" s="1" t="s">
        <v>150</v>
      </c>
      <c r="FC456" s="1" t="s">
        <v>155</v>
      </c>
      <c r="GD456" s="1" t="s">
        <v>189</v>
      </c>
      <c r="GE456" s="1" t="s">
        <v>190</v>
      </c>
    </row>
    <row r="457" spans="1:187" ht="11.25" customHeight="1">
      <c r="A457" s="1" t="s">
        <v>823</v>
      </c>
      <c r="B457" s="1" t="str">
        <f ca="1">IFERROR(__xludf.DUMMYFUNCTION("GOOGLETRANSLATE(A457, ""en"", ""fr"")"),"AMUSEMENT")</f>
        <v>AMUSEMENT</v>
      </c>
      <c r="C457" s="1" t="s">
        <v>185</v>
      </c>
      <c r="D457" s="1" t="s">
        <v>16612</v>
      </c>
      <c r="P457" s="1" t="s">
        <v>12</v>
      </c>
      <c r="FA457" s="1" t="s">
        <v>153</v>
      </c>
      <c r="FC457" s="1" t="s">
        <v>155</v>
      </c>
      <c r="GD457" s="1" t="s">
        <v>193</v>
      </c>
      <c r="GE457" s="1" t="s">
        <v>190</v>
      </c>
    </row>
    <row r="458" spans="1:187" ht="11.25" customHeight="1">
      <c r="A458" s="1" t="s">
        <v>824</v>
      </c>
      <c r="B458" s="1" t="str">
        <f ca="1">IFERROR(__xludf.DUMMYFUNCTION("GOOGLETRANSLATE(A458, ""en"", ""fr"")"),"UN")</f>
        <v>UN</v>
      </c>
      <c r="C458" s="1" t="s">
        <v>185</v>
      </c>
      <c r="GD458" s="1" t="s">
        <v>186</v>
      </c>
      <c r="GE458" s="1" t="s">
        <v>825</v>
      </c>
    </row>
    <row r="459" spans="1:187" ht="11.25" customHeight="1">
      <c r="A459" s="1" t="s">
        <v>826</v>
      </c>
      <c r="B459" s="1" t="str">
        <f ca="1">IFERROR(__xludf.DUMMYFUNCTION("GOOGLETRANSLATE(A459, ""en"", ""fr"")"),"ANALOGUE")</f>
        <v>ANALOGUE</v>
      </c>
      <c r="C459" s="1" t="s">
        <v>185</v>
      </c>
      <c r="CH459" s="1" t="s">
        <v>82</v>
      </c>
      <c r="GD459" s="1" t="s">
        <v>202</v>
      </c>
      <c r="GE459" s="1" t="s">
        <v>190</v>
      </c>
    </row>
    <row r="460" spans="1:187" ht="11.25" customHeight="1">
      <c r="A460" s="1" t="s">
        <v>827</v>
      </c>
      <c r="B460" s="1" t="str">
        <f ca="1">IFERROR(__xludf.DUMMYFUNCTION("GOOGLETRANSLATE(A460, ""en"", ""fr"")"),"ANALOGIE")</f>
        <v>ANALOGIE</v>
      </c>
      <c r="C460" s="1" t="s">
        <v>196</v>
      </c>
      <c r="FH460" s="1" t="s">
        <v>160</v>
      </c>
      <c r="FI460" s="1" t="s">
        <v>161</v>
      </c>
      <c r="GD460" s="1" t="s">
        <v>193</v>
      </c>
    </row>
    <row r="461" spans="1:187" ht="11.25" customHeight="1">
      <c r="A461" s="1" t="s">
        <v>828</v>
      </c>
      <c r="B461" s="1" t="str">
        <f ca="1">IFERROR(__xludf.DUMMYFUNCTION("GOOGLETRANSLATE(A461, ""en"", ""fr"")"),"Analyser # 1")</f>
        <v>Analyser # 1</v>
      </c>
      <c r="C461" s="1" t="s">
        <v>192</v>
      </c>
      <c r="GE461" s="1" t="s">
        <v>190</v>
      </c>
    </row>
    <row r="462" spans="1:187" ht="11.25" customHeight="1">
      <c r="A462" s="1" t="s">
        <v>829</v>
      </c>
      <c r="B462" s="1" t="str">
        <f ca="1">IFERROR(__xludf.DUMMYFUNCTION("GOOGLETRANSLATE(A462, ""en"", ""fr"")"),"ANALYSE")</f>
        <v>ANALYSE</v>
      </c>
      <c r="C462" s="1" t="s">
        <v>185</v>
      </c>
      <c r="N462" s="1" t="s">
        <v>10</v>
      </c>
      <c r="CH462" s="1" t="s">
        <v>82</v>
      </c>
      <c r="CP462" s="1" t="s">
        <v>90</v>
      </c>
      <c r="CQ462" s="1" t="s">
        <v>91</v>
      </c>
      <c r="FH462" s="1" t="s">
        <v>160</v>
      </c>
      <c r="FI462" s="1" t="s">
        <v>161</v>
      </c>
      <c r="GD462" s="1" t="s">
        <v>193</v>
      </c>
      <c r="GE462" s="1" t="s">
        <v>190</v>
      </c>
    </row>
    <row r="463" spans="1:187" ht="11.25" customHeight="1">
      <c r="A463" s="1" t="s">
        <v>830</v>
      </c>
      <c r="B463" s="1" t="str">
        <f ca="1">IFERROR(__xludf.DUMMYFUNCTION("GOOGLETRANSLATE(A463, ""en"", ""fr"")"),"ANALYSTE")</f>
        <v>ANALYSTE</v>
      </c>
      <c r="C463" s="1" t="s">
        <v>196</v>
      </c>
      <c r="FG463" s="1" t="s">
        <v>159</v>
      </c>
      <c r="FI463" s="1" t="s">
        <v>161</v>
      </c>
      <c r="GD463" s="1" t="s">
        <v>448</v>
      </c>
    </row>
    <row r="464" spans="1:187" ht="11.25" customHeight="1">
      <c r="A464" s="1" t="s">
        <v>831</v>
      </c>
      <c r="B464" s="1" t="str">
        <f ca="1">IFERROR(__xludf.DUMMYFUNCTION("GOOGLETRANSLATE(A464, ""en"", ""fr"")"),"ANALYTIQUE")</f>
        <v>ANALYTIQUE</v>
      </c>
      <c r="C464" s="1" t="s">
        <v>185</v>
      </c>
      <c r="N464" s="1" t="s">
        <v>10</v>
      </c>
      <c r="CH464" s="1" t="s">
        <v>82</v>
      </c>
      <c r="FH464" s="1" t="s">
        <v>160</v>
      </c>
      <c r="FI464" s="1" t="s">
        <v>161</v>
      </c>
      <c r="GD464" s="1" t="s">
        <v>202</v>
      </c>
      <c r="GE464" s="1" t="s">
        <v>190</v>
      </c>
    </row>
    <row r="465" spans="1:187" ht="11.25" customHeight="1">
      <c r="A465" s="1" t="s">
        <v>832</v>
      </c>
      <c r="B465" s="1" t="str">
        <f ca="1">IFERROR(__xludf.DUMMYFUNCTION("GOOGLETRANSLATE(A465, ""en"", ""fr"")"),"ANALYTIQUE")</f>
        <v>ANALYTIQUE</v>
      </c>
      <c r="C465" s="1" t="s">
        <v>185</v>
      </c>
      <c r="N465" s="1" t="s">
        <v>10</v>
      </c>
      <c r="CH465" s="1" t="s">
        <v>82</v>
      </c>
      <c r="FH465" s="1" t="s">
        <v>160</v>
      </c>
      <c r="FI465" s="1" t="s">
        <v>161</v>
      </c>
      <c r="GD465" s="1" t="s">
        <v>202</v>
      </c>
      <c r="GE465" s="1" t="s">
        <v>190</v>
      </c>
    </row>
    <row r="466" spans="1:187" ht="11.25" customHeight="1">
      <c r="A466" s="1" t="s">
        <v>833</v>
      </c>
      <c r="B466" s="1" t="str">
        <f ca="1">IFERROR(__xludf.DUMMYFUNCTION("GOOGLETRANSLATE(A466, ""en"", ""fr"")"),"ANALYSER")</f>
        <v>ANALYSER</v>
      </c>
      <c r="C466" s="1" t="s">
        <v>185</v>
      </c>
      <c r="N466" s="1" t="s">
        <v>10</v>
      </c>
      <c r="CO466" s="1" t="s">
        <v>89</v>
      </c>
      <c r="DN466" s="1" t="s">
        <v>114</v>
      </c>
      <c r="FD466" s="1" t="s">
        <v>156</v>
      </c>
      <c r="FI466" s="1" t="s">
        <v>161</v>
      </c>
      <c r="GD466" s="1" t="s">
        <v>189</v>
      </c>
      <c r="GE466" s="1" t="s">
        <v>190</v>
      </c>
    </row>
    <row r="467" spans="1:187" ht="11.25" customHeight="1">
      <c r="A467" s="1" t="s">
        <v>834</v>
      </c>
      <c r="B467" s="1" t="str">
        <f ca="1">IFERROR(__xludf.DUMMYFUNCTION("GOOGLETRANSLATE(A467, ""en"", ""fr"")"),"ANARCHISTE")</f>
        <v>ANARCHISTE</v>
      </c>
      <c r="C467" s="1" t="s">
        <v>192</v>
      </c>
      <c r="E467" s="1" t="s">
        <v>16613</v>
      </c>
      <c r="I467" s="1" t="s">
        <v>5</v>
      </c>
      <c r="Z467" s="1" t="s">
        <v>22</v>
      </c>
      <c r="AG467" s="1" t="s">
        <v>29</v>
      </c>
      <c r="AT467" s="1" t="s">
        <v>42</v>
      </c>
      <c r="GD467" s="1" t="s">
        <v>193</v>
      </c>
      <c r="GE467" s="1" t="s">
        <v>190</v>
      </c>
    </row>
    <row r="468" spans="1:187" ht="11.25" customHeight="1">
      <c r="A468" s="1" t="s">
        <v>835</v>
      </c>
      <c r="B468" s="1" t="str">
        <f ca="1">IFERROR(__xludf.DUMMYFUNCTION("GOOGLETRANSLATE(A468, ""en"", ""fr"")"),"ANARCHIE")</f>
        <v>ANARCHIE</v>
      </c>
      <c r="C468" s="1" t="s">
        <v>185</v>
      </c>
      <c r="E468" s="1" t="s">
        <v>16613</v>
      </c>
      <c r="I468" s="1" t="s">
        <v>5</v>
      </c>
      <c r="W468" s="1" t="s">
        <v>19</v>
      </c>
      <c r="AG468" s="1" t="s">
        <v>29</v>
      </c>
      <c r="DW468" s="1" t="s">
        <v>123</v>
      </c>
      <c r="ED468" s="1" t="s">
        <v>130</v>
      </c>
      <c r="FV468" s="1" t="s">
        <v>174</v>
      </c>
      <c r="GD468" s="1" t="s">
        <v>193</v>
      </c>
      <c r="GE468" s="1" t="s">
        <v>190</v>
      </c>
    </row>
    <row r="469" spans="1:187" ht="11.25" customHeight="1">
      <c r="A469" s="1" t="s">
        <v>836</v>
      </c>
      <c r="B469" s="1" t="str">
        <f ca="1">IFERROR(__xludf.DUMMYFUNCTION("GOOGLETRANSLATE(A469, ""en"", ""fr"")"),"ANCÊTRE")</f>
        <v>ANCÊTRE</v>
      </c>
      <c r="C469" s="1" t="s">
        <v>185</v>
      </c>
      <c r="AJ469" s="1" t="s">
        <v>32</v>
      </c>
      <c r="AP469" s="1" t="s">
        <v>38</v>
      </c>
      <c r="AT469" s="1" t="s">
        <v>42</v>
      </c>
      <c r="EM469" s="1" t="s">
        <v>139</v>
      </c>
      <c r="EN469" s="1" t="s">
        <v>140</v>
      </c>
      <c r="GD469" s="1" t="s">
        <v>837</v>
      </c>
      <c r="GE469" s="1" t="s">
        <v>190</v>
      </c>
    </row>
    <row r="470" spans="1:187" ht="11.25" customHeight="1">
      <c r="A470" s="1" t="s">
        <v>838</v>
      </c>
      <c r="B470" s="1" t="str">
        <f ca="1">IFERROR(__xludf.DUMMYFUNCTION("GOOGLETRANSLATE(A470, ""en"", ""fr"")"),"Ancre # 1")</f>
        <v>Ancre # 1</v>
      </c>
      <c r="C470" s="1" t="s">
        <v>185</v>
      </c>
      <c r="BC470" s="1" t="s">
        <v>51</v>
      </c>
      <c r="BD470" s="1" t="s">
        <v>52</v>
      </c>
      <c r="GD470" s="1" t="s">
        <v>193</v>
      </c>
      <c r="GE470" s="1" t="s">
        <v>190</v>
      </c>
    </row>
    <row r="471" spans="1:187" ht="11.25" customHeight="1">
      <c r="A471" s="1" t="s">
        <v>839</v>
      </c>
      <c r="B471" s="1" t="str">
        <f ca="1">IFERROR(__xludf.DUMMYFUNCTION("GOOGLETRANSLATE(A471, ""en"", ""fr"")"),"Ancre # 2")</f>
        <v>Ancre # 2</v>
      </c>
      <c r="C471" s="1" t="s">
        <v>185</v>
      </c>
      <c r="J471" s="1" t="s">
        <v>6</v>
      </c>
      <c r="CA471" s="1" t="s">
        <v>75</v>
      </c>
      <c r="DN471" s="1" t="s">
        <v>114</v>
      </c>
      <c r="GD471" s="1" t="s">
        <v>189</v>
      </c>
      <c r="GE471" s="1" t="s">
        <v>190</v>
      </c>
    </row>
    <row r="472" spans="1:187" ht="11.25" customHeight="1">
      <c r="A472" s="1" t="s">
        <v>840</v>
      </c>
      <c r="B472" s="1" t="str">
        <f ca="1">IFERROR(__xludf.DUMMYFUNCTION("GOOGLETRANSLATE(A472, ""en"", ""fr"")"),"ANCIEN")</f>
        <v>ANCIEN</v>
      </c>
      <c r="C472" s="1" t="s">
        <v>185</v>
      </c>
      <c r="L472" s="1" t="s">
        <v>8</v>
      </c>
      <c r="CY472" s="1" t="s">
        <v>99</v>
      </c>
      <c r="GB472" s="1" t="s">
        <v>180</v>
      </c>
      <c r="GD472" s="1" t="s">
        <v>202</v>
      </c>
      <c r="GE472" s="1" t="s">
        <v>190</v>
      </c>
    </row>
    <row r="473" spans="1:187" ht="11.25" customHeight="1">
      <c r="A473" s="1" t="s">
        <v>841</v>
      </c>
      <c r="B473" s="1" t="str">
        <f ca="1">IFERROR(__xludf.DUMMYFUNCTION("GOOGLETRANSLATE(A473, ""en"", ""fr"")"),"ET")</f>
        <v>ET</v>
      </c>
      <c r="C473" s="1" t="s">
        <v>185</v>
      </c>
      <c r="GD473" s="1" t="s">
        <v>842</v>
      </c>
      <c r="GE473" s="1" t="s">
        <v>843</v>
      </c>
    </row>
    <row r="474" spans="1:187" ht="11.25" customHeight="1">
      <c r="A474" s="1" t="s">
        <v>844</v>
      </c>
      <c r="B474" s="1" t="str">
        <f ca="1">IFERROR(__xludf.DUMMYFUNCTION("GOOGLETRANSLATE(A474, ""en"", ""fr"")"),"ANECDOTE")</f>
        <v>ANECDOTE</v>
      </c>
      <c r="C474" s="1" t="s">
        <v>185</v>
      </c>
      <c r="AD474" s="1" t="s">
        <v>26</v>
      </c>
      <c r="BK474" s="1" t="s">
        <v>59</v>
      </c>
      <c r="BL474" s="1" t="s">
        <v>60</v>
      </c>
      <c r="GC474" s="1" t="s">
        <v>181</v>
      </c>
      <c r="GD474" s="1" t="s">
        <v>193</v>
      </c>
      <c r="GE474" s="1" t="s">
        <v>190</v>
      </c>
    </row>
    <row r="475" spans="1:187" ht="11.25" customHeight="1">
      <c r="A475" s="1" t="s">
        <v>845</v>
      </c>
      <c r="B475" s="1" t="str">
        <f ca="1">IFERROR(__xludf.DUMMYFUNCTION("GOOGLETRANSLATE(A475, ""en"", ""fr"")"),"UN NOUVEAU")</f>
        <v>UN NOUVEAU</v>
      </c>
      <c r="C475" s="1" t="s">
        <v>185</v>
      </c>
      <c r="CW475" s="1" t="s">
        <v>97</v>
      </c>
      <c r="GD475" s="1" t="s">
        <v>236</v>
      </c>
      <c r="GE475" s="1" t="s">
        <v>190</v>
      </c>
    </row>
    <row r="476" spans="1:187" ht="11.25" customHeight="1">
      <c r="A476" s="1" t="s">
        <v>846</v>
      </c>
      <c r="B476" s="1" t="str">
        <f ca="1">IFERROR(__xludf.DUMMYFUNCTION("GOOGLETRANSLATE(A476, ""en"", ""fr"")"),"ANGE")</f>
        <v>ANGE</v>
      </c>
      <c r="C476" s="1" t="s">
        <v>192</v>
      </c>
      <c r="D476" s="1" t="s">
        <v>16612</v>
      </c>
      <c r="G476" s="1" t="s">
        <v>3</v>
      </c>
      <c r="U476" s="1" t="s">
        <v>17</v>
      </c>
      <c r="AI476" s="1" t="s">
        <v>31</v>
      </c>
      <c r="AJ476" s="1" t="s">
        <v>32</v>
      </c>
      <c r="AT476" s="1" t="s">
        <v>42</v>
      </c>
      <c r="GD476" s="1" t="s">
        <v>193</v>
      </c>
      <c r="GE476" s="1" t="s">
        <v>190</v>
      </c>
    </row>
    <row r="477" spans="1:187" ht="11.25" customHeight="1">
      <c r="A477" s="1" t="s">
        <v>847</v>
      </c>
      <c r="B477" s="1" t="str">
        <f ca="1">IFERROR(__xludf.DUMMYFUNCTION("GOOGLETRANSLATE(A477, ""en"", ""fr"")"),"ANGÉLIQUE")</f>
        <v>ANGÉLIQUE</v>
      </c>
      <c r="C477" s="1" t="s">
        <v>192</v>
      </c>
      <c r="D477" s="1" t="s">
        <v>16612</v>
      </c>
      <c r="G477" s="1" t="s">
        <v>3</v>
      </c>
      <c r="U477" s="1" t="s">
        <v>17</v>
      </c>
      <c r="AI477" s="1" t="s">
        <v>31</v>
      </c>
      <c r="DR477" s="1" t="s">
        <v>118</v>
      </c>
      <c r="GD477" s="1" t="s">
        <v>202</v>
      </c>
      <c r="GE477" s="1" t="s">
        <v>190</v>
      </c>
    </row>
    <row r="478" spans="1:187" ht="11.25" customHeight="1">
      <c r="A478" s="1" t="s">
        <v>848</v>
      </c>
      <c r="B478" s="1" t="str">
        <f ca="1">IFERROR(__xludf.DUMMYFUNCTION("GOOGLETRANSLATE(A478, ""en"", ""fr"")"),"Colère n ° 1")</f>
        <v>Colère n ° 1</v>
      </c>
      <c r="C478" s="1" t="s">
        <v>185</v>
      </c>
      <c r="E478" s="1" t="s">
        <v>16613</v>
      </c>
      <c r="H478" s="1" t="s">
        <v>4</v>
      </c>
      <c r="I478" s="1" t="s">
        <v>5</v>
      </c>
      <c r="N478" s="1" t="s">
        <v>10</v>
      </c>
      <c r="S478" s="1" t="s">
        <v>15</v>
      </c>
      <c r="T478" s="1" t="s">
        <v>16</v>
      </c>
      <c r="FA478" s="1" t="s">
        <v>153</v>
      </c>
      <c r="FC478" s="1" t="s">
        <v>155</v>
      </c>
      <c r="GD478" s="1" t="s">
        <v>849</v>
      </c>
      <c r="GE478" s="1" t="s">
        <v>850</v>
      </c>
    </row>
    <row r="479" spans="1:187" ht="11.25" customHeight="1">
      <c r="A479" s="1" t="s">
        <v>851</v>
      </c>
      <c r="B479" s="1" t="str">
        <f ca="1">IFERROR(__xludf.DUMMYFUNCTION("GOOGLETRANSLATE(A479, ""en"", ""fr"")"),"Colère n ° 2")</f>
        <v>Colère n ° 2</v>
      </c>
      <c r="C479" s="1" t="s">
        <v>185</v>
      </c>
      <c r="E479" s="1" t="s">
        <v>16613</v>
      </c>
      <c r="H479" s="1" t="s">
        <v>4</v>
      </c>
      <c r="I479" s="1" t="s">
        <v>5</v>
      </c>
      <c r="S479" s="1" t="s">
        <v>15</v>
      </c>
      <c r="DN479" s="1" t="s">
        <v>114</v>
      </c>
      <c r="EP479" s="1" t="s">
        <v>142</v>
      </c>
      <c r="ES479" s="1" t="s">
        <v>145</v>
      </c>
      <c r="GD479" s="1" t="s">
        <v>189</v>
      </c>
      <c r="GE479" s="1" t="s">
        <v>852</v>
      </c>
    </row>
    <row r="480" spans="1:187" ht="11.25" customHeight="1">
      <c r="A480" s="1" t="s">
        <v>853</v>
      </c>
      <c r="B480" s="1" t="str">
        <f ca="1">IFERROR(__xludf.DUMMYFUNCTION("GOOGLETRANSLATE(A480, ""en"", ""fr"")"),"ANGLE")</f>
        <v>ANGLE</v>
      </c>
      <c r="C480" s="1" t="s">
        <v>185</v>
      </c>
      <c r="DA480" s="1" t="s">
        <v>101</v>
      </c>
      <c r="GD480" s="1" t="s">
        <v>193</v>
      </c>
      <c r="GE480" s="1" t="s">
        <v>190</v>
      </c>
    </row>
    <row r="481" spans="1:187" ht="11.25" customHeight="1">
      <c r="A481" s="1" t="s">
        <v>854</v>
      </c>
      <c r="B481" s="1" t="str">
        <f ca="1">IFERROR(__xludf.DUMMYFUNCTION("GOOGLETRANSLATE(A481, ""en"", ""fr"")"),"Angola")</f>
        <v>Angola</v>
      </c>
      <c r="C481" s="1" t="s">
        <v>196</v>
      </c>
      <c r="FU481" s="1" t="s">
        <v>173</v>
      </c>
      <c r="GD481" s="1" t="s">
        <v>545</v>
      </c>
    </row>
    <row r="482" spans="1:187" ht="11.25" customHeight="1">
      <c r="A482" s="1" t="s">
        <v>855</v>
      </c>
      <c r="B482" s="1" t="str">
        <f ca="1">IFERROR(__xludf.DUMMYFUNCTION("GOOGLETRANSLATE(A482, ""en"", ""fr"")"),"EN COLÈRE")</f>
        <v>EN COLÈRE</v>
      </c>
      <c r="C482" s="1" t="s">
        <v>185</v>
      </c>
      <c r="E482" s="1" t="s">
        <v>16613</v>
      </c>
      <c r="H482" s="1" t="s">
        <v>4</v>
      </c>
      <c r="I482" s="1" t="s">
        <v>5</v>
      </c>
      <c r="N482" s="1" t="s">
        <v>10</v>
      </c>
      <c r="S482" s="1" t="s">
        <v>15</v>
      </c>
      <c r="T482" s="1" t="s">
        <v>16</v>
      </c>
      <c r="FA482" s="1" t="s">
        <v>153</v>
      </c>
      <c r="FC482" s="1" t="s">
        <v>155</v>
      </c>
      <c r="GD482" s="1" t="s">
        <v>202</v>
      </c>
      <c r="GE482" s="1" t="s">
        <v>856</v>
      </c>
    </row>
    <row r="483" spans="1:187" ht="11.25" customHeight="1">
      <c r="A483" s="1" t="s">
        <v>857</v>
      </c>
      <c r="B483" s="1" t="str">
        <f ca="1">IFERROR(__xludf.DUMMYFUNCTION("GOOGLETRANSLATE(A483, ""en"", ""fr"")"),"ANGOISSE")</f>
        <v>ANGOISSE</v>
      </c>
      <c r="C483" s="1" t="s">
        <v>185</v>
      </c>
      <c r="E483" s="1" t="s">
        <v>16613</v>
      </c>
      <c r="H483" s="1" t="s">
        <v>4</v>
      </c>
      <c r="I483" s="1" t="s">
        <v>5</v>
      </c>
      <c r="O483" s="1" t="s">
        <v>11</v>
      </c>
      <c r="Q483" s="1" t="s">
        <v>13</v>
      </c>
      <c r="T483" s="1" t="s">
        <v>16</v>
      </c>
      <c r="FA483" s="1" t="s">
        <v>153</v>
      </c>
      <c r="FC483" s="1" t="s">
        <v>155</v>
      </c>
      <c r="GD483" s="1" t="s">
        <v>193</v>
      </c>
      <c r="GE483" s="1" t="s">
        <v>190</v>
      </c>
    </row>
    <row r="484" spans="1:187" ht="11.25" customHeight="1">
      <c r="A484" s="1" t="s">
        <v>858</v>
      </c>
      <c r="B484" s="1" t="str">
        <f ca="1">IFERROR(__xludf.DUMMYFUNCTION("GOOGLETRANSLATE(A484, ""en"", ""fr"")"),"ANIMAL")</f>
        <v>ANIMAL</v>
      </c>
      <c r="C484" s="1" t="s">
        <v>185</v>
      </c>
      <c r="AU484" s="1" t="s">
        <v>43</v>
      </c>
      <c r="GD484" s="1" t="s">
        <v>193</v>
      </c>
      <c r="GE484" s="1" t="s">
        <v>859</v>
      </c>
    </row>
    <row r="485" spans="1:187" ht="11.25" customHeight="1">
      <c r="A485" s="1" t="s">
        <v>860</v>
      </c>
      <c r="B485" s="1" t="str">
        <f ca="1">IFERROR(__xludf.DUMMYFUNCTION("GOOGLETRANSLATE(A485, ""en"", ""fr"")"),"ANIMER")</f>
        <v>ANIMER</v>
      </c>
      <c r="C485" s="1" t="s">
        <v>196</v>
      </c>
      <c r="FR485" s="1" t="s">
        <v>170</v>
      </c>
      <c r="GD485" s="1" t="s">
        <v>189</v>
      </c>
    </row>
    <row r="486" spans="1:187" ht="11.25" customHeight="1">
      <c r="A486" s="1" t="s">
        <v>861</v>
      </c>
      <c r="B486" s="1" t="str">
        <f ca="1">IFERROR(__xludf.DUMMYFUNCTION("GOOGLETRANSLATE(A486, ""en"", ""fr"")"),"ANIMATION")</f>
        <v>ANIMATION</v>
      </c>
      <c r="C486" s="1" t="s">
        <v>185</v>
      </c>
      <c r="N486" s="1" t="s">
        <v>10</v>
      </c>
      <c r="CR486" s="1" t="s">
        <v>92</v>
      </c>
      <c r="GD486" s="1" t="s">
        <v>193</v>
      </c>
      <c r="GE486" s="1" t="s">
        <v>190</v>
      </c>
    </row>
    <row r="487" spans="1:187" ht="11.25" customHeight="1">
      <c r="A487" s="1" t="s">
        <v>862</v>
      </c>
      <c r="B487" s="1" t="str">
        <f ca="1">IFERROR(__xludf.DUMMYFUNCTION("GOOGLETRANSLATE(A487, ""en"", ""fr"")"),"ANIMOSITÉ")</f>
        <v>ANIMOSITÉ</v>
      </c>
      <c r="C487" s="1" t="s">
        <v>185</v>
      </c>
      <c r="E487" s="1" t="s">
        <v>16613</v>
      </c>
      <c r="I487" s="1" t="s">
        <v>5</v>
      </c>
      <c r="V487" s="1" t="s">
        <v>18</v>
      </c>
      <c r="AN487" s="1" t="s">
        <v>36</v>
      </c>
      <c r="FW487" s="1" t="s">
        <v>175</v>
      </c>
      <c r="GD487" s="1" t="s">
        <v>193</v>
      </c>
      <c r="GE487" s="1" t="s">
        <v>190</v>
      </c>
    </row>
    <row r="488" spans="1:187" ht="11.25" customHeight="1">
      <c r="A488" s="1" t="s">
        <v>863</v>
      </c>
      <c r="B488" s="1" t="str">
        <f ca="1">IFERROR(__xludf.DUMMYFUNCTION("GOOGLETRANSLATE(A488, ""en"", ""fr"")"),"CHEVILLE")</f>
        <v>CHEVILLE</v>
      </c>
      <c r="C488" s="1" t="s">
        <v>185</v>
      </c>
      <c r="BJ488" s="1" t="s">
        <v>58</v>
      </c>
      <c r="EZ488" s="1" t="s">
        <v>152</v>
      </c>
      <c r="FC488" s="1" t="s">
        <v>155</v>
      </c>
      <c r="GD488" s="1" t="s">
        <v>193</v>
      </c>
      <c r="GE488" s="1" t="s">
        <v>190</v>
      </c>
    </row>
    <row r="489" spans="1:187" ht="11.25" customHeight="1">
      <c r="A489" s="1" t="s">
        <v>864</v>
      </c>
      <c r="B489" s="1" t="str">
        <f ca="1">IFERROR(__xludf.DUMMYFUNCTION("GOOGLETRANSLATE(A489, ""en"", ""fr"")"),"ANNALES")</f>
        <v>ANNALES</v>
      </c>
      <c r="C489" s="1" t="s">
        <v>196</v>
      </c>
      <c r="FH489" s="1" t="s">
        <v>160</v>
      </c>
      <c r="FI489" s="1" t="s">
        <v>161</v>
      </c>
      <c r="GD489" s="1" t="s">
        <v>193</v>
      </c>
    </row>
    <row r="490" spans="1:187" ht="11.25" customHeight="1">
      <c r="A490" s="1" t="s">
        <v>865</v>
      </c>
      <c r="B490" s="1" t="str">
        <f ca="1">IFERROR(__xludf.DUMMYFUNCTION("GOOGLETRANSLATE(A490, ""en"", ""fr"")"),"ANNIHILER")</f>
        <v>ANNIHILER</v>
      </c>
      <c r="C490" s="1" t="s">
        <v>192</v>
      </c>
      <c r="E490" s="1" t="s">
        <v>16613</v>
      </c>
      <c r="I490" s="1" t="s">
        <v>5</v>
      </c>
      <c r="N490" s="1" t="s">
        <v>10</v>
      </c>
      <c r="BZ490" s="1" t="s">
        <v>74</v>
      </c>
      <c r="CC490" s="1" t="s">
        <v>77</v>
      </c>
      <c r="DN490" s="1" t="s">
        <v>114</v>
      </c>
      <c r="GD490" s="1" t="s">
        <v>189</v>
      </c>
      <c r="GE490" s="1" t="s">
        <v>190</v>
      </c>
    </row>
    <row r="491" spans="1:187" ht="11.25" customHeight="1">
      <c r="A491" s="1" t="s">
        <v>866</v>
      </c>
      <c r="B491" s="1" t="str">
        <f ca="1">IFERROR(__xludf.DUMMYFUNCTION("GOOGLETRANSLATE(A491, ""en"", ""fr"")"),"ANNIHILATION")</f>
        <v>ANNIHILATION</v>
      </c>
      <c r="C491" s="1" t="s">
        <v>192</v>
      </c>
      <c r="E491" s="1" t="s">
        <v>16613</v>
      </c>
      <c r="I491" s="1" t="s">
        <v>5</v>
      </c>
      <c r="V491" s="1" t="s">
        <v>18</v>
      </c>
      <c r="BZ491" s="1" t="s">
        <v>74</v>
      </c>
      <c r="GD491" s="1" t="s">
        <v>193</v>
      </c>
      <c r="GE491" s="1" t="s">
        <v>190</v>
      </c>
    </row>
    <row r="492" spans="1:187" ht="11.25" customHeight="1">
      <c r="A492" s="1" t="s">
        <v>867</v>
      </c>
      <c r="B492" s="1" t="str">
        <f ca="1">IFERROR(__xludf.DUMMYFUNCTION("GOOGLETRANSLATE(A492, ""en"", ""fr"")"),"ANNIVERSAIRE")</f>
        <v>ANNIVERSAIRE</v>
      </c>
      <c r="C492" s="1" t="s">
        <v>185</v>
      </c>
      <c r="CQ492" s="1" t="s">
        <v>91</v>
      </c>
      <c r="CY492" s="1" t="s">
        <v>99</v>
      </c>
      <c r="CZ492" s="1" t="s">
        <v>100</v>
      </c>
      <c r="GD492" s="1" t="s">
        <v>193</v>
      </c>
      <c r="GE492" s="1" t="s">
        <v>190</v>
      </c>
    </row>
    <row r="493" spans="1:187" ht="11.25" customHeight="1">
      <c r="A493" s="1" t="s">
        <v>868</v>
      </c>
      <c r="B493" s="1" t="str">
        <f ca="1">IFERROR(__xludf.DUMMYFUNCTION("GOOGLETRANSLATE(A493, ""en"", ""fr"")"),"Annonce n ° 1")</f>
        <v>Annonce n ° 1</v>
      </c>
      <c r="C493" s="1" t="s">
        <v>185</v>
      </c>
      <c r="BK493" s="1" t="s">
        <v>59</v>
      </c>
      <c r="FD493" s="1" t="s">
        <v>156</v>
      </c>
      <c r="FI493" s="1" t="s">
        <v>161</v>
      </c>
      <c r="GC493" s="1" t="s">
        <v>181</v>
      </c>
      <c r="GD493" s="1" t="s">
        <v>202</v>
      </c>
      <c r="GE493" s="1" t="s">
        <v>190</v>
      </c>
    </row>
    <row r="494" spans="1:187" ht="11.25" customHeight="1">
      <c r="A494" s="1" t="s">
        <v>869</v>
      </c>
      <c r="B494" s="1" t="str">
        <f ca="1">IFERROR(__xludf.DUMMYFUNCTION("GOOGLETRANSLATE(A494, ""en"", ""fr"")"),"Annonce # 2")</f>
        <v>Annonce # 2</v>
      </c>
      <c r="C494" s="1" t="s">
        <v>185</v>
      </c>
      <c r="BK494" s="1" t="s">
        <v>59</v>
      </c>
      <c r="DO494" s="1" t="s">
        <v>115</v>
      </c>
      <c r="FD494" s="1" t="s">
        <v>156</v>
      </c>
      <c r="FI494" s="1" t="s">
        <v>161</v>
      </c>
      <c r="GD494" s="1" t="s">
        <v>189</v>
      </c>
      <c r="GE494" s="1" t="s">
        <v>190</v>
      </c>
    </row>
    <row r="495" spans="1:187" ht="11.25" customHeight="1">
      <c r="A495" s="1" t="s">
        <v>870</v>
      </c>
      <c r="B495" s="1" t="str">
        <f ca="1">IFERROR(__xludf.DUMMYFUNCTION("GOOGLETRANSLATE(A495, ""en"", ""fr"")"),"ANNONCE")</f>
        <v>ANNONCE</v>
      </c>
      <c r="C495" s="1" t="s">
        <v>185</v>
      </c>
      <c r="BK495" s="1" t="s">
        <v>59</v>
      </c>
      <c r="BL495" s="1" t="s">
        <v>60</v>
      </c>
      <c r="FD495" s="1" t="s">
        <v>156</v>
      </c>
      <c r="FI495" s="1" t="s">
        <v>161</v>
      </c>
      <c r="GC495" s="1" t="s">
        <v>181</v>
      </c>
      <c r="GD495" s="1" t="s">
        <v>193</v>
      </c>
      <c r="GE495" s="1" t="s">
        <v>190</v>
      </c>
    </row>
    <row r="496" spans="1:187" ht="11.25" customHeight="1">
      <c r="A496" s="1" t="s">
        <v>871</v>
      </c>
      <c r="B496" s="1" t="str">
        <f ca="1">IFERROR(__xludf.DUMMYFUNCTION("GOOGLETRANSLATE(A496, ""en"", ""fr"")"),"ENNUYER")</f>
        <v>ENNUYER</v>
      </c>
      <c r="C496" s="1" t="s">
        <v>185</v>
      </c>
      <c r="E496" s="1" t="s">
        <v>16613</v>
      </c>
      <c r="I496" s="1" t="s">
        <v>5</v>
      </c>
      <c r="N496" s="1" t="s">
        <v>10</v>
      </c>
      <c r="AN496" s="1" t="s">
        <v>36</v>
      </c>
      <c r="DN496" s="1" t="s">
        <v>114</v>
      </c>
      <c r="FW496" s="1" t="s">
        <v>175</v>
      </c>
      <c r="GD496" s="1" t="s">
        <v>670</v>
      </c>
      <c r="GE496" s="1" t="s">
        <v>190</v>
      </c>
    </row>
    <row r="497" spans="1:187" ht="11.25" customHeight="1">
      <c r="A497" s="1" t="s">
        <v>872</v>
      </c>
      <c r="B497" s="1" t="str">
        <f ca="1">IFERROR(__xludf.DUMMYFUNCTION("GOOGLETRANSLATE(A497, ""en"", ""fr"")"),"CONTRARIÉTÉ")</f>
        <v>CONTRARIÉTÉ</v>
      </c>
      <c r="C497" s="1" t="s">
        <v>185</v>
      </c>
      <c r="E497" s="1" t="s">
        <v>16613</v>
      </c>
      <c r="H497" s="1" t="s">
        <v>4</v>
      </c>
      <c r="I497" s="1" t="s">
        <v>5</v>
      </c>
      <c r="S497" s="1" t="s">
        <v>15</v>
      </c>
      <c r="T497" s="1" t="s">
        <v>16</v>
      </c>
      <c r="FW497" s="1" t="s">
        <v>175</v>
      </c>
      <c r="GD497" s="1" t="s">
        <v>193</v>
      </c>
      <c r="GE497" s="1" t="s">
        <v>190</v>
      </c>
    </row>
    <row r="498" spans="1:187" ht="11.25" customHeight="1">
      <c r="A498" s="1" t="s">
        <v>873</v>
      </c>
      <c r="B498" s="1" t="str">
        <f ca="1">IFERROR(__xludf.DUMMYFUNCTION("GOOGLETRANSLATE(A498, ""en"", ""fr"")"),"ANNUEL")</f>
        <v>ANNUEL</v>
      </c>
      <c r="C498" s="1" t="s">
        <v>185</v>
      </c>
      <c r="CW498" s="1" t="s">
        <v>97</v>
      </c>
      <c r="GB498" s="1" t="s">
        <v>180</v>
      </c>
      <c r="GD498" s="1" t="s">
        <v>202</v>
      </c>
      <c r="GE498" s="1" t="s">
        <v>190</v>
      </c>
    </row>
    <row r="499" spans="1:187" ht="11.25" customHeight="1">
      <c r="A499" s="1" t="s">
        <v>874</v>
      </c>
      <c r="B499" s="1" t="str">
        <f ca="1">IFERROR(__xludf.DUMMYFUNCTION("GOOGLETRANSLATE(A499, ""en"", ""fr"")"),"RENTE")</f>
        <v>RENTE</v>
      </c>
      <c r="C499" s="1" t="s">
        <v>196</v>
      </c>
      <c r="EV499" s="1" t="s">
        <v>148</v>
      </c>
      <c r="EW499" s="1" t="s">
        <v>149</v>
      </c>
      <c r="GD499" s="1" t="s">
        <v>875</v>
      </c>
    </row>
    <row r="500" spans="1:187" ht="11.25" customHeight="1">
      <c r="A500" s="1" t="s">
        <v>876</v>
      </c>
      <c r="B500" s="1" t="str">
        <f ca="1">IFERROR(__xludf.DUMMYFUNCTION("GOOGLETRANSLATE(A500, ""en"", ""fr"")"),"OINDRE")</f>
        <v>OINDRE</v>
      </c>
      <c r="C500" s="1" t="s">
        <v>192</v>
      </c>
      <c r="D500" s="1" t="s">
        <v>16612</v>
      </c>
      <c r="G500" s="1" t="s">
        <v>3</v>
      </c>
      <c r="N500" s="1" t="s">
        <v>10</v>
      </c>
      <c r="CC500" s="1" t="s">
        <v>77</v>
      </c>
      <c r="DO500" s="1" t="s">
        <v>115</v>
      </c>
      <c r="GD500" s="1" t="s">
        <v>670</v>
      </c>
      <c r="GE500" s="1" t="s">
        <v>190</v>
      </c>
    </row>
    <row r="501" spans="1:187" ht="11.25" customHeight="1">
      <c r="A501" s="1" t="s">
        <v>877</v>
      </c>
      <c r="B501" s="1" t="str">
        <f ca="1">IFERROR(__xludf.DUMMYFUNCTION("GOOGLETRANSLATE(A501, ""en"", ""fr"")"),"ANORMAL")</f>
        <v>ANORMAL</v>
      </c>
      <c r="C501" s="1" t="s">
        <v>192</v>
      </c>
      <c r="E501" s="1" t="s">
        <v>16613</v>
      </c>
      <c r="DD501" s="1" t="s">
        <v>104</v>
      </c>
      <c r="DQ501" s="1" t="s">
        <v>117</v>
      </c>
      <c r="GD501" s="1" t="s">
        <v>202</v>
      </c>
      <c r="GE501" s="1" t="s">
        <v>190</v>
      </c>
    </row>
    <row r="502" spans="1:187" ht="11.25" customHeight="1">
      <c r="A502" s="1" t="s">
        <v>878</v>
      </c>
      <c r="B502" s="1" t="str">
        <f ca="1">IFERROR(__xludf.DUMMYFUNCTION("GOOGLETRANSLATE(A502, ""en"", ""fr"")"),"ANOMALIE")</f>
        <v>ANOMALIE</v>
      </c>
      <c r="C502" s="1" t="s">
        <v>185</v>
      </c>
      <c r="E502" s="1" t="s">
        <v>16613</v>
      </c>
      <c r="X502" s="1" t="s">
        <v>20</v>
      </c>
      <c r="DD502" s="1" t="s">
        <v>104</v>
      </c>
      <c r="GD502" s="1" t="s">
        <v>193</v>
      </c>
      <c r="GE502" s="1" t="s">
        <v>190</v>
      </c>
    </row>
    <row r="503" spans="1:187" ht="11.25" customHeight="1">
      <c r="A503" s="1" t="s">
        <v>879</v>
      </c>
      <c r="B503" s="1" t="str">
        <f ca="1">IFERROR(__xludf.DUMMYFUNCTION("GOOGLETRANSLATE(A503, ""en"", ""fr"")"),"ANONYME")</f>
        <v>ANONYME</v>
      </c>
      <c r="C503" s="1" t="s">
        <v>185</v>
      </c>
      <c r="BK503" s="1" t="s">
        <v>59</v>
      </c>
      <c r="GC503" s="1" t="s">
        <v>181</v>
      </c>
      <c r="GD503" s="1" t="s">
        <v>202</v>
      </c>
      <c r="GE503" s="1" t="s">
        <v>190</v>
      </c>
    </row>
    <row r="504" spans="1:187" ht="11.25" customHeight="1">
      <c r="A504" s="1" t="s">
        <v>880</v>
      </c>
      <c r="B504" s="1" t="str">
        <f ca="1">IFERROR(__xludf.DUMMYFUNCTION("GOOGLETRANSLATE(A504, ""en"", ""fr"")"),"Un autre n ° 1")</f>
        <v>Un autre n ° 1</v>
      </c>
      <c r="C504" s="1" t="s">
        <v>185</v>
      </c>
      <c r="CL504" s="1" t="s">
        <v>86</v>
      </c>
      <c r="CS504" s="1" t="s">
        <v>93</v>
      </c>
      <c r="GD504" s="1" t="s">
        <v>881</v>
      </c>
      <c r="GE504" s="1" t="s">
        <v>882</v>
      </c>
    </row>
    <row r="505" spans="1:187" ht="11.25" customHeight="1">
      <c r="A505" s="1" t="s">
        <v>883</v>
      </c>
      <c r="B505" s="1" t="str">
        <f ca="1">IFERROR(__xludf.DUMMYFUNCTION("GOOGLETRANSLATE(A505, ""en"", ""fr"")"),"Un autre n ° 2")</f>
        <v>Un autre n ° 2</v>
      </c>
      <c r="C505" s="1" t="s">
        <v>185</v>
      </c>
      <c r="GD505" s="1" t="s">
        <v>884</v>
      </c>
      <c r="GE505" s="1" t="s">
        <v>885</v>
      </c>
    </row>
    <row r="506" spans="1:187" ht="11.25" customHeight="1">
      <c r="A506" s="1" t="s">
        <v>886</v>
      </c>
      <c r="B506" s="1" t="str">
        <f ca="1">IFERROR(__xludf.DUMMYFUNCTION("GOOGLETRANSLATE(A506, ""en"", ""fr"")"),"Un autre n ° 3")</f>
        <v>Un autre n ° 3</v>
      </c>
      <c r="C506" s="1" t="s">
        <v>185</v>
      </c>
      <c r="GD506" s="1" t="s">
        <v>887</v>
      </c>
      <c r="GE506" s="1" t="s">
        <v>888</v>
      </c>
    </row>
    <row r="507" spans="1:187" ht="11.25" customHeight="1">
      <c r="A507" s="1" t="s">
        <v>889</v>
      </c>
      <c r="B507" s="1" t="str">
        <f ca="1">IFERROR(__xludf.DUMMYFUNCTION("GOOGLETRANSLATE(A507, ""en"", ""fr"")"),"RÉPONSE 1")</f>
        <v>RÉPONSE 1</v>
      </c>
      <c r="C507" s="1" t="s">
        <v>185</v>
      </c>
      <c r="N507" s="1" t="s">
        <v>10</v>
      </c>
      <c r="BK507" s="1" t="s">
        <v>59</v>
      </c>
      <c r="DN507" s="1" t="s">
        <v>114</v>
      </c>
      <c r="FD507" s="1" t="s">
        <v>156</v>
      </c>
      <c r="FI507" s="1" t="s">
        <v>161</v>
      </c>
      <c r="GD507" s="1" t="s">
        <v>189</v>
      </c>
      <c r="GE507" s="1" t="s">
        <v>890</v>
      </c>
    </row>
    <row r="508" spans="1:187" ht="11.25" customHeight="1">
      <c r="A508" s="1" t="s">
        <v>891</v>
      </c>
      <c r="B508" s="1" t="str">
        <f ca="1">IFERROR(__xludf.DUMMYFUNCTION("GOOGLETRANSLATE(A508, ""en"", ""fr"")"),"Réponse n ° 2")</f>
        <v>Réponse n ° 2</v>
      </c>
      <c r="C508" s="1" t="s">
        <v>185</v>
      </c>
      <c r="N508" s="1" t="s">
        <v>10</v>
      </c>
      <c r="BK508" s="1" t="s">
        <v>59</v>
      </c>
      <c r="BL508" s="1" t="s">
        <v>60</v>
      </c>
      <c r="FH508" s="1" t="s">
        <v>160</v>
      </c>
      <c r="FI508" s="1" t="s">
        <v>161</v>
      </c>
      <c r="GC508" s="1" t="s">
        <v>181</v>
      </c>
      <c r="GD508" s="1" t="s">
        <v>193</v>
      </c>
      <c r="GE508" s="1" t="s">
        <v>892</v>
      </c>
    </row>
    <row r="509" spans="1:187" ht="11.25" customHeight="1">
      <c r="A509" s="1" t="s">
        <v>893</v>
      </c>
      <c r="B509" s="1" t="str">
        <f ca="1">IFERROR(__xludf.DUMMYFUNCTION("GOOGLETRANSLATE(A509, ""en"", ""fr"")"),"RESPONSABLE")</f>
        <v>RESPONSABLE</v>
      </c>
      <c r="C509" s="1" t="s">
        <v>196</v>
      </c>
      <c r="GD509" s="1" t="s">
        <v>202</v>
      </c>
    </row>
    <row r="510" spans="1:187" ht="11.25" customHeight="1">
      <c r="A510" s="1" t="s">
        <v>894</v>
      </c>
      <c r="B510" s="1" t="str">
        <f ca="1">IFERROR(__xludf.DUMMYFUNCTION("GOOGLETRANSLATE(A510, ""en"", ""fr"")"),"FOURMI")</f>
        <v>FOURMI</v>
      </c>
      <c r="C510" s="1" t="s">
        <v>185</v>
      </c>
      <c r="AU510" s="1" t="s">
        <v>43</v>
      </c>
      <c r="GD510" s="1" t="s">
        <v>193</v>
      </c>
      <c r="GE510" s="1" t="s">
        <v>190</v>
      </c>
    </row>
    <row r="511" spans="1:187" ht="11.25" customHeight="1">
      <c r="A511" s="1" t="s">
        <v>895</v>
      </c>
      <c r="B511" s="1" t="str">
        <f ca="1">IFERROR(__xludf.DUMMYFUNCTION("GOOGLETRANSLATE(A511, ""en"", ""fr"")"),"Antagoniser # 1")</f>
        <v>Antagoniser # 1</v>
      </c>
      <c r="C511" s="1" t="s">
        <v>192</v>
      </c>
      <c r="GE511" s="1" t="s">
        <v>190</v>
      </c>
    </row>
    <row r="512" spans="1:187" ht="11.25" customHeight="1">
      <c r="A512" s="1" t="s">
        <v>896</v>
      </c>
      <c r="B512" s="1" t="str">
        <f ca="1">IFERROR(__xludf.DUMMYFUNCTION("GOOGLETRANSLATE(A512, ""en"", ""fr"")"),"ANTAGONISME")</f>
        <v>ANTAGONISME</v>
      </c>
      <c r="C512" s="1" t="s">
        <v>185</v>
      </c>
      <c r="E512" s="1" t="s">
        <v>16613</v>
      </c>
      <c r="H512" s="1" t="s">
        <v>4</v>
      </c>
      <c r="I512" s="1" t="s">
        <v>5</v>
      </c>
      <c r="J512" s="1" t="s">
        <v>6</v>
      </c>
      <c r="N512" s="1" t="s">
        <v>10</v>
      </c>
      <c r="S512" s="1" t="s">
        <v>15</v>
      </c>
      <c r="T512" s="1" t="s">
        <v>16</v>
      </c>
      <c r="FW512" s="1" t="s">
        <v>175</v>
      </c>
      <c r="GD512" s="1" t="s">
        <v>193</v>
      </c>
      <c r="GE512" s="1" t="s">
        <v>190</v>
      </c>
    </row>
    <row r="513" spans="1:187" ht="11.25" customHeight="1">
      <c r="A513" s="1" t="s">
        <v>897</v>
      </c>
      <c r="B513" s="1" t="str">
        <f ca="1">IFERROR(__xludf.DUMMYFUNCTION("GOOGLETRANSLATE(A513, ""en"", ""fr"")"),"ANTAGONISTE")</f>
        <v>ANTAGONISTE</v>
      </c>
      <c r="C513" s="1" t="s">
        <v>192</v>
      </c>
      <c r="E513" s="1" t="s">
        <v>16613</v>
      </c>
      <c r="I513" s="1" t="s">
        <v>5</v>
      </c>
      <c r="AN513" s="1" t="s">
        <v>36</v>
      </c>
      <c r="AT513" s="1" t="s">
        <v>42</v>
      </c>
      <c r="GD513" s="1" t="s">
        <v>193</v>
      </c>
      <c r="GE513" s="1" t="s">
        <v>190</v>
      </c>
    </row>
    <row r="514" spans="1:187" ht="11.25" customHeight="1">
      <c r="A514" s="1" t="s">
        <v>898</v>
      </c>
      <c r="B514" s="1" t="str">
        <f ca="1">IFERROR(__xludf.DUMMYFUNCTION("GOOGLETRANSLATE(A514, ""en"", ""fr"")"),"ANTAGONISTE")</f>
        <v>ANTAGONISTE</v>
      </c>
      <c r="C514" s="1" t="s">
        <v>185</v>
      </c>
      <c r="E514" s="1" t="s">
        <v>16613</v>
      </c>
      <c r="H514" s="1" t="s">
        <v>4</v>
      </c>
      <c r="I514" s="1" t="s">
        <v>5</v>
      </c>
      <c r="J514" s="1" t="s">
        <v>6</v>
      </c>
      <c r="N514" s="1" t="s">
        <v>10</v>
      </c>
      <c r="S514" s="1" t="s">
        <v>15</v>
      </c>
      <c r="T514" s="1" t="s">
        <v>16</v>
      </c>
      <c r="FW514" s="1" t="s">
        <v>175</v>
      </c>
      <c r="GD514" s="1" t="s">
        <v>202</v>
      </c>
      <c r="GE514" s="1" t="s">
        <v>190</v>
      </c>
    </row>
    <row r="515" spans="1:187" ht="11.25" customHeight="1">
      <c r="A515" s="1" t="s">
        <v>899</v>
      </c>
      <c r="B515" s="1" t="str">
        <f ca="1">IFERROR(__xludf.DUMMYFUNCTION("GOOGLETRANSLATE(A515, ""en"", ""fr"")"),"CONTRARIER")</f>
        <v>CONTRARIER</v>
      </c>
      <c r="C515" s="1" t="s">
        <v>185</v>
      </c>
      <c r="E515" s="1" t="s">
        <v>16613</v>
      </c>
      <c r="H515" s="1" t="s">
        <v>4</v>
      </c>
      <c r="I515" s="1" t="s">
        <v>5</v>
      </c>
      <c r="J515" s="1" t="s">
        <v>6</v>
      </c>
      <c r="N515" s="1" t="s">
        <v>10</v>
      </c>
      <c r="S515" s="1" t="s">
        <v>15</v>
      </c>
      <c r="DN515" s="1" t="s">
        <v>114</v>
      </c>
      <c r="FW515" s="1" t="s">
        <v>175</v>
      </c>
      <c r="GD515" s="1" t="s">
        <v>189</v>
      </c>
      <c r="GE515" s="1" t="s">
        <v>190</v>
      </c>
    </row>
    <row r="516" spans="1:187" ht="11.25" customHeight="1">
      <c r="A516" s="1" t="s">
        <v>900</v>
      </c>
      <c r="B516" s="1" t="str">
        <f ca="1">IFERROR(__xludf.DUMMYFUNCTION("GOOGLETRANSLATE(A516, ""en"", ""fr"")"),"ANTARCTIQUE")</f>
        <v>ANTARCTIQUE</v>
      </c>
      <c r="C516" s="1" t="s">
        <v>196</v>
      </c>
      <c r="DV516" s="1" t="s">
        <v>122</v>
      </c>
      <c r="ED516" s="1" t="s">
        <v>130</v>
      </c>
      <c r="GD516" s="1" t="s">
        <v>193</v>
      </c>
    </row>
    <row r="517" spans="1:187" ht="11.25" customHeight="1">
      <c r="A517" s="1" t="s">
        <v>901</v>
      </c>
      <c r="B517" s="1" t="str">
        <f ca="1">IFERROR(__xludf.DUMMYFUNCTION("GOOGLETRANSLATE(A517, ""en"", ""fr"")"),"ANTISOCIAL")</f>
        <v>ANTISOCIAL</v>
      </c>
      <c r="C517" s="1" t="s">
        <v>192</v>
      </c>
      <c r="E517" s="1" t="s">
        <v>16613</v>
      </c>
      <c r="V517" s="1" t="s">
        <v>18</v>
      </c>
      <c r="W517" s="1" t="s">
        <v>19</v>
      </c>
      <c r="AN517" s="1" t="s">
        <v>36</v>
      </c>
      <c r="DQ517" s="1" t="s">
        <v>117</v>
      </c>
      <c r="GD517" s="1" t="s">
        <v>202</v>
      </c>
      <c r="GE517" s="1" t="s">
        <v>190</v>
      </c>
    </row>
    <row r="518" spans="1:187" ht="11.25" customHeight="1">
      <c r="A518" s="1" t="s">
        <v>902</v>
      </c>
      <c r="B518" s="1" t="str">
        <f ca="1">IFERROR(__xludf.DUMMYFUNCTION("GOOGLETRANSLATE(A518, ""en"", ""fr"")"),"ANTITRUST")</f>
        <v>ANTITRUST</v>
      </c>
      <c r="C518" s="1" t="s">
        <v>185</v>
      </c>
      <c r="Z518" s="1" t="s">
        <v>22</v>
      </c>
      <c r="AA518" s="1" t="s">
        <v>23</v>
      </c>
      <c r="AC518" s="1" t="s">
        <v>25</v>
      </c>
      <c r="AH518" s="1" t="s">
        <v>30</v>
      </c>
      <c r="EV518" s="1" t="s">
        <v>148</v>
      </c>
      <c r="EW518" s="1" t="s">
        <v>149</v>
      </c>
      <c r="GD518" s="1" t="s">
        <v>202</v>
      </c>
      <c r="GE518" s="1" t="s">
        <v>190</v>
      </c>
    </row>
    <row r="519" spans="1:187" ht="11.25" customHeight="1">
      <c r="A519" s="1" t="s">
        <v>903</v>
      </c>
      <c r="B519" s="1" t="str">
        <f ca="1">IFERROR(__xludf.DUMMYFUNCTION("GOOGLETRANSLATE(A519, ""en"", ""fr"")"),"ANTICIPER")</f>
        <v>ANTICIPER</v>
      </c>
      <c r="C519" s="1" t="s">
        <v>185</v>
      </c>
      <c r="O519" s="1" t="s">
        <v>11</v>
      </c>
      <c r="S519" s="1" t="s">
        <v>15</v>
      </c>
      <c r="DP519" s="1" t="s">
        <v>116</v>
      </c>
      <c r="GD519" s="1" t="s">
        <v>189</v>
      </c>
      <c r="GE519" s="1" t="s">
        <v>190</v>
      </c>
    </row>
    <row r="520" spans="1:187" ht="11.25" customHeight="1">
      <c r="A520" s="1" t="s">
        <v>904</v>
      </c>
      <c r="B520" s="1" t="str">
        <f ca="1">IFERROR(__xludf.DUMMYFUNCTION("GOOGLETRANSLATE(A520, ""en"", ""fr"")"),"ANTICIPATION")</f>
        <v>ANTICIPATION</v>
      </c>
      <c r="C520" s="1" t="s">
        <v>185</v>
      </c>
      <c r="O520" s="1" t="s">
        <v>11</v>
      </c>
      <c r="S520" s="1" t="s">
        <v>15</v>
      </c>
      <c r="GD520" s="1" t="s">
        <v>193</v>
      </c>
      <c r="GE520" s="1" t="s">
        <v>190</v>
      </c>
    </row>
    <row r="521" spans="1:187" ht="11.25" customHeight="1">
      <c r="A521" s="1" t="s">
        <v>905</v>
      </c>
      <c r="B521" s="1" t="str">
        <f ca="1">IFERROR(__xludf.DUMMYFUNCTION("GOOGLETRANSLATE(A521, ""en"", ""fr"")"),"ANTIPATHIE")</f>
        <v>ANTIPATHIE</v>
      </c>
      <c r="C521" s="1" t="s">
        <v>192</v>
      </c>
      <c r="E521" s="1" t="s">
        <v>16613</v>
      </c>
      <c r="R521" s="1" t="s">
        <v>14</v>
      </c>
      <c r="V521" s="1" t="s">
        <v>18</v>
      </c>
      <c r="X521" s="1" t="s">
        <v>20</v>
      </c>
      <c r="GD521" s="1" t="s">
        <v>193</v>
      </c>
      <c r="GE521" s="1" t="s">
        <v>190</v>
      </c>
    </row>
    <row r="522" spans="1:187" ht="11.25" customHeight="1">
      <c r="A522" s="1" t="s">
        <v>906</v>
      </c>
      <c r="B522" s="1" t="str">
        <f ca="1">IFERROR(__xludf.DUMMYFUNCTION("GOOGLETRANSLATE(A522, ""en"", ""fr"")"),"VIEILLI")</f>
        <v>VIEILLI</v>
      </c>
      <c r="C522" s="1" t="s">
        <v>192</v>
      </c>
      <c r="E522" s="1" t="s">
        <v>16613</v>
      </c>
      <c r="L522" s="1" t="s">
        <v>8</v>
      </c>
      <c r="CY522" s="1" t="s">
        <v>99</v>
      </c>
      <c r="DQ522" s="1" t="s">
        <v>117</v>
      </c>
      <c r="GD522" s="1" t="s">
        <v>202</v>
      </c>
      <c r="GE522" s="1" t="s">
        <v>190</v>
      </c>
    </row>
    <row r="523" spans="1:187" ht="11.25" customHeight="1">
      <c r="A523" s="1" t="s">
        <v>907</v>
      </c>
      <c r="B523" s="1" t="str">
        <f ca="1">IFERROR(__xludf.DUMMYFUNCTION("GOOGLETRANSLATE(A523, ""en"", ""fr"")"),"ANTITRUST")</f>
        <v>ANTITRUST</v>
      </c>
      <c r="C523" s="1" t="s">
        <v>192</v>
      </c>
      <c r="E523" s="1" t="s">
        <v>16613</v>
      </c>
      <c r="G523" s="1" t="s">
        <v>3</v>
      </c>
      <c r="AE523" s="1" t="s">
        <v>27</v>
      </c>
      <c r="AG523" s="1" t="s">
        <v>29</v>
      </c>
      <c r="DR523" s="1" t="s">
        <v>118</v>
      </c>
      <c r="GD523" s="1" t="s">
        <v>202</v>
      </c>
      <c r="GE523" s="1" t="s">
        <v>190</v>
      </c>
    </row>
    <row r="524" spans="1:187" ht="11.25" customHeight="1">
      <c r="A524" s="1" t="s">
        <v>908</v>
      </c>
      <c r="B524" s="1" t="str">
        <f ca="1">IFERROR(__xludf.DUMMYFUNCTION("GOOGLETRANSLATE(A524, ""en"", ""fr"")"),"ANXIÉTÉ")</f>
        <v>ANXIÉTÉ</v>
      </c>
      <c r="C524" s="1" t="s">
        <v>185</v>
      </c>
      <c r="E524" s="1" t="s">
        <v>16613</v>
      </c>
      <c r="H524" s="1" t="s">
        <v>4</v>
      </c>
      <c r="L524" s="1" t="s">
        <v>8</v>
      </c>
      <c r="O524" s="1" t="s">
        <v>11</v>
      </c>
      <c r="Q524" s="1" t="s">
        <v>13</v>
      </c>
      <c r="T524" s="1" t="s">
        <v>16</v>
      </c>
      <c r="FA524" s="1" t="s">
        <v>153</v>
      </c>
      <c r="FC524" s="1" t="s">
        <v>155</v>
      </c>
      <c r="GD524" s="1" t="s">
        <v>193</v>
      </c>
      <c r="GE524" s="1" t="s">
        <v>909</v>
      </c>
    </row>
    <row r="525" spans="1:187" ht="11.25" customHeight="1">
      <c r="A525" s="1" t="s">
        <v>910</v>
      </c>
      <c r="B525" s="1" t="str">
        <f ca="1">IFERROR(__xludf.DUMMYFUNCTION("GOOGLETRANSLATE(A525, ""en"", ""fr"")"),"Anxieux # 1")</f>
        <v>Anxieux # 1</v>
      </c>
      <c r="C525" s="1" t="s">
        <v>185</v>
      </c>
      <c r="S525" s="1" t="s">
        <v>15</v>
      </c>
      <c r="T525" s="1" t="s">
        <v>16</v>
      </c>
      <c r="EL525" s="1" t="s">
        <v>138</v>
      </c>
      <c r="EN525" s="1" t="s">
        <v>140</v>
      </c>
      <c r="GD525" s="1" t="s">
        <v>202</v>
      </c>
      <c r="GE525" s="1" t="s">
        <v>911</v>
      </c>
    </row>
    <row r="526" spans="1:187" ht="11.25" customHeight="1">
      <c r="A526" s="1" t="s">
        <v>912</v>
      </c>
      <c r="B526" s="1" t="str">
        <f ca="1">IFERROR(__xludf.DUMMYFUNCTION("GOOGLETRANSLATE(A526, ""en"", ""fr"")"),"Anxieux # 2")</f>
        <v>Anxieux # 2</v>
      </c>
      <c r="C526" s="1" t="s">
        <v>185</v>
      </c>
      <c r="E526" s="1" t="s">
        <v>16613</v>
      </c>
      <c r="H526" s="1" t="s">
        <v>4</v>
      </c>
      <c r="L526" s="1" t="s">
        <v>8</v>
      </c>
      <c r="O526" s="1" t="s">
        <v>11</v>
      </c>
      <c r="Q526" s="1" t="s">
        <v>13</v>
      </c>
      <c r="T526" s="1" t="s">
        <v>16</v>
      </c>
      <c r="FA526" s="1" t="s">
        <v>153</v>
      </c>
      <c r="FC526" s="1" t="s">
        <v>155</v>
      </c>
      <c r="GD526" s="1" t="s">
        <v>202</v>
      </c>
      <c r="GE526" s="1" t="s">
        <v>913</v>
      </c>
    </row>
    <row r="527" spans="1:187" ht="11.25" customHeight="1">
      <c r="A527" s="1" t="s">
        <v>914</v>
      </c>
      <c r="B527" s="1" t="str">
        <f ca="1">IFERROR(__xludf.DUMMYFUNCTION("GOOGLETRANSLATE(A527, ""en"", ""fr"")"),"Anxieux # 3")</f>
        <v>Anxieux # 3</v>
      </c>
      <c r="C527" s="1" t="s">
        <v>185</v>
      </c>
      <c r="E527" s="1" t="s">
        <v>16613</v>
      </c>
      <c r="H527" s="1" t="s">
        <v>4</v>
      </c>
      <c r="L527" s="1" t="s">
        <v>8</v>
      </c>
      <c r="O527" s="1" t="s">
        <v>11</v>
      </c>
      <c r="Q527" s="1" t="s">
        <v>13</v>
      </c>
      <c r="FA527" s="1" t="s">
        <v>153</v>
      </c>
      <c r="FC527" s="1" t="s">
        <v>155</v>
      </c>
      <c r="GD527" s="1" t="s">
        <v>202</v>
      </c>
      <c r="GE527" s="1" t="s">
        <v>915</v>
      </c>
    </row>
    <row r="528" spans="1:187" ht="11.25" customHeight="1">
      <c r="A528" s="1" t="s">
        <v>916</v>
      </c>
      <c r="B528" s="1" t="str">
        <f ca="1">IFERROR(__xludf.DUMMYFUNCTION("GOOGLETRANSLATE(A528, ""en"", ""fr"")"),"Anxiété")</f>
        <v>Anxiété</v>
      </c>
      <c r="C528" s="1" t="s">
        <v>185</v>
      </c>
      <c r="E528" s="1" t="s">
        <v>16613</v>
      </c>
      <c r="H528" s="1" t="s">
        <v>4</v>
      </c>
      <c r="L528" s="1" t="s">
        <v>8</v>
      </c>
      <c r="O528" s="1" t="s">
        <v>11</v>
      </c>
      <c r="Q528" s="1" t="s">
        <v>13</v>
      </c>
      <c r="T528" s="1" t="s">
        <v>16</v>
      </c>
      <c r="FA528" s="1" t="s">
        <v>153</v>
      </c>
      <c r="FC528" s="1" t="s">
        <v>155</v>
      </c>
      <c r="GD528" s="1" t="s">
        <v>193</v>
      </c>
      <c r="GE528" s="1" t="s">
        <v>190</v>
      </c>
    </row>
    <row r="529" spans="1:187" ht="11.25" customHeight="1">
      <c r="A529" s="1" t="s">
        <v>917</v>
      </c>
      <c r="B529" s="1" t="str">
        <f ca="1">IFERROR(__xludf.DUMMYFUNCTION("GOOGLETRANSLATE(A529, ""en"", ""fr"")"),"Tout n ° 1")</f>
        <v>Tout n ° 1</v>
      </c>
      <c r="C529" s="1" t="s">
        <v>185</v>
      </c>
      <c r="W529" s="1" t="s">
        <v>19</v>
      </c>
      <c r="CS529" s="1" t="s">
        <v>93</v>
      </c>
      <c r="GD529" s="1" t="s">
        <v>918</v>
      </c>
      <c r="GE529" s="1" t="s">
        <v>919</v>
      </c>
    </row>
    <row r="530" spans="1:187" ht="11.25" customHeight="1">
      <c r="A530" s="1" t="s">
        <v>920</v>
      </c>
      <c r="B530" s="1" t="str">
        <f ca="1">IFERROR(__xludf.DUMMYFUNCTION("GOOGLETRANSLATE(A530, ""en"", ""fr"")"),"Tout n ° 2")</f>
        <v>Tout n ° 2</v>
      </c>
      <c r="C530" s="1" t="s">
        <v>185</v>
      </c>
      <c r="W530" s="1" t="s">
        <v>19</v>
      </c>
      <c r="GD530" s="1" t="s">
        <v>884</v>
      </c>
      <c r="GE530" s="1" t="s">
        <v>921</v>
      </c>
    </row>
    <row r="531" spans="1:187" ht="11.25" customHeight="1">
      <c r="A531" s="1" t="s">
        <v>922</v>
      </c>
      <c r="B531" s="1" t="str">
        <f ca="1">IFERROR(__xludf.DUMMYFUNCTION("GOOGLETRANSLATE(A531, ""en"", ""fr"")"),"Tout n ° 3")</f>
        <v>Tout n ° 3</v>
      </c>
      <c r="C531" s="1" t="s">
        <v>185</v>
      </c>
      <c r="GD531" s="1" t="s">
        <v>225</v>
      </c>
      <c r="GE531" s="1" t="s">
        <v>923</v>
      </c>
    </row>
    <row r="532" spans="1:187" ht="11.25" customHeight="1">
      <c r="A532" s="1" t="s">
        <v>924</v>
      </c>
      <c r="B532" s="1" t="str">
        <f ca="1">IFERROR(__xludf.DUMMYFUNCTION("GOOGLETRANSLATE(A532, ""en"", ""fr"")"),"N'importe quel n ° 4")</f>
        <v>N'importe quel n ° 4</v>
      </c>
      <c r="C532" s="1" t="s">
        <v>185</v>
      </c>
      <c r="GD532" s="1" t="s">
        <v>225</v>
      </c>
      <c r="GE532" s="1" t="s">
        <v>925</v>
      </c>
    </row>
    <row r="533" spans="1:187" ht="11.25" customHeight="1">
      <c r="A533" s="1" t="s">
        <v>926</v>
      </c>
      <c r="B533" s="1" t="str">
        <f ca="1">IFERROR(__xludf.DUMMYFUNCTION("GOOGLETRANSLATE(A533, ""en"", ""fr"")"),"Tout n ° 5")</f>
        <v>Tout n ° 5</v>
      </c>
      <c r="C533" s="1" t="s">
        <v>185</v>
      </c>
      <c r="GD533" s="1" t="s">
        <v>225</v>
      </c>
      <c r="GE533" s="1" t="s">
        <v>927</v>
      </c>
    </row>
    <row r="534" spans="1:187" ht="11.25" customHeight="1">
      <c r="A534" s="1" t="s">
        <v>928</v>
      </c>
      <c r="B534" s="1" t="str">
        <f ca="1">IFERROR(__xludf.DUMMYFUNCTION("GOOGLETRANSLATE(A534, ""en"", ""fr"")"),"N'IMPORTE QUI")</f>
        <v>N'IMPORTE QUI</v>
      </c>
      <c r="C534" s="1" t="s">
        <v>185</v>
      </c>
      <c r="W534" s="1" t="s">
        <v>19</v>
      </c>
      <c r="GD534" s="1" t="s">
        <v>929</v>
      </c>
      <c r="GE534" s="1" t="s">
        <v>930</v>
      </c>
    </row>
    <row r="535" spans="1:187" ht="11.25" customHeight="1">
      <c r="A535" s="1" t="s">
        <v>931</v>
      </c>
      <c r="B535" s="1" t="str">
        <f ca="1">IFERROR(__xludf.DUMMYFUNCTION("GOOGLETRANSLATE(A535, ""en"", ""fr"")"),"DE TOUTE FAÇON")</f>
        <v>DE TOUTE FAÇON</v>
      </c>
      <c r="C535" s="1" t="s">
        <v>185</v>
      </c>
      <c r="X535" s="1" t="s">
        <v>20</v>
      </c>
      <c r="GD535" s="1" t="s">
        <v>236</v>
      </c>
      <c r="GE535" s="1" t="s">
        <v>190</v>
      </c>
    </row>
    <row r="536" spans="1:187" ht="11.25" customHeight="1">
      <c r="A536" s="1" t="s">
        <v>932</v>
      </c>
      <c r="B536" s="1" t="str">
        <f ca="1">IFERROR(__xludf.DUMMYFUNCTION("GOOGLETRANSLATE(A536, ""en"", ""fr"")"),"PLUS")</f>
        <v>PLUS</v>
      </c>
      <c r="C536" s="1" t="s">
        <v>185</v>
      </c>
      <c r="CW536" s="1" t="s">
        <v>97</v>
      </c>
      <c r="GB536" s="1" t="s">
        <v>180</v>
      </c>
      <c r="GD536" s="1" t="s">
        <v>236</v>
      </c>
      <c r="GE536" s="1" t="s">
        <v>190</v>
      </c>
    </row>
    <row r="537" spans="1:187" ht="11.25" customHeight="1">
      <c r="A537" s="1" t="s">
        <v>933</v>
      </c>
      <c r="B537" s="1" t="str">
        <f ca="1">IFERROR(__xludf.DUMMYFUNCTION("GOOGLETRANSLATE(A537, ""en"", ""fr"")"),"N'IMPORTE QUI")</f>
        <v>N'IMPORTE QUI</v>
      </c>
      <c r="C537" s="1" t="s">
        <v>185</v>
      </c>
      <c r="W537" s="1" t="s">
        <v>19</v>
      </c>
      <c r="GD537" s="1" t="s">
        <v>929</v>
      </c>
      <c r="GE537" s="1" t="s">
        <v>934</v>
      </c>
    </row>
    <row r="538" spans="1:187" ht="11.25" customHeight="1">
      <c r="A538" s="1" t="s">
        <v>935</v>
      </c>
      <c r="B538" s="1" t="str">
        <f ca="1">IFERROR(__xludf.DUMMYFUNCTION("GOOGLETRANSLATE(A538, ""en"", ""fr"")"),"RIEN")</f>
        <v>RIEN</v>
      </c>
      <c r="C538" s="1" t="s">
        <v>185</v>
      </c>
      <c r="W538" s="1" t="s">
        <v>19</v>
      </c>
      <c r="GD538" s="1" t="s">
        <v>884</v>
      </c>
      <c r="GE538" s="1" t="s">
        <v>936</v>
      </c>
    </row>
    <row r="539" spans="1:187" ht="11.25" customHeight="1">
      <c r="A539" s="1" t="s">
        <v>937</v>
      </c>
      <c r="B539" s="1" t="str">
        <f ca="1">IFERROR(__xludf.DUMMYFUNCTION("GOOGLETRANSLATE(A539, ""en"", ""fr"")"),"DE TOUTE FAÇON")</f>
        <v>DE TOUTE FAÇON</v>
      </c>
      <c r="C539" s="1" t="s">
        <v>185</v>
      </c>
      <c r="X539" s="1" t="s">
        <v>20</v>
      </c>
      <c r="GD539" s="1" t="s">
        <v>236</v>
      </c>
      <c r="GE539" s="1" t="s">
        <v>938</v>
      </c>
    </row>
    <row r="540" spans="1:187" ht="11.25" customHeight="1">
      <c r="A540" s="1" t="s">
        <v>939</v>
      </c>
      <c r="B540" s="1" t="str">
        <f ca="1">IFERROR(__xludf.DUMMYFUNCTION("GOOGLETRANSLATE(A540, ""en"", ""fr"")"),"N'IMPORTE OÙ")</f>
        <v>N'IMPORTE OÙ</v>
      </c>
      <c r="C540" s="1" t="s">
        <v>185</v>
      </c>
      <c r="W540" s="1" t="s">
        <v>19</v>
      </c>
      <c r="DA540" s="1" t="s">
        <v>101</v>
      </c>
      <c r="GB540" s="1" t="s">
        <v>180</v>
      </c>
      <c r="GD540" s="1" t="s">
        <v>236</v>
      </c>
      <c r="GE540" s="1" t="s">
        <v>940</v>
      </c>
    </row>
    <row r="541" spans="1:187" ht="11.25" customHeight="1">
      <c r="A541" s="1" t="s">
        <v>941</v>
      </c>
      <c r="B541" s="1" t="str">
        <f ca="1">IFERROR(__xludf.DUMMYFUNCTION("GOOGLETRANSLATE(A541, ""en"", ""fr"")"),"À part # 1")</f>
        <v>À part # 1</v>
      </c>
      <c r="C541" s="1" t="s">
        <v>185</v>
      </c>
      <c r="L541" s="1" t="s">
        <v>8</v>
      </c>
      <c r="DA541" s="1" t="s">
        <v>101</v>
      </c>
      <c r="GB541" s="1" t="s">
        <v>180</v>
      </c>
      <c r="GD541" s="1" t="s">
        <v>236</v>
      </c>
      <c r="GE541" s="1" t="s">
        <v>942</v>
      </c>
    </row>
    <row r="542" spans="1:187" ht="11.25" customHeight="1">
      <c r="A542" s="1" t="s">
        <v>943</v>
      </c>
      <c r="B542" s="1" t="str">
        <f ca="1">IFERROR(__xludf.DUMMYFUNCTION("GOOGLETRANSLATE(A542, ""en"", ""fr"")"),"À part # 2")</f>
        <v>À part # 2</v>
      </c>
      <c r="C542" s="1" t="s">
        <v>185</v>
      </c>
      <c r="X542" s="1" t="s">
        <v>20</v>
      </c>
      <c r="GB542" s="1" t="s">
        <v>180</v>
      </c>
      <c r="GD542" s="1" t="s">
        <v>215</v>
      </c>
      <c r="GE542" s="1" t="s">
        <v>944</v>
      </c>
    </row>
    <row r="543" spans="1:187" ht="11.25" customHeight="1">
      <c r="A543" s="1" t="s">
        <v>945</v>
      </c>
      <c r="B543" s="1" t="str">
        <f ca="1">IFERROR(__xludf.DUMMYFUNCTION("GOOGLETRANSLATE(A543, ""en"", ""fr"")"),"À part # 3")</f>
        <v>À part # 3</v>
      </c>
      <c r="C543" s="1" t="s">
        <v>185</v>
      </c>
      <c r="GD543" s="1" t="s">
        <v>225</v>
      </c>
      <c r="GE543" s="1" t="s">
        <v>946</v>
      </c>
    </row>
    <row r="544" spans="1:187" ht="11.25" customHeight="1">
      <c r="A544" s="1" t="s">
        <v>947</v>
      </c>
      <c r="B544" s="1" t="str">
        <f ca="1">IFERROR(__xludf.DUMMYFUNCTION("GOOGLETRANSLATE(A544, ""en"", ""fr"")"),"APPARTEMENT")</f>
        <v>APPARTEMENT</v>
      </c>
      <c r="C544" s="1" t="s">
        <v>185</v>
      </c>
      <c r="BC544" s="1" t="s">
        <v>51</v>
      </c>
      <c r="BG544" s="1" t="s">
        <v>55</v>
      </c>
      <c r="GD544" s="1" t="s">
        <v>193</v>
      </c>
      <c r="GE544" s="1" t="s">
        <v>948</v>
      </c>
    </row>
    <row r="545" spans="1:187" ht="11.25" customHeight="1">
      <c r="A545" s="1" t="s">
        <v>949</v>
      </c>
      <c r="B545" s="1" t="str">
        <f ca="1">IFERROR(__xludf.DUMMYFUNCTION("GOOGLETRANSLATE(A545, ""en"", ""fr"")"),"APATHIQUE")</f>
        <v>APATHIQUE</v>
      </c>
      <c r="C545" s="1" t="s">
        <v>192</v>
      </c>
      <c r="E545" s="1" t="s">
        <v>16613</v>
      </c>
      <c r="L545" s="1" t="s">
        <v>8</v>
      </c>
      <c r="O545" s="1" t="s">
        <v>11</v>
      </c>
      <c r="R545" s="1" t="s">
        <v>14</v>
      </c>
      <c r="X545" s="1" t="s">
        <v>20</v>
      </c>
      <c r="DR545" s="1" t="s">
        <v>118</v>
      </c>
      <c r="GD545" s="1" t="s">
        <v>202</v>
      </c>
      <c r="GE545" s="1" t="s">
        <v>190</v>
      </c>
    </row>
    <row r="546" spans="1:187" ht="11.25" customHeight="1">
      <c r="A546" s="1" t="s">
        <v>950</v>
      </c>
      <c r="B546" s="1" t="str">
        <f ca="1">IFERROR(__xludf.DUMMYFUNCTION("GOOGLETRANSLATE(A546, ""en"", ""fr"")"),"APATHIE")</f>
        <v>APATHIE</v>
      </c>
      <c r="C546" s="1" t="s">
        <v>192</v>
      </c>
      <c r="E546" s="1" t="s">
        <v>16613</v>
      </c>
      <c r="L546" s="1" t="s">
        <v>8</v>
      </c>
      <c r="O546" s="1" t="s">
        <v>11</v>
      </c>
      <c r="R546" s="1" t="s">
        <v>14</v>
      </c>
      <c r="V546" s="1" t="s">
        <v>18</v>
      </c>
      <c r="X546" s="1" t="s">
        <v>20</v>
      </c>
      <c r="GD546" s="1" t="s">
        <v>193</v>
      </c>
      <c r="GE546" s="1" t="s">
        <v>190</v>
      </c>
    </row>
    <row r="547" spans="1:187" ht="11.25" customHeight="1">
      <c r="A547" s="1" t="s">
        <v>951</v>
      </c>
      <c r="B547" s="1" t="str">
        <f ca="1">IFERROR(__xludf.DUMMYFUNCTION("GOOGLETRANSLATE(A547, ""en"", ""fr"")"),"APOCALYPSE")</f>
        <v>APOCALYPSE</v>
      </c>
      <c r="C547" s="1" t="s">
        <v>192</v>
      </c>
      <c r="D547" s="1" t="s">
        <v>16612</v>
      </c>
      <c r="P547" s="1" t="s">
        <v>12</v>
      </c>
      <c r="CG547" s="1" t="s">
        <v>81</v>
      </c>
      <c r="CK547" s="1" t="s">
        <v>85</v>
      </c>
      <c r="GD547" s="1" t="s">
        <v>193</v>
      </c>
      <c r="GE547" s="1" t="s">
        <v>190</v>
      </c>
    </row>
    <row r="548" spans="1:187" ht="11.25" customHeight="1">
      <c r="A548" s="1" t="s">
        <v>952</v>
      </c>
      <c r="B548" s="1" t="str">
        <f ca="1">IFERROR(__xludf.DUMMYFUNCTION("GOOGLETRANSLATE(A548, ""en"", ""fr"")"),"APOLOGÉTIQUE")</f>
        <v>APOLOGÉTIQUE</v>
      </c>
      <c r="C548" s="1" t="s">
        <v>192</v>
      </c>
      <c r="L548" s="1" t="s">
        <v>8</v>
      </c>
      <c r="M548" s="1" t="s">
        <v>9</v>
      </c>
      <c r="Q548" s="1" t="s">
        <v>13</v>
      </c>
      <c r="AN548" s="1" t="s">
        <v>36</v>
      </c>
      <c r="DQ548" s="1" t="s">
        <v>117</v>
      </c>
      <c r="GD548" s="1" t="s">
        <v>202</v>
      </c>
      <c r="GE548" s="1" t="s">
        <v>190</v>
      </c>
    </row>
    <row r="549" spans="1:187" ht="11.25" customHeight="1">
      <c r="A549" s="1" t="s">
        <v>953</v>
      </c>
      <c r="B549" s="1" t="str">
        <f ca="1">IFERROR(__xludf.DUMMYFUNCTION("GOOGLETRANSLATE(A549, ""en"", ""fr"")"),"S'EXCUSER")</f>
        <v>S'EXCUSER</v>
      </c>
      <c r="C549" s="1" t="s">
        <v>185</v>
      </c>
      <c r="L549" s="1" t="s">
        <v>8</v>
      </c>
      <c r="M549" s="1" t="s">
        <v>9</v>
      </c>
      <c r="AN549" s="1" t="s">
        <v>36</v>
      </c>
      <c r="DN549" s="1" t="s">
        <v>114</v>
      </c>
      <c r="EK549" s="1" t="s">
        <v>137</v>
      </c>
      <c r="EN549" s="1" t="s">
        <v>140</v>
      </c>
      <c r="GD549" s="1" t="s">
        <v>670</v>
      </c>
      <c r="GE549" s="1" t="s">
        <v>190</v>
      </c>
    </row>
    <row r="550" spans="1:187" ht="11.25" customHeight="1">
      <c r="A550" s="1" t="s">
        <v>954</v>
      </c>
      <c r="B550" s="1" t="str">
        <f ca="1">IFERROR(__xludf.DUMMYFUNCTION("GOOGLETRANSLATE(A550, ""en"", ""fr"")"),"EXCUSES")</f>
        <v>EXCUSES</v>
      </c>
      <c r="C550" s="1" t="s">
        <v>185</v>
      </c>
      <c r="G550" s="1" t="s">
        <v>3</v>
      </c>
      <c r="L550" s="1" t="s">
        <v>8</v>
      </c>
      <c r="M550" s="1" t="s">
        <v>9</v>
      </c>
      <c r="BK550" s="1" t="s">
        <v>59</v>
      </c>
      <c r="BL550" s="1" t="s">
        <v>60</v>
      </c>
      <c r="EM550" s="1" t="s">
        <v>139</v>
      </c>
      <c r="EN550" s="1" t="s">
        <v>140</v>
      </c>
      <c r="GC550" s="1" t="s">
        <v>181</v>
      </c>
      <c r="GD550" s="1" t="s">
        <v>193</v>
      </c>
      <c r="GE550" s="1" t="s">
        <v>190</v>
      </c>
    </row>
    <row r="551" spans="1:187" ht="11.25" customHeight="1">
      <c r="A551" s="1" t="s">
        <v>955</v>
      </c>
      <c r="B551" s="1" t="str">
        <f ca="1">IFERROR(__xludf.DUMMYFUNCTION("GOOGLETRANSLATE(A551, ""en"", ""fr"")"),"Affaire # 1")</f>
        <v>Affaire # 1</v>
      </c>
      <c r="C551" s="1" t="s">
        <v>185</v>
      </c>
      <c r="E551" s="1" t="s">
        <v>16613</v>
      </c>
      <c r="H551" s="1" t="s">
        <v>4</v>
      </c>
      <c r="V551" s="1" t="s">
        <v>18</v>
      </c>
      <c r="EE551" s="1" t="s">
        <v>131</v>
      </c>
      <c r="EJ551" s="1" t="s">
        <v>136</v>
      </c>
      <c r="GD551" s="1" t="s">
        <v>202</v>
      </c>
      <c r="GE551" s="1" t="s">
        <v>190</v>
      </c>
    </row>
    <row r="552" spans="1:187" ht="11.25" customHeight="1">
      <c r="A552" s="1" t="s">
        <v>956</v>
      </c>
      <c r="B552" s="1" t="str">
        <f ca="1">IFERROR(__xludf.DUMMYFUNCTION("GOOGLETRANSLATE(A552, ""en"", ""fr"")"),"Aperçu # 2")</f>
        <v>Aperçu # 2</v>
      </c>
      <c r="C552" s="1" t="s">
        <v>185</v>
      </c>
      <c r="E552" s="1" t="s">
        <v>16613</v>
      </c>
      <c r="H552" s="1" t="s">
        <v>4</v>
      </c>
      <c r="BK552" s="1" t="s">
        <v>59</v>
      </c>
      <c r="DN552" s="1" t="s">
        <v>114</v>
      </c>
      <c r="EE552" s="1" t="s">
        <v>131</v>
      </c>
      <c r="EJ552" s="1" t="s">
        <v>136</v>
      </c>
      <c r="GD552" s="1" t="s">
        <v>189</v>
      </c>
      <c r="GE552" s="1" t="s">
        <v>190</v>
      </c>
    </row>
    <row r="553" spans="1:187" ht="11.25" customHeight="1">
      <c r="A553" s="1" t="s">
        <v>957</v>
      </c>
      <c r="B553" s="1" t="str">
        <f ca="1">IFERROR(__xludf.DUMMYFUNCTION("GOOGLETRANSLATE(A553, ""en"", ""fr"")"),"APPAREIL")</f>
        <v>APPAREIL</v>
      </c>
      <c r="C553" s="1" t="s">
        <v>185</v>
      </c>
      <c r="BC553" s="1" t="s">
        <v>51</v>
      </c>
      <c r="BD553" s="1" t="s">
        <v>52</v>
      </c>
      <c r="FL553" s="1" t="s">
        <v>164</v>
      </c>
      <c r="FM553" s="1" t="s">
        <v>418</v>
      </c>
      <c r="GD553" s="1" t="s">
        <v>193</v>
      </c>
      <c r="GE553" s="1" t="s">
        <v>190</v>
      </c>
    </row>
    <row r="554" spans="1:187" ht="11.25" customHeight="1">
      <c r="A554" s="1" t="s">
        <v>958</v>
      </c>
      <c r="B554" s="1" t="str">
        <f ca="1">IFERROR(__xludf.DUMMYFUNCTION("GOOGLETRANSLATE(A554, ""en"", ""fr"")"),"Apparent # 1")</f>
        <v>Apparent # 1</v>
      </c>
      <c r="C554" s="1" t="s">
        <v>185</v>
      </c>
      <c r="X554" s="1" t="s">
        <v>20</v>
      </c>
      <c r="CK554" s="1" t="s">
        <v>85</v>
      </c>
      <c r="FY554" s="1" t="s">
        <v>177</v>
      </c>
      <c r="GD554" s="1" t="s">
        <v>202</v>
      </c>
      <c r="GE554" s="1" t="s">
        <v>959</v>
      </c>
    </row>
    <row r="555" spans="1:187" ht="11.25" customHeight="1">
      <c r="A555" s="1" t="s">
        <v>960</v>
      </c>
      <c r="B555" s="1" t="str">
        <f ca="1">IFERROR(__xludf.DUMMYFUNCTION("GOOGLETRANSLATE(A555, ""en"", ""fr"")"),"Apparent # 2")</f>
        <v>Apparent # 2</v>
      </c>
      <c r="C555" s="1" t="s">
        <v>185</v>
      </c>
      <c r="X555" s="1" t="s">
        <v>20</v>
      </c>
      <c r="CK555" s="1" t="s">
        <v>85</v>
      </c>
      <c r="FZ555" s="1" t="s">
        <v>178</v>
      </c>
      <c r="GD555" s="1" t="s">
        <v>202</v>
      </c>
      <c r="GE555" s="1" t="s">
        <v>961</v>
      </c>
    </row>
    <row r="556" spans="1:187" ht="11.25" customHeight="1">
      <c r="A556" s="1" t="s">
        <v>962</v>
      </c>
      <c r="B556" s="1" t="str">
        <f ca="1">IFERROR(__xludf.DUMMYFUNCTION("GOOGLETRANSLATE(A556, ""en"", ""fr"")"),"Appel n ° 1")</f>
        <v>Appel n ° 1</v>
      </c>
      <c r="C556" s="1" t="s">
        <v>185</v>
      </c>
      <c r="G556" s="1" t="s">
        <v>3</v>
      </c>
      <c r="M556" s="1" t="s">
        <v>9</v>
      </c>
      <c r="O556" s="1" t="s">
        <v>11</v>
      </c>
      <c r="BK556" s="1" t="s">
        <v>59</v>
      </c>
      <c r="BL556" s="1" t="s">
        <v>60</v>
      </c>
      <c r="FR556" s="1" t="s">
        <v>170</v>
      </c>
      <c r="GC556" s="1" t="s">
        <v>181</v>
      </c>
      <c r="GD556" s="1" t="s">
        <v>193</v>
      </c>
      <c r="GE556" s="1" t="s">
        <v>963</v>
      </c>
    </row>
    <row r="557" spans="1:187" ht="11.25" customHeight="1">
      <c r="A557" s="1" t="s">
        <v>964</v>
      </c>
      <c r="B557" s="1" t="str">
        <f ca="1">IFERROR(__xludf.DUMMYFUNCTION("GOOGLETRANSLATE(A557, ""en"", ""fr"")"),"Appel n ° 2")</f>
        <v>Appel n ° 2</v>
      </c>
      <c r="C557" s="1" t="s">
        <v>185</v>
      </c>
      <c r="G557" s="1" t="s">
        <v>3</v>
      </c>
      <c r="M557" s="1" t="s">
        <v>9</v>
      </c>
      <c r="O557" s="1" t="s">
        <v>11</v>
      </c>
      <c r="AE557" s="1" t="s">
        <v>27</v>
      </c>
      <c r="AN557" s="1" t="s">
        <v>36</v>
      </c>
      <c r="DN557" s="1" t="s">
        <v>114</v>
      </c>
      <c r="FR557" s="1" t="s">
        <v>170</v>
      </c>
      <c r="GD557" s="1" t="s">
        <v>189</v>
      </c>
      <c r="GE557" s="1" t="s">
        <v>965</v>
      </c>
    </row>
    <row r="558" spans="1:187" ht="11.25" customHeight="1">
      <c r="A558" s="1" t="s">
        <v>966</v>
      </c>
      <c r="B558" s="1" t="str">
        <f ca="1">IFERROR(__xludf.DUMMYFUNCTION("GOOGLETRANSLATE(A558, ""en"", ""fr"")"),"Appel n ° 3")</f>
        <v>Appel n ° 3</v>
      </c>
      <c r="C558" s="1" t="s">
        <v>185</v>
      </c>
      <c r="D558" s="1" t="s">
        <v>16612</v>
      </c>
      <c r="F558" s="1" t="s">
        <v>2</v>
      </c>
      <c r="G558" s="1" t="s">
        <v>3</v>
      </c>
      <c r="O558" s="1" t="s">
        <v>11</v>
      </c>
      <c r="P558" s="1" t="s">
        <v>12</v>
      </c>
      <c r="FX558" s="1" t="s">
        <v>176</v>
      </c>
      <c r="GD558" s="1" t="s">
        <v>202</v>
      </c>
      <c r="GE558" s="1" t="s">
        <v>967</v>
      </c>
    </row>
    <row r="559" spans="1:187" ht="11.25" customHeight="1">
      <c r="A559" s="1" t="s">
        <v>968</v>
      </c>
      <c r="B559" s="1" t="str">
        <f ca="1">IFERROR(__xludf.DUMMYFUNCTION("GOOGLETRANSLATE(A559, ""en"", ""fr"")"),"Apparaissent n ° 1")</f>
        <v>Apparaissent n ° 1</v>
      </c>
      <c r="C559" s="1" t="s">
        <v>185</v>
      </c>
      <c r="O559" s="1" t="s">
        <v>11</v>
      </c>
      <c r="X559" s="1" t="s">
        <v>20</v>
      </c>
      <c r="CK559" s="1" t="s">
        <v>85</v>
      </c>
      <c r="DN559" s="1" t="s">
        <v>114</v>
      </c>
      <c r="FZ559" s="1" t="s">
        <v>178</v>
      </c>
      <c r="GD559" s="1" t="s">
        <v>969</v>
      </c>
      <c r="GE559" s="1" t="s">
        <v>970</v>
      </c>
    </row>
    <row r="560" spans="1:187" ht="11.25" customHeight="1">
      <c r="A560" s="1" t="s">
        <v>971</v>
      </c>
      <c r="B560" s="1" t="str">
        <f ca="1">IFERROR(__xludf.DUMMYFUNCTION("GOOGLETRANSLATE(A560, ""en"", ""fr"")"),"Apparaît # 2")</f>
        <v>Apparaît # 2</v>
      </c>
      <c r="C560" s="1" t="s">
        <v>185</v>
      </c>
      <c r="O560" s="1" t="s">
        <v>11</v>
      </c>
      <c r="CK560" s="1" t="s">
        <v>85</v>
      </c>
      <c r="DO560" s="1" t="s">
        <v>115</v>
      </c>
      <c r="GD560" s="1" t="s">
        <v>189</v>
      </c>
      <c r="GE560" s="1" t="s">
        <v>972</v>
      </c>
    </row>
    <row r="561" spans="1:187" ht="11.25" customHeight="1">
      <c r="A561" s="1" t="s">
        <v>973</v>
      </c>
      <c r="B561" s="1" t="str">
        <f ca="1">IFERROR(__xludf.DUMMYFUNCTION("GOOGLETRANSLATE(A561, ""en"", ""fr"")"),"APPARENCE")</f>
        <v>APPARENCE</v>
      </c>
      <c r="C561" s="1" t="s">
        <v>185</v>
      </c>
      <c r="O561" s="1" t="s">
        <v>11</v>
      </c>
      <c r="CK561" s="1" t="s">
        <v>85</v>
      </c>
      <c r="GD561" s="1" t="s">
        <v>193</v>
      </c>
      <c r="GE561" s="1" t="s">
        <v>190</v>
      </c>
    </row>
    <row r="562" spans="1:187" ht="11.25" customHeight="1">
      <c r="A562" s="1" t="s">
        <v>974</v>
      </c>
      <c r="B562" s="1" t="str">
        <f ca="1">IFERROR(__xludf.DUMMYFUNCTION("GOOGLETRANSLATE(A562, ""en"", ""fr"")"),"APAISER")</f>
        <v>APAISER</v>
      </c>
      <c r="C562" s="1" t="s">
        <v>185</v>
      </c>
      <c r="D562" s="1" t="s">
        <v>16612</v>
      </c>
      <c r="M562" s="1" t="s">
        <v>9</v>
      </c>
      <c r="N562" s="1" t="s">
        <v>10</v>
      </c>
      <c r="DN562" s="1" t="s">
        <v>114</v>
      </c>
      <c r="DS562" s="1" t="s">
        <v>119</v>
      </c>
      <c r="ED562" s="1" t="s">
        <v>130</v>
      </c>
      <c r="GD562" s="1" t="s">
        <v>670</v>
      </c>
      <c r="GE562" s="1" t="s">
        <v>190</v>
      </c>
    </row>
    <row r="563" spans="1:187" ht="11.25" customHeight="1">
      <c r="A563" s="1" t="s">
        <v>975</v>
      </c>
      <c r="B563" s="1" t="str">
        <f ca="1">IFERROR(__xludf.DUMMYFUNCTION("GOOGLETRANSLATE(A563, ""en"", ""fr"")"),"APAISEMENT")</f>
        <v>APAISEMENT</v>
      </c>
      <c r="C563" s="1" t="s">
        <v>196</v>
      </c>
      <c r="DS563" s="1" t="s">
        <v>119</v>
      </c>
      <c r="ED563" s="1" t="s">
        <v>130</v>
      </c>
      <c r="GD563" s="1" t="s">
        <v>470</v>
      </c>
    </row>
    <row r="564" spans="1:187" ht="11.25" customHeight="1">
      <c r="A564" s="1" t="s">
        <v>976</v>
      </c>
      <c r="B564" s="1" t="str">
        <f ca="1">IFERROR(__xludf.DUMMYFUNCTION("GOOGLETRANSLATE(A564, ""en"", ""fr"")"),"AJOUTER")</f>
        <v>AJOUTER</v>
      </c>
      <c r="C564" s="1" t="s">
        <v>192</v>
      </c>
      <c r="D564" s="1" t="s">
        <v>16612</v>
      </c>
      <c r="N564" s="1" t="s">
        <v>10</v>
      </c>
      <c r="BX564" s="1" t="s">
        <v>72</v>
      </c>
      <c r="DO564" s="1" t="s">
        <v>115</v>
      </c>
      <c r="GD564" s="1" t="s">
        <v>189</v>
      </c>
      <c r="GE564" s="1" t="s">
        <v>190</v>
      </c>
    </row>
    <row r="565" spans="1:187" ht="11.25" customHeight="1">
      <c r="A565" s="1" t="s">
        <v>977</v>
      </c>
      <c r="B565" s="1" t="str">
        <f ca="1">IFERROR(__xludf.DUMMYFUNCTION("GOOGLETRANSLATE(A565, ""en"", ""fr"")"),"Faire une affirmation")</f>
        <v>Faire une affirmation</v>
      </c>
      <c r="C565" s="1" t="s">
        <v>196</v>
      </c>
      <c r="GD565" s="1" t="s">
        <v>189</v>
      </c>
    </row>
    <row r="566" spans="1:187" ht="11.25" customHeight="1">
      <c r="A566" s="1" t="s">
        <v>978</v>
      </c>
      <c r="B566" s="1" t="str">
        <f ca="1">IFERROR(__xludf.DUMMYFUNCTION("GOOGLETRANSLATE(A566, ""en"", ""fr"")"),"APPÉTIT")</f>
        <v>APPÉTIT</v>
      </c>
      <c r="C566" s="1" t="s">
        <v>185</v>
      </c>
      <c r="S566" s="1" t="s">
        <v>15</v>
      </c>
      <c r="GD566" s="1" t="s">
        <v>193</v>
      </c>
      <c r="GE566" s="1" t="s">
        <v>190</v>
      </c>
    </row>
    <row r="567" spans="1:187" ht="11.25" customHeight="1">
      <c r="A567" s="1" t="s">
        <v>979</v>
      </c>
      <c r="B567" s="1" t="str">
        <f ca="1">IFERROR(__xludf.DUMMYFUNCTION("GOOGLETRANSLATE(A567, ""en"", ""fr"")"),"APPLAUDIR")</f>
        <v>APPLAUDIR</v>
      </c>
      <c r="C567" s="1" t="s">
        <v>192</v>
      </c>
      <c r="D567" s="1" t="s">
        <v>16612</v>
      </c>
      <c r="N567" s="1" t="s">
        <v>10</v>
      </c>
      <c r="BK567" s="1" t="s">
        <v>59</v>
      </c>
      <c r="CM567" s="1" t="s">
        <v>87</v>
      </c>
      <c r="DO567" s="1" t="s">
        <v>115</v>
      </c>
      <c r="GD567" s="1" t="s">
        <v>189</v>
      </c>
      <c r="GE567" s="1" t="s">
        <v>190</v>
      </c>
    </row>
    <row r="568" spans="1:187" ht="11.25" customHeight="1">
      <c r="A568" s="1" t="s">
        <v>980</v>
      </c>
      <c r="B568" s="1" t="str">
        <f ca="1">IFERROR(__xludf.DUMMYFUNCTION("GOOGLETRANSLATE(A568, ""en"", ""fr"")"),"APPLAUDISSEMENTS")</f>
        <v>APPLAUDISSEMENTS</v>
      </c>
      <c r="C568" s="1" t="s">
        <v>185</v>
      </c>
      <c r="D568" s="1" t="s">
        <v>16612</v>
      </c>
      <c r="F568" s="1" t="s">
        <v>2</v>
      </c>
      <c r="BK568" s="1" t="s">
        <v>59</v>
      </c>
      <c r="BL568" s="1" t="s">
        <v>60</v>
      </c>
      <c r="EM568" s="1" t="s">
        <v>139</v>
      </c>
      <c r="EN568" s="1" t="s">
        <v>140</v>
      </c>
      <c r="GC568" s="1" t="s">
        <v>181</v>
      </c>
      <c r="GD568" s="1" t="s">
        <v>193</v>
      </c>
      <c r="GE568" s="1" t="s">
        <v>190</v>
      </c>
    </row>
    <row r="569" spans="1:187" ht="11.25" customHeight="1">
      <c r="A569" s="1" t="s">
        <v>981</v>
      </c>
      <c r="B569" s="1" t="str">
        <f ca="1">IFERROR(__xludf.DUMMYFUNCTION("GOOGLETRANSLATE(A569, ""en"", ""fr"")"),"EN VIGUEUR")</f>
        <v>EN VIGUEUR</v>
      </c>
      <c r="C569" s="1" t="s">
        <v>185</v>
      </c>
      <c r="CH569" s="1" t="s">
        <v>82</v>
      </c>
      <c r="GD569" s="1" t="s">
        <v>202</v>
      </c>
      <c r="GE569" s="1" t="s">
        <v>190</v>
      </c>
    </row>
    <row r="570" spans="1:187" ht="11.25" customHeight="1">
      <c r="A570" s="1" t="s">
        <v>982</v>
      </c>
      <c r="B570" s="1" t="str">
        <f ca="1">IFERROR(__xludf.DUMMYFUNCTION("GOOGLETRANSLATE(A570, ""en"", ""fr"")"),"DEMANDEUR")</f>
        <v>DEMANDEUR</v>
      </c>
      <c r="C570" s="1" t="s">
        <v>185</v>
      </c>
      <c r="M570" s="1" t="s">
        <v>9</v>
      </c>
      <c r="AJ570" s="1" t="s">
        <v>32</v>
      </c>
      <c r="AT570" s="1" t="s">
        <v>42</v>
      </c>
      <c r="FK570" s="1" t="s">
        <v>163</v>
      </c>
      <c r="FM570" s="1" t="s">
        <v>418</v>
      </c>
      <c r="GD570" s="1" t="s">
        <v>193</v>
      </c>
      <c r="GE570" s="1" t="s">
        <v>190</v>
      </c>
    </row>
    <row r="571" spans="1:187" ht="11.25" customHeight="1">
      <c r="A571" s="1" t="s">
        <v>983</v>
      </c>
      <c r="B571" s="1" t="str">
        <f ca="1">IFERROR(__xludf.DUMMYFUNCTION("GOOGLETRANSLATE(A571, ""en"", ""fr"")"),"APPLICATION")</f>
        <v>APPLICATION</v>
      </c>
      <c r="C571" s="1" t="s">
        <v>185</v>
      </c>
      <c r="M571" s="1" t="s">
        <v>9</v>
      </c>
      <c r="BK571" s="1" t="s">
        <v>59</v>
      </c>
      <c r="BL571" s="1" t="s">
        <v>60</v>
      </c>
      <c r="GC571" s="1" t="s">
        <v>181</v>
      </c>
      <c r="GD571" s="1" t="s">
        <v>193</v>
      </c>
      <c r="GE571" s="1" t="s">
        <v>190</v>
      </c>
    </row>
    <row r="572" spans="1:187" ht="11.25" customHeight="1">
      <c r="A572" s="1" t="s">
        <v>984</v>
      </c>
      <c r="B572" s="1" t="str">
        <f ca="1">IFERROR(__xludf.DUMMYFUNCTION("GOOGLETRANSLATE(A572, ""en"", ""fr"")"),"Appliquer # 1")</f>
        <v>Appliquer # 1</v>
      </c>
      <c r="C572" s="1" t="s">
        <v>185</v>
      </c>
      <c r="N572" s="1" t="s">
        <v>10</v>
      </c>
      <c r="CO572" s="1" t="s">
        <v>89</v>
      </c>
      <c r="DN572" s="1" t="s">
        <v>114</v>
      </c>
      <c r="FQ572" s="1" t="s">
        <v>169</v>
      </c>
      <c r="GD572" s="1" t="s">
        <v>189</v>
      </c>
      <c r="GE572" s="1" t="s">
        <v>985</v>
      </c>
    </row>
    <row r="573" spans="1:187" ht="11.25" customHeight="1">
      <c r="A573" s="1" t="s">
        <v>986</v>
      </c>
      <c r="B573" s="1" t="str">
        <f ca="1">IFERROR(__xludf.DUMMYFUNCTION("GOOGLETRANSLATE(A573, ""en"", ""fr"")"),"Appliquer # 2")</f>
        <v>Appliquer # 2</v>
      </c>
      <c r="C573" s="1" t="s">
        <v>185</v>
      </c>
      <c r="M573" s="1" t="s">
        <v>9</v>
      </c>
      <c r="N573" s="1" t="s">
        <v>10</v>
      </c>
      <c r="AE573" s="1" t="s">
        <v>27</v>
      </c>
      <c r="BK573" s="1" t="s">
        <v>59</v>
      </c>
      <c r="DO573" s="1" t="s">
        <v>115</v>
      </c>
      <c r="FL573" s="1" t="s">
        <v>164</v>
      </c>
      <c r="FM573" s="1" t="s">
        <v>418</v>
      </c>
      <c r="GD573" s="1" t="s">
        <v>189</v>
      </c>
      <c r="GE573" s="1" t="s">
        <v>987</v>
      </c>
    </row>
    <row r="574" spans="1:187" ht="11.25" customHeight="1">
      <c r="A574" s="1" t="s">
        <v>988</v>
      </c>
      <c r="B574" s="1" t="str">
        <f ca="1">IFERROR(__xludf.DUMMYFUNCTION("GOOGLETRANSLATE(A574, ""en"", ""fr"")"),"Appliquer # 3")</f>
        <v>Appliquer # 3</v>
      </c>
      <c r="C574" s="1" t="s">
        <v>185</v>
      </c>
      <c r="N574" s="1" t="s">
        <v>10</v>
      </c>
      <c r="BP574" s="1" t="s">
        <v>64</v>
      </c>
      <c r="DN574" s="1" t="s">
        <v>114</v>
      </c>
      <c r="FR574" s="1" t="s">
        <v>170</v>
      </c>
      <c r="GD574" s="1" t="s">
        <v>189</v>
      </c>
      <c r="GE574" s="1" t="s">
        <v>989</v>
      </c>
    </row>
    <row r="575" spans="1:187" ht="11.25" customHeight="1">
      <c r="A575" s="1" t="s">
        <v>990</v>
      </c>
      <c r="B575" s="1" t="str">
        <f ca="1">IFERROR(__xludf.DUMMYFUNCTION("GOOGLETRANSLATE(A575, ""en"", ""fr"")"),"Appliquer # 4")</f>
        <v>Appliquer # 4</v>
      </c>
      <c r="C575" s="1" t="s">
        <v>185</v>
      </c>
      <c r="BQ575" s="1" t="s">
        <v>65</v>
      </c>
      <c r="FL575" s="1" t="s">
        <v>164</v>
      </c>
      <c r="FM575" s="1" t="s">
        <v>418</v>
      </c>
      <c r="GD575" s="1" t="s">
        <v>202</v>
      </c>
      <c r="GE575" s="1" t="s">
        <v>991</v>
      </c>
    </row>
    <row r="576" spans="1:187" ht="11.25" customHeight="1">
      <c r="A576" s="1" t="s">
        <v>992</v>
      </c>
      <c r="B576" s="1" t="str">
        <f ca="1">IFERROR(__xludf.DUMMYFUNCTION("GOOGLETRANSLATE(A576, ""en"", ""fr"")"),"Nommer n ° 1")</f>
        <v>Nommer n ° 1</v>
      </c>
      <c r="C576" s="1" t="s">
        <v>185</v>
      </c>
      <c r="D576" s="1" t="s">
        <v>16612</v>
      </c>
      <c r="F576" s="1" t="s">
        <v>2</v>
      </c>
      <c r="N576" s="1" t="s">
        <v>10</v>
      </c>
      <c r="DS576" s="1" t="s">
        <v>119</v>
      </c>
      <c r="ED576" s="1" t="s">
        <v>130</v>
      </c>
      <c r="GD576" s="1" t="s">
        <v>202</v>
      </c>
      <c r="GE576" s="1" t="s">
        <v>190</v>
      </c>
    </row>
    <row r="577" spans="1:187" ht="11.25" customHeight="1">
      <c r="A577" s="1" t="s">
        <v>993</v>
      </c>
      <c r="B577" s="1" t="str">
        <f ca="1">IFERROR(__xludf.DUMMYFUNCTION("GOOGLETRANSLATE(A577, ""en"", ""fr"")"),"Nommer n ° 2")</f>
        <v>Nommer n ° 2</v>
      </c>
      <c r="C577" s="1" t="s">
        <v>185</v>
      </c>
      <c r="D577" s="1" t="s">
        <v>16612</v>
      </c>
      <c r="F577" s="1" t="s">
        <v>2</v>
      </c>
      <c r="K577" s="1" t="s">
        <v>7</v>
      </c>
      <c r="N577" s="1" t="s">
        <v>10</v>
      </c>
      <c r="AN577" s="1" t="s">
        <v>36</v>
      </c>
      <c r="DO577" s="1" t="s">
        <v>115</v>
      </c>
      <c r="DS577" s="1" t="s">
        <v>119</v>
      </c>
      <c r="ED577" s="1" t="s">
        <v>130</v>
      </c>
      <c r="GD577" s="1" t="s">
        <v>189</v>
      </c>
      <c r="GE577" s="1" t="s">
        <v>190</v>
      </c>
    </row>
    <row r="578" spans="1:187" ht="11.25" customHeight="1">
      <c r="A578" s="1" t="s">
        <v>994</v>
      </c>
      <c r="B578" s="1" t="str">
        <f ca="1">IFERROR(__xludf.DUMMYFUNCTION("GOOGLETRANSLATE(A578, ""en"", ""fr"")"),"RENDEZ-VOUS")</f>
        <v>RENDEZ-VOUS</v>
      </c>
      <c r="C578" s="1" t="s">
        <v>185</v>
      </c>
      <c r="N578" s="1" t="s">
        <v>10</v>
      </c>
      <c r="AM578" s="1" t="s">
        <v>35</v>
      </c>
      <c r="EB578" s="1" t="s">
        <v>128</v>
      </c>
      <c r="ED578" s="1" t="s">
        <v>130</v>
      </c>
      <c r="GD578" s="1" t="s">
        <v>193</v>
      </c>
      <c r="GE578" s="1" t="s">
        <v>190</v>
      </c>
    </row>
    <row r="579" spans="1:187" ht="11.25" customHeight="1">
      <c r="A579" s="1" t="s">
        <v>995</v>
      </c>
      <c r="B579" s="1" t="str">
        <f ca="1">IFERROR(__xludf.DUMMYFUNCTION("GOOGLETRANSLATE(A579, ""en"", ""fr"")"),"ÉVALUATION")</f>
        <v>ÉVALUATION</v>
      </c>
      <c r="C579" s="1" t="s">
        <v>185</v>
      </c>
      <c r="K579" s="1" t="s">
        <v>7</v>
      </c>
      <c r="BQ579" s="1" t="s">
        <v>65</v>
      </c>
      <c r="FH579" s="1" t="s">
        <v>160</v>
      </c>
      <c r="FI579" s="1" t="s">
        <v>161</v>
      </c>
      <c r="GD579" s="1" t="s">
        <v>193</v>
      </c>
      <c r="GE579" s="1" t="s">
        <v>190</v>
      </c>
    </row>
    <row r="580" spans="1:187" ht="11.25" customHeight="1">
      <c r="A580" s="1" t="s">
        <v>996</v>
      </c>
      <c r="B580" s="1" t="str">
        <f ca="1">IFERROR(__xludf.DUMMYFUNCTION("GOOGLETRANSLATE(A580, ""en"", ""fr"")"),"ÉVALUER")</f>
        <v>ÉVALUER</v>
      </c>
      <c r="C580" s="1" t="s">
        <v>196</v>
      </c>
      <c r="FD580" s="1" t="s">
        <v>156</v>
      </c>
      <c r="FH580" s="1" t="s">
        <v>160</v>
      </c>
      <c r="GD580" s="1" t="s">
        <v>189</v>
      </c>
    </row>
    <row r="581" spans="1:187" ht="11.25" customHeight="1">
      <c r="A581" s="1" t="s">
        <v>997</v>
      </c>
      <c r="B581" s="1" t="str">
        <f ca="1">IFERROR(__xludf.DUMMYFUNCTION("GOOGLETRANSLATE(A581, ""en"", ""fr"")"),"APPRÉCIABLE")</f>
        <v>APPRÉCIABLE</v>
      </c>
      <c r="C581" s="1" t="s">
        <v>185</v>
      </c>
      <c r="D581" s="1" t="s">
        <v>16612</v>
      </c>
      <c r="F581" s="1" t="s">
        <v>2</v>
      </c>
      <c r="J581" s="1" t="s">
        <v>6</v>
      </c>
      <c r="W581" s="1" t="s">
        <v>19</v>
      </c>
      <c r="CK581" s="1" t="s">
        <v>85</v>
      </c>
      <c r="GD581" s="1" t="s">
        <v>202</v>
      </c>
      <c r="GE581" s="1" t="s">
        <v>190</v>
      </c>
    </row>
    <row r="582" spans="1:187" ht="11.25" customHeight="1">
      <c r="A582" s="1" t="s">
        <v>998</v>
      </c>
      <c r="B582" s="1" t="str">
        <f ca="1">IFERROR(__xludf.DUMMYFUNCTION("GOOGLETRANSLATE(A582, ""en"", ""fr"")"),"APPRÉCIER")</f>
        <v>APPRÉCIER</v>
      </c>
      <c r="C582" s="1" t="s">
        <v>185</v>
      </c>
      <c r="D582" s="1" t="s">
        <v>16612</v>
      </c>
      <c r="F582" s="1" t="s">
        <v>2</v>
      </c>
      <c r="G582" s="1" t="s">
        <v>3</v>
      </c>
      <c r="M582" s="1" t="s">
        <v>9</v>
      </c>
      <c r="O582" s="1" t="s">
        <v>11</v>
      </c>
      <c r="S582" s="1" t="s">
        <v>15</v>
      </c>
      <c r="DP582" s="1" t="s">
        <v>116</v>
      </c>
      <c r="EK582" s="1" t="s">
        <v>137</v>
      </c>
      <c r="EN582" s="1" t="s">
        <v>140</v>
      </c>
      <c r="GD582" s="1" t="s">
        <v>189</v>
      </c>
      <c r="GE582" s="1" t="s">
        <v>999</v>
      </c>
    </row>
    <row r="583" spans="1:187" ht="11.25" customHeight="1">
      <c r="A583" s="1" t="s">
        <v>1000</v>
      </c>
      <c r="B583" s="1" t="str">
        <f ca="1">IFERROR(__xludf.DUMMYFUNCTION("GOOGLETRANSLATE(A583, ""en"", ""fr"")"),"APPRÉCIATION")</f>
        <v>APPRÉCIATION</v>
      </c>
      <c r="C583" s="1" t="s">
        <v>185</v>
      </c>
      <c r="D583" s="1" t="s">
        <v>16612</v>
      </c>
      <c r="F583" s="1" t="s">
        <v>2</v>
      </c>
      <c r="G583" s="1" t="s">
        <v>3</v>
      </c>
      <c r="O583" s="1" t="s">
        <v>11</v>
      </c>
      <c r="P583" s="1" t="s">
        <v>12</v>
      </c>
      <c r="EM583" s="1" t="s">
        <v>139</v>
      </c>
      <c r="EN583" s="1" t="s">
        <v>140</v>
      </c>
      <c r="GD583" s="1" t="s">
        <v>193</v>
      </c>
      <c r="GE583" s="1" t="s">
        <v>190</v>
      </c>
    </row>
    <row r="584" spans="1:187" ht="11.25" customHeight="1">
      <c r="A584" s="1" t="s">
        <v>1001</v>
      </c>
      <c r="B584" s="1" t="str">
        <f ca="1">IFERROR(__xludf.DUMMYFUNCTION("GOOGLETRANSLATE(A584, ""en"", ""fr"")"),"RECONNAISSANT")</f>
        <v>RECONNAISSANT</v>
      </c>
      <c r="C584" s="1" t="s">
        <v>192</v>
      </c>
      <c r="D584" s="1" t="s">
        <v>16612</v>
      </c>
      <c r="P584" s="1" t="s">
        <v>12</v>
      </c>
      <c r="AN584" s="1" t="s">
        <v>36</v>
      </c>
      <c r="CM584" s="1" t="s">
        <v>87</v>
      </c>
      <c r="DQ584" s="1" t="s">
        <v>117</v>
      </c>
      <c r="GD584" s="1" t="s">
        <v>202</v>
      </c>
      <c r="GE584" s="1" t="s">
        <v>190</v>
      </c>
    </row>
    <row r="585" spans="1:187" ht="11.25" customHeight="1">
      <c r="A585" s="1" t="s">
        <v>1002</v>
      </c>
      <c r="B585" s="1" t="str">
        <f ca="1">IFERROR(__xludf.DUMMYFUNCTION("GOOGLETRANSLATE(A585, ""en"", ""fr"")"),"APPRÉHENDER")</f>
        <v>APPRÉHENDER</v>
      </c>
      <c r="C585" s="1" t="s">
        <v>185</v>
      </c>
      <c r="D585" s="1" t="s">
        <v>16612</v>
      </c>
      <c r="N585" s="1" t="s">
        <v>10</v>
      </c>
      <c r="CD585" s="1" t="s">
        <v>78</v>
      </c>
      <c r="DO585" s="1" t="s">
        <v>115</v>
      </c>
      <c r="GD585" s="1" t="s">
        <v>670</v>
      </c>
      <c r="GE585" s="1" t="s">
        <v>190</v>
      </c>
    </row>
    <row r="586" spans="1:187" ht="11.25" customHeight="1">
      <c r="A586" s="1" t="s">
        <v>1003</v>
      </c>
      <c r="B586" s="1" t="str">
        <f ca="1">IFERROR(__xludf.DUMMYFUNCTION("GOOGLETRANSLATE(A586, ""en"", ""fr"")"),"APPRÉHENSION")</f>
        <v>APPRÉHENSION</v>
      </c>
      <c r="C586" s="1" t="s">
        <v>185</v>
      </c>
      <c r="E586" s="1" t="s">
        <v>16613</v>
      </c>
      <c r="H586" s="1" t="s">
        <v>4</v>
      </c>
      <c r="J586" s="1" t="s">
        <v>6</v>
      </c>
      <c r="N586" s="1" t="s">
        <v>10</v>
      </c>
      <c r="Q586" s="1" t="s">
        <v>13</v>
      </c>
      <c r="T586" s="1" t="s">
        <v>16</v>
      </c>
      <c r="FA586" s="1" t="s">
        <v>153</v>
      </c>
      <c r="FC586" s="1" t="s">
        <v>155</v>
      </c>
      <c r="GD586" s="1" t="s">
        <v>193</v>
      </c>
      <c r="GE586" s="1" t="s">
        <v>190</v>
      </c>
    </row>
    <row r="587" spans="1:187" ht="11.25" customHeight="1">
      <c r="A587" s="1" t="s">
        <v>1004</v>
      </c>
      <c r="B587" s="1" t="str">
        <f ca="1">IFERROR(__xludf.DUMMYFUNCTION("GOOGLETRANSLATE(A587, ""en"", ""fr"")"),"INQUIET")</f>
        <v>INQUIET</v>
      </c>
      <c r="C587" s="1" t="s">
        <v>192</v>
      </c>
      <c r="E587" s="1" t="s">
        <v>16613</v>
      </c>
      <c r="L587" s="1" t="s">
        <v>8</v>
      </c>
      <c r="O587" s="1" t="s">
        <v>11</v>
      </c>
      <c r="Q587" s="1" t="s">
        <v>13</v>
      </c>
      <c r="T587" s="1" t="s">
        <v>16</v>
      </c>
      <c r="DQ587" s="1" t="s">
        <v>117</v>
      </c>
      <c r="GD587" s="1" t="s">
        <v>202</v>
      </c>
      <c r="GE587" s="1" t="s">
        <v>190</v>
      </c>
    </row>
    <row r="588" spans="1:187" ht="11.25" customHeight="1">
      <c r="A588" s="1" t="s">
        <v>1005</v>
      </c>
      <c r="B588" s="1" t="str">
        <f ca="1">IFERROR(__xludf.DUMMYFUNCTION("GOOGLETRANSLATE(A588, ""en"", ""fr"")"),"Approche n ° 1")</f>
        <v>Approche n ° 1</v>
      </c>
      <c r="C588" s="1" t="s">
        <v>185</v>
      </c>
      <c r="D588" s="1" t="s">
        <v>16612</v>
      </c>
      <c r="F588" s="1" t="s">
        <v>2</v>
      </c>
      <c r="N588" s="1" t="s">
        <v>10</v>
      </c>
      <c r="CE588" s="1" t="s">
        <v>79</v>
      </c>
      <c r="DN588" s="1" t="s">
        <v>114</v>
      </c>
      <c r="GD588" s="1" t="s">
        <v>189</v>
      </c>
      <c r="GE588" s="1" t="s">
        <v>1006</v>
      </c>
    </row>
    <row r="589" spans="1:187" ht="11.25" customHeight="1">
      <c r="A589" s="1" t="s">
        <v>1007</v>
      </c>
      <c r="B589" s="1" t="str">
        <f ca="1">IFERROR(__xludf.DUMMYFUNCTION("GOOGLETRANSLATE(A589, ""en"", ""fr"")"),"Approche n ° 2")</f>
        <v>Approche n ° 2</v>
      </c>
      <c r="C589" s="1" t="s">
        <v>185</v>
      </c>
      <c r="D589" s="1" t="s">
        <v>16612</v>
      </c>
      <c r="F589" s="1" t="s">
        <v>2</v>
      </c>
      <c r="N589" s="1" t="s">
        <v>10</v>
      </c>
      <c r="O589" s="1" t="s">
        <v>11</v>
      </c>
      <c r="BQ589" s="1" t="s">
        <v>65</v>
      </c>
      <c r="FH589" s="1" t="s">
        <v>160</v>
      </c>
      <c r="FI589" s="1" t="s">
        <v>161</v>
      </c>
      <c r="GD589" s="1" t="s">
        <v>193</v>
      </c>
      <c r="GE589" s="1" t="s">
        <v>1008</v>
      </c>
    </row>
    <row r="590" spans="1:187" ht="11.25" customHeight="1">
      <c r="A590" s="1" t="s">
        <v>1009</v>
      </c>
      <c r="B590" s="1" t="str">
        <f ca="1">IFERROR(__xludf.DUMMYFUNCTION("GOOGLETRANSLATE(A590, ""en"", ""fr"")"),"Approprié n ° 1")</f>
        <v>Approprié n ° 1</v>
      </c>
      <c r="C590" s="1" t="s">
        <v>185</v>
      </c>
      <c r="D590" s="1" t="s">
        <v>16612</v>
      </c>
      <c r="F590" s="1" t="s">
        <v>2</v>
      </c>
      <c r="U590" s="1" t="s">
        <v>17</v>
      </c>
      <c r="W590" s="1" t="s">
        <v>19</v>
      </c>
      <c r="EM590" s="1" t="s">
        <v>139</v>
      </c>
      <c r="EN590" s="1" t="s">
        <v>140</v>
      </c>
      <c r="GD590" s="1" t="s">
        <v>202</v>
      </c>
      <c r="GE590" s="1" t="s">
        <v>190</v>
      </c>
    </row>
    <row r="591" spans="1:187" ht="11.25" customHeight="1">
      <c r="A591" s="1" t="s">
        <v>1010</v>
      </c>
      <c r="B591" s="1" t="str">
        <f ca="1">IFERROR(__xludf.DUMMYFUNCTION("GOOGLETRANSLATE(A591, ""en"", ""fr"")"),"Approprié n ° 2")</f>
        <v>Approprié n ° 2</v>
      </c>
      <c r="C591" s="1" t="s">
        <v>185</v>
      </c>
      <c r="J591" s="1" t="s">
        <v>6</v>
      </c>
      <c r="K591" s="1" t="s">
        <v>7</v>
      </c>
      <c r="AN591" s="1" t="s">
        <v>36</v>
      </c>
      <c r="DN591" s="1" t="s">
        <v>114</v>
      </c>
      <c r="EU591" s="1" t="s">
        <v>147</v>
      </c>
      <c r="EW591" s="1" t="s">
        <v>149</v>
      </c>
      <c r="GD591" s="1" t="s">
        <v>189</v>
      </c>
      <c r="GE591" s="1" t="s">
        <v>190</v>
      </c>
    </row>
    <row r="592" spans="1:187" ht="11.25" customHeight="1">
      <c r="A592" s="1" t="s">
        <v>1011</v>
      </c>
      <c r="B592" s="1" t="str">
        <f ca="1">IFERROR(__xludf.DUMMYFUNCTION("GOOGLETRANSLATE(A592, ""en"", ""fr"")"),"APPROPRIATION")</f>
        <v>APPROPRIATION</v>
      </c>
      <c r="C592" s="1" t="s">
        <v>185</v>
      </c>
      <c r="K592" s="1" t="s">
        <v>7</v>
      </c>
      <c r="AC592" s="1" t="s">
        <v>25</v>
      </c>
      <c r="BK592" s="1" t="s">
        <v>59</v>
      </c>
      <c r="BL592" s="1" t="s">
        <v>60</v>
      </c>
      <c r="EV592" s="1" t="s">
        <v>148</v>
      </c>
      <c r="EW592" s="1" t="s">
        <v>149</v>
      </c>
      <c r="GC592" s="1" t="s">
        <v>181</v>
      </c>
      <c r="GD592" s="1" t="s">
        <v>193</v>
      </c>
      <c r="GE592" s="1" t="s">
        <v>190</v>
      </c>
    </row>
    <row r="593" spans="1:187" ht="11.25" customHeight="1">
      <c r="A593" s="1" t="s">
        <v>1012</v>
      </c>
      <c r="B593" s="1" t="str">
        <f ca="1">IFERROR(__xludf.DUMMYFUNCTION("GOOGLETRANSLATE(A593, ""en"", ""fr"")"),"APPROBATION")</f>
        <v>APPROBATION</v>
      </c>
      <c r="C593" s="1" t="s">
        <v>185</v>
      </c>
      <c r="D593" s="1" t="s">
        <v>16612</v>
      </c>
      <c r="F593" s="1" t="s">
        <v>2</v>
      </c>
      <c r="G593" s="1" t="s">
        <v>3</v>
      </c>
      <c r="BK593" s="1" t="s">
        <v>59</v>
      </c>
      <c r="BL593" s="1" t="s">
        <v>60</v>
      </c>
      <c r="EM593" s="1" t="s">
        <v>139</v>
      </c>
      <c r="EN593" s="1" t="s">
        <v>140</v>
      </c>
      <c r="GC593" s="1" t="s">
        <v>181</v>
      </c>
      <c r="GD593" s="1" t="s">
        <v>193</v>
      </c>
      <c r="GE593" s="1" t="s">
        <v>190</v>
      </c>
    </row>
    <row r="594" spans="1:187" ht="11.25" customHeight="1">
      <c r="A594" s="1" t="s">
        <v>1013</v>
      </c>
      <c r="B594" s="1" t="str">
        <f ca="1">IFERROR(__xludf.DUMMYFUNCTION("GOOGLETRANSLATE(A594, ""en"", ""fr"")"),"Approuver n ° 1")</f>
        <v>Approuver n ° 1</v>
      </c>
      <c r="C594" s="1" t="s">
        <v>185</v>
      </c>
      <c r="D594" s="1" t="s">
        <v>16612</v>
      </c>
      <c r="F594" s="1" t="s">
        <v>2</v>
      </c>
      <c r="G594" s="1" t="s">
        <v>3</v>
      </c>
      <c r="U594" s="1" t="s">
        <v>17</v>
      </c>
      <c r="EK594" s="1" t="s">
        <v>137</v>
      </c>
      <c r="EN594" s="1" t="s">
        <v>140</v>
      </c>
      <c r="GD594" s="1" t="s">
        <v>202</v>
      </c>
      <c r="GE594" s="1" t="s">
        <v>190</v>
      </c>
    </row>
    <row r="595" spans="1:187" ht="11.25" customHeight="1">
      <c r="A595" s="1" t="s">
        <v>1014</v>
      </c>
      <c r="B595" s="1" t="str">
        <f ca="1">IFERROR(__xludf.DUMMYFUNCTION("GOOGLETRANSLATE(A595, ""en"", ""fr"")"),"Approuver # 2")</f>
        <v>Approuver # 2</v>
      </c>
      <c r="C595" s="1" t="s">
        <v>185</v>
      </c>
      <c r="D595" s="1" t="s">
        <v>16612</v>
      </c>
      <c r="F595" s="1" t="s">
        <v>2</v>
      </c>
      <c r="G595" s="1" t="s">
        <v>3</v>
      </c>
      <c r="J595" s="1" t="s">
        <v>6</v>
      </c>
      <c r="BK595" s="1" t="s">
        <v>59</v>
      </c>
      <c r="DN595" s="1" t="s">
        <v>114</v>
      </c>
      <c r="EK595" s="1" t="s">
        <v>137</v>
      </c>
      <c r="EN595" s="1" t="s">
        <v>140</v>
      </c>
      <c r="GD595" s="1" t="s">
        <v>189</v>
      </c>
      <c r="GE595" s="1" t="s">
        <v>190</v>
      </c>
    </row>
    <row r="596" spans="1:187" ht="11.25" customHeight="1">
      <c r="A596" s="1" t="s">
        <v>1015</v>
      </c>
      <c r="B596" s="1" t="str">
        <f ca="1">IFERROR(__xludf.DUMMYFUNCTION("GOOGLETRANSLATE(A596, ""en"", ""fr"")"),"APPROXIMATIF")</f>
        <v>APPROXIMATIF</v>
      </c>
      <c r="C596" s="1" t="s">
        <v>185</v>
      </c>
      <c r="X596" s="1" t="s">
        <v>20</v>
      </c>
      <c r="CS596" s="1" t="s">
        <v>93</v>
      </c>
      <c r="FZ596" s="1" t="s">
        <v>178</v>
      </c>
      <c r="GD596" s="1" t="s">
        <v>202</v>
      </c>
      <c r="GE596" s="1" t="s">
        <v>190</v>
      </c>
    </row>
    <row r="597" spans="1:187" ht="11.25" customHeight="1">
      <c r="A597" s="1" t="s">
        <v>1016</v>
      </c>
      <c r="B597" s="1" t="str">
        <f ca="1">IFERROR(__xludf.DUMMYFUNCTION("GOOGLETRANSLATE(A597, ""en"", ""fr"")"),"ENVIRON")</f>
        <v>ENVIRON</v>
      </c>
      <c r="C597" s="1" t="s">
        <v>185</v>
      </c>
      <c r="X597" s="1" t="s">
        <v>20</v>
      </c>
      <c r="CS597" s="1" t="s">
        <v>93</v>
      </c>
      <c r="FZ597" s="1" t="s">
        <v>178</v>
      </c>
      <c r="GD597" s="1" t="s">
        <v>236</v>
      </c>
      <c r="GE597" s="1" t="s">
        <v>190</v>
      </c>
    </row>
    <row r="598" spans="1:187" ht="11.25" customHeight="1">
      <c r="A598" s="1" t="s">
        <v>1017</v>
      </c>
      <c r="B598" s="1" t="str">
        <f ca="1">IFERROR(__xludf.DUMMYFUNCTION("GOOGLETRANSLATE(A598, ""en"", ""fr"")"),"AVRIL")</f>
        <v>AVRIL</v>
      </c>
      <c r="C598" s="1" t="s">
        <v>185</v>
      </c>
      <c r="CQ598" s="1" t="s">
        <v>91</v>
      </c>
      <c r="CY598" s="1" t="s">
        <v>99</v>
      </c>
      <c r="CZ598" s="1" t="s">
        <v>100</v>
      </c>
      <c r="GB598" s="1" t="s">
        <v>180</v>
      </c>
      <c r="GD598" s="1" t="s">
        <v>193</v>
      </c>
      <c r="GE598" s="1" t="s">
        <v>190</v>
      </c>
    </row>
    <row r="599" spans="1:187" ht="11.25" customHeight="1">
      <c r="A599" s="1" t="s">
        <v>1018</v>
      </c>
      <c r="B599" s="1" t="str">
        <f ca="1">IFERROR(__xludf.DUMMYFUNCTION("GOOGLETRANSLATE(A599, ""en"", ""fr"")"),"APTE")</f>
        <v>APTE</v>
      </c>
      <c r="C599" s="1" t="s">
        <v>185</v>
      </c>
      <c r="D599" s="1" t="s">
        <v>16612</v>
      </c>
      <c r="F599" s="1" t="s">
        <v>2</v>
      </c>
      <c r="J599" s="1" t="s">
        <v>6</v>
      </c>
      <c r="U599" s="1" t="s">
        <v>17</v>
      </c>
      <c r="W599" s="1" t="s">
        <v>19</v>
      </c>
      <c r="GD599" s="1" t="s">
        <v>202</v>
      </c>
      <c r="GE599" s="1" t="s">
        <v>190</v>
      </c>
    </row>
    <row r="600" spans="1:187" ht="11.25" customHeight="1">
      <c r="A600" s="1" t="s">
        <v>1019</v>
      </c>
      <c r="B600" s="1" t="str">
        <f ca="1">IFERROR(__xludf.DUMMYFUNCTION("GOOGLETRANSLATE(A600, ""en"", ""fr"")"),"APTITUDE")</f>
        <v>APTITUDE</v>
      </c>
      <c r="C600" s="1" t="s">
        <v>192</v>
      </c>
      <c r="D600" s="1" t="s">
        <v>16612</v>
      </c>
      <c r="J600" s="1" t="s">
        <v>6</v>
      </c>
      <c r="U600" s="1" t="s">
        <v>17</v>
      </c>
      <c r="GD600" s="1" t="s">
        <v>193</v>
      </c>
      <c r="GE600" s="1" t="s">
        <v>190</v>
      </c>
    </row>
    <row r="601" spans="1:187" ht="11.25" customHeight="1">
      <c r="A601" s="1" t="s">
        <v>1020</v>
      </c>
      <c r="B601" s="1" t="str">
        <f ca="1">IFERROR(__xludf.DUMMYFUNCTION("GOOGLETRANSLATE(A601, ""en"", ""fr"")"),"ARABE")</f>
        <v>ARABE</v>
      </c>
      <c r="C601" s="1" t="s">
        <v>196</v>
      </c>
      <c r="EC601" s="1" t="s">
        <v>129</v>
      </c>
      <c r="ED601" s="1" t="s">
        <v>130</v>
      </c>
      <c r="GD601" s="1" t="s">
        <v>193</v>
      </c>
    </row>
    <row r="602" spans="1:187" ht="11.25" customHeight="1">
      <c r="A602" s="1" t="s">
        <v>1021</v>
      </c>
      <c r="B602" s="1" t="str">
        <f ca="1">IFERROR(__xludf.DUMMYFUNCTION("GOOGLETRANSLATE(A602, ""en"", ""fr"")"),"SAOUDITE")</f>
        <v>SAOUDITE</v>
      </c>
      <c r="C602" s="1" t="s">
        <v>196</v>
      </c>
      <c r="FU602" s="1" t="s">
        <v>173</v>
      </c>
      <c r="GD602" s="1" t="s">
        <v>1022</v>
      </c>
    </row>
    <row r="603" spans="1:187" ht="11.25" customHeight="1">
      <c r="A603" s="1" t="s">
        <v>1023</v>
      </c>
      <c r="B603" s="1" t="str">
        <f ca="1">IFERROR(__xludf.DUMMYFUNCTION("GOOGLETRANSLATE(A603, ""en"", ""fr"")"),"ARBITRE")</f>
        <v>ARBITRE</v>
      </c>
      <c r="C603" s="1" t="s">
        <v>192</v>
      </c>
      <c r="D603" s="1" t="s">
        <v>16612</v>
      </c>
      <c r="G603" s="1" t="s">
        <v>3</v>
      </c>
      <c r="AJ603" s="1" t="s">
        <v>32</v>
      </c>
      <c r="AN603" s="1" t="s">
        <v>36</v>
      </c>
      <c r="AT603" s="1" t="s">
        <v>42</v>
      </c>
      <c r="BK603" s="1" t="s">
        <v>59</v>
      </c>
      <c r="CO603" s="1" t="s">
        <v>89</v>
      </c>
      <c r="GD603" s="1" t="s">
        <v>193</v>
      </c>
      <c r="GE603" s="1" t="s">
        <v>190</v>
      </c>
    </row>
    <row r="604" spans="1:187" ht="11.25" customHeight="1">
      <c r="A604" s="1" t="s">
        <v>1024</v>
      </c>
      <c r="B604" s="1" t="str">
        <f ca="1">IFERROR(__xludf.DUMMYFUNCTION("GOOGLETRANSLATE(A604, ""en"", ""fr"")"),"ARBITRAIRE")</f>
        <v>ARBITRAIRE</v>
      </c>
      <c r="C604" s="1" t="s">
        <v>185</v>
      </c>
      <c r="E604" s="1" t="s">
        <v>16613</v>
      </c>
      <c r="H604" s="1" t="s">
        <v>4</v>
      </c>
      <c r="V604" s="1" t="s">
        <v>18</v>
      </c>
      <c r="X604" s="1" t="s">
        <v>20</v>
      </c>
      <c r="FW604" s="1" t="s">
        <v>175</v>
      </c>
      <c r="GD604" s="1" t="s">
        <v>202</v>
      </c>
      <c r="GE604" s="1" t="s">
        <v>190</v>
      </c>
    </row>
    <row r="605" spans="1:187" ht="11.25" customHeight="1">
      <c r="A605" s="1" t="s">
        <v>1025</v>
      </c>
      <c r="B605" s="1" t="str">
        <f ca="1">IFERROR(__xludf.DUMMYFUNCTION("GOOGLETRANSLATE(A605, ""en"", ""fr"")"),"ARBITRER")</f>
        <v>ARBITRER</v>
      </c>
      <c r="C605" s="1" t="s">
        <v>185</v>
      </c>
      <c r="D605" s="1" t="s">
        <v>16612</v>
      </c>
      <c r="G605" s="1" t="s">
        <v>3</v>
      </c>
      <c r="N605" s="1" t="s">
        <v>10</v>
      </c>
      <c r="AN605" s="1" t="s">
        <v>36</v>
      </c>
      <c r="BK605" s="1" t="s">
        <v>59</v>
      </c>
      <c r="CO605" s="1" t="s">
        <v>89</v>
      </c>
      <c r="DN605" s="1" t="s">
        <v>114</v>
      </c>
      <c r="DX605" s="1" t="s">
        <v>124</v>
      </c>
      <c r="ED605" s="1" t="s">
        <v>130</v>
      </c>
      <c r="GD605" s="1" t="s">
        <v>189</v>
      </c>
      <c r="GE605" s="1" t="s">
        <v>190</v>
      </c>
    </row>
    <row r="606" spans="1:187" ht="11.25" customHeight="1">
      <c r="A606" s="1" t="s">
        <v>1026</v>
      </c>
      <c r="B606" s="1" t="str">
        <f ca="1">IFERROR(__xludf.DUMMYFUNCTION("GOOGLETRANSLATE(A606, ""en"", ""fr"")"),"ARBITRAGE")</f>
        <v>ARBITRAGE</v>
      </c>
      <c r="C606" s="1" t="s">
        <v>185</v>
      </c>
      <c r="D606" s="1" t="s">
        <v>16612</v>
      </c>
      <c r="G606" s="1" t="s">
        <v>3</v>
      </c>
      <c r="AN606" s="1" t="s">
        <v>36</v>
      </c>
      <c r="BK606" s="1" t="s">
        <v>59</v>
      </c>
      <c r="CO606" s="1" t="s">
        <v>89</v>
      </c>
      <c r="DX606" s="1" t="s">
        <v>124</v>
      </c>
      <c r="ED606" s="1" t="s">
        <v>130</v>
      </c>
      <c r="GD606" s="1" t="s">
        <v>193</v>
      </c>
      <c r="GE606" s="1" t="s">
        <v>190</v>
      </c>
    </row>
    <row r="607" spans="1:187" ht="11.25" customHeight="1">
      <c r="A607" s="1" t="s">
        <v>1027</v>
      </c>
      <c r="B607" s="1" t="str">
        <f ca="1">IFERROR(__xludf.DUMMYFUNCTION("GOOGLETRANSLATE(A607, ""en"", ""fr"")"),"ARBITRE")</f>
        <v>ARBITRE</v>
      </c>
      <c r="C607" s="1" t="s">
        <v>196</v>
      </c>
      <c r="DZ607" s="1" t="s">
        <v>126</v>
      </c>
      <c r="ED607" s="1" t="s">
        <v>130</v>
      </c>
      <c r="GD607" s="1" t="s">
        <v>448</v>
      </c>
    </row>
    <row r="608" spans="1:187" ht="11.25" customHeight="1">
      <c r="A608" s="1" t="s">
        <v>1028</v>
      </c>
      <c r="B608" s="1" t="str">
        <f ca="1">IFERROR(__xludf.DUMMYFUNCTION("GOOGLETRANSLATE(A608, ""en"", ""fr"")"),"Arche n ° 1")</f>
        <v>Arche n ° 1</v>
      </c>
      <c r="C608" s="1" t="s">
        <v>185</v>
      </c>
      <c r="BC608" s="1" t="s">
        <v>51</v>
      </c>
      <c r="BG608" s="1" t="s">
        <v>55</v>
      </c>
      <c r="GD608" s="1" t="s">
        <v>193</v>
      </c>
      <c r="GE608" s="1" t="s">
        <v>190</v>
      </c>
    </row>
    <row r="609" spans="1:187" ht="11.25" customHeight="1">
      <c r="A609" s="1" t="s">
        <v>1029</v>
      </c>
      <c r="B609" s="1" t="str">
        <f ca="1">IFERROR(__xludf.DUMMYFUNCTION("GOOGLETRANSLATE(A609, ""en"", ""fr"")"),"Arche n ° 2")</f>
        <v>Arche n ° 2</v>
      </c>
      <c r="C609" s="1" t="s">
        <v>185</v>
      </c>
      <c r="DA609" s="1" t="s">
        <v>101</v>
      </c>
      <c r="DO609" s="1" t="s">
        <v>115</v>
      </c>
      <c r="GD609" s="1" t="s">
        <v>189</v>
      </c>
      <c r="GE609" s="1" t="s">
        <v>190</v>
      </c>
    </row>
    <row r="610" spans="1:187" ht="11.25" customHeight="1">
      <c r="A610" s="1" t="s">
        <v>1030</v>
      </c>
      <c r="B610" s="1" t="str">
        <f ca="1">IFERROR(__xludf.DUMMYFUNCTION("GOOGLETRANSLATE(A610, ""en"", ""fr"")"),"ARCHITECTE")</f>
        <v>ARCHITECTE</v>
      </c>
      <c r="C610" s="1" t="s">
        <v>185</v>
      </c>
      <c r="AD610" s="1" t="s">
        <v>26</v>
      </c>
      <c r="AJ610" s="1" t="s">
        <v>32</v>
      </c>
      <c r="AT610" s="1" t="s">
        <v>42</v>
      </c>
      <c r="FK610" s="1" t="s">
        <v>163</v>
      </c>
      <c r="FM610" s="1" t="s">
        <v>418</v>
      </c>
      <c r="GD610" s="1" t="s">
        <v>193</v>
      </c>
      <c r="GE610" s="1" t="s">
        <v>190</v>
      </c>
    </row>
    <row r="611" spans="1:187" ht="11.25" customHeight="1">
      <c r="A611" s="1" t="s">
        <v>1031</v>
      </c>
      <c r="B611" s="1" t="str">
        <f ca="1">IFERROR(__xludf.DUMMYFUNCTION("GOOGLETRANSLATE(A611, ""en"", ""fr"")"),"ARCHITECTURE")</f>
        <v>ARCHITECTURE</v>
      </c>
      <c r="C611" s="1" t="s">
        <v>185</v>
      </c>
      <c r="Z611" s="1" t="s">
        <v>22</v>
      </c>
      <c r="AD611" s="1" t="s">
        <v>26</v>
      </c>
      <c r="FJ611" s="1" t="s">
        <v>162</v>
      </c>
      <c r="FM611" s="1" t="s">
        <v>418</v>
      </c>
      <c r="GD611" s="1" t="s">
        <v>193</v>
      </c>
      <c r="GE611" s="1" t="s">
        <v>190</v>
      </c>
    </row>
    <row r="612" spans="1:187" ht="11.25" customHeight="1">
      <c r="A612" s="1" t="s">
        <v>1032</v>
      </c>
      <c r="B612" s="1" t="str">
        <f ca="1">IFERROR(__xludf.DUMMYFUNCTION("GOOGLETRANSLATE(A612, ""en"", ""fr"")"),"ARDENT")</f>
        <v>ARDENT</v>
      </c>
      <c r="C612" s="1" t="s">
        <v>185</v>
      </c>
      <c r="D612" s="1" t="s">
        <v>16612</v>
      </c>
      <c r="G612" s="1" t="s">
        <v>3</v>
      </c>
      <c r="J612" s="1" t="s">
        <v>6</v>
      </c>
      <c r="K612" s="1" t="s">
        <v>7</v>
      </c>
      <c r="DR612" s="1" t="s">
        <v>118</v>
      </c>
      <c r="FX612" s="1" t="s">
        <v>176</v>
      </c>
      <c r="GD612" s="1" t="s">
        <v>202</v>
      </c>
      <c r="GE612" s="1" t="s">
        <v>190</v>
      </c>
    </row>
    <row r="613" spans="1:187" ht="11.25" customHeight="1">
      <c r="A613" s="1" t="s">
        <v>1033</v>
      </c>
      <c r="B613" s="1" t="str">
        <f ca="1">IFERROR(__xludf.DUMMYFUNCTION("GOOGLETRANSLATE(A613, ""en"", ""fr"")"),"ARDEUR")</f>
        <v>ARDEUR</v>
      </c>
      <c r="C613" s="1" t="s">
        <v>196</v>
      </c>
      <c r="ER613" s="1" t="s">
        <v>144</v>
      </c>
      <c r="ES613" s="1" t="s">
        <v>145</v>
      </c>
      <c r="GD613" s="1" t="s">
        <v>1034</v>
      </c>
    </row>
    <row r="614" spans="1:187" ht="11.25" customHeight="1">
      <c r="A614" s="1" t="s">
        <v>1035</v>
      </c>
      <c r="B614" s="1" t="str">
        <f ca="1">IFERROR(__xludf.DUMMYFUNCTION("GOOGLETRANSLATE(A614, ""en"", ""fr"")"),"DIFFICILE")</f>
        <v>DIFFICILE</v>
      </c>
      <c r="C614" s="1" t="s">
        <v>185</v>
      </c>
      <c r="E614" s="1" t="s">
        <v>16613</v>
      </c>
      <c r="V614" s="1" t="s">
        <v>18</v>
      </c>
      <c r="CM614" s="1" t="s">
        <v>87</v>
      </c>
      <c r="DR614" s="1" t="s">
        <v>118</v>
      </c>
      <c r="FL614" s="1" t="s">
        <v>164</v>
      </c>
      <c r="FM614" s="1" t="s">
        <v>418</v>
      </c>
      <c r="GD614" s="1" t="s">
        <v>202</v>
      </c>
      <c r="GE614" s="1" t="s">
        <v>190</v>
      </c>
    </row>
    <row r="615" spans="1:187" ht="11.25" customHeight="1">
      <c r="A615" s="1" t="s">
        <v>1036</v>
      </c>
      <c r="B615" s="1" t="str">
        <f ca="1">IFERROR(__xludf.DUMMYFUNCTION("GOOGLETRANSLATE(A615, ""en"", ""fr"")"),"Sont n ° 1")</f>
        <v>Sont n ° 1</v>
      </c>
      <c r="C615" s="1" t="s">
        <v>185</v>
      </c>
      <c r="DP615" s="1" t="s">
        <v>116</v>
      </c>
      <c r="GD615" s="1" t="s">
        <v>772</v>
      </c>
      <c r="GE615" s="1" t="s">
        <v>1037</v>
      </c>
    </row>
    <row r="616" spans="1:187" ht="11.25" customHeight="1">
      <c r="A616" s="1" t="s">
        <v>1038</v>
      </c>
      <c r="B616" s="1" t="str">
        <f ca="1">IFERROR(__xludf.DUMMYFUNCTION("GOOGLETRANSLATE(A616, ""en"", ""fr"")"),"Sont n ° 2")</f>
        <v>Sont n ° 2</v>
      </c>
      <c r="C616" s="1" t="s">
        <v>185</v>
      </c>
      <c r="DP616" s="1" t="s">
        <v>116</v>
      </c>
      <c r="GD616" s="1" t="s">
        <v>772</v>
      </c>
      <c r="GE616" s="1" t="s">
        <v>1039</v>
      </c>
    </row>
    <row r="617" spans="1:187" ht="11.25" customHeight="1">
      <c r="A617" s="1" t="s">
        <v>1040</v>
      </c>
      <c r="B617" s="1" t="str">
        <f ca="1">IFERROR(__xludf.DUMMYFUNCTION("GOOGLETRANSLATE(A617, ""en"", ""fr"")"),"Sont # 3")</f>
        <v>Sont # 3</v>
      </c>
      <c r="C617" s="1" t="s">
        <v>185</v>
      </c>
      <c r="DP617" s="1" t="s">
        <v>116</v>
      </c>
      <c r="GD617" s="1" t="s">
        <v>1041</v>
      </c>
      <c r="GE617" s="1" t="s">
        <v>1042</v>
      </c>
    </row>
    <row r="618" spans="1:187" ht="11.25" customHeight="1">
      <c r="A618" s="1" t="s">
        <v>1043</v>
      </c>
      <c r="B618" s="1" t="str">
        <f ca="1">IFERROR(__xludf.DUMMYFUNCTION("GOOGLETRANSLATE(A618, ""en"", ""fr"")"),"Sont # 4")</f>
        <v>Sont # 4</v>
      </c>
      <c r="C618" s="1" t="s">
        <v>185</v>
      </c>
      <c r="DP618" s="1" t="s">
        <v>116</v>
      </c>
      <c r="GD618" s="1" t="s">
        <v>1041</v>
      </c>
      <c r="GE618" s="1" t="s">
        <v>1044</v>
      </c>
    </row>
    <row r="619" spans="1:187" ht="11.25" customHeight="1">
      <c r="A619" s="1" t="s">
        <v>1045</v>
      </c>
      <c r="B619" s="1" t="str">
        <f ca="1">IFERROR(__xludf.DUMMYFUNCTION("GOOGLETRANSLATE(A619, ""en"", ""fr"")"),"ZONE")</f>
        <v>ZONE</v>
      </c>
      <c r="C619" s="1" t="s">
        <v>185</v>
      </c>
      <c r="AV619" s="1" t="s">
        <v>44</v>
      </c>
      <c r="AX619" s="1" t="s">
        <v>46</v>
      </c>
      <c r="GB619" s="1" t="s">
        <v>180</v>
      </c>
      <c r="GD619" s="1" t="s">
        <v>193</v>
      </c>
      <c r="GE619" s="1" t="s">
        <v>1046</v>
      </c>
    </row>
    <row r="620" spans="1:187" ht="11.25" customHeight="1">
      <c r="A620" s="1" t="s">
        <v>1047</v>
      </c>
      <c r="B620" s="1" t="str">
        <f ca="1">IFERROR(__xludf.DUMMYFUNCTION("GOOGLETRANSLATE(A620, ""en"", ""fr"")"),"ARÈNE")</f>
        <v>ARÈNE</v>
      </c>
      <c r="C620" s="1" t="s">
        <v>185</v>
      </c>
      <c r="AV620" s="1" t="s">
        <v>44</v>
      </c>
      <c r="AW620" s="1" t="s">
        <v>45</v>
      </c>
      <c r="GD620" s="1" t="s">
        <v>193</v>
      </c>
      <c r="GE620" s="1" t="s">
        <v>190</v>
      </c>
    </row>
    <row r="621" spans="1:187" ht="11.25" customHeight="1">
      <c r="A621" s="1" t="s">
        <v>1048</v>
      </c>
      <c r="B621" s="1" t="str">
        <f ca="1">IFERROR(__xludf.DUMMYFUNCTION("GOOGLETRANSLATE(A621, ""en"", ""fr"")"),"ARGENTIN")</f>
        <v>ARGENTIN</v>
      </c>
      <c r="C621" s="1" t="s">
        <v>196</v>
      </c>
      <c r="FU621" s="1" t="s">
        <v>173</v>
      </c>
      <c r="GD621" s="1" t="s">
        <v>1049</v>
      </c>
    </row>
    <row r="622" spans="1:187" ht="11.25" customHeight="1">
      <c r="A622" s="1" t="s">
        <v>1050</v>
      </c>
      <c r="B622" s="1" t="str">
        <f ca="1">IFERROR(__xludf.DUMMYFUNCTION("GOOGLETRANSLATE(A622, ""en"", ""fr"")"),"Argument # 1")</f>
        <v>Argument # 1</v>
      </c>
      <c r="C622" s="1" t="s">
        <v>185</v>
      </c>
      <c r="E622" s="1" t="s">
        <v>16613</v>
      </c>
      <c r="H622" s="1" t="s">
        <v>4</v>
      </c>
      <c r="I622" s="1" t="s">
        <v>5</v>
      </c>
      <c r="N622" s="1" t="s">
        <v>10</v>
      </c>
      <c r="BK622" s="1" t="s">
        <v>59</v>
      </c>
      <c r="DN622" s="1" t="s">
        <v>114</v>
      </c>
      <c r="DW622" s="1" t="s">
        <v>123</v>
      </c>
      <c r="ED622" s="1" t="s">
        <v>130</v>
      </c>
      <c r="GD622" s="1" t="s">
        <v>189</v>
      </c>
      <c r="GE622" s="1" t="s">
        <v>1051</v>
      </c>
    </row>
    <row r="623" spans="1:187" ht="11.25" customHeight="1">
      <c r="A623" s="1" t="s">
        <v>1052</v>
      </c>
      <c r="B623" s="1" t="str">
        <f ca="1">IFERROR(__xludf.DUMMYFUNCTION("GOOGLETRANSLATE(A623, ""en"", ""fr"")"),"Argument # 2")</f>
        <v>Argument # 2</v>
      </c>
      <c r="C623" s="1" t="s">
        <v>185</v>
      </c>
      <c r="N623" s="1" t="s">
        <v>10</v>
      </c>
      <c r="CO623" s="1" t="s">
        <v>89</v>
      </c>
      <c r="DN623" s="1" t="s">
        <v>114</v>
      </c>
      <c r="FH623" s="1" t="s">
        <v>160</v>
      </c>
      <c r="FI623" s="1" t="s">
        <v>161</v>
      </c>
      <c r="GD623" s="1" t="s">
        <v>189</v>
      </c>
      <c r="GE623" s="1" t="s">
        <v>1053</v>
      </c>
    </row>
    <row r="624" spans="1:187" ht="11.25" customHeight="1">
      <c r="A624" s="1" t="s">
        <v>1054</v>
      </c>
      <c r="B624" s="1" t="str">
        <f ca="1">IFERROR(__xludf.DUMMYFUNCTION("GOOGLETRANSLATE(A624, ""en"", ""fr"")"),"Argument n ° 1")</f>
        <v>Argument n ° 1</v>
      </c>
      <c r="C624" s="1" t="s">
        <v>185</v>
      </c>
      <c r="E624" s="1" t="s">
        <v>16613</v>
      </c>
      <c r="H624" s="1" t="s">
        <v>4</v>
      </c>
      <c r="I624" s="1" t="s">
        <v>5</v>
      </c>
      <c r="N624" s="1" t="s">
        <v>10</v>
      </c>
      <c r="BK624" s="1" t="s">
        <v>59</v>
      </c>
      <c r="BL624" s="1" t="s">
        <v>60</v>
      </c>
      <c r="DW624" s="1" t="s">
        <v>123</v>
      </c>
      <c r="ED624" s="1" t="s">
        <v>130</v>
      </c>
      <c r="GC624" s="1" t="s">
        <v>181</v>
      </c>
      <c r="GD624" s="1" t="s">
        <v>193</v>
      </c>
      <c r="GE624" s="1" t="s">
        <v>1055</v>
      </c>
    </row>
    <row r="625" spans="1:187" ht="11.25" customHeight="1">
      <c r="A625" s="1" t="s">
        <v>1056</v>
      </c>
      <c r="B625" s="1" t="str">
        <f ca="1">IFERROR(__xludf.DUMMYFUNCTION("GOOGLETRANSLATE(A625, ""en"", ""fr"")"),"Argument n ° 2")</f>
        <v>Argument n ° 2</v>
      </c>
      <c r="C625" s="1" t="s">
        <v>185</v>
      </c>
      <c r="N625" s="1" t="s">
        <v>10</v>
      </c>
      <c r="BL625" s="1" t="s">
        <v>60</v>
      </c>
      <c r="CH625" s="1" t="s">
        <v>82</v>
      </c>
      <c r="FH625" s="1" t="s">
        <v>160</v>
      </c>
      <c r="FI625" s="1" t="s">
        <v>161</v>
      </c>
      <c r="GC625" s="1" t="s">
        <v>181</v>
      </c>
      <c r="GD625" s="1" t="s">
        <v>193</v>
      </c>
      <c r="GE625" s="1" t="s">
        <v>1057</v>
      </c>
    </row>
    <row r="626" spans="1:187" ht="11.25" customHeight="1">
      <c r="A626" s="1" t="s">
        <v>1058</v>
      </c>
      <c r="B626" s="1" t="str">
        <f ca="1">IFERROR(__xludf.DUMMYFUNCTION("GOOGLETRANSLATE(A626, ""en"", ""fr"")"),"ARIDE")</f>
        <v>ARIDE</v>
      </c>
      <c r="C626" s="1" t="s">
        <v>196</v>
      </c>
      <c r="FW626" s="1" t="s">
        <v>175</v>
      </c>
      <c r="GD626" s="1" t="s">
        <v>202</v>
      </c>
    </row>
    <row r="627" spans="1:187" ht="11.25" customHeight="1">
      <c r="A627" s="1" t="s">
        <v>1059</v>
      </c>
      <c r="B627" s="1" t="str">
        <f ca="1">IFERROR(__xludf.DUMMYFUNCTION("GOOGLETRANSLATE(A627, ""en"", ""fr"")"),"SURGIR")</f>
        <v>SURGIR</v>
      </c>
      <c r="C627" s="1" t="s">
        <v>185</v>
      </c>
      <c r="J627" s="1" t="s">
        <v>6</v>
      </c>
      <c r="N627" s="1" t="s">
        <v>10</v>
      </c>
      <c r="CB627" s="1" t="s">
        <v>76</v>
      </c>
      <c r="DN627" s="1" t="s">
        <v>114</v>
      </c>
      <c r="GD627" s="1" t="s">
        <v>189</v>
      </c>
      <c r="GE627" s="1" t="s">
        <v>190</v>
      </c>
    </row>
    <row r="628" spans="1:187" ht="11.25" customHeight="1">
      <c r="A628" s="1" t="s">
        <v>1060</v>
      </c>
      <c r="B628" s="1" t="str">
        <f ca="1">IFERROR(__xludf.DUMMYFUNCTION("GOOGLETRANSLATE(A628, ""en"", ""fr"")"),"Apparu")</f>
        <v>Apparu</v>
      </c>
      <c r="C628" s="1" t="s">
        <v>185</v>
      </c>
      <c r="D628" s="1" t="s">
        <v>16612</v>
      </c>
      <c r="BV628" s="1" t="s">
        <v>70</v>
      </c>
      <c r="BX628" s="1" t="s">
        <v>72</v>
      </c>
      <c r="DR628" s="1" t="s">
        <v>118</v>
      </c>
      <c r="GD628" s="1" t="s">
        <v>202</v>
      </c>
      <c r="GE628" s="1" t="s">
        <v>190</v>
      </c>
    </row>
    <row r="629" spans="1:187" ht="11.25" customHeight="1">
      <c r="A629" s="1" t="s">
        <v>1061</v>
      </c>
      <c r="B629" s="1" t="str">
        <f ca="1">IFERROR(__xludf.DUMMYFUNCTION("GOOGLETRANSLATE(A629, ""en"", ""fr"")"),"ARISTOCRATIE")</f>
        <v>ARISTOCRATIE</v>
      </c>
      <c r="C629" s="1" t="s">
        <v>192</v>
      </c>
      <c r="D629" s="1" t="s">
        <v>16612</v>
      </c>
      <c r="K629" s="1" t="s">
        <v>7</v>
      </c>
      <c r="AA629" s="1" t="s">
        <v>23</v>
      </c>
      <c r="AJ629" s="1" t="s">
        <v>32</v>
      </c>
      <c r="AT629" s="1" t="s">
        <v>42</v>
      </c>
      <c r="GD629" s="1" t="s">
        <v>193</v>
      </c>
      <c r="GE629" s="1" t="s">
        <v>190</v>
      </c>
    </row>
    <row r="630" spans="1:187" ht="11.25" customHeight="1">
      <c r="A630" s="1" t="s">
        <v>1062</v>
      </c>
      <c r="B630" s="1" t="str">
        <f ca="1">IFERROR(__xludf.DUMMYFUNCTION("GOOGLETRANSLATE(A630, ""en"", ""fr"")"),"ARISTOCRATE")</f>
        <v>ARISTOCRATE</v>
      </c>
      <c r="C630" s="1" t="s">
        <v>192</v>
      </c>
      <c r="D630" s="1" t="s">
        <v>16612</v>
      </c>
      <c r="K630" s="1" t="s">
        <v>7</v>
      </c>
      <c r="AA630" s="1" t="s">
        <v>23</v>
      </c>
      <c r="AJ630" s="1" t="s">
        <v>32</v>
      </c>
      <c r="AT630" s="1" t="s">
        <v>42</v>
      </c>
      <c r="GD630" s="1" t="s">
        <v>193</v>
      </c>
      <c r="GE630" s="1" t="s">
        <v>190</v>
      </c>
    </row>
    <row r="631" spans="1:187" ht="11.25" customHeight="1">
      <c r="A631" s="1" t="s">
        <v>1063</v>
      </c>
      <c r="B631" s="1" t="str">
        <f ca="1">IFERROR(__xludf.DUMMYFUNCTION("GOOGLETRANSLATE(A631, ""en"", ""fr"")"),"ARISTOCRATIQUE")</f>
        <v>ARISTOCRATIQUE</v>
      </c>
      <c r="C631" s="1" t="s">
        <v>192</v>
      </c>
      <c r="D631" s="1" t="s">
        <v>16612</v>
      </c>
      <c r="K631" s="1" t="s">
        <v>7</v>
      </c>
      <c r="AA631" s="1" t="s">
        <v>23</v>
      </c>
      <c r="DR631" s="1" t="s">
        <v>118</v>
      </c>
      <c r="GD631" s="1" t="s">
        <v>202</v>
      </c>
      <c r="GE631" s="1" t="s">
        <v>190</v>
      </c>
    </row>
    <row r="632" spans="1:187" ht="11.25" customHeight="1">
      <c r="A632" s="1" t="s">
        <v>1064</v>
      </c>
      <c r="B632" s="1" t="str">
        <f ca="1">IFERROR(__xludf.DUMMYFUNCTION("GOOGLETRANSLATE(A632, ""en"", ""fr"")"),"ARIZONA")</f>
        <v>ARIZONA</v>
      </c>
      <c r="C632" s="1" t="s">
        <v>196</v>
      </c>
      <c r="GD632" s="1" t="s">
        <v>653</v>
      </c>
    </row>
    <row r="633" spans="1:187" ht="11.25" customHeight="1">
      <c r="A633" s="1" t="s">
        <v>1065</v>
      </c>
      <c r="B633" s="1" t="str">
        <f ca="1">IFERROR(__xludf.DUMMYFUNCTION("GOOGLETRANSLATE(A633, ""en"", ""fr"")"),"ARKANSAS")</f>
        <v>ARKANSAS</v>
      </c>
      <c r="C633" s="1" t="s">
        <v>196</v>
      </c>
      <c r="GD633" s="1" t="s">
        <v>653</v>
      </c>
    </row>
    <row r="634" spans="1:187" ht="11.25" customHeight="1">
      <c r="A634" s="1" t="s">
        <v>1066</v>
      </c>
      <c r="B634" s="1" t="str">
        <f ca="1">IFERROR(__xludf.DUMMYFUNCTION("GOOGLETRANSLATE(A634, ""en"", ""fr"")"),"Bras n ° 1")</f>
        <v>Bras n ° 1</v>
      </c>
      <c r="C634" s="1" t="s">
        <v>185</v>
      </c>
      <c r="BJ634" s="1" t="s">
        <v>58</v>
      </c>
      <c r="GD634" s="1" t="s">
        <v>193</v>
      </c>
      <c r="GE634" s="1" t="s">
        <v>1067</v>
      </c>
    </row>
    <row r="635" spans="1:187" ht="11.25" customHeight="1">
      <c r="A635" s="1" t="s">
        <v>1068</v>
      </c>
      <c r="B635" s="1" t="str">
        <f ca="1">IFERROR(__xludf.DUMMYFUNCTION("GOOGLETRANSLATE(A635, ""en"", ""fr"")"),"Arm # 2")</f>
        <v>Arm # 2</v>
      </c>
      <c r="C635" s="1" t="s">
        <v>185</v>
      </c>
      <c r="I635" s="1" t="s">
        <v>5</v>
      </c>
      <c r="J635" s="1" t="s">
        <v>6</v>
      </c>
      <c r="K635" s="1" t="s">
        <v>7</v>
      </c>
      <c r="AF635" s="1" t="s">
        <v>28</v>
      </c>
      <c r="AH635" s="1" t="s">
        <v>30</v>
      </c>
      <c r="BC635" s="1" t="s">
        <v>51</v>
      </c>
      <c r="BD635" s="1" t="s">
        <v>52</v>
      </c>
      <c r="DW635" s="1" t="s">
        <v>123</v>
      </c>
      <c r="ED635" s="1" t="s">
        <v>130</v>
      </c>
      <c r="GD635" s="1" t="s">
        <v>193</v>
      </c>
      <c r="GE635" s="1" t="s">
        <v>1069</v>
      </c>
    </row>
    <row r="636" spans="1:187" ht="11.25" customHeight="1">
      <c r="A636" s="1" t="s">
        <v>1070</v>
      </c>
      <c r="B636" s="1" t="str">
        <f ca="1">IFERROR(__xludf.DUMMYFUNCTION("GOOGLETRANSLATE(A636, ""en"", ""fr"")"),"Arm # 3")</f>
        <v>Arm # 3</v>
      </c>
      <c r="C636" s="1" t="s">
        <v>185</v>
      </c>
      <c r="J636" s="1" t="s">
        <v>6</v>
      </c>
      <c r="K636" s="1" t="s">
        <v>7</v>
      </c>
      <c r="N636" s="1" t="s">
        <v>10</v>
      </c>
      <c r="AF636" s="1" t="s">
        <v>28</v>
      </c>
      <c r="AN636" s="1" t="s">
        <v>36</v>
      </c>
      <c r="DN636" s="1" t="s">
        <v>114</v>
      </c>
      <c r="DW636" s="1" t="s">
        <v>123</v>
      </c>
      <c r="ED636" s="1" t="s">
        <v>130</v>
      </c>
      <c r="GD636" s="1" t="s">
        <v>189</v>
      </c>
      <c r="GE636" s="1" t="s">
        <v>1071</v>
      </c>
    </row>
    <row r="637" spans="1:187" ht="11.25" customHeight="1">
      <c r="A637" s="1" t="s">
        <v>1072</v>
      </c>
      <c r="B637" s="1" t="str">
        <f ca="1">IFERROR(__xludf.DUMMYFUNCTION("GOOGLETRANSLATE(A637, ""en"", ""fr"")"),"ARMEMENT")</f>
        <v>ARMEMENT</v>
      </c>
      <c r="C637" s="1" t="s">
        <v>196</v>
      </c>
      <c r="DW637" s="1" t="s">
        <v>123</v>
      </c>
      <c r="ED637" s="1" t="s">
        <v>130</v>
      </c>
      <c r="GD637" s="1" t="s">
        <v>470</v>
      </c>
    </row>
    <row r="638" spans="1:187" ht="11.25" customHeight="1">
      <c r="A638" s="1" t="s">
        <v>1073</v>
      </c>
      <c r="B638" s="1" t="str">
        <f ca="1">IFERROR(__xludf.DUMMYFUNCTION("GOOGLETRANSLATE(A638, ""en"", ""fr"")"),"Armé # 1")</f>
        <v>Armé # 1</v>
      </c>
      <c r="C638" s="1" t="s">
        <v>185</v>
      </c>
      <c r="I638" s="1" t="s">
        <v>5</v>
      </c>
      <c r="J638" s="1" t="s">
        <v>6</v>
      </c>
      <c r="K638" s="1" t="s">
        <v>7</v>
      </c>
      <c r="AF638" s="1" t="s">
        <v>28</v>
      </c>
      <c r="BC638" s="1" t="s">
        <v>51</v>
      </c>
      <c r="BD638" s="1" t="s">
        <v>52</v>
      </c>
      <c r="DW638" s="1" t="s">
        <v>123</v>
      </c>
      <c r="ED638" s="1" t="s">
        <v>130</v>
      </c>
      <c r="GD638" s="1" t="s">
        <v>202</v>
      </c>
      <c r="GE638" s="1" t="s">
        <v>1074</v>
      </c>
    </row>
    <row r="639" spans="1:187" ht="11.25" customHeight="1">
      <c r="A639" s="1" t="s">
        <v>1075</v>
      </c>
      <c r="B639" s="1" t="str">
        <f ca="1">IFERROR(__xludf.DUMMYFUNCTION("GOOGLETRANSLATE(A639, ""en"", ""fr"")"),"Armé # 2")</f>
        <v>Armé # 2</v>
      </c>
      <c r="C639" s="1" t="s">
        <v>185</v>
      </c>
      <c r="I639" s="1" t="s">
        <v>5</v>
      </c>
      <c r="J639" s="1" t="s">
        <v>6</v>
      </c>
      <c r="K639" s="1" t="s">
        <v>7</v>
      </c>
      <c r="N639" s="1" t="s">
        <v>10</v>
      </c>
      <c r="AF639" s="1" t="s">
        <v>28</v>
      </c>
      <c r="AN639" s="1" t="s">
        <v>36</v>
      </c>
      <c r="DN639" s="1" t="s">
        <v>114</v>
      </c>
      <c r="DW639" s="1" t="s">
        <v>123</v>
      </c>
      <c r="ED639" s="1" t="s">
        <v>130</v>
      </c>
      <c r="GD639" s="1" t="s">
        <v>1076</v>
      </c>
      <c r="GE639" s="1" t="s">
        <v>1077</v>
      </c>
    </row>
    <row r="640" spans="1:187" ht="11.25" customHeight="1">
      <c r="A640" s="1" t="s">
        <v>1078</v>
      </c>
      <c r="B640" s="1" t="str">
        <f ca="1">IFERROR(__xludf.DUMMYFUNCTION("GOOGLETRANSLATE(A640, ""en"", ""fr"")"),"ARMISTICE")</f>
        <v>ARMISTICE</v>
      </c>
      <c r="C640" s="1" t="s">
        <v>185</v>
      </c>
      <c r="G640" s="1" t="s">
        <v>3</v>
      </c>
      <c r="AF640" s="1" t="s">
        <v>28</v>
      </c>
      <c r="AG640" s="1" t="s">
        <v>29</v>
      </c>
      <c r="AH640" s="1" t="s">
        <v>30</v>
      </c>
      <c r="AM640" s="1" t="s">
        <v>35</v>
      </c>
      <c r="DX640" s="1" t="s">
        <v>124</v>
      </c>
      <c r="ED640" s="1" t="s">
        <v>130</v>
      </c>
      <c r="GD640" s="1" t="s">
        <v>193</v>
      </c>
      <c r="GE640" s="1" t="s">
        <v>190</v>
      </c>
    </row>
    <row r="641" spans="1:187" ht="11.25" customHeight="1">
      <c r="A641" s="1" t="s">
        <v>1079</v>
      </c>
      <c r="B641" s="1" t="str">
        <f ca="1">IFERROR(__xludf.DUMMYFUNCTION("GOOGLETRANSLATE(A641, ""en"", ""fr"")"),"ARMÉE")</f>
        <v>ARMÉE</v>
      </c>
      <c r="C641" s="1" t="s">
        <v>185</v>
      </c>
      <c r="J641" s="1" t="s">
        <v>6</v>
      </c>
      <c r="K641" s="1" t="s">
        <v>7</v>
      </c>
      <c r="AF641" s="1" t="s">
        <v>28</v>
      </c>
      <c r="AH641" s="1" t="s">
        <v>30</v>
      </c>
      <c r="AK641" s="1" t="s">
        <v>33</v>
      </c>
      <c r="AT641" s="1" t="s">
        <v>42</v>
      </c>
      <c r="DY641" s="1" t="s">
        <v>125</v>
      </c>
      <c r="ED641" s="1" t="s">
        <v>130</v>
      </c>
      <c r="GD641" s="1" t="s">
        <v>193</v>
      </c>
      <c r="GE641" s="1" t="s">
        <v>1080</v>
      </c>
    </row>
    <row r="642" spans="1:187" ht="11.25" customHeight="1">
      <c r="A642" s="1" t="s">
        <v>1081</v>
      </c>
      <c r="B642" s="1" t="str">
        <f ca="1">IFERROR(__xludf.DUMMYFUNCTION("GOOGLETRANSLATE(A642, ""en"", ""fr"")"),"Se sont élevés")</f>
        <v>Se sont élevés</v>
      </c>
      <c r="C642" s="1" t="s">
        <v>185</v>
      </c>
      <c r="J642" s="1" t="s">
        <v>6</v>
      </c>
      <c r="N642" s="1" t="s">
        <v>10</v>
      </c>
      <c r="CB642" s="1" t="s">
        <v>76</v>
      </c>
      <c r="DN642" s="1" t="s">
        <v>114</v>
      </c>
      <c r="GD642" s="1" t="s">
        <v>1076</v>
      </c>
      <c r="GE642" s="1" t="s">
        <v>190</v>
      </c>
    </row>
    <row r="643" spans="1:187" ht="11.25" customHeight="1">
      <c r="A643" s="1" t="s">
        <v>1082</v>
      </c>
      <c r="B643" s="1" t="str">
        <f ca="1">IFERROR(__xludf.DUMMYFUNCTION("GOOGLETRANSLATE(A643, ""en"", ""fr"")"),"AUTOUR")</f>
        <v>AUTOUR</v>
      </c>
      <c r="C643" s="1" t="s">
        <v>185</v>
      </c>
      <c r="DA643" s="1" t="s">
        <v>101</v>
      </c>
      <c r="GD643" s="1" t="s">
        <v>207</v>
      </c>
      <c r="GE643" s="1" t="s">
        <v>1083</v>
      </c>
    </row>
    <row r="644" spans="1:187" ht="11.25" customHeight="1">
      <c r="A644" s="1" t="s">
        <v>1084</v>
      </c>
      <c r="B644" s="1" t="str">
        <f ca="1">IFERROR(__xludf.DUMMYFUNCTION("GOOGLETRANSLATE(A644, ""en"", ""fr"")"),"Éveiller n ° 1")</f>
        <v>Éveiller n ° 1</v>
      </c>
      <c r="C644" s="1" t="s">
        <v>192</v>
      </c>
      <c r="GD644" s="1" t="s">
        <v>1085</v>
      </c>
      <c r="GE644" s="1" t="s">
        <v>190</v>
      </c>
    </row>
    <row r="645" spans="1:187" ht="11.25" customHeight="1">
      <c r="A645" s="1" t="s">
        <v>1086</v>
      </c>
      <c r="B645" s="1" t="str">
        <f ca="1">IFERROR(__xludf.DUMMYFUNCTION("GOOGLETRANSLATE(A645, ""en"", ""fr"")"),"Organiser n ° 1")</f>
        <v>Organiser n ° 1</v>
      </c>
      <c r="C645" s="1" t="s">
        <v>185</v>
      </c>
      <c r="K645" s="1" t="s">
        <v>7</v>
      </c>
      <c r="N645" s="1" t="s">
        <v>10</v>
      </c>
      <c r="BK645" s="1" t="s">
        <v>59</v>
      </c>
      <c r="DN645" s="1" t="s">
        <v>114</v>
      </c>
      <c r="DX645" s="1" t="s">
        <v>124</v>
      </c>
      <c r="ED645" s="1" t="s">
        <v>130</v>
      </c>
      <c r="GD645" s="1" t="s">
        <v>189</v>
      </c>
      <c r="GE645" s="1" t="s">
        <v>1087</v>
      </c>
    </row>
    <row r="646" spans="1:187" ht="11.25" customHeight="1">
      <c r="A646" s="1" t="s">
        <v>1088</v>
      </c>
      <c r="B646" s="1" t="str">
        <f ca="1">IFERROR(__xludf.DUMMYFUNCTION("GOOGLETRANSLATE(A646, ""en"", ""fr"")"),"Organiser n ° 2")</f>
        <v>Organiser n ° 2</v>
      </c>
      <c r="C646" s="1" t="s">
        <v>185</v>
      </c>
      <c r="AL646" s="1" t="s">
        <v>34</v>
      </c>
      <c r="DN646" s="1" t="s">
        <v>114</v>
      </c>
      <c r="FP646" s="1" t="s">
        <v>168</v>
      </c>
      <c r="GD646" s="1" t="s">
        <v>189</v>
      </c>
      <c r="GE646" s="1" t="s">
        <v>1089</v>
      </c>
    </row>
    <row r="647" spans="1:187" ht="11.25" customHeight="1">
      <c r="A647" s="1" t="s">
        <v>1090</v>
      </c>
      <c r="B647" s="1" t="str">
        <f ca="1">IFERROR(__xludf.DUMMYFUNCTION("GOOGLETRANSLATE(A647, ""en"", ""fr"")"),"ARRANGEMENT")</f>
        <v>ARRANGEMENT</v>
      </c>
      <c r="C647" s="1" t="s">
        <v>185</v>
      </c>
      <c r="N647" s="1" t="s">
        <v>10</v>
      </c>
      <c r="CP647" s="1" t="s">
        <v>90</v>
      </c>
      <c r="CQ647" s="1" t="s">
        <v>91</v>
      </c>
      <c r="DD647" s="1" t="s">
        <v>104</v>
      </c>
      <c r="DU647" s="1" t="s">
        <v>121</v>
      </c>
      <c r="ED647" s="1" t="s">
        <v>130</v>
      </c>
      <c r="GD647" s="1" t="s">
        <v>193</v>
      </c>
      <c r="GE647" s="1" t="s">
        <v>190</v>
      </c>
    </row>
    <row r="648" spans="1:187" ht="11.25" customHeight="1">
      <c r="A648" s="1" t="s">
        <v>1091</v>
      </c>
      <c r="B648" s="1" t="str">
        <f ca="1">IFERROR(__xludf.DUMMYFUNCTION("GOOGLETRANSLATE(A648, ""en"", ""fr"")"),"Arrestation n ° 1")</f>
        <v>Arrestation n ° 1</v>
      </c>
      <c r="C648" s="1" t="s">
        <v>185</v>
      </c>
      <c r="E648" s="1" t="s">
        <v>16613</v>
      </c>
      <c r="H648" s="1" t="s">
        <v>4</v>
      </c>
      <c r="I648" s="1" t="s">
        <v>5</v>
      </c>
      <c r="J648" s="1" t="s">
        <v>6</v>
      </c>
      <c r="K648" s="1" t="s">
        <v>7</v>
      </c>
      <c r="N648" s="1" t="s">
        <v>10</v>
      </c>
      <c r="AE648" s="1" t="s">
        <v>27</v>
      </c>
      <c r="CC648" s="1" t="s">
        <v>77</v>
      </c>
      <c r="DT648" s="1" t="s">
        <v>120</v>
      </c>
      <c r="ED648" s="1" t="s">
        <v>130</v>
      </c>
      <c r="GD648" s="1" t="s">
        <v>202</v>
      </c>
      <c r="GE648" s="1" t="s">
        <v>1092</v>
      </c>
    </row>
    <row r="649" spans="1:187" ht="11.25" customHeight="1">
      <c r="A649" s="1" t="s">
        <v>1093</v>
      </c>
      <c r="B649" s="1" t="str">
        <f ca="1">IFERROR(__xludf.DUMMYFUNCTION("GOOGLETRANSLATE(A649, ""en"", ""fr"")"),"Arrestation n ° 2")</f>
        <v>Arrestation n ° 2</v>
      </c>
      <c r="C649" s="1" t="s">
        <v>185</v>
      </c>
      <c r="E649" s="1" t="s">
        <v>16613</v>
      </c>
      <c r="H649" s="1" t="s">
        <v>4</v>
      </c>
      <c r="I649" s="1" t="s">
        <v>5</v>
      </c>
      <c r="J649" s="1" t="s">
        <v>6</v>
      </c>
      <c r="N649" s="1" t="s">
        <v>10</v>
      </c>
      <c r="AE649" s="1" t="s">
        <v>27</v>
      </c>
      <c r="CA649" s="1" t="s">
        <v>75</v>
      </c>
      <c r="DO649" s="1" t="s">
        <v>115</v>
      </c>
      <c r="DT649" s="1" t="s">
        <v>120</v>
      </c>
      <c r="ED649" s="1" t="s">
        <v>130</v>
      </c>
      <c r="GD649" s="1" t="s">
        <v>189</v>
      </c>
      <c r="GE649" s="1" t="s">
        <v>1094</v>
      </c>
    </row>
    <row r="650" spans="1:187" ht="11.25" customHeight="1">
      <c r="A650" s="1" t="s">
        <v>1095</v>
      </c>
      <c r="B650" s="1" t="str">
        <f ca="1">IFERROR(__xludf.DUMMYFUNCTION("GOOGLETRANSLATE(A650, ""en"", ""fr"")"),"Arrestation n ° 3")</f>
        <v>Arrestation n ° 3</v>
      </c>
      <c r="C650" s="1" t="s">
        <v>185</v>
      </c>
      <c r="D650" s="1" t="s">
        <v>16612</v>
      </c>
      <c r="F650" s="1" t="s">
        <v>2</v>
      </c>
      <c r="U650" s="1" t="s">
        <v>17</v>
      </c>
      <c r="W650" s="1" t="s">
        <v>19</v>
      </c>
      <c r="CN650" s="1" t="s">
        <v>88</v>
      </c>
      <c r="GD650" s="1" t="s">
        <v>202</v>
      </c>
      <c r="GE650" s="1" t="s">
        <v>1096</v>
      </c>
    </row>
    <row r="651" spans="1:187" ht="11.25" customHeight="1">
      <c r="A651" s="1" t="s">
        <v>1097</v>
      </c>
      <c r="B651" s="1" t="str">
        <f ca="1">IFERROR(__xludf.DUMMYFUNCTION("GOOGLETRANSLATE(A651, ""en"", ""fr"")"),"ARRIVÉE")</f>
        <v>ARRIVÉE</v>
      </c>
      <c r="C651" s="1" t="s">
        <v>185</v>
      </c>
      <c r="N651" s="1" t="s">
        <v>10</v>
      </c>
      <c r="CE651" s="1" t="s">
        <v>79</v>
      </c>
      <c r="GD651" s="1" t="s">
        <v>193</v>
      </c>
      <c r="GE651" s="1" t="s">
        <v>190</v>
      </c>
    </row>
    <row r="652" spans="1:187" ht="11.25" customHeight="1">
      <c r="A652" s="1" t="s">
        <v>1098</v>
      </c>
      <c r="B652" s="1" t="str">
        <f ca="1">IFERROR(__xludf.DUMMYFUNCTION("GOOGLETRANSLATE(A652, ""en"", ""fr"")"),"ARRIVER")</f>
        <v>ARRIVER</v>
      </c>
      <c r="C652" s="1" t="s">
        <v>185</v>
      </c>
      <c r="N652" s="1" t="s">
        <v>10</v>
      </c>
      <c r="CE652" s="1" t="s">
        <v>79</v>
      </c>
      <c r="DO652" s="1" t="s">
        <v>115</v>
      </c>
      <c r="GD652" s="1" t="s">
        <v>189</v>
      </c>
      <c r="GE652" s="1" t="s">
        <v>1099</v>
      </c>
    </row>
    <row r="653" spans="1:187" ht="11.25" customHeight="1">
      <c r="A653" s="1" t="s">
        <v>1100</v>
      </c>
      <c r="B653" s="1" t="str">
        <f ca="1">IFERROR(__xludf.DUMMYFUNCTION("GOOGLETRANSLATE(A653, ""en"", ""fr"")"),"ARROGANCE")</f>
        <v>ARROGANCE</v>
      </c>
      <c r="C653" s="1" t="s">
        <v>192</v>
      </c>
      <c r="E653" s="1" t="s">
        <v>16613</v>
      </c>
      <c r="K653" s="1" t="s">
        <v>7</v>
      </c>
      <c r="V653" s="1" t="s">
        <v>18</v>
      </c>
      <c r="GD653" s="1" t="s">
        <v>193</v>
      </c>
      <c r="GE653" s="1" t="s">
        <v>190</v>
      </c>
    </row>
    <row r="654" spans="1:187" ht="11.25" customHeight="1">
      <c r="A654" s="1" t="s">
        <v>1101</v>
      </c>
      <c r="B654" s="1" t="str">
        <f ca="1">IFERROR(__xludf.DUMMYFUNCTION("GOOGLETRANSLATE(A654, ""en"", ""fr"")"),"ARROGANT")</f>
        <v>ARROGANT</v>
      </c>
      <c r="C654" s="1" t="s">
        <v>185</v>
      </c>
      <c r="E654" s="1" t="s">
        <v>16613</v>
      </c>
      <c r="H654" s="1" t="s">
        <v>4</v>
      </c>
      <c r="J654" s="1" t="s">
        <v>6</v>
      </c>
      <c r="V654" s="1" t="s">
        <v>18</v>
      </c>
      <c r="FW654" s="1" t="s">
        <v>175</v>
      </c>
      <c r="GD654" s="1" t="s">
        <v>202</v>
      </c>
      <c r="GE654" s="1" t="s">
        <v>190</v>
      </c>
    </row>
    <row r="655" spans="1:187" ht="11.25" customHeight="1">
      <c r="A655" s="1" t="s">
        <v>1102</v>
      </c>
      <c r="B655" s="1" t="str">
        <f ca="1">IFERROR(__xludf.DUMMYFUNCTION("GOOGLETRANSLATE(A655, ""en"", ""fr"")"),"FLÈCHE")</f>
        <v>FLÈCHE</v>
      </c>
      <c r="C655" s="1" t="s">
        <v>185</v>
      </c>
      <c r="I655" s="1" t="s">
        <v>5</v>
      </c>
      <c r="AF655" s="1" t="s">
        <v>28</v>
      </c>
      <c r="BC655" s="1" t="s">
        <v>51</v>
      </c>
      <c r="BD655" s="1" t="s">
        <v>52</v>
      </c>
      <c r="GD655" s="1" t="s">
        <v>193</v>
      </c>
      <c r="GE655" s="1" t="s">
        <v>1103</v>
      </c>
    </row>
    <row r="656" spans="1:187" ht="11.25" customHeight="1">
      <c r="A656" s="1" t="s">
        <v>1104</v>
      </c>
      <c r="B656" s="1" t="str">
        <f ca="1">IFERROR(__xludf.DUMMYFUNCTION("GOOGLETRANSLATE(A656, ""en"", ""fr"")"),"ARSENAL")</f>
        <v>ARSENAL</v>
      </c>
      <c r="C656" s="1" t="s">
        <v>196</v>
      </c>
      <c r="DW656" s="1" t="s">
        <v>123</v>
      </c>
      <c r="ED656" s="1" t="s">
        <v>130</v>
      </c>
      <c r="GD656" s="1" t="s">
        <v>193</v>
      </c>
    </row>
    <row r="657" spans="1:187" ht="11.25" customHeight="1">
      <c r="A657" s="1" t="s">
        <v>1105</v>
      </c>
      <c r="B657" s="1" t="str">
        <f ca="1">IFERROR(__xludf.DUMMYFUNCTION("GOOGLETRANSLATE(A657, ""en"", ""fr"")"),"Art # 1")</f>
        <v>Art # 1</v>
      </c>
      <c r="C657" s="1" t="s">
        <v>185</v>
      </c>
      <c r="D657" s="1" t="s">
        <v>16612</v>
      </c>
      <c r="F657" s="1" t="s">
        <v>2</v>
      </c>
      <c r="AD657" s="1" t="s">
        <v>26</v>
      </c>
      <c r="BC657" s="1" t="s">
        <v>51</v>
      </c>
      <c r="BH657" s="1" t="s">
        <v>56</v>
      </c>
      <c r="BL657" s="1" t="s">
        <v>60</v>
      </c>
      <c r="FJ657" s="1" t="s">
        <v>162</v>
      </c>
      <c r="FM657" s="1" t="s">
        <v>418</v>
      </c>
      <c r="GD657" s="1" t="s">
        <v>193</v>
      </c>
      <c r="GE657" s="1" t="s">
        <v>1106</v>
      </c>
    </row>
    <row r="658" spans="1:187" ht="11.25" customHeight="1">
      <c r="A658" s="1" t="s">
        <v>1107</v>
      </c>
      <c r="B658" s="1" t="str">
        <f ca="1">IFERROR(__xludf.DUMMYFUNCTION("GOOGLETRANSLATE(A658, ""en"", ""fr"")"),"Art # 2")</f>
        <v>Art # 2</v>
      </c>
      <c r="C658" s="1" t="s">
        <v>185</v>
      </c>
      <c r="Y658" s="1" t="s">
        <v>21</v>
      </c>
      <c r="Z658" s="1" t="s">
        <v>22</v>
      </c>
      <c r="FH658" s="1" t="s">
        <v>160</v>
      </c>
      <c r="FI658" s="1" t="s">
        <v>161</v>
      </c>
      <c r="GD658" s="1" t="s">
        <v>193</v>
      </c>
      <c r="GE658" s="1" t="s">
        <v>1108</v>
      </c>
    </row>
    <row r="659" spans="1:187" ht="11.25" customHeight="1">
      <c r="A659" s="1" t="s">
        <v>1109</v>
      </c>
      <c r="B659" s="1" t="str">
        <f ca="1">IFERROR(__xludf.DUMMYFUNCTION("GOOGLETRANSLATE(A659, ""en"", ""fr"")"),"Art # 3")</f>
        <v>Art # 3</v>
      </c>
      <c r="C659" s="1" t="s">
        <v>185</v>
      </c>
      <c r="DP659" s="1" t="s">
        <v>116</v>
      </c>
      <c r="GD659" s="1" t="s">
        <v>772</v>
      </c>
      <c r="GE659" s="1" t="s">
        <v>1110</v>
      </c>
    </row>
    <row r="660" spans="1:187" ht="11.25" customHeight="1">
      <c r="A660" s="1" t="s">
        <v>1111</v>
      </c>
      <c r="B660" s="1" t="str">
        <f ca="1">IFERROR(__xludf.DUMMYFUNCTION("GOOGLETRANSLATE(A660, ""en"", ""fr"")"),"Art # 4")</f>
        <v>Art # 4</v>
      </c>
      <c r="C660" s="1" t="s">
        <v>185</v>
      </c>
      <c r="D660" s="1" t="s">
        <v>16612</v>
      </c>
      <c r="F660" s="1" t="s">
        <v>2</v>
      </c>
      <c r="Z660" s="1" t="s">
        <v>22</v>
      </c>
      <c r="AD660" s="1" t="s">
        <v>26</v>
      </c>
      <c r="FL660" s="1" t="s">
        <v>164</v>
      </c>
      <c r="FM660" s="1" t="s">
        <v>418</v>
      </c>
      <c r="GD660" s="1" t="s">
        <v>193</v>
      </c>
      <c r="GE660" s="1" t="s">
        <v>1112</v>
      </c>
    </row>
    <row r="661" spans="1:187" ht="11.25" customHeight="1">
      <c r="A661" s="1" t="s">
        <v>1113</v>
      </c>
      <c r="B661" s="1" t="str">
        <f ca="1">IFERROR(__xludf.DUMMYFUNCTION("GOOGLETRANSLATE(A661, ""en"", ""fr"")"),"ARTÈRE")</f>
        <v>ARTÈRE</v>
      </c>
      <c r="C661" s="1" t="s">
        <v>185</v>
      </c>
      <c r="BJ661" s="1" t="s">
        <v>58</v>
      </c>
      <c r="GD661" s="1" t="s">
        <v>193</v>
      </c>
      <c r="GE661" s="1" t="s">
        <v>190</v>
      </c>
    </row>
    <row r="662" spans="1:187" ht="11.25" customHeight="1">
      <c r="A662" s="1" t="s">
        <v>1114</v>
      </c>
      <c r="B662" s="1" t="str">
        <f ca="1">IFERROR(__xludf.DUMMYFUNCTION("GOOGLETRANSLATE(A662, ""en"", ""fr"")"),"ARTICLE")</f>
        <v>ARTICLE</v>
      </c>
      <c r="C662" s="1" t="s">
        <v>185</v>
      </c>
      <c r="BC662" s="1" t="s">
        <v>51</v>
      </c>
      <c r="BD662" s="1" t="s">
        <v>52</v>
      </c>
      <c r="DX662" s="1" t="s">
        <v>124</v>
      </c>
      <c r="ED662" s="1" t="s">
        <v>130</v>
      </c>
      <c r="EV662" s="1" t="s">
        <v>148</v>
      </c>
      <c r="EW662" s="1" t="s">
        <v>149</v>
      </c>
      <c r="GC662" s="1" t="s">
        <v>181</v>
      </c>
      <c r="GD662" s="1" t="s">
        <v>193</v>
      </c>
      <c r="GE662" s="1" t="s">
        <v>190</v>
      </c>
    </row>
    <row r="663" spans="1:187" ht="11.25" customHeight="1">
      <c r="A663" s="1" t="s">
        <v>1115</v>
      </c>
      <c r="B663" s="1" t="str">
        <f ca="1">IFERROR(__xludf.DUMMYFUNCTION("GOOGLETRANSLATE(A663, ""en"", ""fr"")"),"Articuler # 1")</f>
        <v>Articuler # 1</v>
      </c>
      <c r="C663" s="1" t="s">
        <v>185</v>
      </c>
      <c r="BK663" s="1" t="s">
        <v>59</v>
      </c>
      <c r="FD663" s="1" t="s">
        <v>156</v>
      </c>
      <c r="FI663" s="1" t="s">
        <v>161</v>
      </c>
      <c r="GC663" s="1" t="s">
        <v>181</v>
      </c>
      <c r="GD663" s="1" t="s">
        <v>202</v>
      </c>
      <c r="GE663" s="1" t="s">
        <v>190</v>
      </c>
    </row>
    <row r="664" spans="1:187" ht="11.25" customHeight="1">
      <c r="A664" s="1" t="s">
        <v>1116</v>
      </c>
      <c r="B664" s="1" t="str">
        <f ca="1">IFERROR(__xludf.DUMMYFUNCTION("GOOGLETRANSLATE(A664, ""en"", ""fr"")"),"Articuler # 2")</f>
        <v>Articuler # 2</v>
      </c>
      <c r="C664" s="1" t="s">
        <v>185</v>
      </c>
      <c r="J664" s="1" t="s">
        <v>6</v>
      </c>
      <c r="N664" s="1" t="s">
        <v>10</v>
      </c>
      <c r="BK664" s="1" t="s">
        <v>59</v>
      </c>
      <c r="FD664" s="1" t="s">
        <v>156</v>
      </c>
      <c r="FI664" s="1" t="s">
        <v>161</v>
      </c>
      <c r="GC664" s="1" t="s">
        <v>181</v>
      </c>
      <c r="GD664" s="1" t="s">
        <v>1117</v>
      </c>
      <c r="GE664" s="1" t="s">
        <v>190</v>
      </c>
    </row>
    <row r="665" spans="1:187" ht="11.25" customHeight="1">
      <c r="A665" s="1" t="s">
        <v>1118</v>
      </c>
      <c r="B665" s="1" t="str">
        <f ca="1">IFERROR(__xludf.DUMMYFUNCTION("GOOGLETRANSLATE(A665, ""en"", ""fr"")"),"ARTIFICIEL")</f>
        <v>ARTIFICIEL</v>
      </c>
      <c r="C665" s="1" t="s">
        <v>185</v>
      </c>
      <c r="E665" s="1" t="s">
        <v>16613</v>
      </c>
      <c r="H665" s="1" t="s">
        <v>4</v>
      </c>
      <c r="V665" s="1" t="s">
        <v>18</v>
      </c>
      <c r="GD665" s="1" t="s">
        <v>202</v>
      </c>
      <c r="GE665" s="1" t="s">
        <v>190</v>
      </c>
    </row>
    <row r="666" spans="1:187" ht="11.25" customHeight="1">
      <c r="A666" s="1" t="s">
        <v>1119</v>
      </c>
      <c r="B666" s="1" t="str">
        <f ca="1">IFERROR(__xludf.DUMMYFUNCTION("GOOGLETRANSLATE(A666, ""en"", ""fr"")"),"ARTISTE")</f>
        <v>ARTISTE</v>
      </c>
      <c r="C666" s="1" t="s">
        <v>185</v>
      </c>
      <c r="AD666" s="1" t="s">
        <v>26</v>
      </c>
      <c r="AJ666" s="1" t="s">
        <v>32</v>
      </c>
      <c r="AT666" s="1" t="s">
        <v>42</v>
      </c>
      <c r="FK666" s="1" t="s">
        <v>163</v>
      </c>
      <c r="FM666" s="1" t="s">
        <v>418</v>
      </c>
      <c r="GD666" s="1" t="s">
        <v>193</v>
      </c>
      <c r="GE666" s="1" t="s">
        <v>1120</v>
      </c>
    </row>
    <row r="667" spans="1:187" ht="11.25" customHeight="1">
      <c r="A667" s="1" t="s">
        <v>1121</v>
      </c>
      <c r="B667" s="1" t="str">
        <f ca="1">IFERROR(__xludf.DUMMYFUNCTION("GOOGLETRANSLATE(A667, ""en"", ""fr"")"),"ARTISTIQUE")</f>
        <v>ARTISTIQUE</v>
      </c>
      <c r="C667" s="1" t="s">
        <v>185</v>
      </c>
      <c r="Z667" s="1" t="s">
        <v>22</v>
      </c>
      <c r="AD667" s="1" t="s">
        <v>26</v>
      </c>
      <c r="FJ667" s="1" t="s">
        <v>162</v>
      </c>
      <c r="FM667" s="1" t="s">
        <v>418</v>
      </c>
      <c r="GD667" s="1" t="s">
        <v>202</v>
      </c>
      <c r="GE667" s="1" t="s">
        <v>190</v>
      </c>
    </row>
    <row r="668" spans="1:187" ht="11.25" customHeight="1">
      <c r="A668" s="1" t="s">
        <v>1122</v>
      </c>
      <c r="B668" s="1" t="str">
        <f ca="1">IFERROR(__xludf.DUMMYFUNCTION("GOOGLETRANSLATE(A668, ""en"", ""fr"")"),"Comme n ° 1")</f>
        <v>Comme n ° 1</v>
      </c>
      <c r="C668" s="1" t="s">
        <v>185</v>
      </c>
      <c r="CI668" s="1" t="s">
        <v>83</v>
      </c>
      <c r="GD668" s="1" t="s">
        <v>763</v>
      </c>
      <c r="GE668" s="1" t="s">
        <v>1123</v>
      </c>
    </row>
    <row r="669" spans="1:187" ht="11.25" customHeight="1">
      <c r="A669" s="1" t="s">
        <v>1124</v>
      </c>
      <c r="B669" s="1" t="str">
        <f ca="1">IFERROR(__xludf.DUMMYFUNCTION("GOOGLETRANSLATE(A669, ""en"", ""fr"")"),"Comme n ° 10")</f>
        <v>Comme n ° 10</v>
      </c>
      <c r="C669" s="1" t="s">
        <v>196</v>
      </c>
      <c r="GD669" s="1" t="s">
        <v>225</v>
      </c>
    </row>
    <row r="670" spans="1:187" ht="11.25" customHeight="1">
      <c r="A670" s="1" t="s">
        <v>1125</v>
      </c>
      <c r="B670" s="1" t="str">
        <f ca="1">IFERROR(__xludf.DUMMYFUNCTION("GOOGLETRANSLATE(A670, ""en"", ""fr"")"),"Comme n ° 11")</f>
        <v>Comme n ° 11</v>
      </c>
      <c r="C670" s="1" t="s">
        <v>196</v>
      </c>
      <c r="GD670" s="1" t="s">
        <v>225</v>
      </c>
    </row>
    <row r="671" spans="1:187" ht="11.25" customHeight="1">
      <c r="A671" s="1" t="s">
        <v>1126</v>
      </c>
      <c r="B671" s="1" t="str">
        <f ca="1">IFERROR(__xludf.DUMMYFUNCTION("GOOGLETRANSLATE(A671, ""en"", ""fr"")"),"Comme n ° 12")</f>
        <v>Comme n ° 12</v>
      </c>
      <c r="C671" s="1" t="s">
        <v>196</v>
      </c>
      <c r="GD671" s="1" t="s">
        <v>225</v>
      </c>
    </row>
    <row r="672" spans="1:187" ht="11.25" customHeight="1">
      <c r="A672" s="1" t="s">
        <v>1127</v>
      </c>
      <c r="B672" s="1" t="str">
        <f ca="1">IFERROR(__xludf.DUMMYFUNCTION("GOOGLETRANSLATE(A672, ""en"", ""fr"")"),"Comme n ° 2")</f>
        <v>Comme n ° 2</v>
      </c>
      <c r="C672" s="1" t="s">
        <v>185</v>
      </c>
      <c r="CS672" s="1" t="s">
        <v>93</v>
      </c>
      <c r="GD672" s="1" t="s">
        <v>236</v>
      </c>
      <c r="GE672" s="1" t="s">
        <v>1128</v>
      </c>
    </row>
    <row r="673" spans="1:187" ht="11.25" customHeight="1">
      <c r="A673" s="1" t="s">
        <v>1129</v>
      </c>
      <c r="B673" s="1" t="str">
        <f ca="1">IFERROR(__xludf.DUMMYFUNCTION("GOOGLETRANSLATE(A673, ""en"", ""fr"")"),"Comme n ° 3")</f>
        <v>Comme n ° 3</v>
      </c>
      <c r="C673" s="1" t="s">
        <v>185</v>
      </c>
      <c r="GD673" s="1" t="s">
        <v>215</v>
      </c>
      <c r="GE673" s="1" t="s">
        <v>1130</v>
      </c>
    </row>
    <row r="674" spans="1:187" ht="11.25" customHeight="1">
      <c r="A674" s="1" t="s">
        <v>1131</v>
      </c>
      <c r="B674" s="1" t="str">
        <f ca="1">IFERROR(__xludf.DUMMYFUNCTION("GOOGLETRANSLATE(A674, ""en"", ""fr"")"),"Comme n ° 4")</f>
        <v>Comme n ° 4</v>
      </c>
      <c r="C674" s="1" t="s">
        <v>185</v>
      </c>
      <c r="GD674" s="1" t="s">
        <v>225</v>
      </c>
      <c r="GE674" s="1" t="s">
        <v>1132</v>
      </c>
    </row>
    <row r="675" spans="1:187" ht="11.25" customHeight="1">
      <c r="A675" s="1" t="s">
        <v>1133</v>
      </c>
      <c r="B675" s="1" t="str">
        <f ca="1">IFERROR(__xludf.DUMMYFUNCTION("GOOGLETRANSLATE(A675, ""en"", ""fr"")"),"Comme n ° 5")</f>
        <v>Comme n ° 5</v>
      </c>
      <c r="C675" s="1" t="s">
        <v>185</v>
      </c>
      <c r="GD675" s="1" t="s">
        <v>225</v>
      </c>
      <c r="GE675" s="1" t="s">
        <v>1134</v>
      </c>
    </row>
    <row r="676" spans="1:187" ht="11.25" customHeight="1">
      <c r="A676" s="1" t="s">
        <v>1135</v>
      </c>
      <c r="B676" s="1" t="str">
        <f ca="1">IFERROR(__xludf.DUMMYFUNCTION("GOOGLETRANSLATE(A676, ""en"", ""fr"")"),"Comme n ° 6")</f>
        <v>Comme n ° 6</v>
      </c>
      <c r="C676" s="1" t="s">
        <v>185</v>
      </c>
      <c r="GD676" s="1" t="s">
        <v>225</v>
      </c>
      <c r="GE676" s="1" t="s">
        <v>1136</v>
      </c>
    </row>
    <row r="677" spans="1:187" ht="11.25" customHeight="1">
      <c r="A677" s="1" t="s">
        <v>1137</v>
      </c>
      <c r="B677" s="1" t="str">
        <f ca="1">IFERROR(__xludf.DUMMYFUNCTION("GOOGLETRANSLATE(A677, ""en"", ""fr"")"),"Comme n ° 7")</f>
        <v>Comme n ° 7</v>
      </c>
      <c r="C677" s="1" t="s">
        <v>185</v>
      </c>
      <c r="GD677" s="1" t="s">
        <v>225</v>
      </c>
      <c r="GE677" s="1" t="s">
        <v>1138</v>
      </c>
    </row>
    <row r="678" spans="1:187" ht="11.25" customHeight="1">
      <c r="A678" s="1" t="s">
        <v>1139</v>
      </c>
      <c r="B678" s="1" t="str">
        <f ca="1">IFERROR(__xludf.DUMMYFUNCTION("GOOGLETRANSLATE(A678, ""en"", ""fr"")"),"Comme n ° 8")</f>
        <v>Comme n ° 8</v>
      </c>
      <c r="C678" s="1" t="s">
        <v>185</v>
      </c>
      <c r="GD678" s="1" t="s">
        <v>225</v>
      </c>
      <c r="GE678" s="1" t="s">
        <v>1140</v>
      </c>
    </row>
    <row r="679" spans="1:187" ht="11.25" customHeight="1">
      <c r="A679" s="1" t="s">
        <v>1141</v>
      </c>
      <c r="B679" s="1" t="str">
        <f ca="1">IFERROR(__xludf.DUMMYFUNCTION("GOOGLETRANSLATE(A679, ""en"", ""fr"")"),"Comme n ° 9")</f>
        <v>Comme n ° 9</v>
      </c>
      <c r="C679" s="1" t="s">
        <v>185</v>
      </c>
      <c r="GD679" s="1" t="s">
        <v>225</v>
      </c>
      <c r="GE679" s="1" t="s">
        <v>1142</v>
      </c>
    </row>
    <row r="680" spans="1:187" ht="11.25" customHeight="1">
      <c r="A680" s="1" t="s">
        <v>1143</v>
      </c>
      <c r="B680" s="1" t="str">
        <f ca="1">IFERROR(__xludf.DUMMYFUNCTION("GOOGLETRANSLATE(A680, ""en"", ""fr"")"),"Comme # _10")</f>
        <v>Comme # _10</v>
      </c>
      <c r="C680" s="1" t="s">
        <v>192</v>
      </c>
      <c r="GD680" s="1" t="s">
        <v>225</v>
      </c>
      <c r="GE680" s="1" t="s">
        <v>1144</v>
      </c>
    </row>
    <row r="681" spans="1:187" ht="11.25" customHeight="1">
      <c r="A681" s="1" t="s">
        <v>1145</v>
      </c>
      <c r="B681" s="1" t="str">
        <f ca="1">IFERROR(__xludf.DUMMYFUNCTION("GOOGLETRANSLATE(A681, ""en"", ""fr"")"),"Comme # _11")</f>
        <v>Comme # _11</v>
      </c>
      <c r="C681" s="1" t="s">
        <v>192</v>
      </c>
      <c r="GD681" s="1" t="s">
        <v>225</v>
      </c>
      <c r="GE681" s="1" t="s">
        <v>1146</v>
      </c>
    </row>
    <row r="682" spans="1:187" ht="11.25" customHeight="1">
      <c r="A682" s="1" t="s">
        <v>1147</v>
      </c>
      <c r="B682" s="1" t="str">
        <f ca="1">IFERROR(__xludf.DUMMYFUNCTION("GOOGLETRANSLATE(A682, ""en"", ""fr"")"),"Comme # _12")</f>
        <v>Comme # _12</v>
      </c>
      <c r="C682" s="1" t="s">
        <v>192</v>
      </c>
      <c r="GD682" s="1" t="s">
        <v>225</v>
      </c>
      <c r="GE682" s="1" t="s">
        <v>1148</v>
      </c>
    </row>
    <row r="683" spans="1:187" ht="11.25" customHeight="1">
      <c r="A683" s="1" t="s">
        <v>1149</v>
      </c>
      <c r="B683" s="1" t="str">
        <f ca="1">IFERROR(__xludf.DUMMYFUNCTION("GOOGLETRANSLATE(A683, ""en"", ""fr"")"),"MONTER")</f>
        <v>MONTER</v>
      </c>
      <c r="C683" s="1" t="s">
        <v>185</v>
      </c>
      <c r="J683" s="1" t="s">
        <v>6</v>
      </c>
      <c r="N683" s="1" t="s">
        <v>10</v>
      </c>
      <c r="CB683" s="1" t="s">
        <v>76</v>
      </c>
      <c r="DO683" s="1" t="s">
        <v>115</v>
      </c>
      <c r="DS683" s="1" t="s">
        <v>119</v>
      </c>
      <c r="ED683" s="1" t="s">
        <v>130</v>
      </c>
      <c r="GD683" s="1" t="s">
        <v>189</v>
      </c>
      <c r="GE683" s="1" t="s">
        <v>190</v>
      </c>
    </row>
    <row r="684" spans="1:187" ht="11.25" customHeight="1">
      <c r="A684" s="1" t="s">
        <v>1150</v>
      </c>
      <c r="B684" s="1" t="str">
        <f ca="1">IFERROR(__xludf.DUMMYFUNCTION("GOOGLETRANSLATE(A684, ""en"", ""fr"")"),"ASCENDANT")</f>
        <v>ASCENDANT</v>
      </c>
      <c r="C684" s="1" t="s">
        <v>196</v>
      </c>
      <c r="DS684" s="1" t="s">
        <v>119</v>
      </c>
      <c r="ED684" s="1" t="s">
        <v>130</v>
      </c>
      <c r="GD684" s="1" t="s">
        <v>193</v>
      </c>
    </row>
    <row r="685" spans="1:187" ht="11.25" customHeight="1">
      <c r="A685" s="1" t="s">
        <v>1151</v>
      </c>
      <c r="B685" s="1" t="str">
        <f ca="1">IFERROR(__xludf.DUMMYFUNCTION("GOOGLETRANSLATE(A685, ""en"", ""fr"")"),"ASCENDANT")</f>
        <v>ASCENDANT</v>
      </c>
      <c r="C685" s="1" t="s">
        <v>196</v>
      </c>
      <c r="DS685" s="1" t="s">
        <v>119</v>
      </c>
      <c r="ED685" s="1" t="s">
        <v>130</v>
      </c>
      <c r="GD685" s="1" t="s">
        <v>193</v>
      </c>
    </row>
    <row r="686" spans="1:187" ht="11.25" customHeight="1">
      <c r="A686" s="1" t="s">
        <v>1152</v>
      </c>
      <c r="B686" s="1" t="str">
        <f ca="1">IFERROR(__xludf.DUMMYFUNCTION("GOOGLETRANSLATE(A686, ""en"", ""fr"")"),"ASCENSION")</f>
        <v>ASCENSION</v>
      </c>
      <c r="C686" s="1" t="s">
        <v>185</v>
      </c>
      <c r="J686" s="1" t="s">
        <v>6</v>
      </c>
      <c r="N686" s="1" t="s">
        <v>10</v>
      </c>
      <c r="CB686" s="1" t="s">
        <v>76</v>
      </c>
      <c r="GD686" s="1" t="s">
        <v>193</v>
      </c>
      <c r="GE686" s="1" t="s">
        <v>190</v>
      </c>
    </row>
    <row r="687" spans="1:187" ht="11.25" customHeight="1">
      <c r="A687" s="1" t="s">
        <v>1153</v>
      </c>
      <c r="B687" s="1" t="str">
        <f ca="1">IFERROR(__xludf.DUMMYFUNCTION("GOOGLETRANSLATE(A687, ""en"", ""fr"")"),"VÉRIFIER")</f>
        <v>VÉRIFIER</v>
      </c>
      <c r="C687" s="1" t="s">
        <v>185</v>
      </c>
      <c r="N687" s="1" t="s">
        <v>10</v>
      </c>
      <c r="W687" s="1" t="s">
        <v>19</v>
      </c>
      <c r="CO687" s="1" t="s">
        <v>89</v>
      </c>
      <c r="DN687" s="1" t="s">
        <v>114</v>
      </c>
      <c r="FD687" s="1" t="s">
        <v>156</v>
      </c>
      <c r="FI687" s="1" t="s">
        <v>161</v>
      </c>
      <c r="GD687" s="1" t="s">
        <v>189</v>
      </c>
      <c r="GE687" s="1" t="s">
        <v>190</v>
      </c>
    </row>
    <row r="688" spans="1:187" ht="11.25" customHeight="1">
      <c r="A688" s="1" t="s">
        <v>1154</v>
      </c>
      <c r="B688" s="1" t="str">
        <f ca="1">IFERROR(__xludf.DUMMYFUNCTION("GOOGLETRANSLATE(A688, ""en"", ""fr"")"),"CONSTATATION")</f>
        <v>CONSTATATION</v>
      </c>
      <c r="C688" s="1" t="s">
        <v>185</v>
      </c>
      <c r="N688" s="1" t="s">
        <v>10</v>
      </c>
      <c r="W688" s="1" t="s">
        <v>19</v>
      </c>
      <c r="BQ688" s="1" t="s">
        <v>65</v>
      </c>
      <c r="FH688" s="1" t="s">
        <v>160</v>
      </c>
      <c r="FI688" s="1" t="s">
        <v>161</v>
      </c>
      <c r="GD688" s="1" t="s">
        <v>193</v>
      </c>
      <c r="GE688" s="1" t="s">
        <v>190</v>
      </c>
    </row>
    <row r="689" spans="1:187" ht="11.25" customHeight="1">
      <c r="A689" s="1" t="s">
        <v>1155</v>
      </c>
      <c r="B689" s="1" t="str">
        <f ca="1">IFERROR(__xludf.DUMMYFUNCTION("GOOGLETRANSLATE(A689, ""en"", ""fr"")"),"ATTRIBUER")</f>
        <v>ATTRIBUER</v>
      </c>
      <c r="C689" s="1" t="s">
        <v>185</v>
      </c>
      <c r="D689" s="1" t="s">
        <v>16612</v>
      </c>
      <c r="G689" s="1" t="s">
        <v>3</v>
      </c>
      <c r="N689" s="1" t="s">
        <v>10</v>
      </c>
      <c r="Z689" s="1" t="s">
        <v>22</v>
      </c>
      <c r="DN689" s="1" t="s">
        <v>114</v>
      </c>
      <c r="FD689" s="1" t="s">
        <v>156</v>
      </c>
      <c r="FI689" s="1" t="s">
        <v>161</v>
      </c>
      <c r="GD689" s="1" t="s">
        <v>189</v>
      </c>
      <c r="GE689" s="1" t="s">
        <v>190</v>
      </c>
    </row>
    <row r="690" spans="1:187" ht="11.25" customHeight="1">
      <c r="A690" s="1" t="s">
        <v>1156</v>
      </c>
      <c r="B690" s="1" t="str">
        <f ca="1">IFERROR(__xludf.DUMMYFUNCTION("GOOGLETRANSLATE(A690, ""en"", ""fr"")"),"CENDRE")</f>
        <v>CENDRE</v>
      </c>
      <c r="C690" s="1" t="s">
        <v>185</v>
      </c>
      <c r="BC690" s="1" t="s">
        <v>51</v>
      </c>
      <c r="BI690" s="1" t="s">
        <v>57</v>
      </c>
      <c r="GD690" s="1" t="s">
        <v>193</v>
      </c>
      <c r="GE690" s="1" t="s">
        <v>1157</v>
      </c>
    </row>
    <row r="691" spans="1:187" ht="11.25" customHeight="1">
      <c r="A691" s="1" t="s">
        <v>1158</v>
      </c>
      <c r="B691" s="1" t="str">
        <f ca="1">IFERROR(__xludf.DUMMYFUNCTION("GOOGLETRANSLATE(A691, ""en"", ""fr"")"),"HONTEUX")</f>
        <v>HONTEUX</v>
      </c>
      <c r="C691" s="1" t="s">
        <v>185</v>
      </c>
      <c r="E691" s="1" t="s">
        <v>16613</v>
      </c>
      <c r="H691" s="1" t="s">
        <v>4</v>
      </c>
      <c r="L691" s="1" t="s">
        <v>8</v>
      </c>
      <c r="O691" s="1" t="s">
        <v>11</v>
      </c>
      <c r="Q691" s="1" t="s">
        <v>13</v>
      </c>
      <c r="T691" s="1" t="s">
        <v>16</v>
      </c>
      <c r="EM691" s="1" t="s">
        <v>139</v>
      </c>
      <c r="EN691" s="1" t="s">
        <v>140</v>
      </c>
      <c r="GD691" s="1" t="s">
        <v>202</v>
      </c>
      <c r="GE691" s="1" t="s">
        <v>190</v>
      </c>
    </row>
    <row r="692" spans="1:187" ht="11.25" customHeight="1">
      <c r="A692" s="1" t="s">
        <v>1159</v>
      </c>
      <c r="B692" s="1" t="str">
        <f ca="1">IFERROR(__xludf.DUMMYFUNCTION("GOOGLETRANSLATE(A692, ""en"", ""fr"")"),"ASIE")</f>
        <v>ASIE</v>
      </c>
      <c r="C692" s="1" t="s">
        <v>185</v>
      </c>
      <c r="AC692" s="1" t="s">
        <v>25</v>
      </c>
      <c r="AH692" s="1" t="s">
        <v>30</v>
      </c>
      <c r="DI692" s="1" t="s">
        <v>109</v>
      </c>
      <c r="DV692" s="1" t="s">
        <v>122</v>
      </c>
      <c r="ED692" s="1" t="s">
        <v>130</v>
      </c>
      <c r="GD692" s="1" t="s">
        <v>193</v>
      </c>
      <c r="GE692" s="1" t="s">
        <v>190</v>
      </c>
    </row>
    <row r="693" spans="1:187" ht="11.25" customHeight="1">
      <c r="A693" s="1" t="s">
        <v>1160</v>
      </c>
      <c r="B693" s="1" t="str">
        <f ca="1">IFERROR(__xludf.DUMMYFUNCTION("GOOGLETRANSLATE(A693, ""en"", ""fr"")"),"À part # 1")</f>
        <v>À part # 1</v>
      </c>
      <c r="C693" s="1" t="s">
        <v>185</v>
      </c>
      <c r="DA693" s="1" t="s">
        <v>101</v>
      </c>
      <c r="GD693" s="1" t="s">
        <v>236</v>
      </c>
      <c r="GE693" s="1" t="s">
        <v>1161</v>
      </c>
    </row>
    <row r="694" spans="1:187" ht="11.25" customHeight="1">
      <c r="A694" s="1" t="s">
        <v>1162</v>
      </c>
      <c r="B694" s="1" t="str">
        <f ca="1">IFERROR(__xludf.DUMMYFUNCTION("GOOGLETRANSLATE(A694, ""en"", ""fr"")"),"À part # 2")</f>
        <v>À part # 2</v>
      </c>
      <c r="C694" s="1" t="s">
        <v>185</v>
      </c>
      <c r="X694" s="1" t="s">
        <v>20</v>
      </c>
      <c r="FZ694" s="1" t="s">
        <v>178</v>
      </c>
      <c r="GD694" s="1" t="s">
        <v>215</v>
      </c>
      <c r="GE694" s="1" t="s">
        <v>1163</v>
      </c>
    </row>
    <row r="695" spans="1:187" ht="11.25" customHeight="1">
      <c r="A695" s="1" t="s">
        <v>1164</v>
      </c>
      <c r="B695" s="1" t="str">
        <f ca="1">IFERROR(__xludf.DUMMYFUNCTION("GOOGLETRANSLATE(A695, ""en"", ""fr"")"),"Demandez # 1")</f>
        <v>Demandez # 1</v>
      </c>
      <c r="C695" s="1" t="s">
        <v>185</v>
      </c>
      <c r="N695" s="1" t="s">
        <v>10</v>
      </c>
      <c r="BK695" s="1" t="s">
        <v>59</v>
      </c>
      <c r="DO695" s="1" t="s">
        <v>115</v>
      </c>
      <c r="FH695" s="1" t="s">
        <v>160</v>
      </c>
      <c r="FI695" s="1" t="s">
        <v>161</v>
      </c>
      <c r="GD695" s="1" t="s">
        <v>189</v>
      </c>
      <c r="GE695" s="1" t="s">
        <v>1165</v>
      </c>
    </row>
    <row r="696" spans="1:187" ht="11.25" customHeight="1">
      <c r="A696" s="1" t="s">
        <v>1166</v>
      </c>
      <c r="B696" s="1" t="str">
        <f ca="1">IFERROR(__xludf.DUMMYFUNCTION("GOOGLETRANSLATE(A696, ""en"", ""fr"")"),"Demandez # 2")</f>
        <v>Demandez # 2</v>
      </c>
      <c r="C696" s="1" t="s">
        <v>185</v>
      </c>
      <c r="M696" s="1" t="s">
        <v>9</v>
      </c>
      <c r="N696" s="1" t="s">
        <v>10</v>
      </c>
      <c r="BK696" s="1" t="s">
        <v>59</v>
      </c>
      <c r="DO696" s="1" t="s">
        <v>115</v>
      </c>
      <c r="EO696" s="1" t="s">
        <v>141</v>
      </c>
      <c r="ES696" s="1" t="s">
        <v>145</v>
      </c>
      <c r="GD696" s="1" t="s">
        <v>189</v>
      </c>
      <c r="GE696" s="1" t="s">
        <v>1167</v>
      </c>
    </row>
    <row r="697" spans="1:187" ht="11.25" customHeight="1">
      <c r="A697" s="1" t="s">
        <v>1168</v>
      </c>
      <c r="B697" s="1" t="str">
        <f ca="1">IFERROR(__xludf.DUMMYFUNCTION("GOOGLETRANSLATE(A697, ""en"", ""fr"")"),"ENDORMI")</f>
        <v>ENDORMI</v>
      </c>
      <c r="C697" s="1" t="s">
        <v>185</v>
      </c>
      <c r="L697" s="1" t="s">
        <v>8</v>
      </c>
      <c r="O697" s="1" t="s">
        <v>11</v>
      </c>
      <c r="BU697" s="1" t="s">
        <v>69</v>
      </c>
      <c r="GD697" s="1" t="s">
        <v>236</v>
      </c>
      <c r="GE697" s="1" t="s">
        <v>1169</v>
      </c>
    </row>
    <row r="698" spans="1:187" ht="11.25" customHeight="1">
      <c r="A698" s="1" t="s">
        <v>1170</v>
      </c>
      <c r="B698" s="1" t="str">
        <f ca="1">IFERROR(__xludf.DUMMYFUNCTION("GOOGLETRANSLATE(A698, ""en"", ""fr"")"),"ASPECT")</f>
        <v>ASPECT</v>
      </c>
      <c r="C698" s="1" t="s">
        <v>185</v>
      </c>
      <c r="CH698" s="1" t="s">
        <v>82</v>
      </c>
      <c r="FH698" s="1" t="s">
        <v>160</v>
      </c>
      <c r="FI698" s="1" t="s">
        <v>161</v>
      </c>
      <c r="GD698" s="1" t="s">
        <v>193</v>
      </c>
      <c r="GE698" s="1" t="s">
        <v>1171</v>
      </c>
    </row>
    <row r="699" spans="1:187" ht="11.25" customHeight="1">
      <c r="A699" s="1" t="s">
        <v>1172</v>
      </c>
      <c r="B699" s="1" t="str">
        <f ca="1">IFERROR(__xludf.DUMMYFUNCTION("GOOGLETRANSLATE(A699, ""en"", ""fr"")"),"ASPIRATION")</f>
        <v>ASPIRATION</v>
      </c>
      <c r="C699" s="1" t="s">
        <v>192</v>
      </c>
      <c r="D699" s="1" t="s">
        <v>16612</v>
      </c>
      <c r="BO699" s="1" t="s">
        <v>63</v>
      </c>
      <c r="CG699" s="1" t="s">
        <v>81</v>
      </c>
      <c r="GD699" s="1" t="s">
        <v>193</v>
      </c>
      <c r="GE699" s="1" t="s">
        <v>190</v>
      </c>
    </row>
    <row r="700" spans="1:187" ht="11.25" customHeight="1">
      <c r="A700" s="1" t="s">
        <v>1173</v>
      </c>
      <c r="B700" s="1" t="str">
        <f ca="1">IFERROR(__xludf.DUMMYFUNCTION("GOOGLETRANSLATE(A700, ""en"", ""fr"")"),"ASPIRER")</f>
        <v>ASPIRER</v>
      </c>
      <c r="C700" s="1" t="s">
        <v>185</v>
      </c>
      <c r="D700" s="1" t="s">
        <v>16612</v>
      </c>
      <c r="N700" s="1" t="s">
        <v>10</v>
      </c>
      <c r="BO700" s="1" t="s">
        <v>63</v>
      </c>
      <c r="BP700" s="1" t="s">
        <v>64</v>
      </c>
      <c r="DP700" s="1" t="s">
        <v>116</v>
      </c>
      <c r="FR700" s="1" t="s">
        <v>170</v>
      </c>
      <c r="GD700" s="1" t="s">
        <v>189</v>
      </c>
      <c r="GE700" s="1" t="s">
        <v>190</v>
      </c>
    </row>
    <row r="701" spans="1:187" ht="11.25" customHeight="1">
      <c r="A701" s="1" t="s">
        <v>1174</v>
      </c>
      <c r="B701" s="1" t="str">
        <f ca="1">IFERROR(__xludf.DUMMYFUNCTION("GOOGLETRANSLATE(A701, ""en"", ""fr"")"),"CUL")</f>
        <v>CUL</v>
      </c>
      <c r="C701" s="1" t="s">
        <v>185</v>
      </c>
      <c r="BJ701" s="1" t="s">
        <v>58</v>
      </c>
      <c r="GD701" s="1" t="s">
        <v>193</v>
      </c>
      <c r="GE701" s="1" t="s">
        <v>190</v>
      </c>
    </row>
    <row r="702" spans="1:187" ht="11.25" customHeight="1">
      <c r="A702" s="1" t="s">
        <v>1175</v>
      </c>
      <c r="B702" s="1" t="str">
        <f ca="1">IFERROR(__xludf.DUMMYFUNCTION("GOOGLETRANSLATE(A702, ""en"", ""fr"")"),"ASSAILLIR")</f>
        <v>ASSAILLIR</v>
      </c>
      <c r="C702" s="1" t="s">
        <v>185</v>
      </c>
      <c r="E702" s="1" t="s">
        <v>16613</v>
      </c>
      <c r="H702" s="1" t="s">
        <v>4</v>
      </c>
      <c r="I702" s="1" t="s">
        <v>5</v>
      </c>
      <c r="J702" s="1" t="s">
        <v>6</v>
      </c>
      <c r="N702" s="1" t="s">
        <v>10</v>
      </c>
      <c r="AN702" s="1" t="s">
        <v>36</v>
      </c>
      <c r="DN702" s="1" t="s">
        <v>114</v>
      </c>
      <c r="EL702" s="1" t="s">
        <v>138</v>
      </c>
      <c r="EN702" s="1" t="s">
        <v>140</v>
      </c>
      <c r="GD702" s="1" t="s">
        <v>189</v>
      </c>
      <c r="GE702" s="1" t="s">
        <v>190</v>
      </c>
    </row>
    <row r="703" spans="1:187" ht="11.25" customHeight="1">
      <c r="A703" s="1" t="s">
        <v>1176</v>
      </c>
      <c r="B703" s="1" t="str">
        <f ca="1">IFERROR(__xludf.DUMMYFUNCTION("GOOGLETRANSLATE(A703, ""en"", ""fr"")"),"AGRESSEUR")</f>
        <v>AGRESSEUR</v>
      </c>
      <c r="C703" s="1" t="s">
        <v>192</v>
      </c>
      <c r="E703" s="1" t="s">
        <v>16613</v>
      </c>
      <c r="I703" s="1" t="s">
        <v>5</v>
      </c>
      <c r="AT703" s="1" t="s">
        <v>42</v>
      </c>
      <c r="CC703" s="1" t="s">
        <v>77</v>
      </c>
      <c r="GD703" s="1" t="s">
        <v>1177</v>
      </c>
      <c r="GE703" s="1" t="s">
        <v>190</v>
      </c>
    </row>
    <row r="704" spans="1:187" ht="11.25" customHeight="1">
      <c r="A704" s="1" t="s">
        <v>1178</v>
      </c>
      <c r="B704" s="1" t="str">
        <f ca="1">IFERROR(__xludf.DUMMYFUNCTION("GOOGLETRANSLATE(A704, ""en"", ""fr"")"),"ASSASSIN")</f>
        <v>ASSASSIN</v>
      </c>
      <c r="C704" s="1" t="s">
        <v>192</v>
      </c>
      <c r="E704" s="1" t="s">
        <v>16613</v>
      </c>
      <c r="I704" s="1" t="s">
        <v>5</v>
      </c>
      <c r="AT704" s="1" t="s">
        <v>42</v>
      </c>
      <c r="CC704" s="1" t="s">
        <v>77</v>
      </c>
      <c r="GD704" s="1" t="s">
        <v>193</v>
      </c>
      <c r="GE704" s="1" t="s">
        <v>190</v>
      </c>
    </row>
    <row r="705" spans="1:187" ht="11.25" customHeight="1">
      <c r="A705" s="1" t="s">
        <v>1179</v>
      </c>
      <c r="B705" s="1" t="str">
        <f ca="1">IFERROR(__xludf.DUMMYFUNCTION("GOOGLETRANSLATE(A705, ""en"", ""fr"")"),"ASSASSINER")</f>
        <v>ASSASSINER</v>
      </c>
      <c r="C705" s="1" t="s">
        <v>192</v>
      </c>
      <c r="E705" s="1" t="s">
        <v>16613</v>
      </c>
      <c r="I705" s="1" t="s">
        <v>5</v>
      </c>
      <c r="N705" s="1" t="s">
        <v>10</v>
      </c>
      <c r="CC705" s="1" t="s">
        <v>77</v>
      </c>
      <c r="DN705" s="1" t="s">
        <v>114</v>
      </c>
      <c r="GD705" s="1" t="s">
        <v>670</v>
      </c>
      <c r="GE705" s="1" t="s">
        <v>190</v>
      </c>
    </row>
    <row r="706" spans="1:187" ht="11.25" customHeight="1">
      <c r="A706" s="1" t="s">
        <v>1180</v>
      </c>
      <c r="B706" s="1" t="str">
        <f ca="1">IFERROR(__xludf.DUMMYFUNCTION("GOOGLETRANSLATE(A706, ""en"", ""fr"")"),"ASSASSINAT")</f>
        <v>ASSASSINAT</v>
      </c>
      <c r="C706" s="1" t="s">
        <v>196</v>
      </c>
      <c r="DW706" s="1" t="s">
        <v>123</v>
      </c>
      <c r="ED706" s="1" t="s">
        <v>130</v>
      </c>
      <c r="GD706" s="1" t="s">
        <v>470</v>
      </c>
    </row>
    <row r="707" spans="1:187" ht="11.25" customHeight="1">
      <c r="A707" s="1" t="s">
        <v>1181</v>
      </c>
      <c r="B707" s="1" t="str">
        <f ca="1">IFERROR(__xludf.DUMMYFUNCTION("GOOGLETRANSLATE(A707, ""en"", ""fr"")"),"Assaut n ° 1")</f>
        <v>Assaut n ° 1</v>
      </c>
      <c r="C707" s="1" t="s">
        <v>185</v>
      </c>
      <c r="E707" s="1" t="s">
        <v>16613</v>
      </c>
      <c r="H707" s="1" t="s">
        <v>4</v>
      </c>
      <c r="I707" s="1" t="s">
        <v>5</v>
      </c>
      <c r="J707" s="1" t="s">
        <v>6</v>
      </c>
      <c r="N707" s="1" t="s">
        <v>10</v>
      </c>
      <c r="V707" s="1" t="s">
        <v>18</v>
      </c>
      <c r="DW707" s="1" t="s">
        <v>123</v>
      </c>
      <c r="ED707" s="1" t="s">
        <v>130</v>
      </c>
      <c r="GD707" s="1" t="s">
        <v>193</v>
      </c>
      <c r="GE707" s="1" t="s">
        <v>190</v>
      </c>
    </row>
    <row r="708" spans="1:187" ht="11.25" customHeight="1">
      <c r="A708" s="1" t="s">
        <v>1182</v>
      </c>
      <c r="B708" s="1" t="str">
        <f ca="1">IFERROR(__xludf.DUMMYFUNCTION("GOOGLETRANSLATE(A708, ""en"", ""fr"")"),"Assaut n ° 2")</f>
        <v>Assaut n ° 2</v>
      </c>
      <c r="C708" s="1" t="s">
        <v>185</v>
      </c>
      <c r="E708" s="1" t="s">
        <v>16613</v>
      </c>
      <c r="H708" s="1" t="s">
        <v>4</v>
      </c>
      <c r="I708" s="1" t="s">
        <v>5</v>
      </c>
      <c r="J708" s="1" t="s">
        <v>6</v>
      </c>
      <c r="N708" s="1" t="s">
        <v>10</v>
      </c>
      <c r="AN708" s="1" t="s">
        <v>36</v>
      </c>
      <c r="DN708" s="1" t="s">
        <v>114</v>
      </c>
      <c r="DW708" s="1" t="s">
        <v>123</v>
      </c>
      <c r="ED708" s="1" t="s">
        <v>130</v>
      </c>
      <c r="GD708" s="1" t="s">
        <v>189</v>
      </c>
      <c r="GE708" s="1" t="s">
        <v>190</v>
      </c>
    </row>
    <row r="709" spans="1:187" ht="11.25" customHeight="1">
      <c r="A709" s="1" t="s">
        <v>1183</v>
      </c>
      <c r="B709" s="1" t="str">
        <f ca="1">IFERROR(__xludf.DUMMYFUNCTION("GOOGLETRANSLATE(A709, ""en"", ""fr"")"),"ASSEMBLER")</f>
        <v>ASSEMBLER</v>
      </c>
      <c r="C709" s="1" t="s">
        <v>185</v>
      </c>
      <c r="N709" s="1" t="s">
        <v>10</v>
      </c>
      <c r="CE709" s="1" t="s">
        <v>79</v>
      </c>
      <c r="DO709" s="1" t="s">
        <v>115</v>
      </c>
      <c r="DX709" s="1" t="s">
        <v>124</v>
      </c>
      <c r="ED709" s="1" t="s">
        <v>130</v>
      </c>
      <c r="GD709" s="1" t="s">
        <v>189</v>
      </c>
      <c r="GE709" s="1" t="s">
        <v>190</v>
      </c>
    </row>
    <row r="710" spans="1:187" ht="11.25" customHeight="1">
      <c r="A710" s="1" t="s">
        <v>1184</v>
      </c>
      <c r="B710" s="1" t="str">
        <f ca="1">IFERROR(__xludf.DUMMYFUNCTION("GOOGLETRANSLATE(A710, ""en"", ""fr"")"),"ASSEMBLÉE")</f>
        <v>ASSEMBLÉE</v>
      </c>
      <c r="C710" s="1" t="s">
        <v>185</v>
      </c>
      <c r="AK710" s="1" t="s">
        <v>33</v>
      </c>
      <c r="AT710" s="1" t="s">
        <v>42</v>
      </c>
      <c r="EB710" s="1" t="s">
        <v>128</v>
      </c>
      <c r="ED710" s="1" t="s">
        <v>130</v>
      </c>
      <c r="GD710" s="1" t="s">
        <v>193</v>
      </c>
      <c r="GE710" s="1" t="s">
        <v>190</v>
      </c>
    </row>
    <row r="711" spans="1:187" ht="11.25" customHeight="1">
      <c r="A711" s="1" t="s">
        <v>1185</v>
      </c>
      <c r="B711" s="1" t="str">
        <f ca="1">IFERROR(__xludf.DUMMYFUNCTION("GOOGLETRANSLATE(A711, ""en"", ""fr"")"),"ASSENTIMENT")</f>
        <v>ASSENTIMENT</v>
      </c>
      <c r="C711" s="1" t="s">
        <v>185</v>
      </c>
      <c r="D711" s="1" t="s">
        <v>16612</v>
      </c>
      <c r="G711" s="1" t="s">
        <v>3</v>
      </c>
      <c r="BK711" s="1" t="s">
        <v>59</v>
      </c>
      <c r="EC711" s="1" t="s">
        <v>129</v>
      </c>
      <c r="ED711" s="1" t="s">
        <v>130</v>
      </c>
      <c r="GD711" s="1" t="s">
        <v>193</v>
      </c>
      <c r="GE711" s="1" t="s">
        <v>190</v>
      </c>
    </row>
    <row r="712" spans="1:187" ht="11.25" customHeight="1">
      <c r="A712" s="1" t="s">
        <v>1186</v>
      </c>
      <c r="B712" s="1" t="str">
        <f ca="1">IFERROR(__xludf.DUMMYFUNCTION("GOOGLETRANSLATE(A712, ""en"", ""fr"")"),"AFFIRMER")</f>
        <v>AFFIRMER</v>
      </c>
      <c r="C712" s="1" t="s">
        <v>185</v>
      </c>
      <c r="J712" s="1" t="s">
        <v>6</v>
      </c>
      <c r="K712" s="1" t="s">
        <v>7</v>
      </c>
      <c r="N712" s="1" t="s">
        <v>10</v>
      </c>
      <c r="BK712" s="1" t="s">
        <v>59</v>
      </c>
      <c r="DN712" s="1" t="s">
        <v>114</v>
      </c>
      <c r="EC712" s="1" t="s">
        <v>129</v>
      </c>
      <c r="ED712" s="1" t="s">
        <v>130</v>
      </c>
      <c r="GD712" s="1" t="s">
        <v>189</v>
      </c>
      <c r="GE712" s="1" t="s">
        <v>190</v>
      </c>
    </row>
    <row r="713" spans="1:187" ht="11.25" customHeight="1">
      <c r="A713" s="1" t="s">
        <v>1187</v>
      </c>
      <c r="B713" s="1" t="str">
        <f ca="1">IFERROR(__xludf.DUMMYFUNCTION("GOOGLETRANSLATE(A713, ""en"", ""fr"")"),"AFFIRMATION")</f>
        <v>AFFIRMATION</v>
      </c>
      <c r="C713" s="1" t="s">
        <v>192</v>
      </c>
      <c r="D713" s="1" t="s">
        <v>16612</v>
      </c>
      <c r="J713" s="1" t="s">
        <v>6</v>
      </c>
      <c r="S713" s="1" t="s">
        <v>15</v>
      </c>
      <c r="BK713" s="1" t="s">
        <v>59</v>
      </c>
      <c r="CH713" s="1" t="s">
        <v>82</v>
      </c>
      <c r="GD713" s="1" t="s">
        <v>193</v>
      </c>
      <c r="GE713" s="1" t="s">
        <v>190</v>
      </c>
    </row>
    <row r="714" spans="1:187" ht="11.25" customHeight="1">
      <c r="A714" s="1" t="s">
        <v>1188</v>
      </c>
      <c r="B714" s="1" t="str">
        <f ca="1">IFERROR(__xludf.DUMMYFUNCTION("GOOGLETRANSLATE(A714, ""en"", ""fr"")"),"ASSERTIF")</f>
        <v>ASSERTIF</v>
      </c>
      <c r="C714" s="1" t="s">
        <v>196</v>
      </c>
      <c r="DW714" s="1" t="s">
        <v>123</v>
      </c>
      <c r="ED714" s="1" t="s">
        <v>130</v>
      </c>
      <c r="GD714" s="1" t="s">
        <v>202</v>
      </c>
    </row>
    <row r="715" spans="1:187" ht="11.25" customHeight="1">
      <c r="A715" s="1" t="s">
        <v>1189</v>
      </c>
      <c r="B715" s="1" t="str">
        <f ca="1">IFERROR(__xludf.DUMMYFUNCTION("GOOGLETRANSLATE(A715, ""en"", ""fr"")"),"ÉVALUER")</f>
        <v>ÉVALUER</v>
      </c>
      <c r="C715" s="1" t="s">
        <v>196</v>
      </c>
      <c r="FH715" s="1" t="s">
        <v>160</v>
      </c>
      <c r="FI715" s="1" t="s">
        <v>161</v>
      </c>
      <c r="GD715" s="1" t="s">
        <v>189</v>
      </c>
    </row>
    <row r="716" spans="1:187" ht="11.25" customHeight="1">
      <c r="A716" s="1" t="s">
        <v>1190</v>
      </c>
      <c r="B716" s="1" t="str">
        <f ca="1">IFERROR(__xludf.DUMMYFUNCTION("GOOGLETRANSLATE(A716, ""en"", ""fr"")"),"ÉVALUATION")</f>
        <v>ÉVALUATION</v>
      </c>
      <c r="C716" s="1" t="s">
        <v>185</v>
      </c>
      <c r="AC716" s="1" t="s">
        <v>25</v>
      </c>
      <c r="BQ716" s="1" t="s">
        <v>65</v>
      </c>
      <c r="FH716" s="1" t="s">
        <v>160</v>
      </c>
      <c r="FI716" s="1" t="s">
        <v>161</v>
      </c>
      <c r="GD716" s="1" t="s">
        <v>193</v>
      </c>
      <c r="GE716" s="1" t="s">
        <v>190</v>
      </c>
    </row>
    <row r="717" spans="1:187" ht="11.25" customHeight="1">
      <c r="A717" s="1" t="s">
        <v>1191</v>
      </c>
      <c r="B717" s="1" t="str">
        <f ca="1">IFERROR(__xludf.DUMMYFUNCTION("GOOGLETRANSLATE(A717, ""en"", ""fr"")"),"ASSESSEUR")</f>
        <v>ASSESSEUR</v>
      </c>
      <c r="C717" s="1" t="s">
        <v>185</v>
      </c>
      <c r="K717" s="1" t="s">
        <v>7</v>
      </c>
      <c r="AC717" s="1" t="s">
        <v>25</v>
      </c>
      <c r="AJ717" s="1" t="s">
        <v>32</v>
      </c>
      <c r="AT717" s="1" t="s">
        <v>42</v>
      </c>
      <c r="ET717" s="1" t="s">
        <v>146</v>
      </c>
      <c r="EW717" s="1" t="s">
        <v>149</v>
      </c>
      <c r="GD717" s="1" t="s">
        <v>193</v>
      </c>
      <c r="GE717" s="1" t="s">
        <v>190</v>
      </c>
    </row>
    <row r="718" spans="1:187" ht="11.25" customHeight="1">
      <c r="A718" s="1" t="s">
        <v>1192</v>
      </c>
      <c r="B718" s="1" t="str">
        <f ca="1">IFERROR(__xludf.DUMMYFUNCTION("GOOGLETRANSLATE(A718, ""en"", ""fr"")"),"ACTIF")</f>
        <v>ACTIF</v>
      </c>
      <c r="C718" s="1" t="s">
        <v>185</v>
      </c>
      <c r="D718" s="1" t="s">
        <v>16612</v>
      </c>
      <c r="G718" s="1" t="s">
        <v>3</v>
      </c>
      <c r="J718" s="1" t="s">
        <v>6</v>
      </c>
      <c r="FQ718" s="1" t="s">
        <v>169</v>
      </c>
      <c r="GD718" s="1" t="s">
        <v>193</v>
      </c>
      <c r="GE718" s="1" t="s">
        <v>190</v>
      </c>
    </row>
    <row r="719" spans="1:187" ht="11.25" customHeight="1">
      <c r="A719" s="1" t="s">
        <v>1193</v>
      </c>
      <c r="B719" s="1" t="str">
        <f ca="1">IFERROR(__xludf.DUMMYFUNCTION("GOOGLETRANSLATE(A719, ""en"", ""fr"")"),"Attribution n ° 1")</f>
        <v>Attribution n ° 1</v>
      </c>
      <c r="C719" s="1" t="s">
        <v>185</v>
      </c>
      <c r="N719" s="1" t="s">
        <v>10</v>
      </c>
      <c r="BK719" s="1" t="s">
        <v>59</v>
      </c>
      <c r="EC719" s="1" t="s">
        <v>129</v>
      </c>
      <c r="ED719" s="1" t="s">
        <v>130</v>
      </c>
      <c r="GC719" s="1" t="s">
        <v>181</v>
      </c>
      <c r="GD719" s="1" t="s">
        <v>202</v>
      </c>
      <c r="GE719" s="1" t="s">
        <v>190</v>
      </c>
    </row>
    <row r="720" spans="1:187" ht="11.25" customHeight="1">
      <c r="A720" s="1" t="s">
        <v>1194</v>
      </c>
      <c r="B720" s="1" t="str">
        <f ca="1">IFERROR(__xludf.DUMMYFUNCTION("GOOGLETRANSLATE(A720, ""en"", ""fr"")"),"Attribution n ° 2")</f>
        <v>Attribution n ° 2</v>
      </c>
      <c r="C720" s="1" t="s">
        <v>185</v>
      </c>
      <c r="K720" s="1" t="s">
        <v>7</v>
      </c>
      <c r="N720" s="1" t="s">
        <v>10</v>
      </c>
      <c r="BK720" s="1" t="s">
        <v>59</v>
      </c>
      <c r="DO720" s="1" t="s">
        <v>115</v>
      </c>
      <c r="EC720" s="1" t="s">
        <v>129</v>
      </c>
      <c r="ED720" s="1" t="s">
        <v>130</v>
      </c>
      <c r="GD720" s="1" t="s">
        <v>189</v>
      </c>
      <c r="GE720" s="1" t="s">
        <v>190</v>
      </c>
    </row>
    <row r="721" spans="1:187" ht="11.25" customHeight="1">
      <c r="A721" s="1" t="s">
        <v>1195</v>
      </c>
      <c r="B721" s="1" t="str">
        <f ca="1">IFERROR(__xludf.DUMMYFUNCTION("GOOGLETRANSLATE(A721, ""en"", ""fr"")"),"AFFECTATION")</f>
        <v>AFFECTATION</v>
      </c>
      <c r="C721" s="1" t="s">
        <v>185</v>
      </c>
      <c r="N721" s="1" t="s">
        <v>10</v>
      </c>
      <c r="AD721" s="1" t="s">
        <v>26</v>
      </c>
      <c r="BK721" s="1" t="s">
        <v>59</v>
      </c>
      <c r="EC721" s="1" t="s">
        <v>129</v>
      </c>
      <c r="ED721" s="1" t="s">
        <v>130</v>
      </c>
      <c r="GD721" s="1" t="s">
        <v>193</v>
      </c>
      <c r="GE721" s="1" t="s">
        <v>190</v>
      </c>
    </row>
    <row r="722" spans="1:187" ht="11.25" customHeight="1">
      <c r="A722" s="1" t="s">
        <v>1196</v>
      </c>
      <c r="B722" s="1" t="str">
        <f ca="1">IFERROR(__xludf.DUMMYFUNCTION("GOOGLETRANSLATE(A722, ""en"", ""fr"")"),"ASSIMILER")</f>
        <v>ASSIMILER</v>
      </c>
      <c r="C722" s="1" t="s">
        <v>185</v>
      </c>
      <c r="O722" s="1" t="s">
        <v>11</v>
      </c>
      <c r="DD722" s="1" t="s">
        <v>104</v>
      </c>
      <c r="DN722" s="1" t="s">
        <v>114</v>
      </c>
      <c r="GD722" s="1" t="s">
        <v>189</v>
      </c>
      <c r="GE722" s="1" t="s">
        <v>190</v>
      </c>
    </row>
    <row r="723" spans="1:187" ht="11.25" customHeight="1">
      <c r="A723" s="1" t="s">
        <v>1197</v>
      </c>
      <c r="B723" s="1" t="str">
        <f ca="1">IFERROR(__xludf.DUMMYFUNCTION("GOOGLETRANSLATE(A723, ""en"", ""fr"")"),"Assist # 1")</f>
        <v>Assist # 1</v>
      </c>
      <c r="C723" s="1" t="s">
        <v>185</v>
      </c>
      <c r="D723" s="1" t="s">
        <v>16612</v>
      </c>
      <c r="F723" s="1" t="s">
        <v>2</v>
      </c>
      <c r="G723" s="1" t="s">
        <v>3</v>
      </c>
      <c r="J723" s="1" t="s">
        <v>6</v>
      </c>
      <c r="N723" s="1" t="s">
        <v>10</v>
      </c>
      <c r="U723" s="1" t="s">
        <v>17</v>
      </c>
      <c r="DS723" s="1" t="s">
        <v>119</v>
      </c>
      <c r="ED723" s="1" t="s">
        <v>130</v>
      </c>
      <c r="GD723" s="1" t="s">
        <v>193</v>
      </c>
      <c r="GE723" s="1" t="s">
        <v>190</v>
      </c>
    </row>
    <row r="724" spans="1:187" ht="11.25" customHeight="1">
      <c r="A724" s="1" t="s">
        <v>1198</v>
      </c>
      <c r="B724" s="1" t="str">
        <f ca="1">IFERROR(__xludf.DUMMYFUNCTION("GOOGLETRANSLATE(A724, ""en"", ""fr"")"),"Assist # 2")</f>
        <v>Assist # 2</v>
      </c>
      <c r="C724" s="1" t="s">
        <v>185</v>
      </c>
      <c r="D724" s="1" t="s">
        <v>16612</v>
      </c>
      <c r="F724" s="1" t="s">
        <v>2</v>
      </c>
      <c r="G724" s="1" t="s">
        <v>3</v>
      </c>
      <c r="J724" s="1" t="s">
        <v>6</v>
      </c>
      <c r="N724" s="1" t="s">
        <v>10</v>
      </c>
      <c r="AN724" s="1" t="s">
        <v>36</v>
      </c>
      <c r="DN724" s="1" t="s">
        <v>114</v>
      </c>
      <c r="DS724" s="1" t="s">
        <v>119</v>
      </c>
      <c r="ED724" s="1" t="s">
        <v>130</v>
      </c>
      <c r="GD724" s="1" t="s">
        <v>189</v>
      </c>
      <c r="GE724" s="1" t="s">
        <v>190</v>
      </c>
    </row>
    <row r="725" spans="1:187" ht="11.25" customHeight="1">
      <c r="A725" s="1" t="s">
        <v>1199</v>
      </c>
      <c r="B725" s="1" t="str">
        <f ca="1">IFERROR(__xludf.DUMMYFUNCTION("GOOGLETRANSLATE(A725, ""en"", ""fr"")"),"ASSISTANCE")</f>
        <v>ASSISTANCE</v>
      </c>
      <c r="C725" s="1" t="s">
        <v>185</v>
      </c>
      <c r="D725" s="1" t="s">
        <v>16612</v>
      </c>
      <c r="F725" s="1" t="s">
        <v>2</v>
      </c>
      <c r="G725" s="1" t="s">
        <v>3</v>
      </c>
      <c r="J725" s="1" t="s">
        <v>6</v>
      </c>
      <c r="N725" s="1" t="s">
        <v>10</v>
      </c>
      <c r="U725" s="1" t="s">
        <v>17</v>
      </c>
      <c r="DS725" s="1" t="s">
        <v>119</v>
      </c>
      <c r="ED725" s="1" t="s">
        <v>130</v>
      </c>
      <c r="GD725" s="1" t="s">
        <v>193</v>
      </c>
      <c r="GE725" s="1" t="s">
        <v>1200</v>
      </c>
    </row>
    <row r="726" spans="1:187" ht="11.25" customHeight="1">
      <c r="A726" s="1" t="s">
        <v>1201</v>
      </c>
      <c r="B726" s="1" t="str">
        <f ca="1">IFERROR(__xludf.DUMMYFUNCTION("GOOGLETRANSLATE(A726, ""en"", ""fr"")"),"ASSISTANT")</f>
        <v>ASSISTANT</v>
      </c>
      <c r="C726" s="1" t="s">
        <v>185</v>
      </c>
      <c r="D726" s="1" t="s">
        <v>16612</v>
      </c>
      <c r="F726" s="1" t="s">
        <v>2</v>
      </c>
      <c r="M726" s="1" t="s">
        <v>9</v>
      </c>
      <c r="N726" s="1" t="s">
        <v>10</v>
      </c>
      <c r="AJ726" s="1" t="s">
        <v>32</v>
      </c>
      <c r="AT726" s="1" t="s">
        <v>42</v>
      </c>
      <c r="GD726" s="1" t="s">
        <v>193</v>
      </c>
      <c r="GE726" s="1" t="s">
        <v>190</v>
      </c>
    </row>
    <row r="727" spans="1:187" ht="11.25" customHeight="1">
      <c r="A727" s="1" t="s">
        <v>1202</v>
      </c>
      <c r="B727" s="1" t="str">
        <f ca="1">IFERROR(__xludf.DUMMYFUNCTION("GOOGLETRANSLATE(A727, ""en"", ""fr"")"),"Associé n ° 1")</f>
        <v>Associé n ° 1</v>
      </c>
      <c r="C727" s="1" t="s">
        <v>185</v>
      </c>
      <c r="D727" s="1" t="s">
        <v>16612</v>
      </c>
      <c r="F727" s="1" t="s">
        <v>2</v>
      </c>
      <c r="N727" s="1" t="s">
        <v>10</v>
      </c>
      <c r="AA727" s="1" t="s">
        <v>23</v>
      </c>
      <c r="AC727" s="1" t="s">
        <v>25</v>
      </c>
      <c r="AJ727" s="1" t="s">
        <v>32</v>
      </c>
      <c r="AT727" s="1" t="s">
        <v>42</v>
      </c>
      <c r="DZ727" s="1" t="s">
        <v>126</v>
      </c>
      <c r="ED727" s="1" t="s">
        <v>130</v>
      </c>
      <c r="GD727" s="1" t="s">
        <v>193</v>
      </c>
      <c r="GE727" s="1" t="s">
        <v>1203</v>
      </c>
    </row>
    <row r="728" spans="1:187" ht="11.25" customHeight="1">
      <c r="A728" s="1" t="s">
        <v>1204</v>
      </c>
      <c r="B728" s="1" t="str">
        <f ca="1">IFERROR(__xludf.DUMMYFUNCTION("GOOGLETRANSLATE(A728, ""en"", ""fr"")"),"Associé n ° 2")</f>
        <v>Associé n ° 2</v>
      </c>
      <c r="C728" s="1" t="s">
        <v>185</v>
      </c>
      <c r="D728" s="1" t="s">
        <v>16612</v>
      </c>
      <c r="F728" s="1" t="s">
        <v>2</v>
      </c>
      <c r="N728" s="1" t="s">
        <v>10</v>
      </c>
      <c r="CO728" s="1" t="s">
        <v>89</v>
      </c>
      <c r="DN728" s="1" t="s">
        <v>114</v>
      </c>
      <c r="EO728" s="1" t="s">
        <v>141</v>
      </c>
      <c r="ES728" s="1" t="s">
        <v>145</v>
      </c>
      <c r="GD728" s="1" t="s">
        <v>189</v>
      </c>
      <c r="GE728" s="1" t="s">
        <v>1205</v>
      </c>
    </row>
    <row r="729" spans="1:187" ht="11.25" customHeight="1">
      <c r="A729" s="1" t="s">
        <v>1206</v>
      </c>
      <c r="B729" s="1" t="str">
        <f ca="1">IFERROR(__xludf.DUMMYFUNCTION("GOOGLETRANSLATE(A729, ""en"", ""fr"")"),"Associé n ° 3")</f>
        <v>Associé n ° 3</v>
      </c>
      <c r="C729" s="1" t="s">
        <v>185</v>
      </c>
      <c r="D729" s="1" t="s">
        <v>16612</v>
      </c>
      <c r="F729" s="1" t="s">
        <v>2</v>
      </c>
      <c r="O729" s="1" t="s">
        <v>11</v>
      </c>
      <c r="DD729" s="1" t="s">
        <v>104</v>
      </c>
      <c r="FH729" s="1" t="s">
        <v>160</v>
      </c>
      <c r="FI729" s="1" t="s">
        <v>161</v>
      </c>
      <c r="GD729" s="1" t="s">
        <v>202</v>
      </c>
      <c r="GE729" s="1" t="s">
        <v>1207</v>
      </c>
    </row>
    <row r="730" spans="1:187" ht="11.25" customHeight="1">
      <c r="A730" s="1" t="s">
        <v>1208</v>
      </c>
      <c r="B730" s="1" t="str">
        <f ca="1">IFERROR(__xludf.DUMMYFUNCTION("GOOGLETRANSLATE(A730, ""en"", ""fr"")"),"Association n ° 1")</f>
        <v>Association n ° 1</v>
      </c>
      <c r="C730" s="1" t="s">
        <v>185</v>
      </c>
      <c r="D730" s="1" t="s">
        <v>16612</v>
      </c>
      <c r="F730" s="1" t="s">
        <v>2</v>
      </c>
      <c r="G730" s="1" t="s">
        <v>3</v>
      </c>
      <c r="J730" s="1" t="s">
        <v>6</v>
      </c>
      <c r="N730" s="1" t="s">
        <v>10</v>
      </c>
      <c r="AK730" s="1" t="s">
        <v>33</v>
      </c>
      <c r="AT730" s="1" t="s">
        <v>42</v>
      </c>
      <c r="DZ730" s="1" t="s">
        <v>126</v>
      </c>
      <c r="ED730" s="1" t="s">
        <v>130</v>
      </c>
      <c r="GD730" s="1" t="s">
        <v>193</v>
      </c>
      <c r="GE730" s="1" t="s">
        <v>1209</v>
      </c>
    </row>
    <row r="731" spans="1:187" ht="11.25" customHeight="1">
      <c r="A731" s="1" t="s">
        <v>1210</v>
      </c>
      <c r="B731" s="1" t="str">
        <f ca="1">IFERROR(__xludf.DUMMYFUNCTION("GOOGLETRANSLATE(A731, ""en"", ""fr"")"),"Association n ° 2")</f>
        <v>Association n ° 2</v>
      </c>
      <c r="C731" s="1" t="s">
        <v>185</v>
      </c>
      <c r="D731" s="1" t="s">
        <v>16612</v>
      </c>
      <c r="F731" s="1" t="s">
        <v>2</v>
      </c>
      <c r="J731" s="1" t="s">
        <v>6</v>
      </c>
      <c r="CH731" s="1" t="s">
        <v>82</v>
      </c>
      <c r="FH731" s="1" t="s">
        <v>160</v>
      </c>
      <c r="FI731" s="1" t="s">
        <v>161</v>
      </c>
      <c r="GD731" s="1" t="s">
        <v>193</v>
      </c>
      <c r="GE731" s="1" t="s">
        <v>1211</v>
      </c>
    </row>
    <row r="732" spans="1:187" ht="11.25" customHeight="1">
      <c r="A732" s="1" t="s">
        <v>1212</v>
      </c>
      <c r="B732" s="1" t="str">
        <f ca="1">IFERROR(__xludf.DUMMYFUNCTION("GOOGLETRANSLATE(A732, ""en"", ""fr"")"),"Supposons # 1")</f>
        <v>Supposons # 1</v>
      </c>
      <c r="C732" s="1" t="s">
        <v>185</v>
      </c>
      <c r="K732" s="1" t="s">
        <v>7</v>
      </c>
      <c r="AN732" s="1" t="s">
        <v>36</v>
      </c>
      <c r="DN732" s="1" t="s">
        <v>114</v>
      </c>
      <c r="FR732" s="1" t="s">
        <v>170</v>
      </c>
      <c r="GD732" s="1" t="s">
        <v>189</v>
      </c>
      <c r="GE732" s="1" t="s">
        <v>1213</v>
      </c>
    </row>
    <row r="733" spans="1:187" ht="11.25" customHeight="1">
      <c r="A733" s="1" t="s">
        <v>1214</v>
      </c>
      <c r="B733" s="1" t="str">
        <f ca="1">IFERROR(__xludf.DUMMYFUNCTION("GOOGLETRANSLATE(A733, ""en"", ""fr"")"),"Assumer # 2")</f>
        <v>Assumer # 2</v>
      </c>
      <c r="C733" s="1" t="s">
        <v>185</v>
      </c>
      <c r="O733" s="1" t="s">
        <v>11</v>
      </c>
      <c r="CO733" s="1" t="s">
        <v>89</v>
      </c>
      <c r="DN733" s="1" t="s">
        <v>114</v>
      </c>
      <c r="FH733" s="1" t="s">
        <v>160</v>
      </c>
      <c r="FI733" s="1" t="s">
        <v>161</v>
      </c>
      <c r="GD733" s="1" t="s">
        <v>189</v>
      </c>
      <c r="GE733" s="1" t="s">
        <v>1215</v>
      </c>
    </row>
    <row r="734" spans="1:187" ht="11.25" customHeight="1">
      <c r="A734" s="1" t="s">
        <v>1216</v>
      </c>
      <c r="B734" s="1" t="str">
        <f ca="1">IFERROR(__xludf.DUMMYFUNCTION("GOOGLETRANSLATE(A734, ""en"", ""fr"")"),"HYPOTHÈSE")</f>
        <v>HYPOTHÈSE</v>
      </c>
      <c r="C734" s="1" t="s">
        <v>185</v>
      </c>
      <c r="O734" s="1" t="s">
        <v>11</v>
      </c>
      <c r="CH734" s="1" t="s">
        <v>82</v>
      </c>
      <c r="FH734" s="1" t="s">
        <v>160</v>
      </c>
      <c r="FI734" s="1" t="s">
        <v>161</v>
      </c>
      <c r="GD734" s="1" t="s">
        <v>193</v>
      </c>
      <c r="GE734" s="1" t="s">
        <v>190</v>
      </c>
    </row>
    <row r="735" spans="1:187" ht="11.25" customHeight="1">
      <c r="A735" s="1" t="s">
        <v>1217</v>
      </c>
      <c r="B735" s="1" t="str">
        <f ca="1">IFERROR(__xludf.DUMMYFUNCTION("GOOGLETRANSLATE(A735, ""en"", ""fr"")"),"ASSURANCE")</f>
        <v>ASSURANCE</v>
      </c>
      <c r="C735" s="1" t="s">
        <v>185</v>
      </c>
      <c r="D735" s="1" t="s">
        <v>16612</v>
      </c>
      <c r="F735" s="1" t="s">
        <v>2</v>
      </c>
      <c r="G735" s="1" t="s">
        <v>3</v>
      </c>
      <c r="J735" s="1" t="s">
        <v>6</v>
      </c>
      <c r="W735" s="1" t="s">
        <v>19</v>
      </c>
      <c r="BK735" s="1" t="s">
        <v>59</v>
      </c>
      <c r="BL735" s="1" t="s">
        <v>60</v>
      </c>
      <c r="FN735" s="1" t="s">
        <v>166</v>
      </c>
      <c r="GC735" s="1" t="s">
        <v>181</v>
      </c>
      <c r="GD735" s="1" t="s">
        <v>193</v>
      </c>
      <c r="GE735" s="1" t="s">
        <v>190</v>
      </c>
    </row>
    <row r="736" spans="1:187" ht="11.25" customHeight="1">
      <c r="A736" s="1" t="s">
        <v>1218</v>
      </c>
      <c r="B736" s="1" t="str">
        <f ca="1">IFERROR(__xludf.DUMMYFUNCTION("GOOGLETRANSLATE(A736, ""en"", ""fr"")"),"Assurer # 1")</f>
        <v>Assurer # 1</v>
      </c>
      <c r="C736" s="1" t="s">
        <v>185</v>
      </c>
      <c r="D736" s="1" t="s">
        <v>16612</v>
      </c>
      <c r="F736" s="1" t="s">
        <v>2</v>
      </c>
      <c r="J736" s="1" t="s">
        <v>6</v>
      </c>
      <c r="W736" s="1" t="s">
        <v>19</v>
      </c>
      <c r="BS736" s="1" t="s">
        <v>67</v>
      </c>
      <c r="DN736" s="1" t="s">
        <v>114</v>
      </c>
      <c r="FN736" s="1" t="s">
        <v>166</v>
      </c>
      <c r="GD736" s="1" t="s">
        <v>189</v>
      </c>
      <c r="GE736" s="1" t="s">
        <v>1219</v>
      </c>
    </row>
    <row r="737" spans="1:187" ht="11.25" customHeight="1">
      <c r="A737" s="1" t="s">
        <v>1220</v>
      </c>
      <c r="B737" s="1" t="str">
        <f ca="1">IFERROR(__xludf.DUMMYFUNCTION("GOOGLETRANSLATE(A737, ""en"", ""fr"")"),"Assurer # 2")</f>
        <v>Assurer # 2</v>
      </c>
      <c r="C737" s="1" t="s">
        <v>185</v>
      </c>
      <c r="D737" s="1" t="s">
        <v>16612</v>
      </c>
      <c r="F737" s="1" t="s">
        <v>2</v>
      </c>
      <c r="J737" s="1" t="s">
        <v>6</v>
      </c>
      <c r="K737" s="1" t="s">
        <v>7</v>
      </c>
      <c r="W737" s="1" t="s">
        <v>19</v>
      </c>
      <c r="BK737" s="1" t="s">
        <v>59</v>
      </c>
      <c r="DN737" s="1" t="s">
        <v>114</v>
      </c>
      <c r="FN737" s="1" t="s">
        <v>166</v>
      </c>
      <c r="GD737" s="1" t="s">
        <v>189</v>
      </c>
      <c r="GE737" s="1" t="s">
        <v>1221</v>
      </c>
    </row>
    <row r="738" spans="1:187" ht="11.25" customHeight="1">
      <c r="A738" s="1" t="s">
        <v>1222</v>
      </c>
      <c r="B738" s="1" t="str">
        <f ca="1">IFERROR(__xludf.DUMMYFUNCTION("GOOGLETRANSLATE(A738, ""en"", ""fr"")"),"Assurer # 3")</f>
        <v>Assurer # 3</v>
      </c>
      <c r="C738" s="1" t="s">
        <v>185</v>
      </c>
      <c r="D738" s="1" t="s">
        <v>16612</v>
      </c>
      <c r="F738" s="1" t="s">
        <v>2</v>
      </c>
      <c r="J738" s="1" t="s">
        <v>6</v>
      </c>
      <c r="K738" s="1" t="s">
        <v>7</v>
      </c>
      <c r="P738" s="1" t="s">
        <v>12</v>
      </c>
      <c r="T738" s="1" t="s">
        <v>16</v>
      </c>
      <c r="W738" s="1" t="s">
        <v>19</v>
      </c>
      <c r="FY738" s="1" t="s">
        <v>177</v>
      </c>
      <c r="GD738" s="1" t="s">
        <v>202</v>
      </c>
      <c r="GE738" s="1" t="s">
        <v>1223</v>
      </c>
    </row>
    <row r="739" spans="1:187" ht="11.25" customHeight="1">
      <c r="A739" s="1" t="s">
        <v>1224</v>
      </c>
      <c r="B739" s="1" t="str">
        <f ca="1">IFERROR(__xludf.DUMMYFUNCTION("GOOGLETRANSLATE(A739, ""en"", ""fr"")"),"ASSURÉMENT")</f>
        <v>ASSURÉMENT</v>
      </c>
      <c r="C739" s="1" t="s">
        <v>185</v>
      </c>
      <c r="D739" s="1" t="s">
        <v>16612</v>
      </c>
      <c r="F739" s="1" t="s">
        <v>2</v>
      </c>
      <c r="J739" s="1" t="s">
        <v>6</v>
      </c>
      <c r="K739" s="1" t="s">
        <v>7</v>
      </c>
      <c r="W739" s="1" t="s">
        <v>19</v>
      </c>
      <c r="FY739" s="1" t="s">
        <v>177</v>
      </c>
      <c r="GD739" s="1" t="s">
        <v>236</v>
      </c>
      <c r="GE739" s="1" t="s">
        <v>190</v>
      </c>
    </row>
    <row r="740" spans="1:187" ht="11.25" customHeight="1">
      <c r="A740" s="1" t="s">
        <v>1225</v>
      </c>
      <c r="B740" s="1" t="str">
        <f ca="1">IFERROR(__xludf.DUMMYFUNCTION("GOOGLETRANSLATE(A740, ""en"", ""fr"")"),"Assurance")</f>
        <v>Assurance</v>
      </c>
      <c r="C740" s="1" t="s">
        <v>185</v>
      </c>
      <c r="U740" s="1" t="s">
        <v>17</v>
      </c>
      <c r="W740" s="1" t="s">
        <v>19</v>
      </c>
      <c r="FY740" s="1" t="s">
        <v>177</v>
      </c>
      <c r="GD740" s="1" t="s">
        <v>193</v>
      </c>
      <c r="GE740" s="1" t="s">
        <v>190</v>
      </c>
    </row>
    <row r="741" spans="1:187" ht="11.25" customHeight="1">
      <c r="A741" s="1" t="s">
        <v>1226</v>
      </c>
      <c r="B741" s="1" t="str">
        <f ca="1">IFERROR(__xludf.DUMMYFUNCTION("GOOGLETRANSLATE(A741, ""en"", ""fr"")"),"Astonish # 1")</f>
        <v>Astonish # 1</v>
      </c>
      <c r="C741" s="1" t="s">
        <v>185</v>
      </c>
      <c r="S741" s="1" t="s">
        <v>15</v>
      </c>
      <c r="W741" s="1" t="s">
        <v>19</v>
      </c>
      <c r="GD741" s="1" t="s">
        <v>202</v>
      </c>
      <c r="GE741" s="1" t="s">
        <v>190</v>
      </c>
    </row>
    <row r="742" spans="1:187" ht="11.25" customHeight="1">
      <c r="A742" s="1" t="s">
        <v>1227</v>
      </c>
      <c r="B742" s="1" t="str">
        <f ca="1">IFERROR(__xludf.DUMMYFUNCTION("GOOGLETRANSLATE(A742, ""en"", ""fr"")"),"Astonish # 2")</f>
        <v>Astonish # 2</v>
      </c>
      <c r="C742" s="1" t="s">
        <v>185</v>
      </c>
      <c r="S742" s="1" t="s">
        <v>15</v>
      </c>
      <c r="W742" s="1" t="s">
        <v>19</v>
      </c>
      <c r="DN742" s="1" t="s">
        <v>114</v>
      </c>
      <c r="GD742" s="1" t="s">
        <v>189</v>
      </c>
      <c r="GE742" s="1" t="s">
        <v>190</v>
      </c>
    </row>
    <row r="743" spans="1:187" ht="11.25" customHeight="1">
      <c r="A743" s="1" t="s">
        <v>1228</v>
      </c>
      <c r="B743" s="1" t="str">
        <f ca="1">IFERROR(__xludf.DUMMYFUNCTION("GOOGLETRANSLATE(A743, ""en"", ""fr"")"),"ÉTONNER")</f>
        <v>ÉTONNER</v>
      </c>
      <c r="C743" s="1" t="s">
        <v>192</v>
      </c>
      <c r="D743" s="1" t="s">
        <v>16612</v>
      </c>
      <c r="J743" s="1" t="s">
        <v>6</v>
      </c>
      <c r="K743" s="1" t="s">
        <v>7</v>
      </c>
      <c r="N743" s="1" t="s">
        <v>10</v>
      </c>
      <c r="W743" s="1" t="s">
        <v>19</v>
      </c>
      <c r="DP743" s="1" t="s">
        <v>116</v>
      </c>
      <c r="GD743" s="1" t="s">
        <v>189</v>
      </c>
      <c r="GE743" s="1" t="s">
        <v>190</v>
      </c>
    </row>
    <row r="744" spans="1:187" ht="11.25" customHeight="1">
      <c r="A744" s="1" t="s">
        <v>1229</v>
      </c>
      <c r="B744" s="1" t="str">
        <f ca="1">IFERROR(__xludf.DUMMYFUNCTION("GOOGLETRANSLATE(A744, ""en"", ""fr"")"),"ÉGARÉ")</f>
        <v>ÉGARÉ</v>
      </c>
      <c r="C744" s="1" t="s">
        <v>192</v>
      </c>
      <c r="E744" s="1" t="s">
        <v>16613</v>
      </c>
      <c r="L744" s="1" t="s">
        <v>8</v>
      </c>
      <c r="O744" s="1" t="s">
        <v>11</v>
      </c>
      <c r="BT744" s="1" t="s">
        <v>68</v>
      </c>
      <c r="GD744" s="1" t="s">
        <v>202</v>
      </c>
      <c r="GE744" s="1" t="s">
        <v>190</v>
      </c>
    </row>
    <row r="745" spans="1:187" ht="11.25" customHeight="1">
      <c r="A745" s="1" t="s">
        <v>1230</v>
      </c>
      <c r="B745" s="1" t="str">
        <f ca="1">IFERROR(__xludf.DUMMYFUNCTION("GOOGLETRANSLATE(A745, ""en"", ""fr"")"),"ASTRONOMIQUE")</f>
        <v>ASTRONOMIQUE</v>
      </c>
      <c r="C745" s="1" t="s">
        <v>185</v>
      </c>
      <c r="W745" s="1" t="s">
        <v>19</v>
      </c>
      <c r="CS745" s="1" t="s">
        <v>93</v>
      </c>
      <c r="GD745" s="1" t="s">
        <v>202</v>
      </c>
      <c r="GE745" s="1" t="s">
        <v>190</v>
      </c>
    </row>
    <row r="746" spans="1:187" ht="11.25" customHeight="1">
      <c r="A746" s="1" t="s">
        <v>1231</v>
      </c>
      <c r="B746" s="1" t="str">
        <f ca="1">IFERROR(__xludf.DUMMYFUNCTION("GOOGLETRANSLATE(A746, ""en"", ""fr"")"),"ASTRONOMIE")</f>
        <v>ASTRONOMIE</v>
      </c>
      <c r="C746" s="1" t="s">
        <v>185</v>
      </c>
      <c r="Y746" s="1" t="s">
        <v>21</v>
      </c>
      <c r="Z746" s="1" t="s">
        <v>22</v>
      </c>
      <c r="GD746" s="1" t="s">
        <v>193</v>
      </c>
      <c r="GE746" s="1" t="s">
        <v>190</v>
      </c>
    </row>
    <row r="747" spans="1:187" ht="11.25" customHeight="1">
      <c r="A747" s="1" t="s">
        <v>1232</v>
      </c>
      <c r="B747" s="1" t="str">
        <f ca="1">IFERROR(__xludf.DUMMYFUNCTION("GOOGLETRANSLATE(A747, ""en"", ""fr"")"),"ASTUCIEUX")</f>
        <v>ASTUCIEUX</v>
      </c>
      <c r="C747" s="1" t="s">
        <v>192</v>
      </c>
      <c r="D747" s="1" t="s">
        <v>16612</v>
      </c>
      <c r="U747" s="1" t="s">
        <v>17</v>
      </c>
      <c r="CH747" s="1" t="s">
        <v>82</v>
      </c>
      <c r="DR747" s="1" t="s">
        <v>118</v>
      </c>
      <c r="GD747" s="1" t="s">
        <v>202</v>
      </c>
      <c r="GE747" s="1" t="s">
        <v>190</v>
      </c>
    </row>
    <row r="748" spans="1:187" ht="11.25" customHeight="1">
      <c r="A748" s="1" t="s">
        <v>1233</v>
      </c>
      <c r="B748" s="1" t="str">
        <f ca="1">IFERROR(__xludf.DUMMYFUNCTION("GOOGLETRANSLATE(A748, ""en"", ""fr"")"),"EN MORCEAUX")</f>
        <v>EN MORCEAUX</v>
      </c>
      <c r="C748" s="1" t="s">
        <v>192</v>
      </c>
      <c r="E748" s="1" t="s">
        <v>16613</v>
      </c>
      <c r="L748" s="1" t="s">
        <v>8</v>
      </c>
      <c r="O748" s="1" t="s">
        <v>11</v>
      </c>
      <c r="BT748" s="1" t="s">
        <v>68</v>
      </c>
      <c r="DR748" s="1" t="s">
        <v>118</v>
      </c>
      <c r="GD748" s="1" t="s">
        <v>202</v>
      </c>
      <c r="GE748" s="1" t="s">
        <v>190</v>
      </c>
    </row>
    <row r="749" spans="1:187" ht="11.25" customHeight="1">
      <c r="A749" s="1" t="s">
        <v>1234</v>
      </c>
      <c r="B749" s="1" t="str">
        <f ca="1">IFERROR(__xludf.DUMMYFUNCTION("GOOGLETRANSLATE(A749, ""en"", ""fr"")"),"À")</f>
        <v>À</v>
      </c>
      <c r="C749" s="1" t="s">
        <v>185</v>
      </c>
      <c r="GD749" s="1" t="s">
        <v>215</v>
      </c>
      <c r="GE749" s="1" t="s">
        <v>1235</v>
      </c>
    </row>
    <row r="750" spans="1:187" ht="11.25" customHeight="1">
      <c r="A750" s="1" t="s">
        <v>1236</v>
      </c>
      <c r="B750" s="1" t="str">
        <f ca="1">IFERROR(__xludf.DUMMYFUNCTION("GOOGLETRANSLATE(A750, ""en"", ""fr"")"),"A MANGÉ")</f>
        <v>A MANGÉ</v>
      </c>
      <c r="C750" s="1" t="s">
        <v>185</v>
      </c>
      <c r="N750" s="1" t="s">
        <v>10</v>
      </c>
      <c r="BU750" s="1" t="s">
        <v>69</v>
      </c>
      <c r="DO750" s="1" t="s">
        <v>115</v>
      </c>
      <c r="EZ750" s="1" t="s">
        <v>152</v>
      </c>
      <c r="FC750" s="1" t="s">
        <v>155</v>
      </c>
      <c r="GD750" s="1" t="s">
        <v>1076</v>
      </c>
      <c r="GE750" s="1" t="s">
        <v>1237</v>
      </c>
    </row>
    <row r="751" spans="1:187" ht="11.25" customHeight="1">
      <c r="A751" s="1" t="s">
        <v>1238</v>
      </c>
      <c r="B751" s="1" t="str">
        <f ca="1">IFERROR(__xludf.DUMMYFUNCTION("GOOGLETRANSLATE(A751, ""en"", ""fr"")"),"ATHLÉTIQUE")</f>
        <v>ATHLÉTIQUE</v>
      </c>
      <c r="C751" s="1" t="s">
        <v>185</v>
      </c>
      <c r="D751" s="1" t="s">
        <v>16612</v>
      </c>
      <c r="F751" s="1" t="s">
        <v>2</v>
      </c>
      <c r="J751" s="1" t="s">
        <v>6</v>
      </c>
      <c r="U751" s="1" t="s">
        <v>17</v>
      </c>
      <c r="AD751" s="1" t="s">
        <v>26</v>
      </c>
      <c r="GD751" s="1" t="s">
        <v>202</v>
      </c>
      <c r="GE751" s="1" t="s">
        <v>190</v>
      </c>
    </row>
    <row r="752" spans="1:187" ht="11.25" customHeight="1">
      <c r="A752" s="1" t="s">
        <v>1239</v>
      </c>
      <c r="B752" s="1" t="str">
        <f ca="1">IFERROR(__xludf.DUMMYFUNCTION("GOOGLETRANSLATE(A752, ""en"", ""fr"")"),"ATLANTIQUE")</f>
        <v>ATLANTIQUE</v>
      </c>
      <c r="C752" s="1" t="s">
        <v>185</v>
      </c>
      <c r="AC752" s="1" t="s">
        <v>25</v>
      </c>
      <c r="AH752" s="1" t="s">
        <v>30</v>
      </c>
      <c r="DI752" s="1" t="s">
        <v>109</v>
      </c>
      <c r="DV752" s="1" t="s">
        <v>122</v>
      </c>
      <c r="ED752" s="1" t="s">
        <v>130</v>
      </c>
      <c r="GD752" s="1" t="s">
        <v>193</v>
      </c>
      <c r="GE752" s="1" t="s">
        <v>190</v>
      </c>
    </row>
    <row r="753" spans="1:187" ht="11.25" customHeight="1">
      <c r="A753" s="1" t="s">
        <v>1240</v>
      </c>
      <c r="B753" s="1" t="str">
        <f ca="1">IFERROR(__xludf.DUMMYFUNCTION("GOOGLETRANSLATE(A753, ""en"", ""fr"")"),"Atlantique-Alliance")</f>
        <v>Atlantique-Alliance</v>
      </c>
      <c r="C753" s="1" t="s">
        <v>196</v>
      </c>
      <c r="GD753" s="1" t="s">
        <v>1241</v>
      </c>
    </row>
    <row r="754" spans="1:187" ht="11.25" customHeight="1">
      <c r="A754" s="1" t="s">
        <v>1242</v>
      </c>
      <c r="B754" s="1" t="str">
        <f ca="1">IFERROR(__xludf.DUMMYFUNCTION("GOOGLETRANSLATE(A754, ""en"", ""fr"")"),"Communautaire atlantique")</f>
        <v>Communautaire atlantique</v>
      </c>
      <c r="C754" s="1" t="s">
        <v>196</v>
      </c>
      <c r="GD754" s="1" t="s">
        <v>1241</v>
      </c>
    </row>
    <row r="755" spans="1:187" ht="11.25" customHeight="1">
      <c r="A755" s="1" t="s">
        <v>1243</v>
      </c>
      <c r="B755" s="1" t="str">
        <f ca="1">IFERROR(__xludf.DUMMYFUNCTION("GOOGLETRANSLATE(A755, ""en"", ""fr"")"),"Atlantique")</f>
        <v>Atlantique</v>
      </c>
      <c r="C755" s="1" t="s">
        <v>196</v>
      </c>
      <c r="GD755" s="1" t="s">
        <v>1241</v>
      </c>
    </row>
    <row r="756" spans="1:187" ht="11.25" customHeight="1">
      <c r="A756" s="1" t="s">
        <v>1244</v>
      </c>
      <c r="B756" s="1" t="str">
        <f ca="1">IFERROR(__xludf.DUMMYFUNCTION("GOOGLETRANSLATE(A756, ""en"", ""fr"")"),"ATLAS")</f>
        <v>ATLAS</v>
      </c>
      <c r="C756" s="1" t="s">
        <v>185</v>
      </c>
      <c r="BC756" s="1" t="s">
        <v>51</v>
      </c>
      <c r="BH756" s="1" t="s">
        <v>56</v>
      </c>
      <c r="BL756" s="1" t="s">
        <v>60</v>
      </c>
      <c r="GD756" s="1" t="s">
        <v>193</v>
      </c>
      <c r="GE756" s="1" t="s">
        <v>190</v>
      </c>
    </row>
    <row r="757" spans="1:187" ht="11.25" customHeight="1">
      <c r="A757" s="1" t="s">
        <v>1245</v>
      </c>
      <c r="B757" s="1" t="str">
        <f ca="1">IFERROR(__xludf.DUMMYFUNCTION("GOOGLETRANSLATE(A757, ""en"", ""fr"")"),"ATMOSPHÈRE")</f>
        <v>ATMOSPHÈRE</v>
      </c>
      <c r="C757" s="1" t="s">
        <v>185</v>
      </c>
      <c r="BB757" s="1" t="s">
        <v>50</v>
      </c>
      <c r="FS757" s="1" t="s">
        <v>171</v>
      </c>
      <c r="GD757" s="1" t="s">
        <v>193</v>
      </c>
      <c r="GE757" s="1" t="s">
        <v>1246</v>
      </c>
    </row>
    <row r="758" spans="1:187" ht="11.25" customHeight="1">
      <c r="A758" s="1" t="s">
        <v>1247</v>
      </c>
      <c r="B758" s="1" t="str">
        <f ca="1">IFERROR(__xludf.DUMMYFUNCTION("GOOGLETRANSLATE(A758, ""en"", ""fr"")"),"ATOME")</f>
        <v>ATOME</v>
      </c>
      <c r="C758" s="1" t="s">
        <v>185</v>
      </c>
      <c r="AC758" s="1" t="s">
        <v>25</v>
      </c>
      <c r="AH758" s="1" t="s">
        <v>30</v>
      </c>
      <c r="BC758" s="1" t="s">
        <v>51</v>
      </c>
      <c r="BI758" s="1" t="s">
        <v>57</v>
      </c>
      <c r="GD758" s="1" t="s">
        <v>193</v>
      </c>
      <c r="GE758" s="1" t="s">
        <v>190</v>
      </c>
    </row>
    <row r="759" spans="1:187" ht="11.25" customHeight="1">
      <c r="A759" s="1" t="s">
        <v>1248</v>
      </c>
      <c r="B759" s="1" t="str">
        <f ca="1">IFERROR(__xludf.DUMMYFUNCTION("GOOGLETRANSLATE(A759, ""en"", ""fr"")"),"ATOMIQUE")</f>
        <v>ATOMIQUE</v>
      </c>
      <c r="C759" s="1" t="s">
        <v>185</v>
      </c>
      <c r="J759" s="1" t="s">
        <v>6</v>
      </c>
      <c r="AC759" s="1" t="s">
        <v>25</v>
      </c>
      <c r="AH759" s="1" t="s">
        <v>30</v>
      </c>
      <c r="BC759" s="1" t="s">
        <v>51</v>
      </c>
      <c r="BI759" s="1" t="s">
        <v>57</v>
      </c>
      <c r="GD759" s="1" t="s">
        <v>202</v>
      </c>
      <c r="GE759" s="1" t="s">
        <v>190</v>
      </c>
    </row>
    <row r="760" spans="1:187" ht="11.25" customHeight="1">
      <c r="A760" s="1" t="s">
        <v>1249</v>
      </c>
      <c r="B760" s="1" t="str">
        <f ca="1">IFERROR(__xludf.DUMMYFUNCTION("GOOGLETRANSLATE(A760, ""en"", ""fr"")"),"UN HAUT")</f>
        <v>UN HAUT</v>
      </c>
      <c r="C760" s="1" t="s">
        <v>185</v>
      </c>
      <c r="DA760" s="1" t="s">
        <v>101</v>
      </c>
      <c r="GB760" s="1" t="s">
        <v>180</v>
      </c>
      <c r="GD760" s="1" t="s">
        <v>215</v>
      </c>
      <c r="GE760" s="1" t="s">
        <v>190</v>
      </c>
    </row>
    <row r="761" spans="1:187" ht="11.25" customHeight="1">
      <c r="A761" s="1" t="s">
        <v>1250</v>
      </c>
      <c r="B761" s="1" t="str">
        <f ca="1">IFERROR(__xludf.DUMMYFUNCTION("GOOGLETRANSLATE(A761, ""en"", ""fr"")"),"ATROCE")</f>
        <v>ATROCE</v>
      </c>
      <c r="C761" s="1" t="s">
        <v>185</v>
      </c>
      <c r="E761" s="1" t="s">
        <v>16613</v>
      </c>
      <c r="H761" s="1" t="s">
        <v>4</v>
      </c>
      <c r="V761" s="1" t="s">
        <v>18</v>
      </c>
      <c r="W761" s="1" t="s">
        <v>19</v>
      </c>
      <c r="CM761" s="1" t="s">
        <v>87</v>
      </c>
      <c r="DR761" s="1" t="s">
        <v>118</v>
      </c>
      <c r="FW761" s="1" t="s">
        <v>175</v>
      </c>
      <c r="GD761" s="1" t="s">
        <v>1251</v>
      </c>
      <c r="GE761" s="1" t="s">
        <v>190</v>
      </c>
    </row>
    <row r="762" spans="1:187" ht="11.25" customHeight="1">
      <c r="A762" s="1" t="s">
        <v>1252</v>
      </c>
      <c r="B762" s="1" t="str">
        <f ca="1">IFERROR(__xludf.DUMMYFUNCTION("GOOGLETRANSLATE(A762, ""en"", ""fr"")"),"ATROPHIE")</f>
        <v>ATROPHIE</v>
      </c>
      <c r="C762" s="1" t="s">
        <v>185</v>
      </c>
      <c r="E762" s="1" t="s">
        <v>16613</v>
      </c>
      <c r="H762" s="1" t="s">
        <v>4</v>
      </c>
      <c r="L762" s="1" t="s">
        <v>8</v>
      </c>
      <c r="O762" s="1" t="s">
        <v>11</v>
      </c>
      <c r="BY762" s="1" t="s">
        <v>73</v>
      </c>
      <c r="DN762" s="1" t="s">
        <v>114</v>
      </c>
      <c r="FO762" s="1" t="s">
        <v>167</v>
      </c>
      <c r="GD762" s="1" t="s">
        <v>189</v>
      </c>
      <c r="GE762" s="1" t="s">
        <v>190</v>
      </c>
    </row>
    <row r="763" spans="1:187" ht="11.25" customHeight="1">
      <c r="A763" s="1" t="s">
        <v>1253</v>
      </c>
      <c r="B763" s="1" t="str">
        <f ca="1">IFERROR(__xludf.DUMMYFUNCTION("GOOGLETRANSLATE(A763, ""en"", ""fr"")"),"ATTACHER")</f>
        <v>ATTACHER</v>
      </c>
      <c r="C763" s="1" t="s">
        <v>185</v>
      </c>
      <c r="N763" s="1" t="s">
        <v>10</v>
      </c>
      <c r="AL763" s="1" t="s">
        <v>34</v>
      </c>
      <c r="DO763" s="1" t="s">
        <v>115</v>
      </c>
      <c r="GD763" s="1" t="s">
        <v>189</v>
      </c>
      <c r="GE763" s="1" t="s">
        <v>190</v>
      </c>
    </row>
    <row r="764" spans="1:187" ht="11.25" customHeight="1">
      <c r="A764" s="1" t="s">
        <v>1254</v>
      </c>
      <c r="B764" s="1" t="str">
        <f ca="1">IFERROR(__xludf.DUMMYFUNCTION("GOOGLETRANSLATE(A764, ""en"", ""fr"")"),"PIÈCE JOINTE")</f>
        <v>PIÈCE JOINTE</v>
      </c>
      <c r="C764" s="1" t="s">
        <v>185</v>
      </c>
      <c r="D764" s="1" t="s">
        <v>16612</v>
      </c>
      <c r="G764" s="1" t="s">
        <v>3</v>
      </c>
      <c r="P764" s="1" t="s">
        <v>12</v>
      </c>
      <c r="T764" s="1" t="s">
        <v>16</v>
      </c>
      <c r="AN764" s="1" t="s">
        <v>36</v>
      </c>
      <c r="FX764" s="1" t="s">
        <v>176</v>
      </c>
      <c r="GD764" s="1" t="s">
        <v>193</v>
      </c>
      <c r="GE764" s="1" t="s">
        <v>190</v>
      </c>
    </row>
    <row r="765" spans="1:187" ht="11.25" customHeight="1">
      <c r="A765" s="1" t="s">
        <v>1255</v>
      </c>
      <c r="B765" s="1" t="str">
        <f ca="1">IFERROR(__xludf.DUMMYFUNCTION("GOOGLETRANSLATE(A765, ""en"", ""fr"")"),"Attaque n ° 1")</f>
        <v>Attaque n ° 1</v>
      </c>
      <c r="C765" s="1" t="s">
        <v>185</v>
      </c>
      <c r="E765" s="1" t="s">
        <v>16613</v>
      </c>
      <c r="H765" s="1" t="s">
        <v>4</v>
      </c>
      <c r="I765" s="1" t="s">
        <v>5</v>
      </c>
      <c r="J765" s="1" t="s">
        <v>6</v>
      </c>
      <c r="N765" s="1" t="s">
        <v>10</v>
      </c>
      <c r="V765" s="1" t="s">
        <v>18</v>
      </c>
      <c r="AH765" s="1" t="s">
        <v>30</v>
      </c>
      <c r="DT765" s="1" t="s">
        <v>120</v>
      </c>
      <c r="ED765" s="1" t="s">
        <v>130</v>
      </c>
      <c r="GD765" s="1" t="s">
        <v>193</v>
      </c>
      <c r="GE765" s="1" t="s">
        <v>1256</v>
      </c>
    </row>
    <row r="766" spans="1:187" ht="11.25" customHeight="1">
      <c r="A766" s="1" t="s">
        <v>1257</v>
      </c>
      <c r="B766" s="1" t="str">
        <f ca="1">IFERROR(__xludf.DUMMYFUNCTION("GOOGLETRANSLATE(A766, ""en"", ""fr"")"),"Attaque n ° 2")</f>
        <v>Attaque n ° 2</v>
      </c>
      <c r="C766" s="1" t="s">
        <v>185</v>
      </c>
      <c r="E766" s="1" t="s">
        <v>16613</v>
      </c>
      <c r="H766" s="1" t="s">
        <v>4</v>
      </c>
      <c r="I766" s="1" t="s">
        <v>5</v>
      </c>
      <c r="J766" s="1" t="s">
        <v>6</v>
      </c>
      <c r="N766" s="1" t="s">
        <v>10</v>
      </c>
      <c r="AN766" s="1" t="s">
        <v>36</v>
      </c>
      <c r="DN766" s="1" t="s">
        <v>114</v>
      </c>
      <c r="DT766" s="1" t="s">
        <v>120</v>
      </c>
      <c r="ED766" s="1" t="s">
        <v>130</v>
      </c>
      <c r="GD766" s="1" t="s">
        <v>189</v>
      </c>
      <c r="GE766" s="1" t="s">
        <v>1258</v>
      </c>
    </row>
    <row r="767" spans="1:187" ht="11.25" customHeight="1">
      <c r="A767" s="1" t="s">
        <v>1259</v>
      </c>
      <c r="B767" s="1" t="str">
        <f ca="1">IFERROR(__xludf.DUMMYFUNCTION("GOOGLETRANSLATE(A767, ""en"", ""fr"")"),"Attaque n ° 3")</f>
        <v>Attaque n ° 3</v>
      </c>
      <c r="C767" s="1" t="s">
        <v>185</v>
      </c>
      <c r="E767" s="1" t="s">
        <v>16613</v>
      </c>
      <c r="H767" s="1" t="s">
        <v>4</v>
      </c>
      <c r="I767" s="1" t="s">
        <v>5</v>
      </c>
      <c r="V767" s="1" t="s">
        <v>18</v>
      </c>
      <c r="EY767" s="1" t="s">
        <v>151</v>
      </c>
      <c r="FC767" s="1" t="s">
        <v>155</v>
      </c>
      <c r="GD767" s="1" t="s">
        <v>193</v>
      </c>
      <c r="GE767" s="1" t="s">
        <v>1260</v>
      </c>
    </row>
    <row r="768" spans="1:187" ht="11.25" customHeight="1">
      <c r="A768" s="1" t="s">
        <v>1261</v>
      </c>
      <c r="B768" s="1" t="str">
        <f ca="1">IFERROR(__xludf.DUMMYFUNCTION("GOOGLETRANSLATE(A768, ""en"", ""fr"")"),"ATTAQUANT")</f>
        <v>ATTAQUANT</v>
      </c>
      <c r="C768" s="1" t="s">
        <v>185</v>
      </c>
      <c r="I768" s="1" t="s">
        <v>5</v>
      </c>
      <c r="AJ768" s="1" t="s">
        <v>32</v>
      </c>
      <c r="AT768" s="1" t="s">
        <v>42</v>
      </c>
      <c r="DZ768" s="1" t="s">
        <v>126</v>
      </c>
      <c r="ED768" s="1" t="s">
        <v>130</v>
      </c>
      <c r="GD768" s="1" t="s">
        <v>193</v>
      </c>
      <c r="GE768" s="1" t="s">
        <v>190</v>
      </c>
    </row>
    <row r="769" spans="1:187" ht="11.25" customHeight="1">
      <c r="A769" s="1" t="s">
        <v>1262</v>
      </c>
      <c r="B769" s="1" t="str">
        <f ca="1">IFERROR(__xludf.DUMMYFUNCTION("GOOGLETRANSLATE(A769, ""en"", ""fr"")"),"ATTEINDRE")</f>
        <v>ATTEINDRE</v>
      </c>
      <c r="C769" s="1" t="s">
        <v>185</v>
      </c>
      <c r="D769" s="1" t="s">
        <v>16612</v>
      </c>
      <c r="F769" s="1" t="s">
        <v>2</v>
      </c>
      <c r="J769" s="1" t="s">
        <v>6</v>
      </c>
      <c r="N769" s="1" t="s">
        <v>10</v>
      </c>
      <c r="BS769" s="1" t="s">
        <v>67</v>
      </c>
      <c r="DN769" s="1" t="s">
        <v>114</v>
      </c>
      <c r="FR769" s="1" t="s">
        <v>170</v>
      </c>
      <c r="GD769" s="1" t="s">
        <v>189</v>
      </c>
      <c r="GE769" s="1" t="s">
        <v>190</v>
      </c>
    </row>
    <row r="770" spans="1:187" ht="11.25" customHeight="1">
      <c r="A770" s="1" t="s">
        <v>1263</v>
      </c>
      <c r="B770" s="1" t="str">
        <f ca="1">IFERROR(__xludf.DUMMYFUNCTION("GOOGLETRANSLATE(A770, ""en"", ""fr"")"),"RÉALISABLE")</f>
        <v>RÉALISABLE</v>
      </c>
      <c r="C770" s="1" t="s">
        <v>196</v>
      </c>
      <c r="FR770" s="1" t="s">
        <v>170</v>
      </c>
      <c r="GD770" s="1" t="s">
        <v>202</v>
      </c>
    </row>
    <row r="771" spans="1:187" ht="11.25" customHeight="1">
      <c r="A771" s="1" t="s">
        <v>1264</v>
      </c>
      <c r="B771" s="1" t="str">
        <f ca="1">IFERROR(__xludf.DUMMYFUNCTION("GOOGLETRANSLATE(A771, ""en"", ""fr"")"),"RÉALISATION")</f>
        <v>RÉALISATION</v>
      </c>
      <c r="C771" s="1" t="s">
        <v>185</v>
      </c>
      <c r="D771" s="1" t="s">
        <v>16612</v>
      </c>
      <c r="F771" s="1" t="s">
        <v>2</v>
      </c>
      <c r="J771" s="1" t="s">
        <v>6</v>
      </c>
      <c r="N771" s="1" t="s">
        <v>10</v>
      </c>
      <c r="BS771" s="1" t="s">
        <v>67</v>
      </c>
      <c r="FR771" s="1" t="s">
        <v>170</v>
      </c>
      <c r="GD771" s="1" t="s">
        <v>193</v>
      </c>
      <c r="GE771" s="1" t="s">
        <v>190</v>
      </c>
    </row>
    <row r="772" spans="1:187" ht="11.25" customHeight="1">
      <c r="A772" s="1" t="s">
        <v>1265</v>
      </c>
      <c r="B772" s="1" t="str">
        <f ca="1">IFERROR(__xludf.DUMMYFUNCTION("GOOGLETRANSLATE(A772, ""en"", ""fr"")"),"Tentative n ° 1")</f>
        <v>Tentative n ° 1</v>
      </c>
      <c r="C772" s="1" t="s">
        <v>185</v>
      </c>
      <c r="N772" s="1" t="s">
        <v>10</v>
      </c>
      <c r="BP772" s="1" t="s">
        <v>64</v>
      </c>
      <c r="DN772" s="1" t="s">
        <v>114</v>
      </c>
      <c r="FR772" s="1" t="s">
        <v>170</v>
      </c>
      <c r="GD772" s="1" t="s">
        <v>189</v>
      </c>
      <c r="GE772" s="1" t="s">
        <v>1266</v>
      </c>
    </row>
    <row r="773" spans="1:187" ht="11.25" customHeight="1">
      <c r="A773" s="1" t="s">
        <v>1267</v>
      </c>
      <c r="B773" s="1" t="str">
        <f ca="1">IFERROR(__xludf.DUMMYFUNCTION("GOOGLETRANSLATE(A773, ""en"", ""fr"")"),"Tentative n ° 2")</f>
        <v>Tentative n ° 2</v>
      </c>
      <c r="C773" s="1" t="s">
        <v>185</v>
      </c>
      <c r="N773" s="1" t="s">
        <v>10</v>
      </c>
      <c r="BQ773" s="1" t="s">
        <v>65</v>
      </c>
      <c r="FR773" s="1" t="s">
        <v>170</v>
      </c>
      <c r="GD773" s="1" t="s">
        <v>193</v>
      </c>
      <c r="GE773" s="1" t="s">
        <v>1268</v>
      </c>
    </row>
    <row r="774" spans="1:187" ht="11.25" customHeight="1">
      <c r="A774" s="1" t="s">
        <v>1269</v>
      </c>
      <c r="B774" s="1" t="str">
        <f ca="1">IFERROR(__xludf.DUMMYFUNCTION("GOOGLETRANSLATE(A774, ""en"", ""fr"")"),"Tentative n ° 3")</f>
        <v>Tentative n ° 3</v>
      </c>
      <c r="C774" s="1" t="s">
        <v>185</v>
      </c>
      <c r="BQ774" s="1" t="s">
        <v>65</v>
      </c>
      <c r="FR774" s="1" t="s">
        <v>170</v>
      </c>
      <c r="GD774" s="1" t="s">
        <v>202</v>
      </c>
      <c r="GE774" s="1" t="s">
        <v>1270</v>
      </c>
    </row>
    <row r="775" spans="1:187" ht="11.25" customHeight="1">
      <c r="A775" s="1" t="s">
        <v>1271</v>
      </c>
      <c r="B775" s="1" t="str">
        <f ca="1">IFERROR(__xludf.DUMMYFUNCTION("GOOGLETRANSLATE(A775, ""en"", ""fr"")"),"Assister au n ° 1")</f>
        <v>Assister au n ° 1</v>
      </c>
      <c r="C775" s="1" t="s">
        <v>185</v>
      </c>
      <c r="D775" s="1" t="s">
        <v>16612</v>
      </c>
      <c r="F775" s="1" t="s">
        <v>2</v>
      </c>
      <c r="M775" s="1" t="s">
        <v>9</v>
      </c>
      <c r="CE775" s="1" t="s">
        <v>79</v>
      </c>
      <c r="DN775" s="1" t="s">
        <v>114</v>
      </c>
      <c r="FH775" s="1" t="s">
        <v>160</v>
      </c>
      <c r="FI775" s="1" t="s">
        <v>161</v>
      </c>
      <c r="GD775" s="1" t="s">
        <v>400</v>
      </c>
      <c r="GE775" s="1" t="s">
        <v>1272</v>
      </c>
    </row>
    <row r="776" spans="1:187" ht="11.25" customHeight="1">
      <c r="A776" s="1" t="s">
        <v>1273</v>
      </c>
      <c r="B776" s="1" t="str">
        <f ca="1">IFERROR(__xludf.DUMMYFUNCTION("GOOGLETRANSLATE(A776, ""en"", ""fr"")"),"Assister au n ° 2")</f>
        <v>Assister au n ° 2</v>
      </c>
      <c r="C776" s="1" t="s">
        <v>185</v>
      </c>
      <c r="N776" s="1" t="s">
        <v>10</v>
      </c>
      <c r="AL776" s="1" t="s">
        <v>34</v>
      </c>
      <c r="DN776" s="1" t="s">
        <v>114</v>
      </c>
      <c r="EX776" s="1" t="s">
        <v>150</v>
      </c>
      <c r="FC776" s="1" t="s">
        <v>155</v>
      </c>
      <c r="GD776" s="1" t="s">
        <v>189</v>
      </c>
      <c r="GE776" s="1" t="s">
        <v>1274</v>
      </c>
    </row>
    <row r="777" spans="1:187" ht="11.25" customHeight="1">
      <c r="A777" s="1" t="s">
        <v>1275</v>
      </c>
      <c r="B777" s="1" t="str">
        <f ca="1">IFERROR(__xludf.DUMMYFUNCTION("GOOGLETRANSLATE(A777, ""en"", ""fr"")"),"PRÉSENCE")</f>
        <v>PRÉSENCE</v>
      </c>
      <c r="C777" s="1" t="s">
        <v>185</v>
      </c>
      <c r="D777" s="1" t="s">
        <v>16612</v>
      </c>
      <c r="N777" s="1" t="s">
        <v>10</v>
      </c>
      <c r="CA777" s="1" t="s">
        <v>75</v>
      </c>
      <c r="GD777" s="1" t="s">
        <v>193</v>
      </c>
      <c r="GE777" s="1" t="s">
        <v>190</v>
      </c>
    </row>
    <row r="778" spans="1:187" ht="11.25" customHeight="1">
      <c r="A778" s="1" t="s">
        <v>1276</v>
      </c>
      <c r="B778" s="1" t="str">
        <f ca="1">IFERROR(__xludf.DUMMYFUNCTION("GOOGLETRANSLATE(A778, ""en"", ""fr"")"),"PRÉPOSÉ")</f>
        <v>PRÉPOSÉ</v>
      </c>
      <c r="C778" s="1" t="s">
        <v>185</v>
      </c>
      <c r="M778" s="1" t="s">
        <v>9</v>
      </c>
      <c r="N778" s="1" t="s">
        <v>10</v>
      </c>
      <c r="AJ778" s="1" t="s">
        <v>32</v>
      </c>
      <c r="AT778" s="1" t="s">
        <v>42</v>
      </c>
      <c r="FT778" s="1" t="s">
        <v>172</v>
      </c>
      <c r="GD778" s="1" t="s">
        <v>193</v>
      </c>
      <c r="GE778" s="1" t="s">
        <v>190</v>
      </c>
    </row>
    <row r="779" spans="1:187" ht="11.25" customHeight="1">
      <c r="A779" s="1" t="s">
        <v>1277</v>
      </c>
      <c r="B779" s="1" t="str">
        <f ca="1">IFERROR(__xludf.DUMMYFUNCTION("GOOGLETRANSLATE(A779, ""en"", ""fr"")"),"ATTENTION")</f>
        <v>ATTENTION</v>
      </c>
      <c r="C779" s="1" t="s">
        <v>185</v>
      </c>
      <c r="M779" s="1" t="s">
        <v>9</v>
      </c>
      <c r="O779" s="1" t="s">
        <v>11</v>
      </c>
      <c r="CK779" s="1" t="s">
        <v>85</v>
      </c>
      <c r="GD779" s="1" t="s">
        <v>193</v>
      </c>
      <c r="GE779" s="1" t="s">
        <v>1278</v>
      </c>
    </row>
    <row r="780" spans="1:187" ht="11.25" customHeight="1">
      <c r="A780" s="1" t="s">
        <v>1279</v>
      </c>
      <c r="B780" s="1" t="str">
        <f ca="1">IFERROR(__xludf.DUMMYFUNCTION("GOOGLETRANSLATE(A780, ""en"", ""fr"")"),"ATTENTIF")</f>
        <v>ATTENTIF</v>
      </c>
      <c r="C780" s="1" t="s">
        <v>185</v>
      </c>
      <c r="D780" s="1" t="s">
        <v>16612</v>
      </c>
      <c r="F780" s="1" t="s">
        <v>2</v>
      </c>
      <c r="M780" s="1" t="s">
        <v>9</v>
      </c>
      <c r="O780" s="1" t="s">
        <v>11</v>
      </c>
      <c r="CK780" s="1" t="s">
        <v>85</v>
      </c>
      <c r="GD780" s="1" t="s">
        <v>202</v>
      </c>
      <c r="GE780" s="1" t="s">
        <v>190</v>
      </c>
    </row>
    <row r="781" spans="1:187" ht="11.25" customHeight="1">
      <c r="A781" s="1" t="s">
        <v>1280</v>
      </c>
      <c r="B781" s="1" t="str">
        <f ca="1">IFERROR(__xludf.DUMMYFUNCTION("GOOGLETRANSLATE(A781, ""en"", ""fr"")"),"ATTESTER")</f>
        <v>ATTESTER</v>
      </c>
      <c r="C781" s="1" t="s">
        <v>185</v>
      </c>
      <c r="M781" s="1" t="s">
        <v>9</v>
      </c>
      <c r="O781" s="1" t="s">
        <v>11</v>
      </c>
      <c r="BK781" s="1" t="s">
        <v>59</v>
      </c>
      <c r="DN781" s="1" t="s">
        <v>114</v>
      </c>
      <c r="FD781" s="1" t="s">
        <v>156</v>
      </c>
      <c r="FI781" s="1" t="s">
        <v>161</v>
      </c>
      <c r="GD781" s="1" t="s">
        <v>189</v>
      </c>
      <c r="GE781" s="1" t="s">
        <v>190</v>
      </c>
    </row>
    <row r="782" spans="1:187" ht="11.25" customHeight="1">
      <c r="A782" s="1" t="s">
        <v>1281</v>
      </c>
      <c r="B782" s="1" t="str">
        <f ca="1">IFERROR(__xludf.DUMMYFUNCTION("GOOGLETRANSLATE(A782, ""en"", ""fr"")"),"GRENIER")</f>
        <v>GRENIER</v>
      </c>
      <c r="C782" s="1" t="s">
        <v>185</v>
      </c>
      <c r="BC782" s="1" t="s">
        <v>51</v>
      </c>
      <c r="BG782" s="1" t="s">
        <v>55</v>
      </c>
      <c r="GD782" s="1" t="s">
        <v>193</v>
      </c>
      <c r="GE782" s="1" t="s">
        <v>190</v>
      </c>
    </row>
    <row r="783" spans="1:187" ht="11.25" customHeight="1">
      <c r="A783" s="1" t="s">
        <v>1282</v>
      </c>
      <c r="B783" s="1" t="str">
        <f ca="1">IFERROR(__xludf.DUMMYFUNCTION("GOOGLETRANSLATE(A783, ""en"", ""fr"")"),"ATTITUDE")</f>
        <v>ATTITUDE</v>
      </c>
      <c r="C783" s="1" t="s">
        <v>185</v>
      </c>
      <c r="S783" s="1" t="s">
        <v>15</v>
      </c>
      <c r="T783" s="1" t="s">
        <v>16</v>
      </c>
      <c r="FH783" s="1" t="s">
        <v>160</v>
      </c>
      <c r="FI783" s="1" t="s">
        <v>161</v>
      </c>
      <c r="GD783" s="1" t="s">
        <v>193</v>
      </c>
      <c r="GE783" s="1" t="s">
        <v>1283</v>
      </c>
    </row>
    <row r="784" spans="1:187" ht="11.25" customHeight="1">
      <c r="A784" s="1" t="s">
        <v>1284</v>
      </c>
      <c r="B784" s="1" t="str">
        <f ca="1">IFERROR(__xludf.DUMMYFUNCTION("GOOGLETRANSLATE(A784, ""en"", ""fr"")"),"AVOCAT")</f>
        <v>AVOCAT</v>
      </c>
      <c r="C784" s="1" t="s">
        <v>185</v>
      </c>
      <c r="K784" s="1" t="s">
        <v>7</v>
      </c>
      <c r="AC784" s="1" t="s">
        <v>25</v>
      </c>
      <c r="AE784" s="1" t="s">
        <v>27</v>
      </c>
      <c r="AH784" s="1" t="s">
        <v>30</v>
      </c>
      <c r="AJ784" s="1" t="s">
        <v>32</v>
      </c>
      <c r="AT784" s="1" t="s">
        <v>42</v>
      </c>
      <c r="DY784" s="1" t="s">
        <v>125</v>
      </c>
      <c r="ED784" s="1" t="s">
        <v>130</v>
      </c>
      <c r="GD784" s="1" t="s">
        <v>193</v>
      </c>
      <c r="GE784" s="1" t="s">
        <v>190</v>
      </c>
    </row>
    <row r="785" spans="1:187" ht="11.25" customHeight="1">
      <c r="A785" s="1" t="s">
        <v>1285</v>
      </c>
      <c r="B785" s="1" t="str">
        <f ca="1">IFERROR(__xludf.DUMMYFUNCTION("GOOGLETRANSLATE(A785, ""en"", ""fr"")"),"ATTIRER")</f>
        <v>ATTIRER</v>
      </c>
      <c r="C785" s="1" t="s">
        <v>185</v>
      </c>
      <c r="D785" s="1" t="s">
        <v>16612</v>
      </c>
      <c r="F785" s="1" t="s">
        <v>2</v>
      </c>
      <c r="G785" s="1" t="s">
        <v>3</v>
      </c>
      <c r="J785" s="1" t="s">
        <v>6</v>
      </c>
      <c r="AN785" s="1" t="s">
        <v>36</v>
      </c>
      <c r="DN785" s="1" t="s">
        <v>114</v>
      </c>
      <c r="GD785" s="1" t="s">
        <v>189</v>
      </c>
      <c r="GE785" s="1" t="s">
        <v>190</v>
      </c>
    </row>
    <row r="786" spans="1:187" ht="11.25" customHeight="1">
      <c r="A786" s="1" t="s">
        <v>1286</v>
      </c>
      <c r="B786" s="1" t="str">
        <f ca="1">IFERROR(__xludf.DUMMYFUNCTION("GOOGLETRANSLATE(A786, ""en"", ""fr"")"),"ATTIRANCE")</f>
        <v>ATTIRANCE</v>
      </c>
      <c r="C786" s="1" t="s">
        <v>185</v>
      </c>
      <c r="D786" s="1" t="s">
        <v>16612</v>
      </c>
      <c r="F786" s="1" t="s">
        <v>2</v>
      </c>
      <c r="G786" s="1" t="s">
        <v>3</v>
      </c>
      <c r="J786" s="1" t="s">
        <v>6</v>
      </c>
      <c r="P786" s="1" t="s">
        <v>12</v>
      </c>
      <c r="GD786" s="1" t="s">
        <v>193</v>
      </c>
      <c r="GE786" s="1" t="s">
        <v>190</v>
      </c>
    </row>
    <row r="787" spans="1:187" ht="11.25" customHeight="1">
      <c r="A787" s="1" t="s">
        <v>1287</v>
      </c>
      <c r="B787" s="1" t="str">
        <f ca="1">IFERROR(__xludf.DUMMYFUNCTION("GOOGLETRANSLATE(A787, ""en"", ""fr"")"),"ATTRACTIF")</f>
        <v>ATTRACTIF</v>
      </c>
      <c r="C787" s="1" t="s">
        <v>185</v>
      </c>
      <c r="D787" s="1" t="s">
        <v>16612</v>
      </c>
      <c r="F787" s="1" t="s">
        <v>2</v>
      </c>
      <c r="U787" s="1" t="s">
        <v>17</v>
      </c>
      <c r="CN787" s="1" t="s">
        <v>88</v>
      </c>
      <c r="FR787" s="1" t="s">
        <v>170</v>
      </c>
      <c r="GD787" s="1" t="s">
        <v>202</v>
      </c>
      <c r="GE787" s="1" t="s">
        <v>190</v>
      </c>
    </row>
    <row r="788" spans="1:187" ht="11.25" customHeight="1">
      <c r="A788" s="1" t="s">
        <v>1288</v>
      </c>
      <c r="B788" s="1" t="str">
        <f ca="1">IFERROR(__xludf.DUMMYFUNCTION("GOOGLETRANSLATE(A788, ""en"", ""fr"")"),"ATTRACTION")</f>
        <v>ATTRACTION</v>
      </c>
      <c r="C788" s="1" t="s">
        <v>192</v>
      </c>
      <c r="D788" s="1" t="s">
        <v>16612</v>
      </c>
      <c r="CM788" s="1" t="s">
        <v>87</v>
      </c>
      <c r="CR788" s="1" t="s">
        <v>92</v>
      </c>
      <c r="GD788" s="1" t="s">
        <v>193</v>
      </c>
      <c r="GE788" s="1" t="s">
        <v>190</v>
      </c>
    </row>
    <row r="789" spans="1:187" ht="11.25" customHeight="1">
      <c r="A789" s="1" t="s">
        <v>1289</v>
      </c>
      <c r="B789" s="1" t="str">
        <f ca="1">IFERROR(__xludf.DUMMYFUNCTION("GOOGLETRANSLATE(A789, ""en"", ""fr"")"),"Attribut # 1")</f>
        <v>Attribut # 1</v>
      </c>
      <c r="C789" s="1" t="s">
        <v>185</v>
      </c>
      <c r="CR789" s="1" t="s">
        <v>92</v>
      </c>
      <c r="GD789" s="1" t="s">
        <v>202</v>
      </c>
      <c r="GE789" s="1" t="s">
        <v>190</v>
      </c>
    </row>
    <row r="790" spans="1:187" ht="11.25" customHeight="1">
      <c r="A790" s="1" t="s">
        <v>1290</v>
      </c>
      <c r="B790" s="1" t="str">
        <f ca="1">IFERROR(__xludf.DUMMYFUNCTION("GOOGLETRANSLATE(A790, ""en"", ""fr"")"),"Attribut # 2")</f>
        <v>Attribut # 2</v>
      </c>
      <c r="C790" s="1" t="s">
        <v>185</v>
      </c>
      <c r="CO790" s="1" t="s">
        <v>89</v>
      </c>
      <c r="DN790" s="1" t="s">
        <v>114</v>
      </c>
      <c r="GD790" s="1" t="s">
        <v>189</v>
      </c>
      <c r="GE790" s="1" t="s">
        <v>190</v>
      </c>
    </row>
    <row r="791" spans="1:187" ht="11.25" customHeight="1">
      <c r="A791" s="1" t="s">
        <v>1291</v>
      </c>
      <c r="B791" s="1" t="str">
        <f ca="1">IFERROR(__xludf.DUMMYFUNCTION("GOOGLETRANSLATE(A791, ""en"", ""fr"")"),"HARMONISER")</f>
        <v>HARMONISER</v>
      </c>
      <c r="C791" s="1" t="s">
        <v>192</v>
      </c>
      <c r="D791" s="1" t="s">
        <v>16612</v>
      </c>
      <c r="CG791" s="1" t="s">
        <v>81</v>
      </c>
      <c r="CO791" s="1" t="s">
        <v>89</v>
      </c>
      <c r="DR791" s="1" t="s">
        <v>118</v>
      </c>
      <c r="GD791" s="1" t="s">
        <v>202</v>
      </c>
      <c r="GE791" s="1" t="s">
        <v>190</v>
      </c>
    </row>
    <row r="792" spans="1:187" ht="11.25" customHeight="1">
      <c r="A792" s="1" t="s">
        <v>1292</v>
      </c>
      <c r="B792" s="1" t="str">
        <f ca="1">IFERROR(__xludf.DUMMYFUNCTION("GOOGLETRANSLATE(A792, ""en"", ""fr"")"),"ENCHÈRES")</f>
        <v>ENCHÈRES</v>
      </c>
      <c r="C792" s="1" t="s">
        <v>185</v>
      </c>
      <c r="AA792" s="1" t="s">
        <v>23</v>
      </c>
      <c r="AC792" s="1" t="s">
        <v>25</v>
      </c>
      <c r="AM792" s="1" t="s">
        <v>35</v>
      </c>
      <c r="EU792" s="1" t="s">
        <v>147</v>
      </c>
      <c r="EW792" s="1" t="s">
        <v>149</v>
      </c>
      <c r="GD792" s="1" t="s">
        <v>193</v>
      </c>
      <c r="GE792" s="1" t="s">
        <v>190</v>
      </c>
    </row>
    <row r="793" spans="1:187" ht="11.25" customHeight="1">
      <c r="A793" s="1" t="s">
        <v>1293</v>
      </c>
      <c r="B793" s="1" t="str">
        <f ca="1">IFERROR(__xludf.DUMMYFUNCTION("GOOGLETRANSLATE(A793, ""en"", ""fr"")"),"AUDACIEUX")</f>
        <v>AUDACIEUX</v>
      </c>
      <c r="C793" s="1" t="s">
        <v>192</v>
      </c>
      <c r="E793" s="1" t="s">
        <v>16613</v>
      </c>
      <c r="J793" s="1" t="s">
        <v>6</v>
      </c>
      <c r="V793" s="1" t="s">
        <v>18</v>
      </c>
      <c r="W793" s="1" t="s">
        <v>19</v>
      </c>
      <c r="CM793" s="1" t="s">
        <v>87</v>
      </c>
      <c r="DR793" s="1" t="s">
        <v>118</v>
      </c>
      <c r="GD793" s="1" t="s">
        <v>202</v>
      </c>
      <c r="GE793" s="1" t="s">
        <v>190</v>
      </c>
    </row>
    <row r="794" spans="1:187" ht="11.25" customHeight="1">
      <c r="A794" s="1" t="s">
        <v>1294</v>
      </c>
      <c r="B794" s="1" t="str">
        <f ca="1">IFERROR(__xludf.DUMMYFUNCTION("GOOGLETRANSLATE(A794, ""en"", ""fr"")"),"Audace")</f>
        <v>Audace</v>
      </c>
      <c r="C794" s="1" t="s">
        <v>192</v>
      </c>
      <c r="E794" s="1" t="s">
        <v>16613</v>
      </c>
      <c r="J794" s="1" t="s">
        <v>6</v>
      </c>
      <c r="V794" s="1" t="s">
        <v>18</v>
      </c>
      <c r="W794" s="1" t="s">
        <v>19</v>
      </c>
      <c r="GD794" s="1" t="s">
        <v>193</v>
      </c>
      <c r="GE794" s="1" t="s">
        <v>190</v>
      </c>
    </row>
    <row r="795" spans="1:187" ht="11.25" customHeight="1">
      <c r="A795" s="1" t="s">
        <v>1295</v>
      </c>
      <c r="B795" s="1" t="str">
        <f ca="1">IFERROR(__xludf.DUMMYFUNCTION("GOOGLETRANSLATE(A795, ""en"", ""fr"")"),"AUDIBLE")</f>
        <v>AUDIBLE</v>
      </c>
      <c r="C795" s="1" t="s">
        <v>192</v>
      </c>
      <c r="D795" s="1" t="s">
        <v>16612</v>
      </c>
      <c r="J795" s="1" t="s">
        <v>6</v>
      </c>
      <c r="BK795" s="1" t="s">
        <v>59</v>
      </c>
      <c r="DR795" s="1" t="s">
        <v>118</v>
      </c>
      <c r="GD795" s="1" t="s">
        <v>202</v>
      </c>
      <c r="GE795" s="1" t="s">
        <v>190</v>
      </c>
    </row>
    <row r="796" spans="1:187" ht="11.25" customHeight="1">
      <c r="A796" s="1" t="s">
        <v>1296</v>
      </c>
      <c r="B796" s="1" t="str">
        <f ca="1">IFERROR(__xludf.DUMMYFUNCTION("GOOGLETRANSLATE(A796, ""en"", ""fr"")"),"PUBLIC")</f>
        <v>PUBLIC</v>
      </c>
      <c r="C796" s="1" t="s">
        <v>185</v>
      </c>
      <c r="AK796" s="1" t="s">
        <v>33</v>
      </c>
      <c r="AT796" s="1" t="s">
        <v>42</v>
      </c>
      <c r="GD796" s="1" t="s">
        <v>193</v>
      </c>
      <c r="GE796" s="1" t="s">
        <v>190</v>
      </c>
    </row>
    <row r="797" spans="1:187" ht="11.25" customHeight="1">
      <c r="A797" s="1" t="s">
        <v>1297</v>
      </c>
      <c r="B797" s="1" t="str">
        <f ca="1">IFERROR(__xludf.DUMMYFUNCTION("GOOGLETRANSLATE(A797, ""en"", ""fr"")"),"AUDITEUR")</f>
        <v>AUDITEUR</v>
      </c>
      <c r="C797" s="1" t="s">
        <v>185</v>
      </c>
      <c r="K797" s="1" t="s">
        <v>7</v>
      </c>
      <c r="AA797" s="1" t="s">
        <v>23</v>
      </c>
      <c r="AC797" s="1" t="s">
        <v>25</v>
      </c>
      <c r="AE797" s="1" t="s">
        <v>27</v>
      </c>
      <c r="AJ797" s="1" t="s">
        <v>32</v>
      </c>
      <c r="AT797" s="1" t="s">
        <v>42</v>
      </c>
      <c r="ET797" s="1" t="s">
        <v>146</v>
      </c>
      <c r="EW797" s="1" t="s">
        <v>149</v>
      </c>
      <c r="GD797" s="1" t="s">
        <v>193</v>
      </c>
      <c r="GE797" s="1" t="s">
        <v>190</v>
      </c>
    </row>
    <row r="798" spans="1:187" ht="11.25" customHeight="1">
      <c r="A798" s="1" t="s">
        <v>1298</v>
      </c>
      <c r="B798" s="1" t="str">
        <f ca="1">IFERROR(__xludf.DUMMYFUNCTION("GOOGLETRANSLATE(A798, ""en"", ""fr"")"),"AUGMENTER")</f>
        <v>AUGMENTER</v>
      </c>
      <c r="C798" s="1" t="s">
        <v>185</v>
      </c>
      <c r="D798" s="1" t="s">
        <v>16612</v>
      </c>
      <c r="F798" s="1" t="s">
        <v>2</v>
      </c>
      <c r="N798" s="1" t="s">
        <v>10</v>
      </c>
      <c r="BX798" s="1" t="s">
        <v>72</v>
      </c>
      <c r="DN798" s="1" t="s">
        <v>114</v>
      </c>
      <c r="FN798" s="1" t="s">
        <v>166</v>
      </c>
      <c r="GD798" s="1" t="s">
        <v>189</v>
      </c>
      <c r="GE798" s="1" t="s">
        <v>190</v>
      </c>
    </row>
    <row r="799" spans="1:187" ht="11.25" customHeight="1">
      <c r="A799" s="1" t="s">
        <v>1299</v>
      </c>
      <c r="B799" s="1" t="str">
        <f ca="1">IFERROR(__xludf.DUMMYFUNCTION("GOOGLETRANSLATE(A799, ""en"", ""fr"")"),"AUGMENTATION")</f>
        <v>AUGMENTATION</v>
      </c>
      <c r="C799" s="1" t="s">
        <v>192</v>
      </c>
      <c r="D799" s="1" t="s">
        <v>16612</v>
      </c>
      <c r="BX799" s="1" t="s">
        <v>72</v>
      </c>
      <c r="GD799" s="1" t="s">
        <v>193</v>
      </c>
      <c r="GE799" s="1" t="s">
        <v>190</v>
      </c>
    </row>
    <row r="800" spans="1:187" ht="11.25" customHeight="1">
      <c r="A800" s="1" t="s">
        <v>1300</v>
      </c>
      <c r="B800" s="1" t="str">
        <f ca="1">IFERROR(__xludf.DUMMYFUNCTION("GOOGLETRANSLATE(A800, ""en"", ""fr"")"),"AOÛT")</f>
        <v>AOÛT</v>
      </c>
      <c r="C800" s="1" t="s">
        <v>185</v>
      </c>
      <c r="CQ800" s="1" t="s">
        <v>91</v>
      </c>
      <c r="CY800" s="1" t="s">
        <v>99</v>
      </c>
      <c r="CZ800" s="1" t="s">
        <v>100</v>
      </c>
      <c r="GB800" s="1" t="s">
        <v>180</v>
      </c>
      <c r="GD800" s="1" t="s">
        <v>193</v>
      </c>
      <c r="GE800" s="1" t="s">
        <v>190</v>
      </c>
    </row>
    <row r="801" spans="1:187" ht="11.25" customHeight="1">
      <c r="A801" s="1" t="s">
        <v>1301</v>
      </c>
      <c r="B801" s="1" t="str">
        <f ca="1">IFERROR(__xludf.DUMMYFUNCTION("GOOGLETRANSLATE(A801, ""en"", ""fr"")"),"TANTE")</f>
        <v>TANTE</v>
      </c>
      <c r="C801" s="1" t="s">
        <v>185</v>
      </c>
      <c r="AJ801" s="1" t="s">
        <v>32</v>
      </c>
      <c r="AP801" s="1" t="s">
        <v>38</v>
      </c>
      <c r="AR801" s="1" t="s">
        <v>40</v>
      </c>
      <c r="AT801" s="1" t="s">
        <v>42</v>
      </c>
      <c r="EQ801" s="1" t="s">
        <v>143</v>
      </c>
      <c r="ES801" s="1" t="s">
        <v>145</v>
      </c>
      <c r="GD801" s="1" t="s">
        <v>837</v>
      </c>
      <c r="GE801" s="1" t="s">
        <v>1302</v>
      </c>
    </row>
    <row r="802" spans="1:187" ht="11.25" customHeight="1">
      <c r="A802" s="1" t="s">
        <v>1303</v>
      </c>
      <c r="B802" s="1" t="str">
        <f ca="1">IFERROR(__xludf.DUMMYFUNCTION("GOOGLETRANSLATE(A802, ""en"", ""fr"")"),"DE BON AUGURE")</f>
        <v>DE BON AUGURE</v>
      </c>
      <c r="C802" s="1" t="s">
        <v>185</v>
      </c>
      <c r="D802" s="1" t="s">
        <v>16612</v>
      </c>
      <c r="CM802" s="1" t="s">
        <v>87</v>
      </c>
      <c r="CR802" s="1" t="s">
        <v>92</v>
      </c>
      <c r="DR802" s="1" t="s">
        <v>118</v>
      </c>
      <c r="FX802" s="1" t="s">
        <v>176</v>
      </c>
      <c r="GD802" s="1" t="s">
        <v>202</v>
      </c>
      <c r="GE802" s="1" t="s">
        <v>190</v>
      </c>
    </row>
    <row r="803" spans="1:187" ht="11.25" customHeight="1">
      <c r="A803" s="1" t="s">
        <v>1304</v>
      </c>
      <c r="B803" s="1" t="str">
        <f ca="1">IFERROR(__xludf.DUMMYFUNCTION("GOOGLETRANSLATE(A803, ""en"", ""fr"")"),"AUSTÈRE")</f>
        <v>AUSTÈRE</v>
      </c>
      <c r="C803" s="1" t="s">
        <v>192</v>
      </c>
      <c r="E803" s="1" t="s">
        <v>16613</v>
      </c>
      <c r="I803" s="1" t="s">
        <v>5</v>
      </c>
      <c r="J803" s="1" t="s">
        <v>6</v>
      </c>
      <c r="CM803" s="1" t="s">
        <v>87</v>
      </c>
      <c r="DR803" s="1" t="s">
        <v>118</v>
      </c>
      <c r="GD803" s="1" t="s">
        <v>202</v>
      </c>
      <c r="GE803" s="1" t="s">
        <v>190</v>
      </c>
    </row>
    <row r="804" spans="1:187" ht="11.25" customHeight="1">
      <c r="A804" s="1" t="s">
        <v>1305</v>
      </c>
      <c r="B804" s="1" t="str">
        <f ca="1">IFERROR(__xludf.DUMMYFUNCTION("GOOGLETRANSLATE(A804, ""en"", ""fr"")"),"AUSTRALIE")</f>
        <v>AUSTRALIE</v>
      </c>
      <c r="C804" s="1" t="s">
        <v>196</v>
      </c>
      <c r="FU804" s="1" t="s">
        <v>173</v>
      </c>
      <c r="GD804" s="1" t="s">
        <v>545</v>
      </c>
    </row>
    <row r="805" spans="1:187" ht="11.25" customHeight="1">
      <c r="A805" s="1" t="s">
        <v>1306</v>
      </c>
      <c r="B805" s="1" t="str">
        <f ca="1">IFERROR(__xludf.DUMMYFUNCTION("GOOGLETRANSLATE(A805, ""en"", ""fr"")"),"AUSTRALIEN")</f>
        <v>AUSTRALIEN</v>
      </c>
      <c r="C805" s="1" t="s">
        <v>196</v>
      </c>
      <c r="FU805" s="1" t="s">
        <v>173</v>
      </c>
      <c r="GD805" s="1" t="s">
        <v>1049</v>
      </c>
    </row>
    <row r="806" spans="1:187" ht="11.25" customHeight="1">
      <c r="A806" s="1" t="s">
        <v>1307</v>
      </c>
      <c r="B806" s="1" t="str">
        <f ca="1">IFERROR(__xludf.DUMMYFUNCTION("GOOGLETRANSLATE(A806, ""en"", ""fr"")"),"L'AUTRICHE")</f>
        <v>L'AUTRICHE</v>
      </c>
      <c r="C806" s="1" t="s">
        <v>196</v>
      </c>
      <c r="FU806" s="1" t="s">
        <v>173</v>
      </c>
      <c r="GD806" s="1" t="s">
        <v>545</v>
      </c>
    </row>
    <row r="807" spans="1:187" ht="11.25" customHeight="1">
      <c r="A807" s="1" t="s">
        <v>1308</v>
      </c>
      <c r="B807" s="1" t="str">
        <f ca="1">IFERROR(__xludf.DUMMYFUNCTION("GOOGLETRANSLATE(A807, ""en"", ""fr"")"),"AUTRICHIEN")</f>
        <v>AUTRICHIEN</v>
      </c>
      <c r="C807" s="1" t="s">
        <v>196</v>
      </c>
      <c r="FU807" s="1" t="s">
        <v>173</v>
      </c>
      <c r="GD807" s="1" t="s">
        <v>1049</v>
      </c>
    </row>
    <row r="808" spans="1:187" ht="11.25" customHeight="1">
      <c r="A808" s="1" t="s">
        <v>1309</v>
      </c>
      <c r="B808" s="1" t="str">
        <f ca="1">IFERROR(__xludf.DUMMYFUNCTION("GOOGLETRANSLATE(A808, ""en"", ""fr"")"),"AUTHENTIQUE")</f>
        <v>AUTHENTIQUE</v>
      </c>
      <c r="C808" s="1" t="s">
        <v>185</v>
      </c>
      <c r="D808" s="1" t="s">
        <v>16612</v>
      </c>
      <c r="F808" s="1" t="s">
        <v>2</v>
      </c>
      <c r="U808" s="1" t="s">
        <v>17</v>
      </c>
      <c r="W808" s="1" t="s">
        <v>19</v>
      </c>
      <c r="GD808" s="1" t="s">
        <v>202</v>
      </c>
      <c r="GE808" s="1" t="s">
        <v>190</v>
      </c>
    </row>
    <row r="809" spans="1:187" ht="11.25" customHeight="1">
      <c r="A809" s="1" t="s">
        <v>1310</v>
      </c>
      <c r="B809" s="1" t="str">
        <f ca="1">IFERROR(__xludf.DUMMYFUNCTION("GOOGLETRANSLATE(A809, ""en"", ""fr"")"),"AUTHENTICITÉ")</f>
        <v>AUTHENTICITÉ</v>
      </c>
      <c r="C809" s="1" t="s">
        <v>185</v>
      </c>
      <c r="D809" s="1" t="s">
        <v>16612</v>
      </c>
      <c r="F809" s="1" t="s">
        <v>2</v>
      </c>
      <c r="U809" s="1" t="s">
        <v>17</v>
      </c>
      <c r="W809" s="1" t="s">
        <v>19</v>
      </c>
      <c r="GD809" s="1" t="s">
        <v>193</v>
      </c>
      <c r="GE809" s="1" t="s">
        <v>190</v>
      </c>
    </row>
    <row r="810" spans="1:187" ht="11.25" customHeight="1">
      <c r="A810" s="1" t="s">
        <v>1311</v>
      </c>
      <c r="B810" s="1" t="str">
        <f ca="1">IFERROR(__xludf.DUMMYFUNCTION("GOOGLETRANSLATE(A810, ""en"", ""fr"")"),"AUTEUR")</f>
        <v>AUTEUR</v>
      </c>
      <c r="C810" s="1" t="s">
        <v>185</v>
      </c>
      <c r="AD810" s="1" t="s">
        <v>26</v>
      </c>
      <c r="AJ810" s="1" t="s">
        <v>32</v>
      </c>
      <c r="AT810" s="1" t="s">
        <v>42</v>
      </c>
      <c r="FG810" s="1" t="s">
        <v>159</v>
      </c>
      <c r="FI810" s="1" t="s">
        <v>161</v>
      </c>
      <c r="GD810" s="1" t="s">
        <v>193</v>
      </c>
      <c r="GE810" s="1" t="s">
        <v>190</v>
      </c>
    </row>
    <row r="811" spans="1:187" ht="11.25" customHeight="1">
      <c r="A811" s="1" t="s">
        <v>1312</v>
      </c>
      <c r="B811" s="1" t="str">
        <f ca="1">IFERROR(__xludf.DUMMYFUNCTION("GOOGLETRANSLATE(A811, ""en"", ""fr"")"),"Autoriser # 1")</f>
        <v>Autoriser # 1</v>
      </c>
      <c r="C811" s="1" t="s">
        <v>192</v>
      </c>
      <c r="GE811" s="1" t="s">
        <v>190</v>
      </c>
    </row>
    <row r="812" spans="1:187" ht="11.25" customHeight="1">
      <c r="A812" s="1" t="s">
        <v>1313</v>
      </c>
      <c r="B812" s="1" t="str">
        <f ca="1">IFERROR(__xludf.DUMMYFUNCTION("GOOGLETRANSLATE(A812, ""en"", ""fr"")"),"AUTORITAIRE")</f>
        <v>AUTORITAIRE</v>
      </c>
      <c r="C812" s="1" t="s">
        <v>185</v>
      </c>
      <c r="J812" s="1" t="s">
        <v>6</v>
      </c>
      <c r="K812" s="1" t="s">
        <v>7</v>
      </c>
      <c r="AH812" s="1" t="s">
        <v>30</v>
      </c>
      <c r="AJ812" s="1" t="s">
        <v>32</v>
      </c>
      <c r="AT812" s="1" t="s">
        <v>42</v>
      </c>
      <c r="FW812" s="1" t="s">
        <v>175</v>
      </c>
      <c r="GD812" s="1" t="s">
        <v>193</v>
      </c>
      <c r="GE812" s="1" t="s">
        <v>190</v>
      </c>
    </row>
    <row r="813" spans="1:187" ht="11.25" customHeight="1">
      <c r="A813" s="1" t="s">
        <v>1314</v>
      </c>
      <c r="B813" s="1" t="str">
        <f ca="1">IFERROR(__xludf.DUMMYFUNCTION("GOOGLETRANSLATE(A813, ""en"", ""fr"")"),"Faisant autorité")</f>
        <v>Faisant autorité</v>
      </c>
      <c r="C813" s="1" t="s">
        <v>185</v>
      </c>
      <c r="D813" s="1" t="s">
        <v>16612</v>
      </c>
      <c r="J813" s="1" t="s">
        <v>6</v>
      </c>
      <c r="K813" s="1" t="s">
        <v>7</v>
      </c>
      <c r="U813" s="1" t="s">
        <v>17</v>
      </c>
      <c r="W813" s="1" t="s">
        <v>19</v>
      </c>
      <c r="Z813" s="1" t="s">
        <v>22</v>
      </c>
      <c r="AE813" s="1" t="s">
        <v>27</v>
      </c>
      <c r="DQ813" s="1" t="s">
        <v>117</v>
      </c>
      <c r="EB813" s="1" t="s">
        <v>128</v>
      </c>
      <c r="ED813" s="1" t="s">
        <v>130</v>
      </c>
      <c r="GD813" s="1" t="s">
        <v>202</v>
      </c>
      <c r="GE813" s="1" t="s">
        <v>190</v>
      </c>
    </row>
    <row r="814" spans="1:187" ht="11.25" customHeight="1">
      <c r="A814" s="1" t="s">
        <v>1315</v>
      </c>
      <c r="B814" s="1" t="str">
        <f ca="1">IFERROR(__xludf.DUMMYFUNCTION("GOOGLETRANSLATE(A814, ""en"", ""fr"")"),"AUTORITÉ")</f>
        <v>AUTORITÉ</v>
      </c>
      <c r="C814" s="1" t="s">
        <v>185</v>
      </c>
      <c r="D814" s="1" t="s">
        <v>16612</v>
      </c>
      <c r="J814" s="1" t="s">
        <v>6</v>
      </c>
      <c r="K814" s="1" t="s">
        <v>7</v>
      </c>
      <c r="AE814" s="1" t="s">
        <v>27</v>
      </c>
      <c r="DY814" s="1" t="s">
        <v>125</v>
      </c>
      <c r="EB814" s="1" t="s">
        <v>128</v>
      </c>
      <c r="ED814" s="1" t="s">
        <v>130</v>
      </c>
      <c r="FG814" s="1" t="s">
        <v>159</v>
      </c>
      <c r="FI814" s="1" t="s">
        <v>161</v>
      </c>
      <c r="GD814" s="1" t="s">
        <v>193</v>
      </c>
      <c r="GE814" s="1" t="s">
        <v>190</v>
      </c>
    </row>
    <row r="815" spans="1:187" ht="11.25" customHeight="1">
      <c r="A815" s="1" t="s">
        <v>1316</v>
      </c>
      <c r="B815" s="1" t="str">
        <f ca="1">IFERROR(__xludf.DUMMYFUNCTION("GOOGLETRANSLATE(A815, ""en"", ""fr"")"),"Autoriser # 1")</f>
        <v>Autoriser # 1</v>
      </c>
      <c r="C815" s="1" t="s">
        <v>185</v>
      </c>
      <c r="J815" s="1" t="s">
        <v>6</v>
      </c>
      <c r="K815" s="1" t="s">
        <v>7</v>
      </c>
      <c r="AE815" s="1" t="s">
        <v>27</v>
      </c>
      <c r="BK815" s="1" t="s">
        <v>59</v>
      </c>
      <c r="EB815" s="1" t="s">
        <v>128</v>
      </c>
      <c r="ED815" s="1" t="s">
        <v>130</v>
      </c>
      <c r="GD815" s="1" t="s">
        <v>202</v>
      </c>
      <c r="GE815" s="1" t="s">
        <v>190</v>
      </c>
    </row>
    <row r="816" spans="1:187" ht="11.25" customHeight="1">
      <c r="A816" s="1" t="s">
        <v>1317</v>
      </c>
      <c r="B816" s="1" t="str">
        <f ca="1">IFERROR(__xludf.DUMMYFUNCTION("GOOGLETRANSLATE(A816, ""en"", ""fr"")"),"Autoriser # 2")</f>
        <v>Autoriser # 2</v>
      </c>
      <c r="C816" s="1" t="s">
        <v>185</v>
      </c>
      <c r="J816" s="1" t="s">
        <v>6</v>
      </c>
      <c r="K816" s="1" t="s">
        <v>7</v>
      </c>
      <c r="N816" s="1" t="s">
        <v>10</v>
      </c>
      <c r="AE816" s="1" t="s">
        <v>27</v>
      </c>
      <c r="BK816" s="1" t="s">
        <v>59</v>
      </c>
      <c r="DN816" s="1" t="s">
        <v>114</v>
      </c>
      <c r="EB816" s="1" t="s">
        <v>128</v>
      </c>
      <c r="ED816" s="1" t="s">
        <v>130</v>
      </c>
      <c r="GD816" s="1" t="s">
        <v>189</v>
      </c>
      <c r="GE816" s="1" t="s">
        <v>190</v>
      </c>
    </row>
    <row r="817" spans="1:187" ht="11.25" customHeight="1">
      <c r="A817" s="1" t="s">
        <v>1318</v>
      </c>
      <c r="B817" s="1" t="str">
        <f ca="1">IFERROR(__xludf.DUMMYFUNCTION("GOOGLETRANSLATE(A817, ""en"", ""fr"")"),"AUTO")</f>
        <v>AUTO</v>
      </c>
      <c r="C817" s="1" t="s">
        <v>185</v>
      </c>
      <c r="BC817" s="1" t="s">
        <v>51</v>
      </c>
      <c r="BF817" s="1" t="s">
        <v>54</v>
      </c>
      <c r="EV817" s="1" t="s">
        <v>148</v>
      </c>
      <c r="EW817" s="1" t="s">
        <v>149</v>
      </c>
      <c r="GD817" s="1" t="s">
        <v>193</v>
      </c>
      <c r="GE817" s="1" t="s">
        <v>190</v>
      </c>
    </row>
    <row r="818" spans="1:187" ht="11.25" customHeight="1">
      <c r="A818" s="1" t="s">
        <v>1319</v>
      </c>
      <c r="B818" s="1" t="str">
        <f ca="1">IFERROR(__xludf.DUMMYFUNCTION("GOOGLETRANSLATE(A818, ""en"", ""fr"")"),"AUTOCRATE")</f>
        <v>AUTOCRATE</v>
      </c>
      <c r="C818" s="1" t="s">
        <v>192</v>
      </c>
      <c r="E818" s="1" t="s">
        <v>16613</v>
      </c>
      <c r="J818" s="1" t="s">
        <v>6</v>
      </c>
      <c r="K818" s="1" t="s">
        <v>7</v>
      </c>
      <c r="Z818" s="1" t="s">
        <v>22</v>
      </c>
      <c r="AG818" s="1" t="s">
        <v>29</v>
      </c>
      <c r="AT818" s="1" t="s">
        <v>42</v>
      </c>
      <c r="GD818" s="1" t="s">
        <v>193</v>
      </c>
      <c r="GE818" s="1" t="s">
        <v>190</v>
      </c>
    </row>
    <row r="819" spans="1:187" ht="11.25" customHeight="1">
      <c r="A819" s="1" t="s">
        <v>1320</v>
      </c>
      <c r="B819" s="1" t="str">
        <f ca="1">IFERROR(__xludf.DUMMYFUNCTION("GOOGLETRANSLATE(A819, ""en"", ""fr"")"),"AUTOCRATIQUE")</f>
        <v>AUTOCRATIQUE</v>
      </c>
      <c r="C819" s="1" t="s">
        <v>192</v>
      </c>
      <c r="E819" s="1" t="s">
        <v>16613</v>
      </c>
      <c r="J819" s="1" t="s">
        <v>6</v>
      </c>
      <c r="K819" s="1" t="s">
        <v>7</v>
      </c>
      <c r="Z819" s="1" t="s">
        <v>22</v>
      </c>
      <c r="AG819" s="1" t="s">
        <v>29</v>
      </c>
      <c r="DQ819" s="1" t="s">
        <v>117</v>
      </c>
      <c r="GD819" s="1" t="s">
        <v>202</v>
      </c>
      <c r="GE819" s="1" t="s">
        <v>190</v>
      </c>
    </row>
    <row r="820" spans="1:187" ht="11.25" customHeight="1">
      <c r="A820" s="1" t="s">
        <v>1321</v>
      </c>
      <c r="B820" s="1" t="str">
        <f ca="1">IFERROR(__xludf.DUMMYFUNCTION("GOOGLETRANSLATE(A820, ""en"", ""fr"")"),"AUTOMATIQUE")</f>
        <v>AUTOMATIQUE</v>
      </c>
      <c r="C820" s="1" t="s">
        <v>185</v>
      </c>
      <c r="BC820" s="1" t="s">
        <v>51</v>
      </c>
      <c r="BD820" s="1" t="s">
        <v>52</v>
      </c>
      <c r="GD820" s="1" t="s">
        <v>202</v>
      </c>
      <c r="GE820" s="1" t="s">
        <v>190</v>
      </c>
    </row>
    <row r="821" spans="1:187" ht="11.25" customHeight="1">
      <c r="A821" s="1" t="s">
        <v>1322</v>
      </c>
      <c r="B821" s="1" t="str">
        <f ca="1">IFERROR(__xludf.DUMMYFUNCTION("GOOGLETRANSLATE(A821, ""en"", ""fr"")"),"VOITURE")</f>
        <v>VOITURE</v>
      </c>
      <c r="C821" s="1" t="s">
        <v>185</v>
      </c>
      <c r="BC821" s="1" t="s">
        <v>51</v>
      </c>
      <c r="BF821" s="1" t="s">
        <v>54</v>
      </c>
      <c r="EV821" s="1" t="s">
        <v>148</v>
      </c>
      <c r="EW821" s="1" t="s">
        <v>149</v>
      </c>
      <c r="GD821" s="1" t="s">
        <v>193</v>
      </c>
      <c r="GE821" s="1" t="s">
        <v>190</v>
      </c>
    </row>
    <row r="822" spans="1:187" ht="11.25" customHeight="1">
      <c r="A822" s="1" t="s">
        <v>1323</v>
      </c>
      <c r="B822" s="1" t="str">
        <f ca="1">IFERROR(__xludf.DUMMYFUNCTION("GOOGLETRANSLATE(A822, ""en"", ""fr"")"),"AUTOMOBILE")</f>
        <v>AUTOMOBILE</v>
      </c>
      <c r="C822" s="1" t="s">
        <v>185</v>
      </c>
      <c r="BC822" s="1" t="s">
        <v>51</v>
      </c>
      <c r="BF822" s="1" t="s">
        <v>54</v>
      </c>
      <c r="GD822" s="1" t="s">
        <v>202</v>
      </c>
      <c r="GE822" s="1" t="s">
        <v>190</v>
      </c>
    </row>
    <row r="823" spans="1:187" ht="11.25" customHeight="1">
      <c r="A823" s="1" t="s">
        <v>1324</v>
      </c>
      <c r="B823" s="1" t="str">
        <f ca="1">IFERROR(__xludf.DUMMYFUNCTION("GOOGLETRANSLATE(A823, ""en"", ""fr"")"),"AUTONOME")</f>
        <v>AUTONOME</v>
      </c>
      <c r="C823" s="1" t="s">
        <v>192</v>
      </c>
      <c r="D823" s="1" t="s">
        <v>16612</v>
      </c>
      <c r="J823" s="1" t="s">
        <v>6</v>
      </c>
      <c r="K823" s="1" t="s">
        <v>7</v>
      </c>
      <c r="X823" s="1" t="s">
        <v>20</v>
      </c>
      <c r="AE823" s="1" t="s">
        <v>27</v>
      </c>
      <c r="DQ823" s="1" t="s">
        <v>117</v>
      </c>
      <c r="GD823" s="1" t="s">
        <v>202</v>
      </c>
      <c r="GE823" s="1" t="s">
        <v>190</v>
      </c>
    </row>
    <row r="824" spans="1:187" ht="11.25" customHeight="1">
      <c r="A824" s="1" t="s">
        <v>1325</v>
      </c>
      <c r="B824" s="1" t="str">
        <f ca="1">IFERROR(__xludf.DUMMYFUNCTION("GOOGLETRANSLATE(A824, ""en"", ""fr"")"),"AUTONOMIE")</f>
        <v>AUTONOMIE</v>
      </c>
      <c r="C824" s="1" t="s">
        <v>185</v>
      </c>
      <c r="U824" s="1" t="s">
        <v>17</v>
      </c>
      <c r="AH824" s="1" t="s">
        <v>30</v>
      </c>
      <c r="EC824" s="1" t="s">
        <v>129</v>
      </c>
      <c r="ED824" s="1" t="s">
        <v>130</v>
      </c>
      <c r="GD824" s="1" t="s">
        <v>193</v>
      </c>
      <c r="GE824" s="1" t="s">
        <v>190</v>
      </c>
    </row>
    <row r="825" spans="1:187" ht="11.25" customHeight="1">
      <c r="A825" s="1" t="s">
        <v>1326</v>
      </c>
      <c r="B825" s="1" t="str">
        <f ca="1">IFERROR(__xludf.DUMMYFUNCTION("GOOGLETRANSLATE(A825, ""en"", ""fr"")"),"AUTOMNE")</f>
        <v>AUTOMNE</v>
      </c>
      <c r="C825" s="1" t="s">
        <v>185</v>
      </c>
      <c r="CQ825" s="1" t="s">
        <v>91</v>
      </c>
      <c r="CY825" s="1" t="s">
        <v>99</v>
      </c>
      <c r="CZ825" s="1" t="s">
        <v>100</v>
      </c>
      <c r="GB825" s="1" t="s">
        <v>180</v>
      </c>
      <c r="GD825" s="1" t="s">
        <v>193</v>
      </c>
      <c r="GE825" s="1" t="s">
        <v>190</v>
      </c>
    </row>
    <row r="826" spans="1:187" ht="11.25" customHeight="1">
      <c r="A826" s="1" t="s">
        <v>1327</v>
      </c>
      <c r="B826" s="1" t="str">
        <f ca="1">IFERROR(__xludf.DUMMYFUNCTION("GOOGLETRANSLATE(A826, ""en"", ""fr"")"),"AUXILIAIRE")</f>
        <v>AUXILIAIRE</v>
      </c>
      <c r="C826" s="1" t="s">
        <v>196</v>
      </c>
      <c r="GD826" s="1" t="s">
        <v>193</v>
      </c>
    </row>
    <row r="827" spans="1:187" ht="11.25" customHeight="1">
      <c r="A827" s="1" t="s">
        <v>1328</v>
      </c>
      <c r="B827" s="1" t="str">
        <f ca="1">IFERROR(__xludf.DUMMYFUNCTION("GOOGLETRANSLATE(A827, ""en"", ""fr"")"),"PROFITER")</f>
        <v>PROFITER</v>
      </c>
      <c r="C827" s="1" t="s">
        <v>185</v>
      </c>
      <c r="J827" s="1" t="s">
        <v>6</v>
      </c>
      <c r="O827" s="1" t="s">
        <v>11</v>
      </c>
      <c r="BP827" s="1" t="s">
        <v>64</v>
      </c>
      <c r="DN827" s="1" t="s">
        <v>114</v>
      </c>
      <c r="GD827" s="1" t="s">
        <v>189</v>
      </c>
      <c r="GE827" s="1" t="s">
        <v>190</v>
      </c>
    </row>
    <row r="828" spans="1:187" ht="11.25" customHeight="1">
      <c r="A828" s="1" t="s">
        <v>1329</v>
      </c>
      <c r="B828" s="1" t="str">
        <f ca="1">IFERROR(__xludf.DUMMYFUNCTION("GOOGLETRANSLATE(A828, ""en"", ""fr"")"),"DISPONIBILITÉ")</f>
        <v>DISPONIBILITÉ</v>
      </c>
      <c r="C828" s="1" t="s">
        <v>185</v>
      </c>
      <c r="D828" s="1" t="s">
        <v>16612</v>
      </c>
      <c r="F828" s="1" t="s">
        <v>2</v>
      </c>
      <c r="U828" s="1" t="s">
        <v>17</v>
      </c>
      <c r="GD828" s="1" t="s">
        <v>193</v>
      </c>
      <c r="GE828" s="1" t="s">
        <v>190</v>
      </c>
    </row>
    <row r="829" spans="1:187" ht="11.25" customHeight="1">
      <c r="A829" s="1" t="s">
        <v>1330</v>
      </c>
      <c r="B829" s="1" t="str">
        <f ca="1">IFERROR(__xludf.DUMMYFUNCTION("GOOGLETRANSLATE(A829, ""en"", ""fr"")"),"DISPONIBLE")</f>
        <v>DISPONIBLE</v>
      </c>
      <c r="C829" s="1" t="s">
        <v>185</v>
      </c>
      <c r="U829" s="1" t="s">
        <v>17</v>
      </c>
      <c r="GD829" s="1" t="s">
        <v>202</v>
      </c>
      <c r="GE829" s="1" t="s">
        <v>1331</v>
      </c>
    </row>
    <row r="830" spans="1:187" ht="11.25" customHeight="1">
      <c r="A830" s="1" t="s">
        <v>1332</v>
      </c>
      <c r="B830" s="1" t="str">
        <f ca="1">IFERROR(__xludf.DUMMYFUNCTION("GOOGLETRANSLATE(A830, ""en"", ""fr"")"),"AVARICE")</f>
        <v>AVARICE</v>
      </c>
      <c r="C830" s="1" t="s">
        <v>192</v>
      </c>
      <c r="E830" s="1" t="s">
        <v>16613</v>
      </c>
      <c r="V830" s="1" t="s">
        <v>18</v>
      </c>
      <c r="GD830" s="1" t="s">
        <v>193</v>
      </c>
      <c r="GE830" s="1" t="s">
        <v>190</v>
      </c>
    </row>
    <row r="831" spans="1:187" ht="11.25" customHeight="1">
      <c r="A831" s="1" t="s">
        <v>1333</v>
      </c>
      <c r="B831" s="1" t="str">
        <f ca="1">IFERROR(__xludf.DUMMYFUNCTION("GOOGLETRANSLATE(A831, ""en"", ""fr"")"),"AVARE")</f>
        <v>AVARE</v>
      </c>
      <c r="C831" s="1" t="s">
        <v>192</v>
      </c>
      <c r="E831" s="1" t="s">
        <v>16613</v>
      </c>
      <c r="V831" s="1" t="s">
        <v>18</v>
      </c>
      <c r="DQ831" s="1" t="s">
        <v>117</v>
      </c>
      <c r="GD831" s="1" t="s">
        <v>202</v>
      </c>
      <c r="GE831" s="1" t="s">
        <v>190</v>
      </c>
    </row>
    <row r="832" spans="1:187" ht="11.25" customHeight="1">
      <c r="A832" s="1" t="s">
        <v>1334</v>
      </c>
      <c r="B832" s="1" t="str">
        <f ca="1">IFERROR(__xludf.DUMMYFUNCTION("GOOGLETRANSLATE(A832, ""en"", ""fr"")"),"VENGER")</f>
        <v>VENGER</v>
      </c>
      <c r="C832" s="1" t="s">
        <v>185</v>
      </c>
      <c r="E832" s="1" t="s">
        <v>16613</v>
      </c>
      <c r="H832" s="1" t="s">
        <v>4</v>
      </c>
      <c r="I832" s="1" t="s">
        <v>5</v>
      </c>
      <c r="J832" s="1" t="s">
        <v>6</v>
      </c>
      <c r="N832" s="1" t="s">
        <v>10</v>
      </c>
      <c r="V832" s="1" t="s">
        <v>18</v>
      </c>
      <c r="DW832" s="1" t="s">
        <v>123</v>
      </c>
      <c r="ED832" s="1" t="s">
        <v>130</v>
      </c>
      <c r="GD832" s="1" t="s">
        <v>193</v>
      </c>
      <c r="GE832" s="1" t="s">
        <v>190</v>
      </c>
    </row>
    <row r="833" spans="1:187" ht="11.25" customHeight="1">
      <c r="A833" s="1" t="s">
        <v>1335</v>
      </c>
      <c r="B833" s="1" t="str">
        <f ca="1">IFERROR(__xludf.DUMMYFUNCTION("GOOGLETRANSLATE(A833, ""en"", ""fr"")"),"RUE")</f>
        <v>RUE</v>
      </c>
      <c r="C833" s="1" t="s">
        <v>185</v>
      </c>
      <c r="AV833" s="1" t="s">
        <v>44</v>
      </c>
      <c r="AY833" s="1" t="s">
        <v>47</v>
      </c>
      <c r="GD833" s="1" t="s">
        <v>193</v>
      </c>
      <c r="GE833" s="1" t="s">
        <v>190</v>
      </c>
    </row>
    <row r="834" spans="1:187" ht="11.25" customHeight="1">
      <c r="A834" s="1" t="s">
        <v>1336</v>
      </c>
      <c r="B834" s="1" t="str">
        <f ca="1">IFERROR(__xludf.DUMMYFUNCTION("GOOGLETRANSLATE(A834, ""en"", ""fr"")"),"Moyenne n ° 1")</f>
        <v>Moyenne n ° 1</v>
      </c>
      <c r="C834" s="1" t="s">
        <v>185</v>
      </c>
      <c r="L834" s="1" t="s">
        <v>8</v>
      </c>
      <c r="CN834" s="1" t="s">
        <v>88</v>
      </c>
      <c r="CS834" s="1" t="s">
        <v>93</v>
      </c>
      <c r="EM834" s="1" t="s">
        <v>139</v>
      </c>
      <c r="EN834" s="1" t="s">
        <v>140</v>
      </c>
      <c r="GD834" s="1" t="s">
        <v>202</v>
      </c>
      <c r="GE834" s="1" t="s">
        <v>1337</v>
      </c>
    </row>
    <row r="835" spans="1:187" ht="11.25" customHeight="1">
      <c r="A835" s="1" t="s">
        <v>1338</v>
      </c>
      <c r="B835" s="1" t="str">
        <f ca="1">IFERROR(__xludf.DUMMYFUNCTION("GOOGLETRANSLATE(A835, ""en"", ""fr"")"),"Moyenne n ° 2")</f>
        <v>Moyenne n ° 2</v>
      </c>
      <c r="C835" s="1" t="s">
        <v>185</v>
      </c>
      <c r="CS835" s="1" t="s">
        <v>93</v>
      </c>
      <c r="GD835" s="1" t="s">
        <v>193</v>
      </c>
      <c r="GE835" s="1" t="s">
        <v>1339</v>
      </c>
    </row>
    <row r="836" spans="1:187" ht="11.25" customHeight="1">
      <c r="A836" s="1" t="s">
        <v>1340</v>
      </c>
      <c r="B836" s="1" t="str">
        <f ca="1">IFERROR(__xludf.DUMMYFUNCTION("GOOGLETRANSLATE(A836, ""en"", ""fr"")"),"Moyenne n ° 3")</f>
        <v>Moyenne n ° 3</v>
      </c>
      <c r="C836" s="1" t="s">
        <v>185</v>
      </c>
      <c r="CO836" s="1" t="s">
        <v>89</v>
      </c>
      <c r="DN836" s="1" t="s">
        <v>114</v>
      </c>
      <c r="GD836" s="1" t="s">
        <v>189</v>
      </c>
      <c r="GE836" s="1" t="s">
        <v>1341</v>
      </c>
    </row>
    <row r="837" spans="1:187" ht="11.25" customHeight="1">
      <c r="A837" s="1" t="s">
        <v>1342</v>
      </c>
      <c r="B837" s="1" t="str">
        <f ca="1">IFERROR(__xludf.DUMMYFUNCTION("GOOGLETRANSLATE(A837, ""en"", ""fr"")"),"AVERSION")</f>
        <v>AVERSION</v>
      </c>
      <c r="C837" s="1" t="s">
        <v>192</v>
      </c>
      <c r="E837" s="1" t="s">
        <v>16613</v>
      </c>
      <c r="I837" s="1" t="s">
        <v>5</v>
      </c>
      <c r="O837" s="1" t="s">
        <v>11</v>
      </c>
      <c r="S837" s="1" t="s">
        <v>15</v>
      </c>
      <c r="DL837" s="1" t="s">
        <v>112</v>
      </c>
      <c r="GD837" s="1" t="s">
        <v>193</v>
      </c>
      <c r="GE837" s="1" t="s">
        <v>190</v>
      </c>
    </row>
    <row r="838" spans="1:187" ht="11.25" customHeight="1">
      <c r="A838" s="1" t="s">
        <v>1343</v>
      </c>
      <c r="B838" s="1" t="str">
        <f ca="1">IFERROR(__xludf.DUMMYFUNCTION("GOOGLETRANSLATE(A838, ""en"", ""fr"")"),"ÉVITER")</f>
        <v>ÉVITER</v>
      </c>
      <c r="C838" s="1" t="s">
        <v>185</v>
      </c>
      <c r="E838" s="1" t="s">
        <v>16613</v>
      </c>
      <c r="I838" s="1" t="s">
        <v>5</v>
      </c>
      <c r="L838" s="1" t="s">
        <v>8</v>
      </c>
      <c r="O838" s="1" t="s">
        <v>11</v>
      </c>
      <c r="AN838" s="1" t="s">
        <v>36</v>
      </c>
      <c r="DN838" s="1" t="s">
        <v>114</v>
      </c>
      <c r="FZ838" s="1" t="s">
        <v>178</v>
      </c>
      <c r="GD838" s="1" t="s">
        <v>189</v>
      </c>
      <c r="GE838" s="1" t="s">
        <v>190</v>
      </c>
    </row>
    <row r="839" spans="1:187" ht="11.25" customHeight="1">
      <c r="A839" s="1" t="s">
        <v>1344</v>
      </c>
      <c r="B839" s="1" t="str">
        <f ca="1">IFERROR(__xludf.DUMMYFUNCTION("GOOGLETRANSLATE(A839, ""en"", ""fr"")"),"AVIDE")</f>
        <v>AVIDE</v>
      </c>
      <c r="C839" s="1" t="s">
        <v>192</v>
      </c>
      <c r="D839" s="1" t="s">
        <v>16612</v>
      </c>
      <c r="W839" s="1" t="s">
        <v>19</v>
      </c>
      <c r="DR839" s="1" t="s">
        <v>118</v>
      </c>
      <c r="GD839" s="1" t="s">
        <v>202</v>
      </c>
      <c r="GE839" s="1" t="s">
        <v>190</v>
      </c>
    </row>
    <row r="840" spans="1:187" ht="11.25" customHeight="1">
      <c r="A840" s="1" t="s">
        <v>1345</v>
      </c>
      <c r="B840" s="1" t="str">
        <f ca="1">IFERROR(__xludf.DUMMYFUNCTION("GOOGLETRANSLATE(A840, ""en"", ""fr"")"),"ÉVITER")</f>
        <v>ÉVITER</v>
      </c>
      <c r="C840" s="1" t="s">
        <v>185</v>
      </c>
      <c r="E840" s="1" t="s">
        <v>16613</v>
      </c>
      <c r="H840" s="1" t="s">
        <v>4</v>
      </c>
      <c r="I840" s="1" t="s">
        <v>5</v>
      </c>
      <c r="L840" s="1" t="s">
        <v>8</v>
      </c>
      <c r="O840" s="1" t="s">
        <v>11</v>
      </c>
      <c r="AN840" s="1" t="s">
        <v>36</v>
      </c>
      <c r="DN840" s="1" t="s">
        <v>114</v>
      </c>
      <c r="FZ840" s="1" t="s">
        <v>178</v>
      </c>
      <c r="GD840" s="1" t="s">
        <v>189</v>
      </c>
      <c r="GE840" s="1" t="s">
        <v>1346</v>
      </c>
    </row>
    <row r="841" spans="1:187" ht="11.25" customHeight="1">
      <c r="A841" s="1" t="s">
        <v>1347</v>
      </c>
      <c r="B841" s="1" t="str">
        <f ca="1">IFERROR(__xludf.DUMMYFUNCTION("GOOGLETRANSLATE(A841, ""en"", ""fr"")"),"ÉVITEMENT")</f>
        <v>ÉVITEMENT</v>
      </c>
      <c r="C841" s="1" t="s">
        <v>185</v>
      </c>
      <c r="E841" s="1" t="s">
        <v>16613</v>
      </c>
      <c r="H841" s="1" t="s">
        <v>4</v>
      </c>
      <c r="I841" s="1" t="s">
        <v>5</v>
      </c>
      <c r="L841" s="1" t="s">
        <v>8</v>
      </c>
      <c r="O841" s="1" t="s">
        <v>11</v>
      </c>
      <c r="AN841" s="1" t="s">
        <v>36</v>
      </c>
      <c r="FZ841" s="1" t="s">
        <v>178</v>
      </c>
      <c r="GD841" s="1" t="s">
        <v>193</v>
      </c>
      <c r="GE841" s="1" t="s">
        <v>190</v>
      </c>
    </row>
    <row r="842" spans="1:187" ht="11.25" customHeight="1">
      <c r="A842" s="1" t="s">
        <v>1348</v>
      </c>
      <c r="B842" s="1" t="str">
        <f ca="1">IFERROR(__xludf.DUMMYFUNCTION("GOOGLETRANSLATE(A842, ""en"", ""fr"")"),"AVEU")</f>
        <v>AVEU</v>
      </c>
      <c r="C842" s="1" t="s">
        <v>196</v>
      </c>
      <c r="FH842" s="1" t="s">
        <v>160</v>
      </c>
      <c r="FI842" s="1" t="s">
        <v>161</v>
      </c>
      <c r="GD842" s="1" t="s">
        <v>193</v>
      </c>
    </row>
    <row r="843" spans="1:187" ht="11.25" customHeight="1">
      <c r="A843" s="1" t="s">
        <v>1349</v>
      </c>
      <c r="B843" s="1" t="str">
        <f ca="1">IFERROR(__xludf.DUMMYFUNCTION("GOOGLETRANSLATE(A843, ""en"", ""fr"")"),"ATTENDRE")</f>
        <v>ATTENDRE</v>
      </c>
      <c r="C843" s="1" t="s">
        <v>185</v>
      </c>
      <c r="O843" s="1" t="s">
        <v>11</v>
      </c>
      <c r="CA843" s="1" t="s">
        <v>75</v>
      </c>
      <c r="DN843" s="1" t="s">
        <v>114</v>
      </c>
      <c r="EK843" s="1" t="s">
        <v>137</v>
      </c>
      <c r="EN843" s="1" t="s">
        <v>140</v>
      </c>
      <c r="GD843" s="1" t="s">
        <v>189</v>
      </c>
      <c r="GE843" s="1" t="s">
        <v>190</v>
      </c>
    </row>
    <row r="844" spans="1:187" ht="11.25" customHeight="1">
      <c r="A844" s="1" t="s">
        <v>1350</v>
      </c>
      <c r="B844" s="1" t="str">
        <f ca="1">IFERROR(__xludf.DUMMYFUNCTION("GOOGLETRANSLATE(A844, ""en"", ""fr"")"),"ÉVEILLÉ")</f>
        <v>ÉVEILLÉ</v>
      </c>
      <c r="C844" s="1" t="s">
        <v>185</v>
      </c>
      <c r="BU844" s="1" t="s">
        <v>69</v>
      </c>
      <c r="CC844" s="1" t="s">
        <v>77</v>
      </c>
      <c r="DO844" s="1" t="s">
        <v>115</v>
      </c>
      <c r="GD844" s="1" t="s">
        <v>189</v>
      </c>
      <c r="GE844" s="1" t="s">
        <v>190</v>
      </c>
    </row>
    <row r="845" spans="1:187" ht="11.25" customHeight="1">
      <c r="A845" s="1" t="s">
        <v>1351</v>
      </c>
      <c r="B845" s="1" t="str">
        <f ca="1">IFERROR(__xludf.DUMMYFUNCTION("GOOGLETRANSLATE(A845, ""en"", ""fr"")"),"ÉVEILLER")</f>
        <v>ÉVEILLER</v>
      </c>
      <c r="C845" s="1" t="s">
        <v>196</v>
      </c>
      <c r="GD845" s="1" t="s">
        <v>189</v>
      </c>
    </row>
    <row r="846" spans="1:187" ht="11.25" customHeight="1">
      <c r="A846" s="1" t="s">
        <v>1352</v>
      </c>
      <c r="B846" s="1" t="str">
        <f ca="1">IFERROR(__xludf.DUMMYFUNCTION("GOOGLETRANSLATE(A846, ""en"", ""fr"")"),"Prix ​​n ° 1")</f>
        <v>Prix ​​n ° 1</v>
      </c>
      <c r="C846" s="1" t="s">
        <v>185</v>
      </c>
      <c r="D846" s="1" t="s">
        <v>16612</v>
      </c>
      <c r="F846" s="1" t="s">
        <v>2</v>
      </c>
      <c r="J846" s="1" t="s">
        <v>6</v>
      </c>
      <c r="K846" s="1" t="s">
        <v>7</v>
      </c>
      <c r="BK846" s="1" t="s">
        <v>59</v>
      </c>
      <c r="GC846" s="1" t="s">
        <v>181</v>
      </c>
      <c r="GD846" s="1" t="s">
        <v>202</v>
      </c>
      <c r="GE846" s="1" t="s">
        <v>190</v>
      </c>
    </row>
    <row r="847" spans="1:187" ht="11.25" customHeight="1">
      <c r="A847" s="1" t="s">
        <v>1353</v>
      </c>
      <c r="B847" s="1" t="str">
        <f ca="1">IFERROR(__xludf.DUMMYFUNCTION("GOOGLETRANSLATE(A847, ""en"", ""fr"")"),"Prix ​​n ° 2")</f>
        <v>Prix ​​n ° 2</v>
      </c>
      <c r="C847" s="1" t="s">
        <v>185</v>
      </c>
      <c r="D847" s="1" t="s">
        <v>16612</v>
      </c>
      <c r="F847" s="1" t="s">
        <v>2</v>
      </c>
      <c r="J847" s="1" t="s">
        <v>6</v>
      </c>
      <c r="K847" s="1" t="s">
        <v>7</v>
      </c>
      <c r="N847" s="1" t="s">
        <v>10</v>
      </c>
      <c r="BK847" s="1" t="s">
        <v>59</v>
      </c>
      <c r="DN847" s="1" t="s">
        <v>114</v>
      </c>
      <c r="GD847" s="1" t="s">
        <v>189</v>
      </c>
      <c r="GE847" s="1" t="s">
        <v>190</v>
      </c>
    </row>
    <row r="848" spans="1:187" ht="11.25" customHeight="1">
      <c r="A848" s="1" t="s">
        <v>1354</v>
      </c>
      <c r="B848" s="1" t="str">
        <f ca="1">IFERROR(__xludf.DUMMYFUNCTION("GOOGLETRANSLATE(A848, ""en"", ""fr"")"),"CONSCIENT")</f>
        <v>CONSCIENT</v>
      </c>
      <c r="C848" s="1" t="s">
        <v>185</v>
      </c>
      <c r="D848" s="1" t="s">
        <v>16612</v>
      </c>
      <c r="J848" s="1" t="s">
        <v>6</v>
      </c>
      <c r="O848" s="1" t="s">
        <v>11</v>
      </c>
      <c r="CH848" s="1" t="s">
        <v>82</v>
      </c>
      <c r="CK848" s="1" t="s">
        <v>85</v>
      </c>
      <c r="DR848" s="1" t="s">
        <v>118</v>
      </c>
      <c r="FH848" s="1" t="s">
        <v>160</v>
      </c>
      <c r="FI848" s="1" t="s">
        <v>161</v>
      </c>
      <c r="GD848" s="1" t="s">
        <v>202</v>
      </c>
      <c r="GE848" s="1" t="s">
        <v>190</v>
      </c>
    </row>
    <row r="849" spans="1:187" ht="11.25" customHeight="1">
      <c r="A849" s="1" t="s">
        <v>1355</v>
      </c>
      <c r="B849" s="1" t="str">
        <f ca="1">IFERROR(__xludf.DUMMYFUNCTION("GOOGLETRANSLATE(A849, ""en"", ""fr"")"),"CONSCIENCE")</f>
        <v>CONSCIENCE</v>
      </c>
      <c r="C849" s="1" t="s">
        <v>185</v>
      </c>
      <c r="D849" s="1" t="s">
        <v>16612</v>
      </c>
      <c r="F849" s="1" t="s">
        <v>2</v>
      </c>
      <c r="J849" s="1" t="s">
        <v>6</v>
      </c>
      <c r="O849" s="1" t="s">
        <v>11</v>
      </c>
      <c r="CK849" s="1" t="s">
        <v>85</v>
      </c>
      <c r="CP849" s="1" t="s">
        <v>90</v>
      </c>
      <c r="CQ849" s="1" t="s">
        <v>91</v>
      </c>
      <c r="FH849" s="1" t="s">
        <v>160</v>
      </c>
      <c r="FI849" s="1" t="s">
        <v>161</v>
      </c>
      <c r="GD849" s="1" t="s">
        <v>193</v>
      </c>
      <c r="GE849" s="1" t="s">
        <v>190</v>
      </c>
    </row>
    <row r="850" spans="1:187" ht="11.25" customHeight="1">
      <c r="A850" s="1" t="s">
        <v>1356</v>
      </c>
      <c r="B850" s="1" t="str">
        <f ca="1">IFERROR(__xludf.DUMMYFUNCTION("GOOGLETRANSLATE(A850, ""en"", ""fr"")"),"Away # 1")</f>
        <v>Away # 1</v>
      </c>
      <c r="C850" s="1" t="s">
        <v>185</v>
      </c>
      <c r="DA850" s="1" t="s">
        <v>101</v>
      </c>
      <c r="GB850" s="1" t="s">
        <v>180</v>
      </c>
      <c r="GD850" s="1" t="s">
        <v>1357</v>
      </c>
      <c r="GE850" s="1" t="s">
        <v>1358</v>
      </c>
    </row>
    <row r="851" spans="1:187" ht="11.25" customHeight="1">
      <c r="A851" s="1" t="s">
        <v>1359</v>
      </c>
      <c r="B851" s="1" t="str">
        <f ca="1">IFERROR(__xludf.DUMMYFUNCTION("GOOGLETRANSLATE(A851, ""en"", ""fr"")"),"Away # 2")</f>
        <v>Away # 2</v>
      </c>
      <c r="C851" s="1" t="s">
        <v>185</v>
      </c>
      <c r="CE851" s="1" t="s">
        <v>79</v>
      </c>
      <c r="DN851" s="1" t="s">
        <v>114</v>
      </c>
      <c r="GD851" s="1" t="s">
        <v>189</v>
      </c>
      <c r="GE851" s="1" t="s">
        <v>1360</v>
      </c>
    </row>
    <row r="852" spans="1:187" ht="11.25" customHeight="1">
      <c r="A852" s="1" t="s">
        <v>1361</v>
      </c>
      <c r="B852" s="1" t="str">
        <f ca="1">IFERROR(__xludf.DUMMYFUNCTION("GOOGLETRANSLATE(A852, ""en"", ""fr"")"),"Away # 3")</f>
        <v>Away # 3</v>
      </c>
      <c r="C852" s="1" t="s">
        <v>185</v>
      </c>
      <c r="W852" s="1" t="s">
        <v>19</v>
      </c>
      <c r="CY852" s="1" t="s">
        <v>99</v>
      </c>
      <c r="GB852" s="1" t="s">
        <v>180</v>
      </c>
      <c r="GD852" s="1" t="s">
        <v>236</v>
      </c>
      <c r="GE852" s="1" t="s">
        <v>1362</v>
      </c>
    </row>
    <row r="853" spans="1:187" ht="11.25" customHeight="1">
      <c r="A853" s="1" t="s">
        <v>1363</v>
      </c>
      <c r="B853" s="1" t="str">
        <f ca="1">IFERROR(__xludf.DUMMYFUNCTION("GOOGLETRANSLATE(A853, ""en"", ""fr"")"),"Away # 4")</f>
        <v>Away # 4</v>
      </c>
      <c r="C853" s="1" t="s">
        <v>185</v>
      </c>
      <c r="GD853" s="1" t="s">
        <v>225</v>
      </c>
      <c r="GE853" s="1" t="s">
        <v>1364</v>
      </c>
    </row>
    <row r="854" spans="1:187" ht="11.25" customHeight="1">
      <c r="A854" s="1" t="s">
        <v>1365</v>
      </c>
      <c r="B854" s="1" t="str">
        <f ca="1">IFERROR(__xludf.DUMMYFUNCTION("GOOGLETRANSLATE(A854, ""en"", ""fr"")"),"ADMIRATION")</f>
        <v>ADMIRATION</v>
      </c>
      <c r="C854" s="1" t="s">
        <v>185</v>
      </c>
      <c r="M854" s="1" t="s">
        <v>9</v>
      </c>
      <c r="S854" s="1" t="s">
        <v>15</v>
      </c>
      <c r="T854" s="1" t="s">
        <v>16</v>
      </c>
      <c r="EF854" s="1" t="s">
        <v>132</v>
      </c>
      <c r="EJ854" s="1" t="s">
        <v>136</v>
      </c>
      <c r="GD854" s="1" t="s">
        <v>193</v>
      </c>
      <c r="GE854" s="1" t="s">
        <v>190</v>
      </c>
    </row>
    <row r="855" spans="1:187" ht="11.25" customHeight="1">
      <c r="A855" s="1" t="s">
        <v>1366</v>
      </c>
      <c r="B855" s="1" t="str">
        <f ca="1">IFERROR(__xludf.DUMMYFUNCTION("GOOGLETRANSLATE(A855, ""en"", ""fr"")"),"Horrible # 1")</f>
        <v>Horrible # 1</v>
      </c>
      <c r="C855" s="1" t="s">
        <v>185</v>
      </c>
      <c r="E855" s="1" t="s">
        <v>16613</v>
      </c>
      <c r="H855" s="1" t="s">
        <v>4</v>
      </c>
      <c r="J855" s="1" t="s">
        <v>6</v>
      </c>
      <c r="V855" s="1" t="s">
        <v>18</v>
      </c>
      <c r="W855" s="1" t="s">
        <v>19</v>
      </c>
      <c r="CN855" s="1" t="s">
        <v>88</v>
      </c>
      <c r="FW855" s="1" t="s">
        <v>175</v>
      </c>
      <c r="GD855" s="1" t="s">
        <v>202</v>
      </c>
      <c r="GE855" s="1" t="s">
        <v>1367</v>
      </c>
    </row>
    <row r="856" spans="1:187" ht="11.25" customHeight="1">
      <c r="A856" s="1" t="s">
        <v>1368</v>
      </c>
      <c r="B856" s="1" t="str">
        <f ca="1">IFERROR(__xludf.DUMMYFUNCTION("GOOGLETRANSLATE(A856, ""en"", ""fr"")"),"Horrible # 2")</f>
        <v>Horrible # 2</v>
      </c>
      <c r="C856" s="1" t="s">
        <v>185</v>
      </c>
      <c r="W856" s="1" t="s">
        <v>19</v>
      </c>
      <c r="CS856" s="1" t="s">
        <v>93</v>
      </c>
      <c r="GD856" s="1" t="s">
        <v>202</v>
      </c>
      <c r="GE856" s="1" t="s">
        <v>1369</v>
      </c>
    </row>
    <row r="857" spans="1:187" ht="11.25" customHeight="1">
      <c r="A857" s="1" t="s">
        <v>1370</v>
      </c>
      <c r="B857" s="1" t="str">
        <f ca="1">IFERROR(__xludf.DUMMYFUNCTION("GOOGLETRANSLATE(A857, ""en"", ""fr"")"),"Horrible # 3")</f>
        <v>Horrible # 3</v>
      </c>
      <c r="C857" s="1" t="s">
        <v>185</v>
      </c>
      <c r="W857" s="1" t="s">
        <v>19</v>
      </c>
      <c r="CS857" s="1" t="s">
        <v>93</v>
      </c>
      <c r="FW857" s="1" t="s">
        <v>175</v>
      </c>
      <c r="GD857" s="1" t="s">
        <v>236</v>
      </c>
      <c r="GE857" s="1" t="s">
        <v>1371</v>
      </c>
    </row>
    <row r="858" spans="1:187" ht="11.25" customHeight="1">
      <c r="A858" s="1" t="s">
        <v>1372</v>
      </c>
      <c r="B858" s="1" t="str">
        <f ca="1">IFERROR(__xludf.DUMMYFUNCTION("GOOGLETRANSLATE(A858, ""en"", ""fr"")"),"QUELQUE TEMPS")</f>
        <v>QUELQUE TEMPS</v>
      </c>
      <c r="C858" s="1" t="s">
        <v>185</v>
      </c>
      <c r="X858" s="1" t="s">
        <v>20</v>
      </c>
      <c r="CY858" s="1" t="s">
        <v>99</v>
      </c>
      <c r="GB858" s="1" t="s">
        <v>180</v>
      </c>
      <c r="GD858" s="1" t="s">
        <v>236</v>
      </c>
      <c r="GE858" s="1" t="s">
        <v>190</v>
      </c>
    </row>
    <row r="859" spans="1:187" ht="11.25" customHeight="1">
      <c r="A859" s="1" t="s">
        <v>1373</v>
      </c>
      <c r="B859" s="1" t="str">
        <f ca="1">IFERROR(__xludf.DUMMYFUNCTION("GOOGLETRANSLATE(A859, ""en"", ""fr"")"),"MALADROIT")</f>
        <v>MALADROIT</v>
      </c>
      <c r="C859" s="1" t="s">
        <v>185</v>
      </c>
      <c r="E859" s="1" t="s">
        <v>16613</v>
      </c>
      <c r="H859" s="1" t="s">
        <v>4</v>
      </c>
      <c r="L859" s="1" t="s">
        <v>8</v>
      </c>
      <c r="V859" s="1" t="s">
        <v>18</v>
      </c>
      <c r="CN859" s="1" t="s">
        <v>88</v>
      </c>
      <c r="FW859" s="1" t="s">
        <v>175</v>
      </c>
      <c r="GD859" s="1" t="s">
        <v>202</v>
      </c>
      <c r="GE859" s="1" t="s">
        <v>190</v>
      </c>
    </row>
    <row r="860" spans="1:187" ht="11.25" customHeight="1">
      <c r="A860" s="1" t="s">
        <v>1374</v>
      </c>
      <c r="B860" s="1" t="str">
        <f ca="1">IFERROR(__xludf.DUMMYFUNCTION("GOOGLETRANSLATE(A860, ""en"", ""fr"")"),"MALADRESSE")</f>
        <v>MALADRESSE</v>
      </c>
      <c r="C860" s="1" t="s">
        <v>192</v>
      </c>
      <c r="E860" s="1" t="s">
        <v>16613</v>
      </c>
      <c r="L860" s="1" t="s">
        <v>8</v>
      </c>
      <c r="V860" s="1" t="s">
        <v>18</v>
      </c>
      <c r="GD860" s="1" t="s">
        <v>193</v>
      </c>
      <c r="GE860" s="1" t="s">
        <v>190</v>
      </c>
    </row>
    <row r="861" spans="1:187" ht="11.25" customHeight="1">
      <c r="A861" s="1" t="s">
        <v>1375</v>
      </c>
      <c r="B861" s="1" t="str">
        <f ca="1">IFERROR(__xludf.DUMMYFUNCTION("GOOGLETRANSLATE(A861, ""en"", ""fr"")"),"Réveillé # 1")</f>
        <v>Réveillé # 1</v>
      </c>
      <c r="C861" s="1" t="s">
        <v>192</v>
      </c>
      <c r="GD861" s="1" t="s">
        <v>1085</v>
      </c>
      <c r="GE861" s="1" t="s">
        <v>190</v>
      </c>
    </row>
    <row r="862" spans="1:187" ht="11.25" customHeight="1">
      <c r="A862" s="1" t="s">
        <v>1376</v>
      </c>
      <c r="B862" s="1" t="str">
        <f ca="1">IFERROR(__xludf.DUMMYFUNCTION("GOOGLETRANSLATE(A862, ""en"", ""fr"")"),"HACHE")</f>
        <v>HACHE</v>
      </c>
      <c r="C862" s="1" t="s">
        <v>192</v>
      </c>
      <c r="E862" s="1" t="s">
        <v>16613</v>
      </c>
      <c r="K862" s="1" t="s">
        <v>7</v>
      </c>
      <c r="N862" s="1" t="s">
        <v>10</v>
      </c>
      <c r="AE862" s="1" t="s">
        <v>27</v>
      </c>
      <c r="AL862" s="1" t="s">
        <v>34</v>
      </c>
      <c r="DN862" s="1" t="s">
        <v>114</v>
      </c>
      <c r="GD862" s="1" t="s">
        <v>189</v>
      </c>
      <c r="GE862" s="1" t="s">
        <v>190</v>
      </c>
    </row>
    <row r="863" spans="1:187" ht="11.25" customHeight="1">
      <c r="A863" s="1" t="s">
        <v>1377</v>
      </c>
      <c r="B863" s="1" t="str">
        <f ca="1">IFERROR(__xludf.DUMMYFUNCTION("GOOGLETRANSLATE(A863, ""en"", ""fr"")"),"HACHE")</f>
        <v>HACHE</v>
      </c>
      <c r="C863" s="1" t="s">
        <v>185</v>
      </c>
      <c r="J863" s="1" t="s">
        <v>6</v>
      </c>
      <c r="BC863" s="1" t="s">
        <v>51</v>
      </c>
      <c r="BD863" s="1" t="s">
        <v>52</v>
      </c>
      <c r="GD863" s="1" t="s">
        <v>193</v>
      </c>
      <c r="GE863" s="1" t="s">
        <v>1378</v>
      </c>
    </row>
    <row r="864" spans="1:187" ht="11.25" customHeight="1">
      <c r="A864" s="1" t="s">
        <v>1379</v>
      </c>
      <c r="B864" s="1" t="str">
        <f ca="1">IFERROR(__xludf.DUMMYFUNCTION("GOOGLETRANSLATE(A864, ""en"", ""fr"")"),"AXE")</f>
        <v>AXE</v>
      </c>
      <c r="C864" s="1" t="s">
        <v>185</v>
      </c>
      <c r="DA864" s="1" t="s">
        <v>101</v>
      </c>
      <c r="GD864" s="1" t="s">
        <v>193</v>
      </c>
      <c r="GE864" s="1" t="s">
        <v>190</v>
      </c>
    </row>
    <row r="865" spans="1:187" ht="11.25" customHeight="1">
      <c r="A865" s="1" t="s">
        <v>1380</v>
      </c>
      <c r="B865" s="1" t="str">
        <f ca="1">IFERROR(__xludf.DUMMYFUNCTION("GOOGLETRANSLATE(A865, ""en"", ""fr"")"),"ESSIEU")</f>
        <v>ESSIEU</v>
      </c>
      <c r="C865" s="1" t="s">
        <v>185</v>
      </c>
      <c r="BC865" s="1" t="s">
        <v>51</v>
      </c>
      <c r="BD865" s="1" t="s">
        <v>52</v>
      </c>
      <c r="GD865" s="1" t="s">
        <v>193</v>
      </c>
      <c r="GE865" s="1" t="s">
        <v>190</v>
      </c>
    </row>
    <row r="866" spans="1:187" ht="11.25" customHeight="1">
      <c r="A866" s="1" t="s">
        <v>1381</v>
      </c>
      <c r="B866" s="1" t="str">
        <f ca="1">IFERROR(__xludf.DUMMYFUNCTION("GOOGLETRANSLATE(A866, ""en"", ""fr"")"),"BABILLER")</f>
        <v>BABILLER</v>
      </c>
      <c r="C866" s="1" t="s">
        <v>192</v>
      </c>
      <c r="E866" s="1" t="s">
        <v>16613</v>
      </c>
      <c r="N866" s="1" t="s">
        <v>10</v>
      </c>
      <c r="BK866" s="1" t="s">
        <v>59</v>
      </c>
      <c r="DO866" s="1" t="s">
        <v>115</v>
      </c>
      <c r="GD866" s="1" t="s">
        <v>189</v>
      </c>
      <c r="GE866" s="1" t="s">
        <v>190</v>
      </c>
    </row>
    <row r="867" spans="1:187" ht="11.25" customHeight="1">
      <c r="A867" s="1" t="s">
        <v>1382</v>
      </c>
      <c r="B867" s="1" t="str">
        <f ca="1">IFERROR(__xludf.DUMMYFUNCTION("GOOGLETRANSLATE(A867, ""en"", ""fr"")"),"Bébé n ° 1")</f>
        <v>Bébé n ° 1</v>
      </c>
      <c r="C867" s="1" t="s">
        <v>185</v>
      </c>
      <c r="L867" s="1" t="s">
        <v>8</v>
      </c>
      <c r="AJ867" s="1" t="s">
        <v>32</v>
      </c>
      <c r="AS867" s="1" t="s">
        <v>41</v>
      </c>
      <c r="AT867" s="1" t="s">
        <v>42</v>
      </c>
      <c r="FB867" s="1" t="s">
        <v>154</v>
      </c>
      <c r="FC867" s="1" t="s">
        <v>155</v>
      </c>
      <c r="GD867" s="1" t="s">
        <v>1383</v>
      </c>
      <c r="GE867" s="1" t="s">
        <v>1384</v>
      </c>
    </row>
    <row r="868" spans="1:187" ht="11.25" customHeight="1">
      <c r="A868" s="1" t="s">
        <v>1385</v>
      </c>
      <c r="B868" s="1" t="str">
        <f ca="1">IFERROR(__xludf.DUMMYFUNCTION("GOOGLETRANSLATE(A868, ""en"", ""fr"")"),"Bébé n ° 2")</f>
        <v>Bébé n ° 2</v>
      </c>
      <c r="C868" s="1" t="s">
        <v>185</v>
      </c>
      <c r="AA868" s="1" t="s">
        <v>23</v>
      </c>
      <c r="AJ868" s="1" t="s">
        <v>32</v>
      </c>
      <c r="AT868" s="1" t="s">
        <v>42</v>
      </c>
      <c r="FB868" s="1" t="s">
        <v>154</v>
      </c>
      <c r="FC868" s="1" t="s">
        <v>155</v>
      </c>
      <c r="GD868" s="1" t="s">
        <v>193</v>
      </c>
      <c r="GE868" s="1" t="s">
        <v>1386</v>
      </c>
    </row>
    <row r="869" spans="1:187" ht="11.25" customHeight="1">
      <c r="A869" s="1" t="s">
        <v>1387</v>
      </c>
      <c r="B869" s="1" t="str">
        <f ca="1">IFERROR(__xludf.DUMMYFUNCTION("GOOGLETRANSLATE(A869, ""en"", ""fr"")"),"Bébé n ° 3")</f>
        <v>Bébé n ° 3</v>
      </c>
      <c r="C869" s="1" t="s">
        <v>185</v>
      </c>
      <c r="G869" s="1" t="s">
        <v>3</v>
      </c>
      <c r="U869" s="1" t="s">
        <v>17</v>
      </c>
      <c r="ER869" s="1" t="s">
        <v>144</v>
      </c>
      <c r="ES869" s="1" t="s">
        <v>145</v>
      </c>
      <c r="GD869" s="1" t="s">
        <v>193</v>
      </c>
      <c r="GE869" s="1" t="s">
        <v>1388</v>
      </c>
    </row>
    <row r="870" spans="1:187" ht="11.25" customHeight="1">
      <c r="A870" s="1" t="s">
        <v>1389</v>
      </c>
      <c r="B870" s="1" t="str">
        <f ca="1">IFERROR(__xludf.DUMMYFUNCTION("GOOGLETRANSLATE(A870, ""en"", ""fr"")"),"CÉLIBATAIRE")</f>
        <v>CÉLIBATAIRE</v>
      </c>
      <c r="C870" s="1" t="s">
        <v>185</v>
      </c>
      <c r="AJ870" s="1" t="s">
        <v>32</v>
      </c>
      <c r="AQ870" s="1" t="s">
        <v>39</v>
      </c>
      <c r="AT870" s="1" t="s">
        <v>42</v>
      </c>
      <c r="EQ870" s="1" t="s">
        <v>143</v>
      </c>
      <c r="ES870" s="1" t="s">
        <v>145</v>
      </c>
      <c r="GD870" s="1" t="s">
        <v>193</v>
      </c>
      <c r="GE870" s="1" t="s">
        <v>190</v>
      </c>
    </row>
    <row r="871" spans="1:187" ht="11.25" customHeight="1">
      <c r="A871" s="1" t="s">
        <v>1390</v>
      </c>
      <c r="B871" s="1" t="str">
        <f ca="1">IFERROR(__xludf.DUMMYFUNCTION("GOOGLETRANSLATE(A871, ""en"", ""fr"")"),"Retour n ° 1")</f>
        <v>Retour n ° 1</v>
      </c>
      <c r="C871" s="1" t="s">
        <v>185</v>
      </c>
      <c r="CY871" s="1" t="s">
        <v>99</v>
      </c>
      <c r="GB871" s="1" t="s">
        <v>180</v>
      </c>
      <c r="GD871" s="1" t="s">
        <v>236</v>
      </c>
      <c r="GE871" s="1" t="s">
        <v>1391</v>
      </c>
    </row>
    <row r="872" spans="1:187" ht="11.25" customHeight="1">
      <c r="A872" s="1" t="s">
        <v>1392</v>
      </c>
      <c r="B872" s="1" t="str">
        <f ca="1">IFERROR(__xludf.DUMMYFUNCTION("GOOGLETRANSLATE(A872, ""en"", ""fr"")"),"Retour n ° 2")</f>
        <v>Retour n ° 2</v>
      </c>
      <c r="C872" s="1" t="s">
        <v>185</v>
      </c>
      <c r="D872" s="1" t="s">
        <v>16612</v>
      </c>
      <c r="F872" s="1" t="s">
        <v>2</v>
      </c>
      <c r="G872" s="1" t="s">
        <v>3</v>
      </c>
      <c r="J872" s="1" t="s">
        <v>6</v>
      </c>
      <c r="K872" s="1" t="s">
        <v>7</v>
      </c>
      <c r="N872" s="1" t="s">
        <v>10</v>
      </c>
      <c r="AN872" s="1" t="s">
        <v>36</v>
      </c>
      <c r="DN872" s="1" t="s">
        <v>114</v>
      </c>
      <c r="DS872" s="1" t="s">
        <v>119</v>
      </c>
      <c r="ED872" s="1" t="s">
        <v>130</v>
      </c>
      <c r="GD872" s="1" t="s">
        <v>189</v>
      </c>
      <c r="GE872" s="1" t="s">
        <v>1393</v>
      </c>
    </row>
    <row r="873" spans="1:187" ht="11.25" customHeight="1">
      <c r="A873" s="1" t="s">
        <v>1394</v>
      </c>
      <c r="B873" s="1" t="str">
        <f ca="1">IFERROR(__xludf.DUMMYFUNCTION("GOOGLETRANSLATE(A873, ""en"", ""fr"")"),"Retour n ° 3")</f>
        <v>Retour n ° 3</v>
      </c>
      <c r="C873" s="1" t="s">
        <v>185</v>
      </c>
      <c r="J873" s="1" t="s">
        <v>6</v>
      </c>
      <c r="N873" s="1" t="s">
        <v>10</v>
      </c>
      <c r="BT873" s="1" t="s">
        <v>68</v>
      </c>
      <c r="DN873" s="1" t="s">
        <v>114</v>
      </c>
      <c r="DT873" s="1" t="s">
        <v>120</v>
      </c>
      <c r="ED873" s="1" t="s">
        <v>130</v>
      </c>
      <c r="GD873" s="1" t="s">
        <v>189</v>
      </c>
      <c r="GE873" s="1" t="s">
        <v>1395</v>
      </c>
    </row>
    <row r="874" spans="1:187" ht="11.25" customHeight="1">
      <c r="A874" s="1" t="s">
        <v>1396</v>
      </c>
      <c r="B874" s="1" t="str">
        <f ca="1">IFERROR(__xludf.DUMMYFUNCTION("GOOGLETRANSLATE(A874, ""en"", ""fr"")"),"Retour n ° 4")</f>
        <v>Retour n ° 4</v>
      </c>
      <c r="C874" s="1" t="s">
        <v>185</v>
      </c>
      <c r="BJ874" s="1" t="s">
        <v>58</v>
      </c>
      <c r="GB874" s="1" t="s">
        <v>180</v>
      </c>
      <c r="GD874" s="1" t="s">
        <v>193</v>
      </c>
      <c r="GE874" s="1" t="s">
        <v>1397</v>
      </c>
    </row>
    <row r="875" spans="1:187" ht="11.25" customHeight="1">
      <c r="A875" s="1" t="s">
        <v>1398</v>
      </c>
      <c r="B875" s="1" t="str">
        <f ca="1">IFERROR(__xludf.DUMMYFUNCTION("GOOGLETRANSLATE(A875, ""en"", ""fr"")"),"Retour n ° 5")</f>
        <v>Retour n ° 5</v>
      </c>
      <c r="C875" s="1" t="s">
        <v>185</v>
      </c>
      <c r="D875" s="1" t="s">
        <v>16612</v>
      </c>
      <c r="F875" s="1" t="s">
        <v>2</v>
      </c>
      <c r="G875" s="1" t="s">
        <v>3</v>
      </c>
      <c r="J875" s="1" t="s">
        <v>6</v>
      </c>
      <c r="K875" s="1" t="s">
        <v>7</v>
      </c>
      <c r="N875" s="1" t="s">
        <v>10</v>
      </c>
      <c r="AN875" s="1" t="s">
        <v>36</v>
      </c>
      <c r="DS875" s="1" t="s">
        <v>119</v>
      </c>
      <c r="ED875" s="1" t="s">
        <v>130</v>
      </c>
      <c r="GD875" s="1" t="s">
        <v>193</v>
      </c>
      <c r="GE875" s="1" t="s">
        <v>1399</v>
      </c>
    </row>
    <row r="876" spans="1:187" ht="11.25" customHeight="1">
      <c r="A876" s="1" t="s">
        <v>1400</v>
      </c>
      <c r="B876" s="1" t="str">
        <f ca="1">IFERROR(__xludf.DUMMYFUNCTION("GOOGLETRANSLATE(A876, ""en"", ""fr"")"),"Retour n ° 6")</f>
        <v>Retour n ° 6</v>
      </c>
      <c r="C876" s="1" t="s">
        <v>185</v>
      </c>
      <c r="GD876" s="1" t="s">
        <v>225</v>
      </c>
      <c r="GE876" s="1" t="s">
        <v>1401</v>
      </c>
    </row>
    <row r="877" spans="1:187" ht="11.25" customHeight="1">
      <c r="A877" s="1" t="s">
        <v>1402</v>
      </c>
      <c r="B877" s="1" t="str">
        <f ca="1">IFERROR(__xludf.DUMMYFUNCTION("GOOGLETRANSLATE(A877, ""en"", ""fr"")"),"Retour n ° 7")</f>
        <v>Retour n ° 7</v>
      </c>
      <c r="C877" s="1" t="s">
        <v>185</v>
      </c>
      <c r="GD877" s="1" t="s">
        <v>225</v>
      </c>
      <c r="GE877" s="1" t="s">
        <v>1403</v>
      </c>
    </row>
    <row r="878" spans="1:187" ht="11.25" customHeight="1">
      <c r="A878" s="1" t="s">
        <v>1404</v>
      </c>
      <c r="B878" s="1" t="str">
        <f ca="1">IFERROR(__xludf.DUMMYFUNCTION("GOOGLETRANSLATE(A878, ""en"", ""fr"")"),"Retour n ° 8")</f>
        <v>Retour n ° 8</v>
      </c>
      <c r="C878" s="1" t="s">
        <v>185</v>
      </c>
      <c r="GD878" s="1" t="s">
        <v>225</v>
      </c>
      <c r="GE878" s="1" t="s">
        <v>1405</v>
      </c>
    </row>
    <row r="879" spans="1:187" ht="11.25" customHeight="1">
      <c r="A879" s="1" t="s">
        <v>1406</v>
      </c>
      <c r="B879" s="1" t="str">
        <f ca="1">IFERROR(__xludf.DUMMYFUNCTION("GOOGLETRANSLATE(A879, ""en"", ""fr"")"),"COLONNE VERTÉBRALE")</f>
        <v>COLONNE VERTÉBRALE</v>
      </c>
      <c r="C879" s="1" t="s">
        <v>192</v>
      </c>
      <c r="D879" s="1" t="s">
        <v>16612</v>
      </c>
      <c r="J879" s="1" t="s">
        <v>6</v>
      </c>
      <c r="K879" s="1" t="s">
        <v>7</v>
      </c>
      <c r="GD879" s="1" t="s">
        <v>193</v>
      </c>
      <c r="GE879" s="1" t="s">
        <v>190</v>
      </c>
    </row>
    <row r="880" spans="1:187" ht="11.25" customHeight="1">
      <c r="A880" s="1" t="s">
        <v>1407</v>
      </c>
      <c r="B880" s="1" t="str">
        <f ca="1">IFERROR(__xludf.DUMMYFUNCTION("GOOGLETRANSLATE(A880, ""en"", ""fr"")"),"Bailleur de fonds")</f>
        <v>Bailleur de fonds</v>
      </c>
      <c r="C880" s="1" t="s">
        <v>185</v>
      </c>
      <c r="D880" s="1" t="s">
        <v>16612</v>
      </c>
      <c r="F880" s="1" t="s">
        <v>2</v>
      </c>
      <c r="J880" s="1" t="s">
        <v>6</v>
      </c>
      <c r="AA880" s="1" t="s">
        <v>23</v>
      </c>
      <c r="AJ880" s="1" t="s">
        <v>32</v>
      </c>
      <c r="AT880" s="1" t="s">
        <v>42</v>
      </c>
      <c r="DX880" s="1" t="s">
        <v>124</v>
      </c>
      <c r="ED880" s="1" t="s">
        <v>130</v>
      </c>
      <c r="GD880" s="1" t="s">
        <v>193</v>
      </c>
      <c r="GE880" s="1" t="s">
        <v>190</v>
      </c>
    </row>
    <row r="881" spans="1:187" ht="11.25" customHeight="1">
      <c r="A881" s="1" t="s">
        <v>1408</v>
      </c>
      <c r="B881" s="1" t="str">
        <f ca="1">IFERROR(__xludf.DUMMYFUNCTION("GOOGLETRANSLATE(A881, ""en"", ""fr"")"),"ARRIÈRE-PLAN")</f>
        <v>ARRIÈRE-PLAN</v>
      </c>
      <c r="C881" s="1" t="s">
        <v>185</v>
      </c>
      <c r="DA881" s="1" t="s">
        <v>101</v>
      </c>
      <c r="GB881" s="1" t="s">
        <v>180</v>
      </c>
      <c r="GD881" s="1" t="s">
        <v>193</v>
      </c>
      <c r="GE881" s="1" t="s">
        <v>190</v>
      </c>
    </row>
    <row r="882" spans="1:187" ht="11.25" customHeight="1">
      <c r="A882" s="1" t="s">
        <v>1409</v>
      </c>
      <c r="B882" s="1" t="str">
        <f ca="1">IFERROR(__xludf.DUMMYFUNCTION("GOOGLETRANSLATE(A882, ""en"", ""fr"")"),"SUPPORT")</f>
        <v>SUPPORT</v>
      </c>
      <c r="C882" s="1" t="s">
        <v>192</v>
      </c>
      <c r="D882" s="1" t="s">
        <v>16612</v>
      </c>
      <c r="G882" s="1" t="s">
        <v>3</v>
      </c>
      <c r="GD882" s="1" t="s">
        <v>193</v>
      </c>
      <c r="GE882" s="1" t="s">
        <v>190</v>
      </c>
    </row>
    <row r="883" spans="1:187" ht="11.25" customHeight="1">
      <c r="A883" s="1" t="s">
        <v>1410</v>
      </c>
      <c r="B883" s="1" t="str">
        <f ca="1">IFERROR(__xludf.DUMMYFUNCTION("GOOGLETRANSLATE(A883, ""en"", ""fr"")"),"En arrière")</f>
        <v>En arrière</v>
      </c>
      <c r="C883" s="1" t="s">
        <v>185</v>
      </c>
      <c r="E883" s="1" t="s">
        <v>16613</v>
      </c>
      <c r="H883" s="1" t="s">
        <v>4</v>
      </c>
      <c r="L883" s="1" t="s">
        <v>8</v>
      </c>
      <c r="AC883" s="1" t="s">
        <v>25</v>
      </c>
      <c r="DA883" s="1" t="s">
        <v>101</v>
      </c>
      <c r="GB883" s="1" t="s">
        <v>180</v>
      </c>
      <c r="GD883" s="1" t="s">
        <v>236</v>
      </c>
      <c r="GE883" s="1" t="s">
        <v>190</v>
      </c>
    </row>
    <row r="884" spans="1:187" ht="11.25" customHeight="1">
      <c r="A884" s="1" t="s">
        <v>1411</v>
      </c>
      <c r="B884" s="1" t="str">
        <f ca="1">IFERROR(__xludf.DUMMYFUNCTION("GOOGLETRANSLATE(A884, ""en"", ""fr"")"),"Arriéré")</f>
        <v>Arriéré</v>
      </c>
      <c r="C884" s="1" t="s">
        <v>185</v>
      </c>
      <c r="E884" s="1" t="s">
        <v>16613</v>
      </c>
      <c r="H884" s="1" t="s">
        <v>4</v>
      </c>
      <c r="L884" s="1" t="s">
        <v>8</v>
      </c>
      <c r="V884" s="1" t="s">
        <v>18</v>
      </c>
      <c r="AC884" s="1" t="s">
        <v>25</v>
      </c>
      <c r="EV884" s="1" t="s">
        <v>148</v>
      </c>
      <c r="EW884" s="1" t="s">
        <v>149</v>
      </c>
      <c r="GD884" s="1" t="s">
        <v>193</v>
      </c>
      <c r="GE884" s="1" t="s">
        <v>190</v>
      </c>
    </row>
    <row r="885" spans="1:187" ht="11.25" customHeight="1">
      <c r="A885" s="1" t="s">
        <v>1412</v>
      </c>
      <c r="B885" s="1" t="str">
        <f ca="1">IFERROR(__xludf.DUMMYFUNCTION("GOOGLETRANSLATE(A885, ""en"", ""fr"")"),"LARD")</f>
        <v>LARD</v>
      </c>
      <c r="C885" s="1" t="s">
        <v>185</v>
      </c>
      <c r="BC885" s="1" t="s">
        <v>51</v>
      </c>
      <c r="BE885" s="1" t="s">
        <v>53</v>
      </c>
      <c r="GD885" s="1" t="s">
        <v>193</v>
      </c>
      <c r="GE885" s="1" t="s">
        <v>190</v>
      </c>
    </row>
    <row r="886" spans="1:187" ht="11.25" customHeight="1">
      <c r="A886" s="1" t="s">
        <v>1413</v>
      </c>
      <c r="B886" s="1" t="str">
        <f ca="1">IFERROR(__xludf.DUMMYFUNCTION("GOOGLETRANSLATE(A886, ""en"", ""fr"")"),"MAUVAIS")</f>
        <v>MAUVAIS</v>
      </c>
      <c r="C886" s="1" t="s">
        <v>185</v>
      </c>
      <c r="E886" s="1" t="s">
        <v>16613</v>
      </c>
      <c r="H886" s="1" t="s">
        <v>4</v>
      </c>
      <c r="V886" s="1" t="s">
        <v>18</v>
      </c>
      <c r="W886" s="1" t="s">
        <v>19</v>
      </c>
      <c r="CN886" s="1" t="s">
        <v>88</v>
      </c>
      <c r="FW886" s="1" t="s">
        <v>175</v>
      </c>
      <c r="GD886" s="1" t="s">
        <v>202</v>
      </c>
      <c r="GE886" s="1" t="s">
        <v>1414</v>
      </c>
    </row>
    <row r="887" spans="1:187" ht="11.25" customHeight="1">
      <c r="A887" s="1" t="s">
        <v>1415</v>
      </c>
      <c r="B887" s="1" t="str">
        <f ca="1">IFERROR(__xludf.DUMMYFUNCTION("GOOGLETRANSLATE(A887, ""en"", ""fr"")"),"BLAIREAU")</f>
        <v>BLAIREAU</v>
      </c>
      <c r="C887" s="1" t="s">
        <v>185</v>
      </c>
      <c r="AU887" s="1" t="s">
        <v>43</v>
      </c>
      <c r="GD887" s="1" t="s">
        <v>193</v>
      </c>
      <c r="GE887" s="1" t="s">
        <v>1416</v>
      </c>
    </row>
    <row r="888" spans="1:187" ht="11.25" customHeight="1">
      <c r="A888" s="1" t="s">
        <v>1417</v>
      </c>
      <c r="B888" s="1" t="str">
        <f ca="1">IFERROR(__xludf.DUMMYFUNCTION("GOOGLETRANSLATE(A888, ""en"", ""fr"")"),"MAL")</f>
        <v>MAL</v>
      </c>
      <c r="C888" s="1" t="s">
        <v>185</v>
      </c>
      <c r="E888" s="1" t="s">
        <v>16613</v>
      </c>
      <c r="H888" s="1" t="s">
        <v>4</v>
      </c>
      <c r="V888" s="1" t="s">
        <v>18</v>
      </c>
      <c r="W888" s="1" t="s">
        <v>19</v>
      </c>
      <c r="CN888" s="1" t="s">
        <v>88</v>
      </c>
      <c r="FW888" s="1" t="s">
        <v>175</v>
      </c>
      <c r="GD888" s="1" t="s">
        <v>202</v>
      </c>
      <c r="GE888" s="1" t="s">
        <v>190</v>
      </c>
    </row>
    <row r="889" spans="1:187" ht="11.25" customHeight="1">
      <c r="A889" s="1" t="s">
        <v>1418</v>
      </c>
      <c r="B889" s="1" t="str">
        <f ca="1">IFERROR(__xludf.DUMMYFUNCTION("GOOGLETRANSLATE(A889, ""en"", ""fr"")"),"BAFFLE")</f>
        <v>BAFFLE</v>
      </c>
      <c r="C889" s="1" t="s">
        <v>185</v>
      </c>
      <c r="E889" s="1" t="s">
        <v>16613</v>
      </c>
      <c r="H889" s="1" t="s">
        <v>4</v>
      </c>
      <c r="X889" s="1" t="s">
        <v>20</v>
      </c>
      <c r="CO889" s="1" t="s">
        <v>89</v>
      </c>
      <c r="DN889" s="1" t="s">
        <v>114</v>
      </c>
      <c r="FE889" s="1" t="s">
        <v>157</v>
      </c>
      <c r="FI889" s="1" t="s">
        <v>161</v>
      </c>
      <c r="GD889" s="1" t="s">
        <v>189</v>
      </c>
      <c r="GE889" s="1" t="s">
        <v>190</v>
      </c>
    </row>
    <row r="890" spans="1:187" ht="11.25" customHeight="1">
      <c r="A890" s="1" t="s">
        <v>1419</v>
      </c>
      <c r="B890" s="1" t="str">
        <f ca="1">IFERROR(__xludf.DUMMYFUNCTION("GOOGLETRANSLATE(A890, ""en"", ""fr"")"),"Perplexité")</f>
        <v>Perplexité</v>
      </c>
      <c r="C890" s="1" t="s">
        <v>185</v>
      </c>
      <c r="E890" s="1" t="s">
        <v>16613</v>
      </c>
      <c r="H890" s="1" t="s">
        <v>4</v>
      </c>
      <c r="X890" s="1" t="s">
        <v>20</v>
      </c>
      <c r="CH890" s="1" t="s">
        <v>82</v>
      </c>
      <c r="FE890" s="1" t="s">
        <v>157</v>
      </c>
      <c r="FI890" s="1" t="s">
        <v>161</v>
      </c>
      <c r="GD890" s="1" t="s">
        <v>193</v>
      </c>
      <c r="GE890" s="1" t="s">
        <v>190</v>
      </c>
    </row>
    <row r="891" spans="1:187" ht="11.25" customHeight="1">
      <c r="A891" s="1" t="s">
        <v>1420</v>
      </c>
      <c r="B891" s="1" t="str">
        <f ca="1">IFERROR(__xludf.DUMMYFUNCTION("GOOGLETRANSLATE(A891, ""en"", ""fr"")"),"Sac n ° 1")</f>
        <v>Sac n ° 1</v>
      </c>
      <c r="C891" s="1" t="s">
        <v>185</v>
      </c>
      <c r="BC891" s="1" t="s">
        <v>51</v>
      </c>
      <c r="BD891" s="1" t="s">
        <v>52</v>
      </c>
      <c r="GD891" s="1" t="s">
        <v>193</v>
      </c>
      <c r="GE891" s="1" t="s">
        <v>1421</v>
      </c>
    </row>
    <row r="892" spans="1:187" ht="11.25" customHeight="1">
      <c r="A892" s="1" t="s">
        <v>1422</v>
      </c>
      <c r="B892" s="1" t="str">
        <f ca="1">IFERROR(__xludf.DUMMYFUNCTION("GOOGLETRANSLATE(A892, ""en"", ""fr"")"),"Sac n ° 2")</f>
        <v>Sac n ° 2</v>
      </c>
      <c r="C892" s="1" t="s">
        <v>185</v>
      </c>
      <c r="CF892" s="1" t="s">
        <v>80</v>
      </c>
      <c r="DN892" s="1" t="s">
        <v>114</v>
      </c>
      <c r="GD892" s="1" t="s">
        <v>400</v>
      </c>
      <c r="GE892" s="1" t="s">
        <v>1423</v>
      </c>
    </row>
    <row r="893" spans="1:187" ht="11.25" customHeight="1">
      <c r="A893" s="1" t="s">
        <v>1424</v>
      </c>
      <c r="B893" s="1" t="str">
        <f ca="1">IFERROR(__xludf.DUMMYFUNCTION("GOOGLETRANSLATE(A893, ""en"", ""fr"")"),"CAUTION")</f>
        <v>CAUTION</v>
      </c>
      <c r="C893" s="1" t="s">
        <v>192</v>
      </c>
      <c r="E893" s="1" t="s">
        <v>16613</v>
      </c>
      <c r="L893" s="1" t="s">
        <v>8</v>
      </c>
      <c r="N893" s="1" t="s">
        <v>10</v>
      </c>
      <c r="BT893" s="1" t="s">
        <v>68</v>
      </c>
      <c r="DN893" s="1" t="s">
        <v>114</v>
      </c>
      <c r="GD893" s="1" t="s">
        <v>189</v>
      </c>
      <c r="GE893" s="1" t="s">
        <v>190</v>
      </c>
    </row>
    <row r="894" spans="1:187" ht="11.25" customHeight="1">
      <c r="A894" s="1" t="s">
        <v>1425</v>
      </c>
      <c r="B894" s="1" t="str">
        <f ca="1">IFERROR(__xludf.DUMMYFUNCTION("GOOGLETRANSLATE(A894, ""en"", ""fr"")"),"APPÂT")</f>
        <v>APPÂT</v>
      </c>
      <c r="C894" s="1" t="s">
        <v>192</v>
      </c>
      <c r="E894" s="1" t="s">
        <v>16613</v>
      </c>
      <c r="N894" s="1" t="s">
        <v>10</v>
      </c>
      <c r="BK894" s="1" t="s">
        <v>59</v>
      </c>
      <c r="DN894" s="1" t="s">
        <v>114</v>
      </c>
      <c r="GD894" s="1" t="s">
        <v>670</v>
      </c>
      <c r="GE894" s="1" t="s">
        <v>190</v>
      </c>
    </row>
    <row r="895" spans="1:187" ht="11.25" customHeight="1">
      <c r="A895" s="1" t="s">
        <v>1426</v>
      </c>
      <c r="B895" s="1" t="str">
        <f ca="1">IFERROR(__xludf.DUMMYFUNCTION("GOOGLETRANSLATE(A895, ""en"", ""fr"")"),"CUIRE")</f>
        <v>CUIRE</v>
      </c>
      <c r="C895" s="1" t="s">
        <v>185</v>
      </c>
      <c r="AL895" s="1" t="s">
        <v>34</v>
      </c>
      <c r="DO895" s="1" t="s">
        <v>115</v>
      </c>
      <c r="FL895" s="1" t="s">
        <v>164</v>
      </c>
      <c r="FM895" s="1" t="s">
        <v>418</v>
      </c>
      <c r="GD895" s="1" t="s">
        <v>189</v>
      </c>
      <c r="GE895" s="1" t="s">
        <v>190</v>
      </c>
    </row>
    <row r="896" spans="1:187" ht="11.25" customHeight="1">
      <c r="A896" s="1" t="s">
        <v>1427</v>
      </c>
      <c r="B896" s="1" t="str">
        <f ca="1">IFERROR(__xludf.DUMMYFUNCTION("GOOGLETRANSLATE(A896, ""en"", ""fr"")"),"BOULANGER")</f>
        <v>BOULANGER</v>
      </c>
      <c r="C896" s="1" t="s">
        <v>185</v>
      </c>
      <c r="AA896" s="1" t="s">
        <v>23</v>
      </c>
      <c r="AJ896" s="1" t="s">
        <v>32</v>
      </c>
      <c r="AT896" s="1" t="s">
        <v>42</v>
      </c>
      <c r="FK896" s="1" t="s">
        <v>163</v>
      </c>
      <c r="FM896" s="1" t="s">
        <v>418</v>
      </c>
      <c r="GD896" s="1" t="s">
        <v>193</v>
      </c>
      <c r="GE896" s="1" t="s">
        <v>190</v>
      </c>
    </row>
    <row r="897" spans="1:187" ht="11.25" customHeight="1">
      <c r="A897" s="1" t="s">
        <v>1428</v>
      </c>
      <c r="B897" s="1" t="str">
        <f ca="1">IFERROR(__xludf.DUMMYFUNCTION("GOOGLETRANSLATE(A897, ""en"", ""fr"")"),"Équilibre n ° 1")</f>
        <v>Équilibre n ° 1</v>
      </c>
      <c r="C897" s="1" t="s">
        <v>185</v>
      </c>
      <c r="J897" s="1" t="s">
        <v>6</v>
      </c>
      <c r="BQ897" s="1" t="s">
        <v>65</v>
      </c>
      <c r="EC897" s="1" t="s">
        <v>129</v>
      </c>
      <c r="ED897" s="1" t="s">
        <v>130</v>
      </c>
      <c r="GD897" s="1" t="s">
        <v>202</v>
      </c>
      <c r="GE897" s="1" t="s">
        <v>190</v>
      </c>
    </row>
    <row r="898" spans="1:187" ht="11.25" customHeight="1">
      <c r="A898" s="1" t="s">
        <v>1429</v>
      </c>
      <c r="B898" s="1" t="str">
        <f ca="1">IFERROR(__xludf.DUMMYFUNCTION("GOOGLETRANSLATE(A898, ""en"", ""fr"")"),"Équilibre n ° 2")</f>
        <v>Équilibre n ° 2</v>
      </c>
      <c r="C898" s="1" t="s">
        <v>185</v>
      </c>
      <c r="J898" s="1" t="s">
        <v>6</v>
      </c>
      <c r="AL898" s="1" t="s">
        <v>34</v>
      </c>
      <c r="DO898" s="1" t="s">
        <v>115</v>
      </c>
      <c r="EC898" s="1" t="s">
        <v>129</v>
      </c>
      <c r="ED898" s="1" t="s">
        <v>130</v>
      </c>
      <c r="GD898" s="1" t="s">
        <v>189</v>
      </c>
      <c r="GE898" s="1" t="s">
        <v>190</v>
      </c>
    </row>
    <row r="899" spans="1:187" ht="11.25" customHeight="1">
      <c r="A899" s="1" t="s">
        <v>1430</v>
      </c>
      <c r="B899" s="1" t="str">
        <f ca="1">IFERROR(__xludf.DUMMYFUNCTION("GOOGLETRANSLATE(A899, ""en"", ""fr"")"),"BALLE")</f>
        <v>BALLE</v>
      </c>
      <c r="C899" s="1" t="s">
        <v>185</v>
      </c>
      <c r="BC899" s="1" t="s">
        <v>51</v>
      </c>
      <c r="BD899" s="1" t="s">
        <v>52</v>
      </c>
      <c r="EV899" s="1" t="s">
        <v>148</v>
      </c>
      <c r="EW899" s="1" t="s">
        <v>149</v>
      </c>
      <c r="GD899" s="1" t="s">
        <v>193</v>
      </c>
      <c r="GE899" s="1" t="s">
        <v>190</v>
      </c>
    </row>
    <row r="900" spans="1:187" ht="11.25" customHeight="1">
      <c r="A900" s="1" t="s">
        <v>1431</v>
      </c>
      <c r="B900" s="1" t="str">
        <f ca="1">IFERROR(__xludf.DUMMYFUNCTION("GOOGLETRANSLATE(A900, ""en"", ""fr"")"),"Rechigner")</f>
        <v>Rechigner</v>
      </c>
      <c r="C900" s="1" t="s">
        <v>192</v>
      </c>
      <c r="E900" s="1" t="s">
        <v>16613</v>
      </c>
      <c r="L900" s="1" t="s">
        <v>8</v>
      </c>
      <c r="O900" s="1" t="s">
        <v>11</v>
      </c>
      <c r="BT900" s="1" t="s">
        <v>68</v>
      </c>
      <c r="DN900" s="1" t="s">
        <v>114</v>
      </c>
      <c r="GD900" s="1" t="s">
        <v>189</v>
      </c>
      <c r="GE900" s="1" t="s">
        <v>190</v>
      </c>
    </row>
    <row r="901" spans="1:187" ht="11.25" customHeight="1">
      <c r="A901" s="1" t="s">
        <v>1432</v>
      </c>
      <c r="B901" s="1" t="str">
        <f ca="1">IFERROR(__xludf.DUMMYFUNCTION("GOOGLETRANSLATE(A901, ""en"", ""fr"")"),"Balle n ° 1")</f>
        <v>Balle n ° 1</v>
      </c>
      <c r="C901" s="1" t="s">
        <v>185</v>
      </c>
      <c r="BC901" s="1" t="s">
        <v>51</v>
      </c>
      <c r="BD901" s="1" t="s">
        <v>52</v>
      </c>
      <c r="GD901" s="1" t="s">
        <v>193</v>
      </c>
      <c r="GE901" s="1" t="s">
        <v>1433</v>
      </c>
    </row>
    <row r="902" spans="1:187" ht="11.25" customHeight="1">
      <c r="A902" s="1" t="s">
        <v>1434</v>
      </c>
      <c r="B902" s="1" t="str">
        <f ca="1">IFERROR(__xludf.DUMMYFUNCTION("GOOGLETRANSLATE(A902, ""en"", ""fr"")"),"Balle n ° 2")</f>
        <v>Balle n ° 2</v>
      </c>
      <c r="C902" s="1" t="s">
        <v>185</v>
      </c>
      <c r="AD902" s="1" t="s">
        <v>26</v>
      </c>
      <c r="AM902" s="1" t="s">
        <v>35</v>
      </c>
      <c r="GD902" s="1" t="s">
        <v>193</v>
      </c>
      <c r="GE902" s="1" t="s">
        <v>1435</v>
      </c>
    </row>
    <row r="903" spans="1:187" ht="11.25" customHeight="1">
      <c r="A903" s="1" t="s">
        <v>1436</v>
      </c>
      <c r="B903" s="1" t="str">
        <f ca="1">IFERROR(__xludf.DUMMYFUNCTION("GOOGLETRANSLATE(A903, ""en"", ""fr"")"),"Balle n ° 3")</f>
        <v>Balle n ° 3</v>
      </c>
      <c r="C903" s="1" t="s">
        <v>185</v>
      </c>
      <c r="AD903" s="1" t="s">
        <v>26</v>
      </c>
      <c r="AM903" s="1" t="s">
        <v>35</v>
      </c>
      <c r="EM903" s="1" t="s">
        <v>139</v>
      </c>
      <c r="EN903" s="1" t="s">
        <v>140</v>
      </c>
      <c r="GD903" s="1" t="s">
        <v>193</v>
      </c>
      <c r="GE903" s="1" t="s">
        <v>1437</v>
      </c>
    </row>
    <row r="904" spans="1:187" ht="11.25" customHeight="1">
      <c r="A904" s="1" t="s">
        <v>1438</v>
      </c>
      <c r="B904" s="1" t="str">
        <f ca="1">IFERROR(__xludf.DUMMYFUNCTION("GOOGLETRANSLATE(A904, ""en"", ""fr"")"),"Balle n ° 4")</f>
        <v>Balle n ° 4</v>
      </c>
      <c r="C904" s="1" t="s">
        <v>185</v>
      </c>
      <c r="J904" s="1" t="s">
        <v>6</v>
      </c>
      <c r="BJ904" s="1" t="s">
        <v>58</v>
      </c>
      <c r="EM904" s="1" t="s">
        <v>139</v>
      </c>
      <c r="EN904" s="1" t="s">
        <v>140</v>
      </c>
      <c r="GD904" s="1" t="s">
        <v>193</v>
      </c>
      <c r="GE904" s="1" t="s">
        <v>1439</v>
      </c>
    </row>
    <row r="905" spans="1:187" ht="11.25" customHeight="1">
      <c r="A905" s="1" t="s">
        <v>1440</v>
      </c>
      <c r="B905" s="1" t="str">
        <f ca="1">IFERROR(__xludf.DUMMYFUNCTION("GOOGLETRANSLATE(A905, ""en"", ""fr"")"),"Balle n ° 5")</f>
        <v>Balle n ° 5</v>
      </c>
      <c r="C905" s="1" t="s">
        <v>185</v>
      </c>
      <c r="D905" s="1" t="s">
        <v>16612</v>
      </c>
      <c r="F905" s="1" t="s">
        <v>2</v>
      </c>
      <c r="U905" s="1" t="s">
        <v>17</v>
      </c>
      <c r="EX905" s="1" t="s">
        <v>150</v>
      </c>
      <c r="FC905" s="1" t="s">
        <v>155</v>
      </c>
      <c r="GD905" s="1" t="s">
        <v>193</v>
      </c>
      <c r="GE905" s="1" t="s">
        <v>1441</v>
      </c>
    </row>
    <row r="906" spans="1:187" ht="11.25" customHeight="1">
      <c r="A906" s="1" t="s">
        <v>1442</v>
      </c>
      <c r="B906" s="1" t="str">
        <f ca="1">IFERROR(__xludf.DUMMYFUNCTION("GOOGLETRANSLATE(A906, ""en"", ""fr"")"),"Balle n ° 6")</f>
        <v>Balle n ° 6</v>
      </c>
      <c r="C906" s="1" t="s">
        <v>185</v>
      </c>
      <c r="D906" s="1" t="s">
        <v>16612</v>
      </c>
      <c r="F906" s="1" t="s">
        <v>2</v>
      </c>
      <c r="J906" s="1" t="s">
        <v>6</v>
      </c>
      <c r="U906" s="1" t="s">
        <v>17</v>
      </c>
      <c r="FL906" s="1" t="s">
        <v>164</v>
      </c>
      <c r="FM906" s="1" t="s">
        <v>418</v>
      </c>
      <c r="GD906" s="1" t="s">
        <v>202</v>
      </c>
      <c r="GE906" s="1" t="s">
        <v>1443</v>
      </c>
    </row>
    <row r="907" spans="1:187" ht="11.25" customHeight="1">
      <c r="A907" s="1" t="s">
        <v>1444</v>
      </c>
      <c r="B907" s="1" t="str">
        <f ca="1">IFERROR(__xludf.DUMMYFUNCTION("GOOGLETRANSLATE(A907, ""en"", ""fr"")"),"BALLET")</f>
        <v>BALLET</v>
      </c>
      <c r="C907" s="1" t="s">
        <v>196</v>
      </c>
      <c r="FJ907" s="1" t="s">
        <v>162</v>
      </c>
      <c r="FM907" s="1" t="s">
        <v>418</v>
      </c>
      <c r="GD907" s="1" t="s">
        <v>193</v>
      </c>
    </row>
    <row r="908" spans="1:187" ht="11.25" customHeight="1">
      <c r="A908" s="1" t="s">
        <v>1445</v>
      </c>
      <c r="B908" s="1" t="str">
        <f ca="1">IFERROR(__xludf.DUMMYFUNCTION("GOOGLETRANSLATE(A908, ""en"", ""fr"")"),"BALISTIQUE")</f>
        <v>BALISTIQUE</v>
      </c>
      <c r="C908" s="1" t="s">
        <v>185</v>
      </c>
      <c r="AH908" s="1" t="s">
        <v>30</v>
      </c>
      <c r="BC908" s="1" t="s">
        <v>51</v>
      </c>
      <c r="BD908" s="1" t="s">
        <v>52</v>
      </c>
      <c r="DW908" s="1" t="s">
        <v>123</v>
      </c>
      <c r="ED908" s="1" t="s">
        <v>130</v>
      </c>
      <c r="GD908" s="1" t="s">
        <v>1446</v>
      </c>
      <c r="GE908" s="1" t="s">
        <v>190</v>
      </c>
    </row>
    <row r="909" spans="1:187" ht="11.25" customHeight="1">
      <c r="A909" s="1" t="s">
        <v>1447</v>
      </c>
      <c r="B909" s="1" t="str">
        <f ca="1">IFERROR(__xludf.DUMMYFUNCTION("GOOGLETRANSLATE(A909, ""en"", ""fr"")"),"BALLON")</f>
        <v>BALLON</v>
      </c>
      <c r="C909" s="1" t="s">
        <v>185</v>
      </c>
      <c r="BC909" s="1" t="s">
        <v>51</v>
      </c>
      <c r="BD909" s="1" t="s">
        <v>52</v>
      </c>
      <c r="GD909" s="1" t="s">
        <v>193</v>
      </c>
      <c r="GE909" s="1" t="s">
        <v>190</v>
      </c>
    </row>
    <row r="910" spans="1:187" ht="11.25" customHeight="1">
      <c r="A910" s="1" t="s">
        <v>1448</v>
      </c>
      <c r="B910" s="1" t="str">
        <f ca="1">IFERROR(__xludf.DUMMYFUNCTION("GOOGLETRANSLATE(A910, ""en"", ""fr"")"),"BULLETIN DE VOTE")</f>
        <v>BULLETIN DE VOTE</v>
      </c>
      <c r="C910" s="1" t="s">
        <v>185</v>
      </c>
      <c r="K910" s="1" t="s">
        <v>7</v>
      </c>
      <c r="AG910" s="1" t="s">
        <v>29</v>
      </c>
      <c r="AH910" s="1" t="s">
        <v>30</v>
      </c>
      <c r="AM910" s="1" t="s">
        <v>35</v>
      </c>
      <c r="BL910" s="1" t="s">
        <v>60</v>
      </c>
      <c r="DW910" s="1" t="s">
        <v>123</v>
      </c>
      <c r="ED910" s="1" t="s">
        <v>130</v>
      </c>
      <c r="GD910" s="1" t="s">
        <v>193</v>
      </c>
      <c r="GE910" s="1" t="s">
        <v>190</v>
      </c>
    </row>
    <row r="911" spans="1:187" ht="11.25" customHeight="1">
      <c r="A911" s="1" t="s">
        <v>1449</v>
      </c>
      <c r="B911" s="1" t="str">
        <f ca="1">IFERROR(__xludf.DUMMYFUNCTION("GOOGLETRANSLATE(A911, ""en"", ""fr"")"),"EMBAUMÉ")</f>
        <v>EMBAUMÉ</v>
      </c>
      <c r="C911" s="1" t="s">
        <v>192</v>
      </c>
      <c r="D911" s="1" t="s">
        <v>16612</v>
      </c>
      <c r="P911" s="1" t="s">
        <v>12</v>
      </c>
      <c r="DR911" s="1" t="s">
        <v>118</v>
      </c>
      <c r="GD911" s="1" t="s">
        <v>202</v>
      </c>
      <c r="GE911" s="1" t="s">
        <v>190</v>
      </c>
    </row>
    <row r="912" spans="1:187" ht="11.25" customHeight="1">
      <c r="A912" s="1" t="s">
        <v>1450</v>
      </c>
      <c r="B912" s="1" t="str">
        <f ca="1">IFERROR(__xludf.DUMMYFUNCTION("GOOGLETRANSLATE(A912, ""en"", ""fr"")"),"Interdiction n ° 1")</f>
        <v>Interdiction n ° 1</v>
      </c>
      <c r="C912" s="1" t="s">
        <v>196</v>
      </c>
      <c r="EC912" s="1" t="s">
        <v>129</v>
      </c>
      <c r="ED912" s="1" t="s">
        <v>130</v>
      </c>
      <c r="GD912" s="1" t="s">
        <v>470</v>
      </c>
    </row>
    <row r="913" spans="1:187" ht="11.25" customHeight="1">
      <c r="A913" s="1" t="s">
        <v>1451</v>
      </c>
      <c r="B913" s="1" t="str">
        <f ca="1">IFERROR(__xludf.DUMMYFUNCTION("GOOGLETRANSLATE(A913, ""en"", ""fr"")"),"Interdiction n ° 2")</f>
        <v>Interdiction n ° 2</v>
      </c>
      <c r="C913" s="1" t="s">
        <v>196</v>
      </c>
      <c r="DX913" s="1" t="s">
        <v>124</v>
      </c>
      <c r="ED913" s="1" t="s">
        <v>130</v>
      </c>
      <c r="GD913" s="1" t="s">
        <v>470</v>
      </c>
    </row>
    <row r="914" spans="1:187" ht="11.25" customHeight="1">
      <c r="A914" s="1" t="s">
        <v>1452</v>
      </c>
      <c r="B914" s="1" t="str">
        <f ca="1">IFERROR(__xludf.DUMMYFUNCTION("GOOGLETRANSLATE(A914, ""en"", ""fr"")"),"BANAL")</f>
        <v>BANAL</v>
      </c>
      <c r="C914" s="1" t="s">
        <v>192</v>
      </c>
      <c r="E914" s="1" t="s">
        <v>16613</v>
      </c>
      <c r="V914" s="1" t="s">
        <v>18</v>
      </c>
      <c r="DR914" s="1" t="s">
        <v>118</v>
      </c>
      <c r="GD914" s="1" t="s">
        <v>202</v>
      </c>
      <c r="GE914" s="1" t="s">
        <v>190</v>
      </c>
    </row>
    <row r="915" spans="1:187" ht="11.25" customHeight="1">
      <c r="A915" s="1" t="s">
        <v>1453</v>
      </c>
      <c r="B915" s="1" t="str">
        <f ca="1">IFERROR(__xludf.DUMMYFUNCTION("GOOGLETRANSLATE(A915, ""en"", ""fr"")"),"Bande n ° 1")</f>
        <v>Bande n ° 1</v>
      </c>
      <c r="C915" s="1" t="s">
        <v>185</v>
      </c>
      <c r="AK915" s="1" t="s">
        <v>33</v>
      </c>
      <c r="AT915" s="1" t="s">
        <v>42</v>
      </c>
      <c r="FT915" s="1" t="s">
        <v>172</v>
      </c>
      <c r="GD915" s="1" t="s">
        <v>849</v>
      </c>
      <c r="GE915" s="1" t="s">
        <v>1454</v>
      </c>
    </row>
    <row r="916" spans="1:187" ht="11.25" customHeight="1">
      <c r="A916" s="1" t="s">
        <v>1455</v>
      </c>
      <c r="B916" s="1" t="str">
        <f ca="1">IFERROR(__xludf.DUMMYFUNCTION("GOOGLETRANSLATE(A916, ""en"", ""fr"")"),"Bande n ° 2")</f>
        <v>Bande n ° 2</v>
      </c>
      <c r="C916" s="1" t="s">
        <v>185</v>
      </c>
      <c r="G916" s="1" t="s">
        <v>3</v>
      </c>
      <c r="J916" s="1" t="s">
        <v>6</v>
      </c>
      <c r="AN916" s="1" t="s">
        <v>36</v>
      </c>
      <c r="DN916" s="1" t="s">
        <v>114</v>
      </c>
      <c r="DX916" s="1" t="s">
        <v>124</v>
      </c>
      <c r="ED916" s="1" t="s">
        <v>130</v>
      </c>
      <c r="GD916" s="1" t="s">
        <v>189</v>
      </c>
      <c r="GE916" s="1" t="s">
        <v>1456</v>
      </c>
    </row>
    <row r="917" spans="1:187" ht="11.25" customHeight="1">
      <c r="A917" s="1" t="s">
        <v>1457</v>
      </c>
      <c r="B917" s="1" t="str">
        <f ca="1">IFERROR(__xludf.DUMMYFUNCTION("GOOGLETRANSLATE(A917, ""en"", ""fr"")"),"BANDIT")</f>
        <v>BANDIT</v>
      </c>
      <c r="C917" s="1" t="s">
        <v>192</v>
      </c>
      <c r="E917" s="1" t="s">
        <v>16613</v>
      </c>
      <c r="I917" s="1" t="s">
        <v>5</v>
      </c>
      <c r="AT917" s="1" t="s">
        <v>42</v>
      </c>
      <c r="CD917" s="1" t="s">
        <v>78</v>
      </c>
      <c r="GD917" s="1" t="s">
        <v>193</v>
      </c>
      <c r="GE917" s="1" t="s">
        <v>190</v>
      </c>
    </row>
    <row r="918" spans="1:187" ht="11.25" customHeight="1">
      <c r="A918" s="1" t="s">
        <v>1458</v>
      </c>
      <c r="B918" s="1" t="str">
        <f ca="1">IFERROR(__xludf.DUMMYFUNCTION("GOOGLETRANSLATE(A918, ""en"", ""fr"")"),"KIOSQUE À MUSIQUE")</f>
        <v>KIOSQUE À MUSIQUE</v>
      </c>
      <c r="C918" s="1" t="s">
        <v>185</v>
      </c>
      <c r="AD918" s="1" t="s">
        <v>26</v>
      </c>
      <c r="AV918" s="1" t="s">
        <v>44</v>
      </c>
      <c r="AW918" s="1" t="s">
        <v>45</v>
      </c>
      <c r="FJ918" s="1" t="s">
        <v>162</v>
      </c>
      <c r="FM918" s="1" t="s">
        <v>418</v>
      </c>
      <c r="GD918" s="1" t="s">
        <v>193</v>
      </c>
      <c r="GE918" s="1" t="s">
        <v>190</v>
      </c>
    </row>
    <row r="919" spans="1:187" ht="11.25" customHeight="1">
      <c r="A919" s="1" t="s">
        <v>1459</v>
      </c>
      <c r="B919" s="1" t="str">
        <f ca="1">IFERROR(__xludf.DUMMYFUNCTION("GOOGLETRANSLATE(A919, ""en"", ""fr"")"),"FLÉAU")</f>
        <v>FLÉAU</v>
      </c>
      <c r="C919" s="1" t="s">
        <v>192</v>
      </c>
      <c r="E919" s="1" t="s">
        <v>16613</v>
      </c>
      <c r="L919" s="1" t="s">
        <v>8</v>
      </c>
      <c r="O919" s="1" t="s">
        <v>11</v>
      </c>
      <c r="V919" s="1" t="s">
        <v>18</v>
      </c>
      <c r="GD919" s="1" t="s">
        <v>193</v>
      </c>
      <c r="GE919" s="1" t="s">
        <v>190</v>
      </c>
    </row>
    <row r="920" spans="1:187" ht="11.25" customHeight="1">
      <c r="A920" s="1" t="s">
        <v>1460</v>
      </c>
      <c r="B920" s="1" t="str">
        <f ca="1">IFERROR(__xludf.DUMMYFUNCTION("GOOGLETRANSLATE(A920, ""en"", ""fr"")"),"Banish # 1")</f>
        <v>Banish # 1</v>
      </c>
      <c r="C920" s="1" t="s">
        <v>185</v>
      </c>
      <c r="E920" s="1" t="s">
        <v>16613</v>
      </c>
      <c r="H920" s="1" t="s">
        <v>4</v>
      </c>
      <c r="J920" s="1" t="s">
        <v>6</v>
      </c>
      <c r="K920" s="1" t="s">
        <v>7</v>
      </c>
      <c r="N920" s="1" t="s">
        <v>10</v>
      </c>
      <c r="AG920" s="1" t="s">
        <v>29</v>
      </c>
      <c r="AN920" s="1" t="s">
        <v>36</v>
      </c>
      <c r="DT920" s="1" t="s">
        <v>120</v>
      </c>
      <c r="ED920" s="1" t="s">
        <v>130</v>
      </c>
      <c r="GD920" s="1" t="s">
        <v>202</v>
      </c>
      <c r="GE920" s="1" t="s">
        <v>190</v>
      </c>
    </row>
    <row r="921" spans="1:187" ht="11.25" customHeight="1">
      <c r="A921" s="1" t="s">
        <v>1461</v>
      </c>
      <c r="B921" s="1" t="str">
        <f ca="1">IFERROR(__xludf.DUMMYFUNCTION("GOOGLETRANSLATE(A921, ""en"", ""fr"")"),"Banish # 2")</f>
        <v>Banish # 2</v>
      </c>
      <c r="C921" s="1" t="s">
        <v>185</v>
      </c>
      <c r="E921" s="1" t="s">
        <v>16613</v>
      </c>
      <c r="H921" s="1" t="s">
        <v>4</v>
      </c>
      <c r="I921" s="1" t="s">
        <v>5</v>
      </c>
      <c r="J921" s="1" t="s">
        <v>6</v>
      </c>
      <c r="K921" s="1" t="s">
        <v>7</v>
      </c>
      <c r="N921" s="1" t="s">
        <v>10</v>
      </c>
      <c r="AN921" s="1" t="s">
        <v>36</v>
      </c>
      <c r="DN921" s="1" t="s">
        <v>114</v>
      </c>
      <c r="DT921" s="1" t="s">
        <v>120</v>
      </c>
      <c r="ED921" s="1" t="s">
        <v>130</v>
      </c>
      <c r="GD921" s="1" t="s">
        <v>189</v>
      </c>
      <c r="GE921" s="1" t="s">
        <v>190</v>
      </c>
    </row>
    <row r="922" spans="1:187" ht="11.25" customHeight="1">
      <c r="A922" s="1" t="s">
        <v>1462</v>
      </c>
      <c r="B922" s="1" t="str">
        <f ca="1">IFERROR(__xludf.DUMMYFUNCTION("GOOGLETRANSLATE(A922, ""en"", ""fr"")"),"BANNISSEMENT")</f>
        <v>BANNISSEMENT</v>
      </c>
      <c r="C922" s="1" t="s">
        <v>192</v>
      </c>
      <c r="E922" s="1" t="s">
        <v>16613</v>
      </c>
      <c r="G922" s="1" t="s">
        <v>3</v>
      </c>
      <c r="K922" s="1" t="s">
        <v>7</v>
      </c>
      <c r="AG922" s="1" t="s">
        <v>29</v>
      </c>
      <c r="AN922" s="1" t="s">
        <v>36</v>
      </c>
      <c r="GD922" s="1" t="s">
        <v>193</v>
      </c>
      <c r="GE922" s="1" t="s">
        <v>190</v>
      </c>
    </row>
    <row r="923" spans="1:187" ht="11.25" customHeight="1">
      <c r="A923" s="1" t="s">
        <v>1463</v>
      </c>
      <c r="B923" s="1" t="str">
        <f ca="1">IFERROR(__xludf.DUMMYFUNCTION("GOOGLETRANSLATE(A923, ""en"", ""fr"")"),"Banque n ° 1")</f>
        <v>Banque n ° 1</v>
      </c>
      <c r="C923" s="1" t="s">
        <v>185</v>
      </c>
      <c r="AA923" s="1" t="s">
        <v>23</v>
      </c>
      <c r="AC923" s="1" t="s">
        <v>25</v>
      </c>
      <c r="AK923" s="1" t="s">
        <v>33</v>
      </c>
      <c r="AT923" s="1" t="s">
        <v>42</v>
      </c>
      <c r="ET923" s="1" t="s">
        <v>146</v>
      </c>
      <c r="EW923" s="1" t="s">
        <v>149</v>
      </c>
      <c r="GD923" s="1" t="s">
        <v>193</v>
      </c>
      <c r="GE923" s="1" t="s">
        <v>1464</v>
      </c>
    </row>
    <row r="924" spans="1:187" ht="11.25" customHeight="1">
      <c r="A924" s="1" t="s">
        <v>1465</v>
      </c>
      <c r="B924" s="1" t="str">
        <f ca="1">IFERROR(__xludf.DUMMYFUNCTION("GOOGLETRANSLATE(A924, ""en"", ""fr"")"),"Banque n ° 2")</f>
        <v>Banque n ° 2</v>
      </c>
      <c r="C924" s="1" t="s">
        <v>185</v>
      </c>
      <c r="AV924" s="1" t="s">
        <v>44</v>
      </c>
      <c r="BA924" s="1" t="s">
        <v>49</v>
      </c>
      <c r="GD924" s="1" t="s">
        <v>193</v>
      </c>
      <c r="GE924" s="1" t="s">
        <v>1466</v>
      </c>
    </row>
    <row r="925" spans="1:187" ht="11.25" customHeight="1">
      <c r="A925" s="1" t="s">
        <v>1467</v>
      </c>
      <c r="B925" s="1" t="str">
        <f ca="1">IFERROR(__xludf.DUMMYFUNCTION("GOOGLETRANSLATE(A925, ""en"", ""fr"")"),"Banque n ° 3")</f>
        <v>Banque n ° 3</v>
      </c>
      <c r="C925" s="1" t="s">
        <v>185</v>
      </c>
      <c r="CE925" s="1" t="s">
        <v>79</v>
      </c>
      <c r="DO925" s="1" t="s">
        <v>115</v>
      </c>
      <c r="GD925" s="1" t="s">
        <v>189</v>
      </c>
      <c r="GE925" s="1" t="s">
        <v>1468</v>
      </c>
    </row>
    <row r="926" spans="1:187" ht="11.25" customHeight="1">
      <c r="A926" s="1" t="s">
        <v>1469</v>
      </c>
      <c r="B926" s="1" t="str">
        <f ca="1">IFERROR(__xludf.DUMMYFUNCTION("GOOGLETRANSLATE(A926, ""en"", ""fr"")"),"Banque n ° 4")</f>
        <v>Banque n ° 4</v>
      </c>
      <c r="C926" s="1" t="s">
        <v>185</v>
      </c>
      <c r="AL926" s="1" t="s">
        <v>34</v>
      </c>
      <c r="DN926" s="1" t="s">
        <v>114</v>
      </c>
      <c r="GD926" s="1" t="s">
        <v>189</v>
      </c>
      <c r="GE926" s="1" t="s">
        <v>1470</v>
      </c>
    </row>
    <row r="927" spans="1:187" ht="11.25" customHeight="1">
      <c r="A927" s="1" t="s">
        <v>1471</v>
      </c>
      <c r="B927" s="1" t="str">
        <f ca="1">IFERROR(__xludf.DUMMYFUNCTION("GOOGLETRANSLATE(A927, ""en"", ""fr"")"),"BANQUIER")</f>
        <v>BANQUIER</v>
      </c>
      <c r="C927" s="1" t="s">
        <v>185</v>
      </c>
      <c r="AA927" s="1" t="s">
        <v>23</v>
      </c>
      <c r="AC927" s="1" t="s">
        <v>25</v>
      </c>
      <c r="AJ927" s="1" t="s">
        <v>32</v>
      </c>
      <c r="AT927" s="1" t="s">
        <v>42</v>
      </c>
      <c r="ET927" s="1" t="s">
        <v>146</v>
      </c>
      <c r="EW927" s="1" t="s">
        <v>149</v>
      </c>
      <c r="GD927" s="1" t="s">
        <v>193</v>
      </c>
      <c r="GE927" s="1" t="s">
        <v>190</v>
      </c>
    </row>
    <row r="928" spans="1:187" ht="11.25" customHeight="1">
      <c r="A928" s="1" t="s">
        <v>1472</v>
      </c>
      <c r="B928" s="1" t="str">
        <f ca="1">IFERROR(__xludf.DUMMYFUNCTION("GOOGLETRANSLATE(A928, ""en"", ""fr"")"),"FAILLITE")</f>
        <v>FAILLITE</v>
      </c>
      <c r="C928" s="1" t="s">
        <v>192</v>
      </c>
      <c r="E928" s="1" t="s">
        <v>16613</v>
      </c>
      <c r="V928" s="1" t="s">
        <v>18</v>
      </c>
      <c r="AA928" s="1" t="s">
        <v>23</v>
      </c>
      <c r="BT928" s="1" t="s">
        <v>68</v>
      </c>
      <c r="CS928" s="1" t="s">
        <v>93</v>
      </c>
      <c r="DR928" s="1" t="s">
        <v>118</v>
      </c>
      <c r="GD928" s="1" t="s">
        <v>202</v>
      </c>
      <c r="GE928" s="1" t="s">
        <v>190</v>
      </c>
    </row>
    <row r="929" spans="1:187" ht="11.25" customHeight="1">
      <c r="A929" s="1" t="s">
        <v>1473</v>
      </c>
      <c r="B929" s="1" t="str">
        <f ca="1">IFERROR(__xludf.DUMMYFUNCTION("GOOGLETRANSLATE(A929, ""en"", ""fr"")"),"LA FAILLITE")</f>
        <v>LA FAILLITE</v>
      </c>
      <c r="C929" s="1" t="s">
        <v>185</v>
      </c>
      <c r="E929" s="1" t="s">
        <v>16613</v>
      </c>
      <c r="V929" s="1" t="s">
        <v>18</v>
      </c>
      <c r="AA929" s="1" t="s">
        <v>23</v>
      </c>
      <c r="BT929" s="1" t="s">
        <v>68</v>
      </c>
      <c r="CS929" s="1" t="s">
        <v>93</v>
      </c>
      <c r="EV929" s="1" t="s">
        <v>148</v>
      </c>
      <c r="EW929" s="1" t="s">
        <v>149</v>
      </c>
      <c r="GD929" s="1" t="s">
        <v>193</v>
      </c>
      <c r="GE929" s="1" t="s">
        <v>190</v>
      </c>
    </row>
    <row r="930" spans="1:187" ht="11.25" customHeight="1">
      <c r="A930" s="1" t="s">
        <v>1474</v>
      </c>
      <c r="B930" s="1" t="str">
        <f ca="1">IFERROR(__xludf.DUMMYFUNCTION("GOOGLETRANSLATE(A930, ""en"", ""fr"")"),"BANQUET")</f>
        <v>BANQUET</v>
      </c>
      <c r="C930" s="1" t="s">
        <v>185</v>
      </c>
      <c r="G930" s="1" t="s">
        <v>3</v>
      </c>
      <c r="AM930" s="1" t="s">
        <v>35</v>
      </c>
      <c r="EM930" s="1" t="s">
        <v>139</v>
      </c>
      <c r="EN930" s="1" t="s">
        <v>140</v>
      </c>
      <c r="GD930" s="1" t="s">
        <v>193</v>
      </c>
      <c r="GE930" s="1" t="s">
        <v>190</v>
      </c>
    </row>
    <row r="931" spans="1:187" ht="11.25" customHeight="1">
      <c r="A931" s="1" t="s">
        <v>1475</v>
      </c>
      <c r="B931" s="1" t="str">
        <f ca="1">IFERROR(__xludf.DUMMYFUNCTION("GOOGLETRANSLATE(A931, ""en"", ""fr"")"),"Plaisanteries n ° 1")</f>
        <v>Plaisanteries n ° 1</v>
      </c>
      <c r="C931" s="1" t="s">
        <v>185</v>
      </c>
      <c r="L931" s="1" t="s">
        <v>8</v>
      </c>
      <c r="BK931" s="1" t="s">
        <v>59</v>
      </c>
      <c r="BL931" s="1" t="s">
        <v>60</v>
      </c>
      <c r="GC931" s="1" t="s">
        <v>181</v>
      </c>
      <c r="GD931" s="1" t="s">
        <v>193</v>
      </c>
      <c r="GE931" s="1" t="s">
        <v>190</v>
      </c>
    </row>
    <row r="932" spans="1:187" ht="11.25" customHeight="1">
      <c r="A932" s="1" t="s">
        <v>1476</v>
      </c>
      <c r="B932" s="1" t="str">
        <f ca="1">IFERROR(__xludf.DUMMYFUNCTION("GOOGLETRANSLATE(A932, ""en"", ""fr"")"),"Plaisanteries n ° 2")</f>
        <v>Plaisanteries n ° 2</v>
      </c>
      <c r="C932" s="1" t="s">
        <v>185</v>
      </c>
      <c r="L932" s="1" t="s">
        <v>8</v>
      </c>
      <c r="BK932" s="1" t="s">
        <v>59</v>
      </c>
      <c r="DN932" s="1" t="s">
        <v>114</v>
      </c>
      <c r="GD932" s="1" t="s">
        <v>189</v>
      </c>
      <c r="GE932" s="1" t="s">
        <v>190</v>
      </c>
    </row>
    <row r="933" spans="1:187" ht="11.25" customHeight="1">
      <c r="A933" s="1" t="s">
        <v>1477</v>
      </c>
      <c r="B933" s="1" t="str">
        <f ca="1">IFERROR(__xludf.DUMMYFUNCTION("GOOGLETRANSLATE(A933, ""en"", ""fr"")"),"BAPTÊME")</f>
        <v>BAPTÊME</v>
      </c>
      <c r="C933" s="1" t="s">
        <v>192</v>
      </c>
      <c r="D933" s="1" t="s">
        <v>16612</v>
      </c>
      <c r="G933" s="1" t="s">
        <v>3</v>
      </c>
      <c r="Z933" s="1" t="s">
        <v>22</v>
      </c>
      <c r="GD933" s="1" t="s">
        <v>193</v>
      </c>
      <c r="GE933" s="1" t="s">
        <v>190</v>
      </c>
    </row>
    <row r="934" spans="1:187" ht="11.25" customHeight="1">
      <c r="A934" s="1" t="s">
        <v>1478</v>
      </c>
      <c r="B934" s="1" t="str">
        <f ca="1">IFERROR(__xludf.DUMMYFUNCTION("GOOGLETRANSLATE(A934, ""en"", ""fr"")"),"BAPTISER")</f>
        <v>BAPTISER</v>
      </c>
      <c r="C934" s="1" t="s">
        <v>192</v>
      </c>
      <c r="D934" s="1" t="s">
        <v>16612</v>
      </c>
      <c r="G934" s="1" t="s">
        <v>3</v>
      </c>
      <c r="N934" s="1" t="s">
        <v>10</v>
      </c>
      <c r="Z934" s="1" t="s">
        <v>22</v>
      </c>
      <c r="DO934" s="1" t="s">
        <v>115</v>
      </c>
      <c r="GD934" s="1" t="s">
        <v>189</v>
      </c>
      <c r="GE934" s="1" t="s">
        <v>190</v>
      </c>
    </row>
    <row r="935" spans="1:187" ht="11.25" customHeight="1">
      <c r="A935" s="1" t="s">
        <v>1479</v>
      </c>
      <c r="B935" s="1" t="str">
        <f ca="1">IFERROR(__xludf.DUMMYFUNCTION("GOOGLETRANSLATE(A935, ""en"", ""fr"")"),"Bar # 1")</f>
        <v>Bar # 1</v>
      </c>
      <c r="C935" s="1" t="s">
        <v>185</v>
      </c>
      <c r="AV935" s="1" t="s">
        <v>44</v>
      </c>
      <c r="AW935" s="1" t="s">
        <v>45</v>
      </c>
      <c r="GD935" s="1" t="s">
        <v>193</v>
      </c>
      <c r="GE935" s="1" t="s">
        <v>1480</v>
      </c>
    </row>
    <row r="936" spans="1:187" ht="11.25" customHeight="1">
      <c r="A936" s="1" t="s">
        <v>1481</v>
      </c>
      <c r="B936" s="1" t="str">
        <f ca="1">IFERROR(__xludf.DUMMYFUNCTION("GOOGLETRANSLATE(A936, ""en"", ""fr"")"),"Bar # 2")</f>
        <v>Bar # 2</v>
      </c>
      <c r="C936" s="1" t="s">
        <v>185</v>
      </c>
      <c r="BC936" s="1" t="s">
        <v>51</v>
      </c>
      <c r="BD936" s="1" t="s">
        <v>52</v>
      </c>
      <c r="GD936" s="1" t="s">
        <v>193</v>
      </c>
      <c r="GE936" s="1" t="s">
        <v>1482</v>
      </c>
    </row>
    <row r="937" spans="1:187" ht="11.25" customHeight="1">
      <c r="A937" s="1" t="s">
        <v>1483</v>
      </c>
      <c r="B937" s="1" t="str">
        <f ca="1">IFERROR(__xludf.DUMMYFUNCTION("GOOGLETRANSLATE(A937, ""en"", ""fr"")"),"Bar # 3")</f>
        <v>Bar # 3</v>
      </c>
      <c r="C937" s="1" t="s">
        <v>185</v>
      </c>
      <c r="N937" s="1" t="s">
        <v>10</v>
      </c>
      <c r="AD937" s="1" t="s">
        <v>26</v>
      </c>
      <c r="BC937" s="1" t="s">
        <v>51</v>
      </c>
      <c r="BD937" s="1" t="s">
        <v>52</v>
      </c>
      <c r="GD937" s="1" t="s">
        <v>193</v>
      </c>
      <c r="GE937" s="1" t="s">
        <v>1484</v>
      </c>
    </row>
    <row r="938" spans="1:187" ht="11.25" customHeight="1">
      <c r="A938" s="1" t="s">
        <v>1485</v>
      </c>
      <c r="B938" s="1" t="str">
        <f ca="1">IFERROR(__xludf.DUMMYFUNCTION("GOOGLETRANSLATE(A938, ""en"", ""fr"")"),"Bar # 4")</f>
        <v>Bar # 4</v>
      </c>
      <c r="C938" s="1" t="s">
        <v>185</v>
      </c>
      <c r="E938" s="1" t="s">
        <v>16613</v>
      </c>
      <c r="H938" s="1" t="s">
        <v>4</v>
      </c>
      <c r="I938" s="1" t="s">
        <v>5</v>
      </c>
      <c r="J938" s="1" t="s">
        <v>6</v>
      </c>
      <c r="K938" s="1" t="s">
        <v>7</v>
      </c>
      <c r="N938" s="1" t="s">
        <v>10</v>
      </c>
      <c r="AN938" s="1" t="s">
        <v>36</v>
      </c>
      <c r="DO938" s="1" t="s">
        <v>115</v>
      </c>
      <c r="DT938" s="1" t="s">
        <v>120</v>
      </c>
      <c r="ED938" s="1" t="s">
        <v>130</v>
      </c>
      <c r="GD938" s="1" t="s">
        <v>189</v>
      </c>
      <c r="GE938" s="1" t="s">
        <v>1486</v>
      </c>
    </row>
    <row r="939" spans="1:187" ht="11.25" customHeight="1">
      <c r="A939" s="1" t="s">
        <v>1487</v>
      </c>
      <c r="B939" s="1" t="str">
        <f ca="1">IFERROR(__xludf.DUMMYFUNCTION("GOOGLETRANSLATE(A939, ""en"", ""fr"")"),"Bar # 5")</f>
        <v>Bar # 5</v>
      </c>
      <c r="C939" s="1" t="s">
        <v>185</v>
      </c>
      <c r="AE939" s="1" t="s">
        <v>27</v>
      </c>
      <c r="AK939" s="1" t="s">
        <v>33</v>
      </c>
      <c r="AT939" s="1" t="s">
        <v>42</v>
      </c>
      <c r="EB939" s="1" t="s">
        <v>128</v>
      </c>
      <c r="ED939" s="1" t="s">
        <v>130</v>
      </c>
      <c r="GD939" s="1" t="s">
        <v>193</v>
      </c>
      <c r="GE939" s="1" t="s">
        <v>1488</v>
      </c>
    </row>
    <row r="940" spans="1:187" ht="11.25" customHeight="1">
      <c r="A940" s="1" t="s">
        <v>1489</v>
      </c>
      <c r="B940" s="1" t="str">
        <f ca="1">IFERROR(__xludf.DUMMYFUNCTION("GOOGLETRANSLATE(A940, ""en"", ""fr"")"),"Bar # 6")</f>
        <v>Bar # 6</v>
      </c>
      <c r="C940" s="1" t="s">
        <v>185</v>
      </c>
      <c r="AM940" s="1" t="s">
        <v>35</v>
      </c>
      <c r="ER940" s="1" t="s">
        <v>144</v>
      </c>
      <c r="ES940" s="1" t="s">
        <v>145</v>
      </c>
      <c r="GD940" s="1" t="s">
        <v>193</v>
      </c>
      <c r="GE940" s="1" t="s">
        <v>1490</v>
      </c>
    </row>
    <row r="941" spans="1:187" ht="11.25" customHeight="1">
      <c r="A941" s="1" t="s">
        <v>1491</v>
      </c>
      <c r="B941" s="1" t="str">
        <f ca="1">IFERROR(__xludf.DUMMYFUNCTION("GOOGLETRANSLATE(A941, ""en"", ""fr"")"),"BARBARE")</f>
        <v>BARBARE</v>
      </c>
      <c r="C941" s="1" t="s">
        <v>192</v>
      </c>
      <c r="E941" s="1" t="s">
        <v>16613</v>
      </c>
      <c r="I941" s="1" t="s">
        <v>5</v>
      </c>
      <c r="V941" s="1" t="s">
        <v>18</v>
      </c>
      <c r="AT941" s="1" t="s">
        <v>42</v>
      </c>
      <c r="GD941" s="1" t="s">
        <v>193</v>
      </c>
      <c r="GE941" s="1" t="s">
        <v>190</v>
      </c>
    </row>
    <row r="942" spans="1:187" ht="11.25" customHeight="1">
      <c r="A942" s="1" t="s">
        <v>1492</v>
      </c>
      <c r="B942" s="1" t="str">
        <f ca="1">IFERROR(__xludf.DUMMYFUNCTION("GOOGLETRANSLATE(A942, ""en"", ""fr"")"),"BARBARE")</f>
        <v>BARBARE</v>
      </c>
      <c r="C942" s="1" t="s">
        <v>192</v>
      </c>
      <c r="E942" s="1" t="s">
        <v>16613</v>
      </c>
      <c r="I942" s="1" t="s">
        <v>5</v>
      </c>
      <c r="V942" s="1" t="s">
        <v>18</v>
      </c>
      <c r="CC942" s="1" t="s">
        <v>77</v>
      </c>
      <c r="DR942" s="1" t="s">
        <v>118</v>
      </c>
      <c r="GD942" s="1" t="s">
        <v>202</v>
      </c>
      <c r="GE942" s="1" t="s">
        <v>190</v>
      </c>
    </row>
    <row r="943" spans="1:187" ht="11.25" customHeight="1">
      <c r="A943" s="1" t="s">
        <v>1493</v>
      </c>
      <c r="B943" s="1" t="str">
        <f ca="1">IFERROR(__xludf.DUMMYFUNCTION("GOOGLETRANSLATE(A943, ""en"", ""fr"")"),"COIFFEUR")</f>
        <v>COIFFEUR</v>
      </c>
      <c r="C943" s="1" t="s">
        <v>185</v>
      </c>
      <c r="AA943" s="1" t="s">
        <v>23</v>
      </c>
      <c r="AJ943" s="1" t="s">
        <v>32</v>
      </c>
      <c r="AT943" s="1" t="s">
        <v>42</v>
      </c>
      <c r="FK943" s="1" t="s">
        <v>163</v>
      </c>
      <c r="FM943" s="1" t="s">
        <v>418</v>
      </c>
      <c r="GD943" s="1" t="s">
        <v>193</v>
      </c>
      <c r="GE943" s="1" t="s">
        <v>190</v>
      </c>
    </row>
    <row r="944" spans="1:187" ht="11.25" customHeight="1">
      <c r="A944" s="1" t="s">
        <v>1494</v>
      </c>
      <c r="B944" s="1" t="str">
        <f ca="1">IFERROR(__xludf.DUMMYFUNCTION("GOOGLETRANSLATE(A944, ""en"", ""fr"")"),"BARDE")</f>
        <v>BARDE</v>
      </c>
      <c r="C944" s="1" t="s">
        <v>185</v>
      </c>
      <c r="AD944" s="1" t="s">
        <v>26</v>
      </c>
      <c r="AJ944" s="1" t="s">
        <v>32</v>
      </c>
      <c r="AT944" s="1" t="s">
        <v>42</v>
      </c>
      <c r="FK944" s="1" t="s">
        <v>163</v>
      </c>
      <c r="FM944" s="1" t="s">
        <v>418</v>
      </c>
      <c r="GD944" s="1" t="s">
        <v>193</v>
      </c>
      <c r="GE944" s="1" t="s">
        <v>190</v>
      </c>
    </row>
    <row r="945" spans="1:187" ht="11.25" customHeight="1">
      <c r="A945" s="1" t="s">
        <v>1495</v>
      </c>
      <c r="B945" s="1" t="str">
        <f ca="1">IFERROR(__xludf.DUMMYFUNCTION("GOOGLETRANSLATE(A945, ""en"", ""fr"")"),"À PEINE")</f>
        <v>À PEINE</v>
      </c>
      <c r="C945" s="1" t="s">
        <v>185</v>
      </c>
      <c r="X945" s="1" t="s">
        <v>20</v>
      </c>
      <c r="CS945" s="1" t="s">
        <v>93</v>
      </c>
      <c r="FZ945" s="1" t="s">
        <v>178</v>
      </c>
      <c r="GD945" s="1" t="s">
        <v>236</v>
      </c>
      <c r="GE945" s="1" t="s">
        <v>190</v>
      </c>
    </row>
    <row r="946" spans="1:187" ht="11.25" customHeight="1">
      <c r="A946" s="1" t="s">
        <v>1496</v>
      </c>
      <c r="B946" s="1" t="str">
        <f ca="1">IFERROR(__xludf.DUMMYFUNCTION("GOOGLETRANSLATE(A946, ""en"", ""fr"")"),"MARCHANDER")</f>
        <v>MARCHANDER</v>
      </c>
      <c r="C946" s="1" t="s">
        <v>192</v>
      </c>
      <c r="D946" s="1" t="s">
        <v>16612</v>
      </c>
      <c r="N946" s="1" t="s">
        <v>10</v>
      </c>
      <c r="AA946" s="1" t="s">
        <v>23</v>
      </c>
      <c r="AN946" s="1" t="s">
        <v>36</v>
      </c>
      <c r="BK946" s="1" t="s">
        <v>59</v>
      </c>
      <c r="DN946" s="1" t="s">
        <v>114</v>
      </c>
      <c r="GD946" s="1" t="s">
        <v>189</v>
      </c>
      <c r="GE946" s="1" t="s">
        <v>190</v>
      </c>
    </row>
    <row r="947" spans="1:187" ht="11.25" customHeight="1">
      <c r="A947" s="1" t="s">
        <v>1497</v>
      </c>
      <c r="B947" s="1" t="str">
        <f ca="1">IFERROR(__xludf.DUMMYFUNCTION("GOOGLETRANSLATE(A947, ""en"", ""fr"")"),"Écorce # 1")</f>
        <v>Écorce # 1</v>
      </c>
      <c r="C947" s="1" t="s">
        <v>185</v>
      </c>
      <c r="CR947" s="1" t="s">
        <v>92</v>
      </c>
      <c r="GD947" s="1" t="s">
        <v>202</v>
      </c>
      <c r="GE947" s="1" t="s">
        <v>190</v>
      </c>
    </row>
    <row r="948" spans="1:187" ht="11.25" customHeight="1">
      <c r="A948" s="1" t="s">
        <v>1498</v>
      </c>
      <c r="B948" s="1" t="str">
        <f ca="1">IFERROR(__xludf.DUMMYFUNCTION("GOOGLETRANSLATE(A948, ""en"", ""fr"")"),"Bark # 2")</f>
        <v>Bark # 2</v>
      </c>
      <c r="C948" s="1" t="s">
        <v>185</v>
      </c>
      <c r="BK948" s="1" t="s">
        <v>59</v>
      </c>
      <c r="DO948" s="1" t="s">
        <v>115</v>
      </c>
      <c r="GD948" s="1" t="s">
        <v>189</v>
      </c>
      <c r="GE948" s="1" t="s">
        <v>190</v>
      </c>
    </row>
    <row r="949" spans="1:187" ht="11.25" customHeight="1">
      <c r="A949" s="1" t="s">
        <v>1499</v>
      </c>
      <c r="B949" s="1" t="str">
        <f ca="1">IFERROR(__xludf.DUMMYFUNCTION("GOOGLETRANSLATE(A949, ""en"", ""fr"")"),"GRANGE")</f>
        <v>GRANGE</v>
      </c>
      <c r="C949" s="1" t="s">
        <v>185</v>
      </c>
      <c r="AA949" s="1" t="s">
        <v>23</v>
      </c>
      <c r="AV949" s="1" t="s">
        <v>44</v>
      </c>
      <c r="AW949" s="1" t="s">
        <v>45</v>
      </c>
      <c r="GD949" s="1" t="s">
        <v>193</v>
      </c>
      <c r="GE949" s="1" t="s">
        <v>190</v>
      </c>
    </row>
    <row r="950" spans="1:187" ht="11.25" customHeight="1">
      <c r="A950" s="1" t="s">
        <v>1500</v>
      </c>
      <c r="B950" s="1" t="str">
        <f ca="1">IFERROR(__xludf.DUMMYFUNCTION("GOOGLETRANSLATE(A950, ""en"", ""fr"")"),"BARIL")</f>
        <v>BARIL</v>
      </c>
      <c r="C950" s="1" t="s">
        <v>185</v>
      </c>
      <c r="BC950" s="1" t="s">
        <v>51</v>
      </c>
      <c r="BD950" s="1" t="s">
        <v>52</v>
      </c>
      <c r="GD950" s="1" t="s">
        <v>193</v>
      </c>
      <c r="GE950" s="1" t="s">
        <v>190</v>
      </c>
    </row>
    <row r="951" spans="1:187" ht="11.25" customHeight="1">
      <c r="A951" s="1" t="s">
        <v>1501</v>
      </c>
      <c r="B951" s="1" t="str">
        <f ca="1">IFERROR(__xludf.DUMMYFUNCTION("GOOGLETRANSLATE(A951, ""en"", ""fr"")"),"DÉNUDÉ")</f>
        <v>DÉNUDÉ</v>
      </c>
      <c r="C951" s="1" t="s">
        <v>192</v>
      </c>
      <c r="E951" s="1" t="s">
        <v>16613</v>
      </c>
      <c r="L951" s="1" t="s">
        <v>8</v>
      </c>
      <c r="O951" s="1" t="s">
        <v>11</v>
      </c>
      <c r="CS951" s="1" t="s">
        <v>93</v>
      </c>
      <c r="DR951" s="1" t="s">
        <v>118</v>
      </c>
      <c r="GD951" s="1" t="s">
        <v>202</v>
      </c>
      <c r="GE951" s="1" t="s">
        <v>190</v>
      </c>
    </row>
    <row r="952" spans="1:187" ht="11.25" customHeight="1">
      <c r="A952" s="1" t="s">
        <v>1502</v>
      </c>
      <c r="B952" s="1" t="str">
        <f ca="1">IFERROR(__xludf.DUMMYFUNCTION("GOOGLETRANSLATE(A952, ""en"", ""fr"")"),"BARRIÈRE")</f>
        <v>BARRIÈRE</v>
      </c>
      <c r="C952" s="1" t="s">
        <v>185</v>
      </c>
      <c r="E952" s="1" t="s">
        <v>16613</v>
      </c>
      <c r="BC952" s="1" t="s">
        <v>51</v>
      </c>
      <c r="DW952" s="1" t="s">
        <v>123</v>
      </c>
      <c r="ED952" s="1" t="s">
        <v>130</v>
      </c>
      <c r="GD952" s="1" t="s">
        <v>193</v>
      </c>
      <c r="GE952" s="1" t="s">
        <v>190</v>
      </c>
    </row>
    <row r="953" spans="1:187" ht="11.25" customHeight="1">
      <c r="A953" s="1" t="s">
        <v>1503</v>
      </c>
      <c r="B953" s="1" t="str">
        <f ca="1">IFERROR(__xludf.DUMMYFUNCTION("GOOGLETRANSLATE(A953, ""en"", ""fr"")"),"Base n ° 1")</f>
        <v>Base n ° 1</v>
      </c>
      <c r="C953" s="1" t="s">
        <v>185</v>
      </c>
      <c r="J953" s="1" t="s">
        <v>6</v>
      </c>
      <c r="AV953" s="1" t="s">
        <v>44</v>
      </c>
      <c r="AW953" s="1" t="s">
        <v>45</v>
      </c>
      <c r="GD953" s="1" t="s">
        <v>193</v>
      </c>
      <c r="GE953" s="1" t="s">
        <v>1504</v>
      </c>
    </row>
    <row r="954" spans="1:187" ht="11.25" customHeight="1">
      <c r="A954" s="1" t="s">
        <v>1505</v>
      </c>
      <c r="B954" s="1" t="str">
        <f ca="1">IFERROR(__xludf.DUMMYFUNCTION("GOOGLETRANSLATE(A954, ""en"", ""fr"")"),"Base n ° 2")</f>
        <v>Base n ° 2</v>
      </c>
      <c r="C954" s="1" t="s">
        <v>185</v>
      </c>
      <c r="J954" s="1" t="s">
        <v>6</v>
      </c>
      <c r="CO954" s="1" t="s">
        <v>89</v>
      </c>
      <c r="DN954" s="1" t="s">
        <v>114</v>
      </c>
      <c r="GD954" s="1" t="s">
        <v>189</v>
      </c>
      <c r="GE954" s="1" t="s">
        <v>1506</v>
      </c>
    </row>
    <row r="955" spans="1:187" ht="11.25" customHeight="1">
      <c r="A955" s="1" t="s">
        <v>1507</v>
      </c>
      <c r="B955" s="1" t="str">
        <f ca="1">IFERROR(__xludf.DUMMYFUNCTION("GOOGLETRANSLATE(A955, ""en"", ""fr"")"),"BASE-BALL")</f>
        <v>BASE-BALL</v>
      </c>
      <c r="C955" s="1" t="s">
        <v>185</v>
      </c>
      <c r="AD955" s="1" t="s">
        <v>26</v>
      </c>
      <c r="AM955" s="1" t="s">
        <v>35</v>
      </c>
      <c r="GD955" s="1" t="s">
        <v>193</v>
      </c>
      <c r="GE955" s="1" t="s">
        <v>1508</v>
      </c>
    </row>
    <row r="956" spans="1:187" ht="11.25" customHeight="1">
      <c r="A956" s="1" t="s">
        <v>1509</v>
      </c>
      <c r="B956" s="1" t="str">
        <f ca="1">IFERROR(__xludf.DUMMYFUNCTION("GOOGLETRANSLATE(A956, ""en"", ""fr"")"),"SOUS-SOL")</f>
        <v>SOUS-SOL</v>
      </c>
      <c r="C956" s="1" t="s">
        <v>185</v>
      </c>
      <c r="BC956" s="1" t="s">
        <v>51</v>
      </c>
      <c r="BG956" s="1" t="s">
        <v>55</v>
      </c>
      <c r="GD956" s="1" t="s">
        <v>193</v>
      </c>
      <c r="GE956" s="1" t="s">
        <v>190</v>
      </c>
    </row>
    <row r="957" spans="1:187" ht="11.25" customHeight="1">
      <c r="A957" s="1" t="s">
        <v>1510</v>
      </c>
      <c r="B957" s="1" t="str">
        <f ca="1">IFERROR(__xludf.DUMMYFUNCTION("GOOGLETRANSLATE(A957, ""en"", ""fr"")"),"TIMIDE")</f>
        <v>TIMIDE</v>
      </c>
      <c r="C957" s="1" t="s">
        <v>192</v>
      </c>
      <c r="E957" s="1" t="s">
        <v>16613</v>
      </c>
      <c r="L957" s="1" t="s">
        <v>8</v>
      </c>
      <c r="O957" s="1" t="s">
        <v>11</v>
      </c>
      <c r="S957" s="1" t="s">
        <v>15</v>
      </c>
      <c r="T957" s="1" t="s">
        <v>16</v>
      </c>
      <c r="DQ957" s="1" t="s">
        <v>117</v>
      </c>
      <c r="GD957" s="1" t="s">
        <v>202</v>
      </c>
      <c r="GE957" s="1" t="s">
        <v>190</v>
      </c>
    </row>
    <row r="958" spans="1:187" ht="11.25" customHeight="1">
      <c r="A958" s="1" t="s">
        <v>1511</v>
      </c>
      <c r="B958" s="1" t="str">
        <f ca="1">IFERROR(__xludf.DUMMYFUNCTION("GOOGLETRANSLATE(A958, ""en"", ""fr"")"),"Base n ° 1")</f>
        <v>Base n ° 1</v>
      </c>
      <c r="C958" s="1" t="s">
        <v>185</v>
      </c>
      <c r="D958" s="1" t="s">
        <v>16612</v>
      </c>
      <c r="F958" s="1" t="s">
        <v>2</v>
      </c>
      <c r="U958" s="1" t="s">
        <v>17</v>
      </c>
      <c r="W958" s="1" t="s">
        <v>19</v>
      </c>
      <c r="FY958" s="1" t="s">
        <v>177</v>
      </c>
      <c r="GD958" s="1" t="s">
        <v>202</v>
      </c>
      <c r="GE958" s="1" t="s">
        <v>1512</v>
      </c>
    </row>
    <row r="959" spans="1:187" ht="11.25" customHeight="1">
      <c r="A959" s="1" t="s">
        <v>1513</v>
      </c>
      <c r="B959" s="1" t="str">
        <f ca="1">IFERROR(__xludf.DUMMYFUNCTION("GOOGLETRANSLATE(A959, ""en"", ""fr"")"),"Base n ° 2")</f>
        <v>Base n ° 2</v>
      </c>
      <c r="C959" s="1" t="s">
        <v>185</v>
      </c>
      <c r="D959" s="1" t="s">
        <v>16612</v>
      </c>
      <c r="F959" s="1" t="s">
        <v>2</v>
      </c>
      <c r="W959" s="1" t="s">
        <v>19</v>
      </c>
      <c r="DD959" s="1" t="s">
        <v>104</v>
      </c>
      <c r="GD959" s="1" t="s">
        <v>236</v>
      </c>
      <c r="GE959" s="1" t="s">
        <v>1514</v>
      </c>
    </row>
    <row r="960" spans="1:187" ht="11.25" customHeight="1">
      <c r="A960" s="1" t="s">
        <v>1515</v>
      </c>
      <c r="B960" s="1" t="str">
        <f ca="1">IFERROR(__xludf.DUMMYFUNCTION("GOOGLETRANSLATE(A960, ""en"", ""fr"")"),"BASE")</f>
        <v>BASE</v>
      </c>
      <c r="C960" s="1" t="s">
        <v>185</v>
      </c>
      <c r="W960" s="1" t="s">
        <v>19</v>
      </c>
      <c r="CH960" s="1" t="s">
        <v>82</v>
      </c>
      <c r="GD960" s="1" t="s">
        <v>193</v>
      </c>
      <c r="GE960" s="1" t="s">
        <v>1516</v>
      </c>
    </row>
    <row r="961" spans="1:187" ht="11.25" customHeight="1">
      <c r="A961" s="1" t="s">
        <v>1517</v>
      </c>
      <c r="B961" s="1" t="str">
        <f ca="1">IFERROR(__xludf.DUMMYFUNCTION("GOOGLETRANSLATE(A961, ""en"", ""fr"")"),"PANIER")</f>
        <v>PANIER</v>
      </c>
      <c r="C961" s="1" t="s">
        <v>185</v>
      </c>
      <c r="BC961" s="1" t="s">
        <v>51</v>
      </c>
      <c r="BD961" s="1" t="s">
        <v>52</v>
      </c>
      <c r="GD961" s="1" t="s">
        <v>193</v>
      </c>
      <c r="GE961" s="1" t="s">
        <v>1518</v>
      </c>
    </row>
    <row r="962" spans="1:187" ht="11.25" customHeight="1">
      <c r="A962" s="1" t="s">
        <v>1519</v>
      </c>
      <c r="B962" s="1" t="str">
        <f ca="1">IFERROR(__xludf.DUMMYFUNCTION("GOOGLETRANSLATE(A962, ""en"", ""fr"")"),"BÂTARD")</f>
        <v>BÂTARD</v>
      </c>
      <c r="C962" s="1" t="s">
        <v>185</v>
      </c>
      <c r="E962" s="1" t="s">
        <v>16613</v>
      </c>
      <c r="H962" s="1" t="s">
        <v>4</v>
      </c>
      <c r="I962" s="1" t="s">
        <v>5</v>
      </c>
      <c r="AJ962" s="1" t="s">
        <v>32</v>
      </c>
      <c r="AT962" s="1" t="s">
        <v>42</v>
      </c>
      <c r="EL962" s="1" t="s">
        <v>138</v>
      </c>
      <c r="EN962" s="1" t="s">
        <v>140</v>
      </c>
      <c r="GD962" s="1" t="s">
        <v>193</v>
      </c>
      <c r="GE962" s="1" t="s">
        <v>190</v>
      </c>
    </row>
    <row r="963" spans="1:187" ht="11.25" customHeight="1">
      <c r="A963" s="1" t="s">
        <v>1520</v>
      </c>
      <c r="B963" s="1" t="str">
        <f ca="1">IFERROR(__xludf.DUMMYFUNCTION("GOOGLETRANSLATE(A963, ""en"", ""fr"")"),"Chauve-souris n ° 1")</f>
        <v>Chauve-souris n ° 1</v>
      </c>
      <c r="C963" s="1" t="s">
        <v>185</v>
      </c>
      <c r="AU963" s="1" t="s">
        <v>43</v>
      </c>
      <c r="GD963" s="1" t="s">
        <v>193</v>
      </c>
      <c r="GE963" s="1" t="s">
        <v>190</v>
      </c>
    </row>
    <row r="964" spans="1:187" ht="11.25" customHeight="1">
      <c r="A964" s="1" t="s">
        <v>1521</v>
      </c>
      <c r="B964" s="1" t="str">
        <f ca="1">IFERROR(__xludf.DUMMYFUNCTION("GOOGLETRANSLATE(A964, ""en"", ""fr"")"),"Chauve-souris n ° 2")</f>
        <v>Chauve-souris n ° 2</v>
      </c>
      <c r="C964" s="1" t="s">
        <v>185</v>
      </c>
      <c r="AD964" s="1" t="s">
        <v>26</v>
      </c>
      <c r="CC964" s="1" t="s">
        <v>77</v>
      </c>
      <c r="DO964" s="1" t="s">
        <v>115</v>
      </c>
      <c r="GD964" s="1" t="s">
        <v>189</v>
      </c>
      <c r="GE964" s="1" t="s">
        <v>190</v>
      </c>
    </row>
    <row r="965" spans="1:187" ht="11.25" customHeight="1">
      <c r="A965" s="1" t="s">
        <v>1522</v>
      </c>
      <c r="B965" s="1" t="str">
        <f ca="1">IFERROR(__xludf.DUMMYFUNCTION("GOOGLETRANSLATE(A965, ""en"", ""fr"")"),"BAIN")</f>
        <v>BAIN</v>
      </c>
      <c r="C965" s="1" t="s">
        <v>185</v>
      </c>
      <c r="BC965" s="1" t="s">
        <v>51</v>
      </c>
      <c r="BD965" s="1" t="s">
        <v>52</v>
      </c>
      <c r="GD965" s="1" t="s">
        <v>193</v>
      </c>
      <c r="GE965" s="1" t="s">
        <v>190</v>
      </c>
    </row>
    <row r="966" spans="1:187" ht="11.25" customHeight="1">
      <c r="A966" s="1" t="s">
        <v>1523</v>
      </c>
      <c r="B966" s="1" t="str">
        <f ca="1">IFERROR(__xludf.DUMMYFUNCTION("GOOGLETRANSLATE(A966, ""en"", ""fr"")"),"BAIGNER")</f>
        <v>BAIGNER</v>
      </c>
      <c r="C966" s="1" t="s">
        <v>185</v>
      </c>
      <c r="BU966" s="1" t="s">
        <v>69</v>
      </c>
      <c r="DO966" s="1" t="s">
        <v>115</v>
      </c>
      <c r="GD966" s="1" t="s">
        <v>189</v>
      </c>
      <c r="GE966" s="1" t="s">
        <v>190</v>
      </c>
    </row>
    <row r="967" spans="1:187" ht="11.25" customHeight="1">
      <c r="A967" s="1" t="s">
        <v>1524</v>
      </c>
      <c r="B967" s="1" t="str">
        <f ca="1">IFERROR(__xludf.DUMMYFUNCTION("GOOGLETRANSLATE(A967, ""en"", ""fr"")"),"Salle de bain n ° 1")</f>
        <v>Salle de bain n ° 1</v>
      </c>
      <c r="C967" s="1" t="s">
        <v>185</v>
      </c>
      <c r="BC967" s="1" t="s">
        <v>51</v>
      </c>
      <c r="BG967" s="1" t="s">
        <v>55</v>
      </c>
      <c r="GD967" s="1" t="s">
        <v>193</v>
      </c>
      <c r="GE967" s="1" t="s">
        <v>1525</v>
      </c>
    </row>
    <row r="968" spans="1:187" ht="11.25" customHeight="1">
      <c r="A968" s="1" t="s">
        <v>1526</v>
      </c>
      <c r="B968" s="1" t="str">
        <f ca="1">IFERROR(__xludf.DUMMYFUNCTION("GOOGLETRANSLATE(A968, ""en"", ""fr"")"),"Salle de bain n ° 2")</f>
        <v>Salle de bain n ° 2</v>
      </c>
      <c r="C968" s="1" t="s">
        <v>185</v>
      </c>
      <c r="BU968" s="1" t="s">
        <v>69</v>
      </c>
      <c r="DO968" s="1" t="s">
        <v>115</v>
      </c>
      <c r="GD968" s="1" t="s">
        <v>189</v>
      </c>
      <c r="GE968" s="1" t="s">
        <v>1527</v>
      </c>
    </row>
    <row r="969" spans="1:187" ht="11.25" customHeight="1">
      <c r="A969" s="1" t="s">
        <v>1528</v>
      </c>
      <c r="B969" s="1" t="str">
        <f ca="1">IFERROR(__xludf.DUMMYFUNCTION("GOOGLETRANSLATE(A969, ""en"", ""fr"")"),"Bataille n ° 1")</f>
        <v>Bataille n ° 1</v>
      </c>
      <c r="C969" s="1" t="s">
        <v>185</v>
      </c>
      <c r="E969" s="1" t="s">
        <v>16613</v>
      </c>
      <c r="H969" s="1" t="s">
        <v>4</v>
      </c>
      <c r="J969" s="1" t="s">
        <v>6</v>
      </c>
      <c r="N969" s="1" t="s">
        <v>10</v>
      </c>
      <c r="AF969" s="1" t="s">
        <v>28</v>
      </c>
      <c r="AH969" s="1" t="s">
        <v>30</v>
      </c>
      <c r="AM969" s="1" t="s">
        <v>35</v>
      </c>
      <c r="DW969" s="1" t="s">
        <v>123</v>
      </c>
      <c r="ED969" s="1" t="s">
        <v>130</v>
      </c>
      <c r="GD969" s="1" t="s">
        <v>193</v>
      </c>
      <c r="GE969" s="1" t="s">
        <v>1529</v>
      </c>
    </row>
    <row r="970" spans="1:187" ht="11.25" customHeight="1">
      <c r="A970" s="1" t="s">
        <v>1530</v>
      </c>
      <c r="B970" s="1" t="str">
        <f ca="1">IFERROR(__xludf.DUMMYFUNCTION("GOOGLETRANSLATE(A970, ""en"", ""fr"")"),"Bataille n ° 2")</f>
        <v>Bataille n ° 2</v>
      </c>
      <c r="C970" s="1" t="s">
        <v>185</v>
      </c>
      <c r="E970" s="1" t="s">
        <v>16613</v>
      </c>
      <c r="H970" s="1" t="s">
        <v>4</v>
      </c>
      <c r="I970" s="1" t="s">
        <v>5</v>
      </c>
      <c r="J970" s="1" t="s">
        <v>6</v>
      </c>
      <c r="N970" s="1" t="s">
        <v>10</v>
      </c>
      <c r="AN970" s="1" t="s">
        <v>36</v>
      </c>
      <c r="DO970" s="1" t="s">
        <v>115</v>
      </c>
      <c r="DW970" s="1" t="s">
        <v>123</v>
      </c>
      <c r="ED970" s="1" t="s">
        <v>130</v>
      </c>
      <c r="GD970" s="1" t="s">
        <v>189</v>
      </c>
      <c r="GE970" s="1" t="s">
        <v>1531</v>
      </c>
    </row>
    <row r="971" spans="1:187" ht="11.25" customHeight="1">
      <c r="A971" s="1" t="s">
        <v>1532</v>
      </c>
      <c r="B971" s="1" t="str">
        <f ca="1">IFERROR(__xludf.DUMMYFUNCTION("GOOGLETRANSLATE(A971, ""en"", ""fr"")"),"CHAMP DE BATAILLE")</f>
        <v>CHAMP DE BATAILLE</v>
      </c>
      <c r="C971" s="1" t="s">
        <v>185</v>
      </c>
      <c r="E971" s="1" t="s">
        <v>16613</v>
      </c>
      <c r="I971" s="1" t="s">
        <v>5</v>
      </c>
      <c r="AN971" s="1" t="s">
        <v>36</v>
      </c>
      <c r="AV971" s="1" t="s">
        <v>44</v>
      </c>
      <c r="CC971" s="1" t="s">
        <v>77</v>
      </c>
      <c r="DV971" s="1" t="s">
        <v>122</v>
      </c>
      <c r="ED971" s="1" t="s">
        <v>130</v>
      </c>
      <c r="GD971" s="1" t="s">
        <v>193</v>
      </c>
      <c r="GE971" s="1" t="s">
        <v>190</v>
      </c>
    </row>
    <row r="972" spans="1:187" ht="11.25" customHeight="1">
      <c r="A972" s="1" t="s">
        <v>1533</v>
      </c>
      <c r="B972" s="1" t="str">
        <f ca="1">IFERROR(__xludf.DUMMYFUNCTION("GOOGLETRANSLATE(A972, ""en"", ""fr"")"),"BATAILLE NAVALE")</f>
        <v>BATAILLE NAVALE</v>
      </c>
      <c r="C972" s="1" t="s">
        <v>196</v>
      </c>
      <c r="DW972" s="1" t="s">
        <v>123</v>
      </c>
      <c r="ED972" s="1" t="s">
        <v>130</v>
      </c>
      <c r="GD972" s="1" t="s">
        <v>470</v>
      </c>
    </row>
    <row r="973" spans="1:187" ht="11.25" customHeight="1">
      <c r="A973" s="1" t="s">
        <v>1534</v>
      </c>
      <c r="B973" s="1" t="str">
        <f ca="1">IFERROR(__xludf.DUMMYFUNCTION("GOOGLETRANSLATE(A973, ""en"", ""fr"")"),"Bavière")</f>
        <v>Bavière</v>
      </c>
      <c r="C973" s="1" t="s">
        <v>196</v>
      </c>
      <c r="FU973" s="1" t="s">
        <v>173</v>
      </c>
      <c r="GD973" s="1" t="s">
        <v>545</v>
      </c>
    </row>
    <row r="974" spans="1:187" ht="11.25" customHeight="1">
      <c r="A974" s="1" t="s">
        <v>1535</v>
      </c>
      <c r="B974" s="1" t="str">
        <f ca="1">IFERROR(__xludf.DUMMYFUNCTION("GOOGLETRANSLATE(A974, ""en"", ""fr"")"),"BAIE")</f>
        <v>BAIE</v>
      </c>
      <c r="C974" s="1" t="s">
        <v>185</v>
      </c>
      <c r="AV974" s="1" t="s">
        <v>44</v>
      </c>
      <c r="AZ974" s="1" t="s">
        <v>48</v>
      </c>
      <c r="GD974" s="1" t="s">
        <v>193</v>
      </c>
      <c r="GE974" s="1" t="s">
        <v>190</v>
      </c>
    </row>
    <row r="975" spans="1:187" ht="11.25" customHeight="1">
      <c r="A975" s="1" t="s">
        <v>1536</v>
      </c>
      <c r="B975" s="1" t="str">
        <f ca="1">IFERROR(__xludf.DUMMYFUNCTION("GOOGLETRANSLATE(A975, ""en"", ""fr"")"),"Être n ° 1")</f>
        <v>Être n ° 1</v>
      </c>
      <c r="C975" s="1" t="s">
        <v>185</v>
      </c>
      <c r="DP975" s="1" t="s">
        <v>116</v>
      </c>
      <c r="GD975" s="1" t="s">
        <v>772</v>
      </c>
      <c r="GE975" s="1" t="s">
        <v>1537</v>
      </c>
    </row>
    <row r="976" spans="1:187" ht="11.25" customHeight="1">
      <c r="A976" s="1" t="s">
        <v>1538</v>
      </c>
      <c r="B976" s="1" t="str">
        <f ca="1">IFERROR(__xludf.DUMMYFUNCTION("GOOGLETRANSLATE(A976, ""en"", ""fr"")"),"Être n ° 2")</f>
        <v>Être n ° 2</v>
      </c>
      <c r="C976" s="1" t="s">
        <v>185</v>
      </c>
      <c r="DP976" s="1" t="s">
        <v>116</v>
      </c>
      <c r="GD976" s="1" t="s">
        <v>772</v>
      </c>
      <c r="GE976" s="1" t="s">
        <v>1539</v>
      </c>
    </row>
    <row r="977" spans="1:187" ht="11.25" customHeight="1">
      <c r="A977" s="1" t="s">
        <v>1540</v>
      </c>
      <c r="B977" s="1" t="str">
        <f ca="1">IFERROR(__xludf.DUMMYFUNCTION("GOOGLETRANSLATE(A977, ""en"", ""fr"")"),"Être n ° 3")</f>
        <v>Être n ° 3</v>
      </c>
      <c r="C977" s="1" t="s">
        <v>185</v>
      </c>
      <c r="DP977" s="1" t="s">
        <v>116</v>
      </c>
      <c r="GD977" s="1" t="s">
        <v>1041</v>
      </c>
      <c r="GE977" s="1" t="s">
        <v>1541</v>
      </c>
    </row>
    <row r="978" spans="1:187" ht="11.25" customHeight="1">
      <c r="A978" s="1" t="s">
        <v>1542</v>
      </c>
      <c r="B978" s="1" t="str">
        <f ca="1">IFERROR(__xludf.DUMMYFUNCTION("GOOGLETRANSLATE(A978, ""en"", ""fr"")"),"Être n ° 4")</f>
        <v>Être n ° 4</v>
      </c>
      <c r="C978" s="1" t="s">
        <v>185</v>
      </c>
      <c r="GD978" s="1" t="s">
        <v>225</v>
      </c>
      <c r="GE978" s="1" t="s">
        <v>1543</v>
      </c>
    </row>
    <row r="979" spans="1:187" ht="11.25" customHeight="1">
      <c r="A979" s="1" t="s">
        <v>1544</v>
      </c>
      <c r="B979" s="1" t="str">
        <f ca="1">IFERROR(__xludf.DUMMYFUNCTION("GOOGLETRANSLATE(A979, ""en"", ""fr"")"),"PLAGE")</f>
        <v>PLAGE</v>
      </c>
      <c r="C979" s="1" t="s">
        <v>185</v>
      </c>
      <c r="AV979" s="1" t="s">
        <v>44</v>
      </c>
      <c r="BA979" s="1" t="s">
        <v>49</v>
      </c>
      <c r="GD979" s="1" t="s">
        <v>193</v>
      </c>
      <c r="GE979" s="1" t="s">
        <v>1545</v>
      </c>
    </row>
    <row r="980" spans="1:187" ht="11.25" customHeight="1">
      <c r="A980" s="1" t="s">
        <v>1546</v>
      </c>
      <c r="B980" s="1" t="str">
        <f ca="1">IFERROR(__xludf.DUMMYFUNCTION("GOOGLETRANSLATE(A980, ""en"", ""fr"")"),"BALISE")</f>
        <v>BALISE</v>
      </c>
      <c r="C980" s="1" t="s">
        <v>185</v>
      </c>
      <c r="D980" s="1" t="s">
        <v>16612</v>
      </c>
      <c r="U980" s="1" t="s">
        <v>17</v>
      </c>
      <c r="FH980" s="1" t="s">
        <v>160</v>
      </c>
      <c r="FI980" s="1" t="s">
        <v>161</v>
      </c>
      <c r="GD980" s="1" t="s">
        <v>193</v>
      </c>
      <c r="GE980" s="1" t="s">
        <v>190</v>
      </c>
    </row>
    <row r="981" spans="1:187" ht="11.25" customHeight="1">
      <c r="A981" s="1" t="s">
        <v>1547</v>
      </c>
      <c r="B981" s="1" t="str">
        <f ca="1">IFERROR(__xludf.DUMMYFUNCTION("GOOGLETRANSLATE(A981, ""en"", ""fr"")"),"Poutre n ° 1")</f>
        <v>Poutre n ° 1</v>
      </c>
      <c r="C981" s="1" t="s">
        <v>185</v>
      </c>
      <c r="BU981" s="1" t="s">
        <v>69</v>
      </c>
      <c r="GD981" s="1" t="s">
        <v>193</v>
      </c>
      <c r="GE981" s="1" t="s">
        <v>190</v>
      </c>
    </row>
    <row r="982" spans="1:187" ht="11.25" customHeight="1">
      <c r="A982" s="1" t="s">
        <v>1548</v>
      </c>
      <c r="B982" s="1" t="str">
        <f ca="1">IFERROR(__xludf.DUMMYFUNCTION("GOOGLETRANSLATE(A982, ""en"", ""fr"")"),"Poutre # 2")</f>
        <v>Poutre # 2</v>
      </c>
      <c r="C982" s="1" t="s">
        <v>185</v>
      </c>
      <c r="BK982" s="1" t="s">
        <v>59</v>
      </c>
      <c r="DN982" s="1" t="s">
        <v>114</v>
      </c>
      <c r="GD982" s="1" t="s">
        <v>189</v>
      </c>
      <c r="GE982" s="1" t="s">
        <v>190</v>
      </c>
    </row>
    <row r="983" spans="1:187" ht="11.25" customHeight="1">
      <c r="A983" s="1" t="s">
        <v>1549</v>
      </c>
      <c r="B983" s="1" t="str">
        <f ca="1">IFERROR(__xludf.DUMMYFUNCTION("GOOGLETRANSLATE(A983, ""en"", ""fr"")"),"HARICOT")</f>
        <v>HARICOT</v>
      </c>
      <c r="C983" s="1" t="s">
        <v>185</v>
      </c>
      <c r="BC983" s="1" t="s">
        <v>51</v>
      </c>
      <c r="BE983" s="1" t="s">
        <v>53</v>
      </c>
      <c r="GD983" s="1" t="s">
        <v>193</v>
      </c>
      <c r="GE983" s="1" t="s">
        <v>190</v>
      </c>
    </row>
    <row r="984" spans="1:187" ht="11.25" customHeight="1">
      <c r="A984" s="1" t="s">
        <v>1550</v>
      </c>
      <c r="B984" s="1" t="str">
        <f ca="1">IFERROR(__xludf.DUMMYFUNCTION("GOOGLETRANSLATE(A984, ""en"", ""fr"")"),"Ours # 1")</f>
        <v>Ours # 1</v>
      </c>
      <c r="C984" s="1" t="s">
        <v>185</v>
      </c>
      <c r="AU984" s="1" t="s">
        <v>43</v>
      </c>
      <c r="GD984" s="1" t="s">
        <v>193</v>
      </c>
      <c r="GE984" s="1" t="s">
        <v>1551</v>
      </c>
    </row>
    <row r="985" spans="1:187" ht="11.25" customHeight="1">
      <c r="A985" s="1" t="s">
        <v>1552</v>
      </c>
      <c r="B985" s="1" t="str">
        <f ca="1">IFERROR(__xludf.DUMMYFUNCTION("GOOGLETRANSLATE(A985, ""en"", ""fr"")"),"Ours # 10")</f>
        <v>Ours # 10</v>
      </c>
      <c r="C985" s="1" t="s">
        <v>196</v>
      </c>
      <c r="GD985" s="1" t="s">
        <v>189</v>
      </c>
    </row>
    <row r="986" spans="1:187" ht="11.25" customHeight="1">
      <c r="A986" s="1" t="s">
        <v>1553</v>
      </c>
      <c r="B986" s="1" t="str">
        <f ca="1">IFERROR(__xludf.DUMMYFUNCTION("GOOGLETRANSLATE(A986, ""en"", ""fr"")"),"Ours # 2")</f>
        <v>Ours # 2</v>
      </c>
      <c r="C986" s="1" t="s">
        <v>185</v>
      </c>
      <c r="J986" s="1" t="s">
        <v>6</v>
      </c>
      <c r="K986" s="1" t="s">
        <v>7</v>
      </c>
      <c r="AL986" s="1" t="s">
        <v>34</v>
      </c>
      <c r="DN986" s="1" t="s">
        <v>114</v>
      </c>
      <c r="EK986" s="1" t="s">
        <v>137</v>
      </c>
      <c r="EN986" s="1" t="s">
        <v>140</v>
      </c>
      <c r="GD986" s="1" t="s">
        <v>189</v>
      </c>
      <c r="GE986" s="1" t="s">
        <v>1554</v>
      </c>
    </row>
    <row r="987" spans="1:187" ht="11.25" customHeight="1">
      <c r="A987" s="1" t="s">
        <v>1555</v>
      </c>
      <c r="B987" s="1" t="str">
        <f ca="1">IFERROR(__xludf.DUMMYFUNCTION("GOOGLETRANSLATE(A987, ""en"", ""fr"")"),"Ours # 3")</f>
        <v>Ours # 3</v>
      </c>
      <c r="C987" s="1" t="s">
        <v>185</v>
      </c>
      <c r="BU987" s="1" t="s">
        <v>69</v>
      </c>
      <c r="DO987" s="1" t="s">
        <v>115</v>
      </c>
      <c r="EZ987" s="1" t="s">
        <v>152</v>
      </c>
      <c r="FC987" s="1" t="s">
        <v>155</v>
      </c>
      <c r="GD987" s="1" t="s">
        <v>189</v>
      </c>
      <c r="GE987" s="1" t="s">
        <v>1556</v>
      </c>
    </row>
    <row r="988" spans="1:187" ht="11.25" customHeight="1">
      <c r="A988" s="1" t="s">
        <v>1557</v>
      </c>
      <c r="B988" s="1" t="str">
        <f ca="1">IFERROR(__xludf.DUMMYFUNCTION("GOOGLETRANSLATE(A988, ""en"", ""fr"")"),"Ours # 4")</f>
        <v>Ours # 4</v>
      </c>
      <c r="C988" s="1" t="s">
        <v>185</v>
      </c>
      <c r="CO988" s="1" t="s">
        <v>89</v>
      </c>
      <c r="DN988" s="1" t="s">
        <v>114</v>
      </c>
      <c r="GD988" s="1" t="s">
        <v>189</v>
      </c>
      <c r="GE988" s="1" t="s">
        <v>1558</v>
      </c>
    </row>
    <row r="989" spans="1:187" ht="11.25" customHeight="1">
      <c r="A989" s="1" t="s">
        <v>1559</v>
      </c>
      <c r="B989" s="1" t="str">
        <f ca="1">IFERROR(__xludf.DUMMYFUNCTION("GOOGLETRANSLATE(A989, ""en"", ""fr"")"),"Ours # 5")</f>
        <v>Ours # 5</v>
      </c>
      <c r="C989" s="1" t="s">
        <v>185</v>
      </c>
      <c r="CH989" s="1" t="s">
        <v>82</v>
      </c>
      <c r="FR989" s="1" t="s">
        <v>170</v>
      </c>
      <c r="GD989" s="1" t="s">
        <v>193</v>
      </c>
      <c r="GE989" s="1" t="s">
        <v>1560</v>
      </c>
    </row>
    <row r="990" spans="1:187" ht="11.25" customHeight="1">
      <c r="A990" s="1" t="s">
        <v>1561</v>
      </c>
      <c r="B990" s="1" t="str">
        <f ca="1">IFERROR(__xludf.DUMMYFUNCTION("GOOGLETRANSLATE(A990, ""en"", ""fr"")"),"Ours # 6")</f>
        <v>Ours # 6</v>
      </c>
      <c r="C990" s="1" t="s">
        <v>185</v>
      </c>
      <c r="CR990" s="1" t="s">
        <v>92</v>
      </c>
      <c r="EM990" s="1" t="s">
        <v>139</v>
      </c>
      <c r="EN990" s="1" t="s">
        <v>140</v>
      </c>
      <c r="GD990" s="1" t="s">
        <v>193</v>
      </c>
      <c r="GE990" s="1" t="s">
        <v>1562</v>
      </c>
    </row>
    <row r="991" spans="1:187" ht="11.25" customHeight="1">
      <c r="A991" s="1" t="s">
        <v>1563</v>
      </c>
      <c r="B991" s="1" t="str">
        <f ca="1">IFERROR(__xludf.DUMMYFUNCTION("GOOGLETRANSLATE(A991, ""en"", ""fr"")"),"Ours # 7")</f>
        <v>Ours # 7</v>
      </c>
      <c r="C991" s="1" t="s">
        <v>185</v>
      </c>
      <c r="DA991" s="1" t="s">
        <v>101</v>
      </c>
      <c r="FH991" s="1" t="s">
        <v>160</v>
      </c>
      <c r="FI991" s="1" t="s">
        <v>161</v>
      </c>
      <c r="GD991" s="1" t="s">
        <v>193</v>
      </c>
      <c r="GE991" s="1" t="s">
        <v>1564</v>
      </c>
    </row>
    <row r="992" spans="1:187" ht="11.25" customHeight="1">
      <c r="A992" s="1" t="s">
        <v>1565</v>
      </c>
      <c r="B992" s="1" t="str">
        <f ca="1">IFERROR(__xludf.DUMMYFUNCTION("GOOGLETRANSLATE(A992, ""en"", ""fr"")"),"Ours # 8")</f>
        <v>Ours # 8</v>
      </c>
      <c r="C992" s="1" t="s">
        <v>185</v>
      </c>
      <c r="BC992" s="1" t="s">
        <v>51</v>
      </c>
      <c r="BD992" s="1" t="s">
        <v>52</v>
      </c>
      <c r="FL992" s="1" t="s">
        <v>164</v>
      </c>
      <c r="FM992" s="1" t="s">
        <v>418</v>
      </c>
      <c r="GD992" s="1" t="s">
        <v>193</v>
      </c>
      <c r="GE992" s="1" t="s">
        <v>1566</v>
      </c>
    </row>
    <row r="993" spans="1:187" ht="11.25" customHeight="1">
      <c r="A993" s="1" t="s">
        <v>1567</v>
      </c>
      <c r="B993" s="1" t="str">
        <f ca="1">IFERROR(__xludf.DUMMYFUNCTION("GOOGLETRANSLATE(A993, ""en"", ""fr"")"),"Ours # 9")</f>
        <v>Ours # 9</v>
      </c>
      <c r="C993" s="1" t="s">
        <v>185</v>
      </c>
      <c r="BC993" s="1" t="s">
        <v>51</v>
      </c>
      <c r="BD993" s="1" t="s">
        <v>52</v>
      </c>
      <c r="ER993" s="1" t="s">
        <v>144</v>
      </c>
      <c r="ES993" s="1" t="s">
        <v>145</v>
      </c>
      <c r="GD993" s="1" t="s">
        <v>193</v>
      </c>
      <c r="GE993" s="1" t="s">
        <v>1568</v>
      </c>
    </row>
    <row r="994" spans="1:187" ht="11.25" customHeight="1">
      <c r="A994" s="1" t="s">
        <v>1569</v>
      </c>
      <c r="B994" s="1" t="str">
        <f ca="1">IFERROR(__xludf.DUMMYFUNCTION("GOOGLETRANSLATE(A994, ""en"", ""fr"")"),"Ours # _10")</f>
        <v>Ours # _10</v>
      </c>
      <c r="C994" s="1" t="s">
        <v>192</v>
      </c>
      <c r="J994" s="1" t="s">
        <v>6</v>
      </c>
      <c r="K994" s="1" t="s">
        <v>7</v>
      </c>
      <c r="N994" s="1" t="s">
        <v>10</v>
      </c>
      <c r="BP994" s="1" t="s">
        <v>64</v>
      </c>
      <c r="DN994" s="1" t="s">
        <v>114</v>
      </c>
      <c r="GD994" s="1" t="s">
        <v>189</v>
      </c>
      <c r="GE994" s="1" t="s">
        <v>1570</v>
      </c>
    </row>
    <row r="995" spans="1:187" ht="11.25" customHeight="1">
      <c r="A995" s="1" t="s">
        <v>1571</v>
      </c>
      <c r="B995" s="1" t="str">
        <f ca="1">IFERROR(__xludf.DUMMYFUNCTION("GOOGLETRANSLATE(A995, ""en"", ""fr"")"),"BARBE")</f>
        <v>BARBE</v>
      </c>
      <c r="C995" s="1" t="s">
        <v>185</v>
      </c>
      <c r="BJ995" s="1" t="s">
        <v>58</v>
      </c>
      <c r="GD995" s="1" t="s">
        <v>193</v>
      </c>
      <c r="GE995" s="1" t="s">
        <v>190</v>
      </c>
    </row>
    <row r="996" spans="1:187" ht="11.25" customHeight="1">
      <c r="A996" s="1" t="s">
        <v>1572</v>
      </c>
      <c r="B996" s="1" t="str">
        <f ca="1">IFERROR(__xludf.DUMMYFUNCTION("GOOGLETRANSLATE(A996, ""en"", ""fr"")"),"PORTEUR")</f>
        <v>PORTEUR</v>
      </c>
      <c r="C996" s="1" t="s">
        <v>185</v>
      </c>
      <c r="M996" s="1" t="s">
        <v>9</v>
      </c>
      <c r="AJ996" s="1" t="s">
        <v>32</v>
      </c>
      <c r="AT996" s="1" t="s">
        <v>42</v>
      </c>
      <c r="GD996" s="1" t="s">
        <v>193</v>
      </c>
      <c r="GE996" s="1" t="s">
        <v>190</v>
      </c>
    </row>
    <row r="997" spans="1:187" ht="11.25" customHeight="1">
      <c r="A997" s="1" t="s">
        <v>1573</v>
      </c>
      <c r="B997" s="1" t="str">
        <f ca="1">IFERROR(__xludf.DUMMYFUNCTION("GOOGLETRANSLATE(A997, ""en"", ""fr"")"),"BESTIAL")</f>
        <v>BESTIAL</v>
      </c>
      <c r="C997" s="1" t="s">
        <v>192</v>
      </c>
      <c r="E997" s="1" t="s">
        <v>16613</v>
      </c>
      <c r="I997" s="1" t="s">
        <v>5</v>
      </c>
      <c r="V997" s="1" t="s">
        <v>18</v>
      </c>
      <c r="DR997" s="1" t="s">
        <v>118</v>
      </c>
      <c r="GD997" s="1" t="s">
        <v>202</v>
      </c>
      <c r="GE997" s="1" t="s">
        <v>190</v>
      </c>
    </row>
    <row r="998" spans="1:187" ht="11.25" customHeight="1">
      <c r="A998" s="1" t="s">
        <v>1574</v>
      </c>
      <c r="B998" s="1" t="str">
        <f ca="1">IFERROR(__xludf.DUMMYFUNCTION("GOOGLETRANSLATE(A998, ""en"", ""fr"")"),"RYTHME 1")</f>
        <v>RYTHME 1</v>
      </c>
      <c r="C998" s="1" t="s">
        <v>185</v>
      </c>
      <c r="AD998" s="1" t="s">
        <v>26</v>
      </c>
      <c r="CY998" s="1" t="s">
        <v>99</v>
      </c>
      <c r="GD998" s="1" t="s">
        <v>193</v>
      </c>
      <c r="GE998" s="1" t="s">
        <v>1575</v>
      </c>
    </row>
    <row r="999" spans="1:187" ht="11.25" customHeight="1">
      <c r="A999" s="1" t="s">
        <v>1576</v>
      </c>
      <c r="B999" s="1" t="str">
        <f ca="1">IFERROR(__xludf.DUMMYFUNCTION("GOOGLETRANSLATE(A999, ""en"", ""fr"")"),"Beat # 2")</f>
        <v>Beat # 2</v>
      </c>
      <c r="C999" s="1" t="s">
        <v>185</v>
      </c>
      <c r="E999" s="1" t="s">
        <v>16613</v>
      </c>
      <c r="H999" s="1" t="s">
        <v>4</v>
      </c>
      <c r="I999" s="1" t="s">
        <v>5</v>
      </c>
      <c r="J999" s="1" t="s">
        <v>6</v>
      </c>
      <c r="K999" s="1" t="s">
        <v>7</v>
      </c>
      <c r="N999" s="1" t="s">
        <v>10</v>
      </c>
      <c r="BS999" s="1" t="s">
        <v>67</v>
      </c>
      <c r="DN999" s="1" t="s">
        <v>114</v>
      </c>
      <c r="DT999" s="1" t="s">
        <v>120</v>
      </c>
      <c r="ED999" s="1" t="s">
        <v>130</v>
      </c>
      <c r="GD999" s="1" t="s">
        <v>189</v>
      </c>
      <c r="GE999" s="1" t="s">
        <v>1577</v>
      </c>
    </row>
    <row r="1000" spans="1:187" ht="11.25" customHeight="1">
      <c r="A1000" s="1" t="s">
        <v>1578</v>
      </c>
      <c r="B1000" s="1" t="str">
        <f ca="1">IFERROR(__xludf.DUMMYFUNCTION("GOOGLETRANSLATE(A1000, ""en"", ""fr"")"),"Beat # 3")</f>
        <v>Beat # 3</v>
      </c>
      <c r="C1000" s="1" t="s">
        <v>185</v>
      </c>
      <c r="E1000" s="1" t="s">
        <v>16613</v>
      </c>
      <c r="H1000" s="1" t="s">
        <v>4</v>
      </c>
      <c r="I1000" s="1" t="s">
        <v>5</v>
      </c>
      <c r="J1000" s="1" t="s">
        <v>6</v>
      </c>
      <c r="V1000" s="1" t="s">
        <v>18</v>
      </c>
      <c r="DT1000" s="1" t="s">
        <v>120</v>
      </c>
      <c r="ED1000" s="1" t="s">
        <v>130</v>
      </c>
      <c r="GD1000" s="1" t="s">
        <v>193</v>
      </c>
      <c r="GE1000" s="1" t="s">
        <v>1579</v>
      </c>
    </row>
    <row r="1001" spans="1:187" ht="11.25" customHeight="1">
      <c r="A1001" s="1" t="s">
        <v>1580</v>
      </c>
      <c r="B1001" s="1" t="str">
        <f ca="1">IFERROR(__xludf.DUMMYFUNCTION("GOOGLETRANSLATE(A1001, ""en"", ""fr"")"),"Beat # 4")</f>
        <v>Beat # 4</v>
      </c>
      <c r="C1001" s="1" t="s">
        <v>185</v>
      </c>
      <c r="E1001" s="1" t="s">
        <v>16613</v>
      </c>
      <c r="H1001" s="1" t="s">
        <v>4</v>
      </c>
      <c r="L1001" s="1" t="s">
        <v>8</v>
      </c>
      <c r="M1001" s="1" t="s">
        <v>9</v>
      </c>
      <c r="O1001" s="1" t="s">
        <v>11</v>
      </c>
      <c r="V1001" s="1" t="s">
        <v>18</v>
      </c>
      <c r="DW1001" s="1" t="s">
        <v>123</v>
      </c>
      <c r="ED1001" s="1" t="s">
        <v>130</v>
      </c>
      <c r="GD1001" s="1" t="s">
        <v>202</v>
      </c>
      <c r="GE1001" s="1" t="s">
        <v>1581</v>
      </c>
    </row>
    <row r="1002" spans="1:187" ht="11.25" customHeight="1">
      <c r="A1002" s="1" t="s">
        <v>1582</v>
      </c>
      <c r="B1002" s="1" t="str">
        <f ca="1">IFERROR(__xludf.DUMMYFUNCTION("GOOGLETRANSLATE(A1002, ""en"", ""fr"")"),"Battu n ° 1")</f>
        <v>Battu n ° 1</v>
      </c>
      <c r="C1002" s="1" t="s">
        <v>192</v>
      </c>
      <c r="GD1002" s="1" t="s">
        <v>1085</v>
      </c>
      <c r="GE1002" s="1" t="s">
        <v>190</v>
      </c>
    </row>
    <row r="1003" spans="1:187" ht="11.25" customHeight="1">
      <c r="A1003" s="1" t="s">
        <v>1583</v>
      </c>
      <c r="B1003" s="1" t="str">
        <f ca="1">IFERROR(__xludf.DUMMYFUNCTION("GOOGLETRANSLATE(A1003, ""en"", ""fr"")"),"BEAU")</f>
        <v>BEAU</v>
      </c>
      <c r="C1003" s="1" t="s">
        <v>192</v>
      </c>
      <c r="D1003" s="1" t="s">
        <v>16612</v>
      </c>
      <c r="CM1003" s="1" t="s">
        <v>87</v>
      </c>
      <c r="CR1003" s="1" t="s">
        <v>92</v>
      </c>
      <c r="DR1003" s="1" t="s">
        <v>118</v>
      </c>
      <c r="GD1003" s="1" t="s">
        <v>202</v>
      </c>
      <c r="GE1003" s="1" t="s">
        <v>190</v>
      </c>
    </row>
    <row r="1004" spans="1:187" ht="11.25" customHeight="1">
      <c r="A1004" s="1" t="s">
        <v>1584</v>
      </c>
      <c r="B1004" s="1" t="str">
        <f ca="1">IFERROR(__xludf.DUMMYFUNCTION("GOOGLETRANSLATE(A1004, ""en"", ""fr"")"),"BEAU")</f>
        <v>BEAU</v>
      </c>
      <c r="C1004" s="1" t="s">
        <v>196</v>
      </c>
      <c r="FJ1004" s="1" t="s">
        <v>162</v>
      </c>
      <c r="FM1004" s="1" t="s">
        <v>418</v>
      </c>
      <c r="GD1004" s="1" t="s">
        <v>1585</v>
      </c>
    </row>
    <row r="1005" spans="1:187" ht="11.25" customHeight="1">
      <c r="A1005" s="1" t="s">
        <v>1586</v>
      </c>
      <c r="B1005" s="1" t="str">
        <f ca="1">IFERROR(__xludf.DUMMYFUNCTION("GOOGLETRANSLATE(A1005, ""en"", ""fr"")"),"EMBELLIR")</f>
        <v>EMBELLIR</v>
      </c>
      <c r="C1005" s="1" t="s">
        <v>192</v>
      </c>
      <c r="D1005" s="1" t="s">
        <v>16612</v>
      </c>
      <c r="J1005" s="1" t="s">
        <v>6</v>
      </c>
      <c r="N1005" s="1" t="s">
        <v>10</v>
      </c>
      <c r="CM1005" s="1" t="s">
        <v>87</v>
      </c>
      <c r="DN1005" s="1" t="s">
        <v>114</v>
      </c>
      <c r="GD1005" s="1" t="s">
        <v>189</v>
      </c>
      <c r="GE1005" s="1" t="s">
        <v>190</v>
      </c>
    </row>
    <row r="1006" spans="1:187" ht="11.25" customHeight="1">
      <c r="A1006" s="1" t="s">
        <v>1587</v>
      </c>
      <c r="B1006" s="1" t="str">
        <f ca="1">IFERROR(__xludf.DUMMYFUNCTION("GOOGLETRANSLATE(A1006, ""en"", ""fr"")"),"BEAUTÉ")</f>
        <v>BEAUTÉ</v>
      </c>
      <c r="C1006" s="1" t="s">
        <v>185</v>
      </c>
      <c r="D1006" s="1" t="s">
        <v>16612</v>
      </c>
      <c r="F1006" s="1" t="s">
        <v>2</v>
      </c>
      <c r="U1006" s="1" t="s">
        <v>17</v>
      </c>
      <c r="CP1006" s="1" t="s">
        <v>90</v>
      </c>
      <c r="CQ1006" s="1" t="s">
        <v>91</v>
      </c>
      <c r="FJ1006" s="1" t="s">
        <v>162</v>
      </c>
      <c r="FM1006" s="1" t="s">
        <v>418</v>
      </c>
      <c r="GD1006" s="1" t="s">
        <v>193</v>
      </c>
      <c r="GE1006" s="1" t="s">
        <v>1588</v>
      </c>
    </row>
    <row r="1007" spans="1:187" ht="11.25" customHeight="1">
      <c r="A1007" s="1" t="s">
        <v>1589</v>
      </c>
      <c r="B1007" s="1" t="str">
        <f ca="1">IFERROR(__xludf.DUMMYFUNCTION("GOOGLETRANSLATE(A1007, ""en"", ""fr"")"),"CASTOR")</f>
        <v>CASTOR</v>
      </c>
      <c r="C1007" s="1" t="s">
        <v>185</v>
      </c>
      <c r="AU1007" s="1" t="s">
        <v>43</v>
      </c>
      <c r="GD1007" s="1" t="s">
        <v>193</v>
      </c>
      <c r="GE1007" s="1" t="s">
        <v>1590</v>
      </c>
    </row>
    <row r="1008" spans="1:187" ht="11.25" customHeight="1">
      <c r="A1008" s="1" t="s">
        <v>1591</v>
      </c>
      <c r="B1008" s="1" t="str">
        <f ca="1">IFERROR(__xludf.DUMMYFUNCTION("GOOGLETRANSLATE(A1008, ""en"", ""fr"")"),"DEVENU")</f>
        <v>DEVENU</v>
      </c>
      <c r="C1008" s="1" t="s">
        <v>185</v>
      </c>
      <c r="O1008" s="1" t="s">
        <v>11</v>
      </c>
      <c r="BX1008" s="1" t="s">
        <v>72</v>
      </c>
      <c r="DN1008" s="1" t="s">
        <v>114</v>
      </c>
      <c r="GD1008" s="1" t="s">
        <v>1592</v>
      </c>
      <c r="GE1008" s="1" t="s">
        <v>1593</v>
      </c>
    </row>
    <row r="1009" spans="1:187" ht="11.25" customHeight="1">
      <c r="A1009" s="1" t="s">
        <v>1594</v>
      </c>
      <c r="B1009" s="1" t="str">
        <f ca="1">IFERROR(__xludf.DUMMYFUNCTION("GOOGLETRANSLATE(A1009, ""en"", ""fr"")"),"Parce que # 1")</f>
        <v>Parce que # 1</v>
      </c>
      <c r="C1009" s="1" t="s">
        <v>185</v>
      </c>
      <c r="CI1009" s="1" t="s">
        <v>83</v>
      </c>
      <c r="GD1009" s="1" t="s">
        <v>1595</v>
      </c>
      <c r="GE1009" s="1" t="s">
        <v>1596</v>
      </c>
    </row>
    <row r="1010" spans="1:187" ht="11.25" customHeight="1">
      <c r="A1010" s="1" t="s">
        <v>1597</v>
      </c>
      <c r="B1010" s="1" t="str">
        <f ca="1">IFERROR(__xludf.DUMMYFUNCTION("GOOGLETRANSLATE(A1010, ""en"", ""fr"")"),"Parce que # 2")</f>
        <v>Parce que # 2</v>
      </c>
      <c r="C1010" s="1" t="s">
        <v>185</v>
      </c>
      <c r="CI1010" s="1" t="s">
        <v>83</v>
      </c>
      <c r="GD1010" s="1" t="s">
        <v>215</v>
      </c>
      <c r="GE1010" s="1" t="s">
        <v>1598</v>
      </c>
    </row>
    <row r="1011" spans="1:187" ht="11.25" customHeight="1">
      <c r="A1011" s="1" t="s">
        <v>1599</v>
      </c>
      <c r="B1011" s="1" t="str">
        <f ca="1">IFERROR(__xludf.DUMMYFUNCTION("GOOGLETRANSLATE(A1011, ""en"", ""fr"")"),"Faire signe")</f>
        <v>Faire signe</v>
      </c>
      <c r="C1011" s="1" t="s">
        <v>185</v>
      </c>
      <c r="G1011" s="1" t="s">
        <v>3</v>
      </c>
      <c r="N1011" s="1" t="s">
        <v>10</v>
      </c>
      <c r="BK1011" s="1" t="s">
        <v>59</v>
      </c>
      <c r="DN1011" s="1" t="s">
        <v>114</v>
      </c>
      <c r="GD1011" s="1" t="s">
        <v>189</v>
      </c>
      <c r="GE1011" s="1" t="s">
        <v>190</v>
      </c>
    </row>
    <row r="1012" spans="1:187" ht="11.25" customHeight="1">
      <c r="A1012" s="1" t="s">
        <v>1600</v>
      </c>
      <c r="B1012" s="1" t="str">
        <f ca="1">IFERROR(__xludf.DUMMYFUNCTION("GOOGLETRANSLATE(A1012, ""en"", ""fr"")"),"DEVENIR")</f>
        <v>DEVENIR</v>
      </c>
      <c r="C1012" s="1" t="s">
        <v>185</v>
      </c>
      <c r="O1012" s="1" t="s">
        <v>11</v>
      </c>
      <c r="BX1012" s="1" t="s">
        <v>72</v>
      </c>
      <c r="DN1012" s="1" t="s">
        <v>114</v>
      </c>
      <c r="GD1012" s="1" t="s">
        <v>1601</v>
      </c>
      <c r="GE1012" s="1" t="s">
        <v>1602</v>
      </c>
    </row>
    <row r="1013" spans="1:187" ht="11.25" customHeight="1">
      <c r="A1013" s="1" t="s">
        <v>1603</v>
      </c>
      <c r="B1013" s="1" t="str">
        <f ca="1">IFERROR(__xludf.DUMMYFUNCTION("GOOGLETRANSLATE(A1013, ""en"", ""fr"")"),"Lit n ° 1")</f>
        <v>Lit n ° 1</v>
      </c>
      <c r="C1013" s="1" t="s">
        <v>185</v>
      </c>
      <c r="BC1013" s="1" t="s">
        <v>51</v>
      </c>
      <c r="BD1013" s="1" t="s">
        <v>52</v>
      </c>
      <c r="GD1013" s="1" t="s">
        <v>193</v>
      </c>
      <c r="GE1013" s="1" t="s">
        <v>1604</v>
      </c>
    </row>
    <row r="1014" spans="1:187" ht="11.25" customHeight="1">
      <c r="A1014" s="1" t="s">
        <v>1605</v>
      </c>
      <c r="B1014" s="1" t="str">
        <f ca="1">IFERROR(__xludf.DUMMYFUNCTION("GOOGLETRANSLATE(A1014, ""en"", ""fr"")"),"Lit # 2")</f>
        <v>Lit # 2</v>
      </c>
      <c r="C1014" s="1" t="s">
        <v>185</v>
      </c>
      <c r="BC1014" s="1" t="s">
        <v>51</v>
      </c>
      <c r="BI1014" s="1" t="s">
        <v>57</v>
      </c>
      <c r="GD1014" s="1" t="s">
        <v>193</v>
      </c>
      <c r="GE1014" s="1" t="s">
        <v>1606</v>
      </c>
    </row>
    <row r="1015" spans="1:187" ht="11.25" customHeight="1">
      <c r="A1015" s="1" t="s">
        <v>1607</v>
      </c>
      <c r="B1015" s="1" t="str">
        <f ca="1">IFERROR(__xludf.DUMMYFUNCTION("GOOGLETRANSLATE(A1015, ""en"", ""fr"")"),"Lit # 3")</f>
        <v>Lit # 3</v>
      </c>
      <c r="C1015" s="1" t="s">
        <v>185</v>
      </c>
      <c r="CA1015" s="1" t="s">
        <v>75</v>
      </c>
      <c r="DN1015" s="1" t="s">
        <v>114</v>
      </c>
      <c r="GD1015" s="1" t="s">
        <v>189</v>
      </c>
      <c r="GE1015" s="1" t="s">
        <v>1608</v>
      </c>
    </row>
    <row r="1016" spans="1:187" ht="11.25" customHeight="1">
      <c r="A1016" s="1" t="s">
        <v>1609</v>
      </c>
      <c r="B1016" s="1" t="str">
        <f ca="1">IFERROR(__xludf.DUMMYFUNCTION("GOOGLETRANSLATE(A1016, ""en"", ""fr"")"),"Lit # 4")</f>
        <v>Lit # 4</v>
      </c>
      <c r="C1016" s="1" t="s">
        <v>185</v>
      </c>
      <c r="GD1016" s="1" t="s">
        <v>225</v>
      </c>
      <c r="GE1016" s="1" t="s">
        <v>1610</v>
      </c>
    </row>
    <row r="1017" spans="1:187" ht="11.25" customHeight="1">
      <c r="A1017" s="1" t="s">
        <v>1611</v>
      </c>
      <c r="B1017" s="1" t="str">
        <f ca="1">IFERROR(__xludf.DUMMYFUNCTION("GOOGLETRANSLATE(A1017, ""en"", ""fr"")"),"CHAMBRE À COUCHER")</f>
        <v>CHAMBRE À COUCHER</v>
      </c>
      <c r="C1017" s="1" t="s">
        <v>185</v>
      </c>
      <c r="BC1017" s="1" t="s">
        <v>51</v>
      </c>
      <c r="BG1017" s="1" t="s">
        <v>55</v>
      </c>
      <c r="GD1017" s="1" t="s">
        <v>193</v>
      </c>
      <c r="GE1017" s="1" t="s">
        <v>1612</v>
      </c>
    </row>
    <row r="1018" spans="1:187" ht="11.25" customHeight="1">
      <c r="A1018" s="1" t="s">
        <v>1613</v>
      </c>
      <c r="B1018" s="1" t="str">
        <f ca="1">IFERROR(__xludf.DUMMYFUNCTION("GOOGLETRANSLATE(A1018, ""en"", ""fr"")"),"BŒUF")</f>
        <v>BŒUF</v>
      </c>
      <c r="C1018" s="1" t="s">
        <v>185</v>
      </c>
      <c r="BC1018" s="1" t="s">
        <v>51</v>
      </c>
      <c r="BE1018" s="1" t="s">
        <v>53</v>
      </c>
      <c r="GD1018" s="1" t="s">
        <v>193</v>
      </c>
      <c r="GE1018" s="1" t="s">
        <v>190</v>
      </c>
    </row>
    <row r="1019" spans="1:187" ht="11.25" customHeight="1">
      <c r="A1019" s="1" t="s">
        <v>1614</v>
      </c>
      <c r="B1019" s="1" t="str">
        <f ca="1">IFERROR(__xludf.DUMMYFUNCTION("GOOGLETRANSLATE(A1019, ""en"", ""fr"")"),"Été n ° 1")</f>
        <v>Été n ° 1</v>
      </c>
      <c r="C1019" s="1" t="s">
        <v>185</v>
      </c>
      <c r="O1019" s="1" t="s">
        <v>11</v>
      </c>
      <c r="DP1019" s="1" t="s">
        <v>116</v>
      </c>
      <c r="GD1019" s="1" t="s">
        <v>1615</v>
      </c>
      <c r="GE1019" s="1" t="s">
        <v>1616</v>
      </c>
    </row>
    <row r="1020" spans="1:187" ht="11.25" customHeight="1">
      <c r="A1020" s="1" t="s">
        <v>1617</v>
      </c>
      <c r="B1020" s="1" t="str">
        <f ca="1">IFERROR(__xludf.DUMMYFUNCTION("GOOGLETRANSLATE(A1020, ""en"", ""fr"")"),"Été # 2")</f>
        <v>Été # 2</v>
      </c>
      <c r="C1020" s="1" t="s">
        <v>185</v>
      </c>
      <c r="DP1020" s="1" t="s">
        <v>116</v>
      </c>
      <c r="GD1020" s="1" t="s">
        <v>1615</v>
      </c>
      <c r="GE1020" s="1" t="s">
        <v>1618</v>
      </c>
    </row>
    <row r="1021" spans="1:187" ht="11.25" customHeight="1">
      <c r="A1021" s="1" t="s">
        <v>1619</v>
      </c>
      <c r="B1021" s="1" t="str">
        <f ca="1">IFERROR(__xludf.DUMMYFUNCTION("GOOGLETRANSLATE(A1021, ""en"", ""fr"")"),"Été # 3")</f>
        <v>Été # 3</v>
      </c>
      <c r="C1021" s="1" t="s">
        <v>185</v>
      </c>
      <c r="DP1021" s="1" t="s">
        <v>116</v>
      </c>
      <c r="GD1021" s="1" t="s">
        <v>1620</v>
      </c>
      <c r="GE1021" s="1" t="s">
        <v>1621</v>
      </c>
    </row>
    <row r="1022" spans="1:187" ht="11.25" customHeight="1">
      <c r="A1022" s="1" t="s">
        <v>1622</v>
      </c>
      <c r="B1022" s="1" t="str">
        <f ca="1">IFERROR(__xludf.DUMMYFUNCTION("GOOGLETRANSLATE(A1022, ""en"", ""fr"")"),"BIP")</f>
        <v>BIP</v>
      </c>
      <c r="C1022" s="1" t="s">
        <v>185</v>
      </c>
      <c r="BK1022" s="1" t="s">
        <v>59</v>
      </c>
      <c r="BL1022" s="1" t="s">
        <v>60</v>
      </c>
      <c r="GC1022" s="1" t="s">
        <v>181</v>
      </c>
      <c r="GD1022" s="1" t="s">
        <v>193</v>
      </c>
      <c r="GE1022" s="1" t="s">
        <v>190</v>
      </c>
    </row>
    <row r="1023" spans="1:187" ht="11.25" customHeight="1">
      <c r="A1023" s="1" t="s">
        <v>1623</v>
      </c>
      <c r="B1023" s="1" t="str">
        <f ca="1">IFERROR(__xludf.DUMMYFUNCTION("GOOGLETRANSLATE(A1023, ""en"", ""fr"")"),"BIÈRE")</f>
        <v>BIÈRE</v>
      </c>
      <c r="C1023" s="1" t="s">
        <v>185</v>
      </c>
      <c r="BC1023" s="1" t="s">
        <v>51</v>
      </c>
      <c r="BE1023" s="1" t="s">
        <v>53</v>
      </c>
      <c r="GD1023" s="1" t="s">
        <v>193</v>
      </c>
      <c r="GE1023" s="1" t="s">
        <v>1624</v>
      </c>
    </row>
    <row r="1024" spans="1:187" ht="11.25" customHeight="1">
      <c r="A1024" s="1" t="s">
        <v>1625</v>
      </c>
      <c r="B1024" s="1" t="str">
        <f ca="1">IFERROR(__xludf.DUMMYFUNCTION("GOOGLETRANSLATE(A1024, ""en"", ""fr"")"),"Adapter")</f>
        <v>Adapter</v>
      </c>
      <c r="C1024" s="1" t="s">
        <v>185</v>
      </c>
      <c r="D1024" s="1" t="s">
        <v>16612</v>
      </c>
      <c r="O1024" s="1" t="s">
        <v>11</v>
      </c>
      <c r="CM1024" s="1" t="s">
        <v>87</v>
      </c>
      <c r="DN1024" s="1" t="s">
        <v>114</v>
      </c>
      <c r="FX1024" s="1" t="s">
        <v>176</v>
      </c>
      <c r="GD1024" s="1" t="s">
        <v>189</v>
      </c>
      <c r="GE1024" s="1" t="s">
        <v>190</v>
      </c>
    </row>
    <row r="1025" spans="1:187" ht="11.25" customHeight="1">
      <c r="A1025" s="1" t="s">
        <v>1626</v>
      </c>
      <c r="B1025" s="1" t="str">
        <f ca="1">IFERROR(__xludf.DUMMYFUNCTION("GOOGLETRANSLATE(A1025, ""en"", ""fr"")"),"Adapté")</f>
        <v>Adapté</v>
      </c>
      <c r="C1025" s="1" t="s">
        <v>192</v>
      </c>
      <c r="D1025" s="1" t="s">
        <v>16612</v>
      </c>
      <c r="O1025" s="1" t="s">
        <v>11</v>
      </c>
      <c r="CM1025" s="1" t="s">
        <v>87</v>
      </c>
      <c r="DR1025" s="1" t="s">
        <v>118</v>
      </c>
      <c r="GD1025" s="1" t="s">
        <v>202</v>
      </c>
      <c r="GE1025" s="1" t="s">
        <v>190</v>
      </c>
    </row>
    <row r="1026" spans="1:187" ht="11.25" customHeight="1">
      <c r="A1026" s="1" t="s">
        <v>1627</v>
      </c>
      <c r="B1026" s="1" t="str">
        <f ca="1">IFERROR(__xludf.DUMMYFUNCTION("GOOGLETRANSLATE(A1026, ""en"", ""fr"")"),"AVANT")</f>
        <v>AVANT</v>
      </c>
      <c r="C1026" s="1" t="s">
        <v>185</v>
      </c>
      <c r="CY1026" s="1" t="s">
        <v>99</v>
      </c>
      <c r="GB1026" s="1" t="s">
        <v>180</v>
      </c>
      <c r="GD1026" s="1" t="s">
        <v>1628</v>
      </c>
      <c r="GE1026" s="1" t="s">
        <v>1629</v>
      </c>
    </row>
    <row r="1027" spans="1:187" ht="11.25" customHeight="1">
      <c r="A1027" s="1" t="s">
        <v>1630</v>
      </c>
      <c r="B1027" s="1" t="str">
        <f ca="1">IFERROR(__xludf.DUMMYFUNCTION("GOOGLETRANSLATE(A1027, ""en"", ""fr"")"),"Se lier d'amitié")</f>
        <v>Se lier d'amitié</v>
      </c>
      <c r="C1027" s="1" t="s">
        <v>192</v>
      </c>
      <c r="D1027" s="1" t="s">
        <v>16612</v>
      </c>
      <c r="G1027" s="1" t="s">
        <v>3</v>
      </c>
      <c r="N1027" s="1" t="s">
        <v>10</v>
      </c>
      <c r="AN1027" s="1" t="s">
        <v>36</v>
      </c>
      <c r="DN1027" s="1" t="s">
        <v>114</v>
      </c>
      <c r="GD1027" s="1" t="s">
        <v>189</v>
      </c>
      <c r="GE1027" s="1" t="s">
        <v>190</v>
      </c>
    </row>
    <row r="1028" spans="1:187" ht="11.25" customHeight="1">
      <c r="A1028" s="1" t="s">
        <v>1631</v>
      </c>
      <c r="B1028" s="1" t="str">
        <f ca="1">IFERROR(__xludf.DUMMYFUNCTION("GOOGLETRANSLATE(A1028, ""en"", ""fr"")"),"MENDIER")</f>
        <v>MENDIER</v>
      </c>
      <c r="C1028" s="1" t="s">
        <v>185</v>
      </c>
      <c r="E1028" s="1" t="s">
        <v>16613</v>
      </c>
      <c r="H1028" s="1" t="s">
        <v>4</v>
      </c>
      <c r="L1028" s="1" t="s">
        <v>8</v>
      </c>
      <c r="M1028" s="1" t="s">
        <v>9</v>
      </c>
      <c r="N1028" s="1" t="s">
        <v>10</v>
      </c>
      <c r="AN1028" s="1" t="s">
        <v>36</v>
      </c>
      <c r="DN1028" s="1" t="s">
        <v>114</v>
      </c>
      <c r="EM1028" s="1" t="s">
        <v>139</v>
      </c>
      <c r="EN1028" s="1" t="s">
        <v>140</v>
      </c>
      <c r="GD1028" s="1" t="s">
        <v>189</v>
      </c>
      <c r="GE1028" s="1" t="s">
        <v>190</v>
      </c>
    </row>
    <row r="1029" spans="1:187" ht="11.25" customHeight="1">
      <c r="A1029" s="1" t="s">
        <v>1632</v>
      </c>
      <c r="B1029" s="1" t="str">
        <f ca="1">IFERROR(__xludf.DUMMYFUNCTION("GOOGLETRANSLATE(A1029, ""en"", ""fr"")"),"A COMMENCÉ")</f>
        <v>A COMMENCÉ</v>
      </c>
      <c r="C1029" s="1" t="s">
        <v>185</v>
      </c>
      <c r="N1029" s="1" t="s">
        <v>10</v>
      </c>
      <c r="BV1029" s="1" t="s">
        <v>70</v>
      </c>
      <c r="DN1029" s="1" t="s">
        <v>114</v>
      </c>
      <c r="FR1029" s="1" t="s">
        <v>170</v>
      </c>
      <c r="GD1029" s="1" t="s">
        <v>1076</v>
      </c>
      <c r="GE1029" s="1" t="s">
        <v>1633</v>
      </c>
    </row>
    <row r="1030" spans="1:187" ht="11.25" customHeight="1">
      <c r="A1030" s="1" t="s">
        <v>1634</v>
      </c>
      <c r="B1030" s="1" t="str">
        <f ca="1">IFERROR(__xludf.DUMMYFUNCTION("GOOGLETRANSLATE(A1030, ""en"", ""fr"")"),"MENDIANT")</f>
        <v>MENDIANT</v>
      </c>
      <c r="C1030" s="1" t="s">
        <v>192</v>
      </c>
      <c r="E1030" s="1" t="s">
        <v>16613</v>
      </c>
      <c r="L1030" s="1" t="s">
        <v>8</v>
      </c>
      <c r="AA1030" s="1" t="s">
        <v>23</v>
      </c>
      <c r="AT1030" s="1" t="s">
        <v>42</v>
      </c>
      <c r="GD1030" s="1" t="s">
        <v>193</v>
      </c>
      <c r="GE1030" s="1" t="s">
        <v>190</v>
      </c>
    </row>
    <row r="1031" spans="1:187" ht="11.25" customHeight="1">
      <c r="A1031" s="1" t="s">
        <v>1635</v>
      </c>
      <c r="B1031" s="1" t="str">
        <f ca="1">IFERROR(__xludf.DUMMYFUNCTION("GOOGLETRANSLATE(A1031, ""en"", ""fr"")"),"Commencer n ° 1")</f>
        <v>Commencer n ° 1</v>
      </c>
      <c r="C1031" s="1" t="s">
        <v>185</v>
      </c>
      <c r="N1031" s="1" t="s">
        <v>10</v>
      </c>
      <c r="BV1031" s="1" t="s">
        <v>70</v>
      </c>
      <c r="DN1031" s="1" t="s">
        <v>114</v>
      </c>
      <c r="FR1031" s="1" t="s">
        <v>170</v>
      </c>
      <c r="GD1031" s="1" t="s">
        <v>189</v>
      </c>
      <c r="GE1031" s="1" t="s">
        <v>1636</v>
      </c>
    </row>
    <row r="1032" spans="1:187" ht="11.25" customHeight="1">
      <c r="A1032" s="1" t="s">
        <v>1637</v>
      </c>
      <c r="B1032" s="1" t="str">
        <f ca="1">IFERROR(__xludf.DUMMYFUNCTION("GOOGLETRANSLATE(A1032, ""en"", ""fr"")"),"Commencer n ° 2")</f>
        <v>Commencer n ° 2</v>
      </c>
      <c r="C1032" s="1" t="s">
        <v>185</v>
      </c>
      <c r="BV1032" s="1" t="s">
        <v>70</v>
      </c>
      <c r="GD1032" s="1" t="s">
        <v>193</v>
      </c>
      <c r="GE1032" s="1" t="s">
        <v>1638</v>
      </c>
    </row>
    <row r="1033" spans="1:187" ht="11.25" customHeight="1">
      <c r="A1033" s="1" t="s">
        <v>1639</v>
      </c>
      <c r="B1033" s="1" t="str">
        <f ca="1">IFERROR(__xludf.DUMMYFUNCTION("GOOGLETRANSLATE(A1033, ""en"", ""fr"")"),"DÉBUTANT")</f>
        <v>DÉBUTANT</v>
      </c>
      <c r="C1033" s="1" t="s">
        <v>185</v>
      </c>
      <c r="AJ1033" s="1" t="s">
        <v>32</v>
      </c>
      <c r="AT1033" s="1" t="s">
        <v>42</v>
      </c>
      <c r="FK1033" s="1" t="s">
        <v>163</v>
      </c>
      <c r="FM1033" s="1" t="s">
        <v>418</v>
      </c>
      <c r="GD1033" s="1" t="s">
        <v>193</v>
      </c>
      <c r="GE1033" s="1" t="s">
        <v>190</v>
      </c>
    </row>
    <row r="1034" spans="1:187" ht="11.25" customHeight="1">
      <c r="A1034" s="1" t="s">
        <v>1640</v>
      </c>
      <c r="B1034" s="1" t="str">
        <f ca="1">IFERROR(__xludf.DUMMYFUNCTION("GOOGLETRANSLATE(A1034, ""en"", ""fr"")"),"COMMENCÉ")</f>
        <v>COMMENCÉ</v>
      </c>
      <c r="C1034" s="1" t="s">
        <v>185</v>
      </c>
      <c r="N1034" s="1" t="s">
        <v>10</v>
      </c>
      <c r="BV1034" s="1" t="s">
        <v>70</v>
      </c>
      <c r="DN1034" s="1" t="s">
        <v>114</v>
      </c>
      <c r="FR1034" s="1" t="s">
        <v>170</v>
      </c>
      <c r="GD1034" s="1" t="s">
        <v>1076</v>
      </c>
      <c r="GE1034" s="1" t="s">
        <v>1641</v>
      </c>
    </row>
    <row r="1035" spans="1:187" ht="11.25" customHeight="1">
      <c r="A1035" s="1" t="s">
        <v>1642</v>
      </c>
      <c r="B1035" s="1" t="str">
        <f ca="1">IFERROR(__xludf.DUMMYFUNCTION("GOOGLETRANSLATE(A1035, ""en"", ""fr"")"),"AU NOM DE")</f>
        <v>AU NOM DE</v>
      </c>
      <c r="C1035" s="1" t="s">
        <v>185</v>
      </c>
      <c r="D1035" s="1" t="s">
        <v>16612</v>
      </c>
      <c r="F1035" s="1" t="s">
        <v>2</v>
      </c>
      <c r="G1035" s="1" t="s">
        <v>3</v>
      </c>
      <c r="U1035" s="1" t="s">
        <v>17</v>
      </c>
      <c r="GD1035" s="1" t="s">
        <v>193</v>
      </c>
      <c r="GE1035" s="1" t="s">
        <v>190</v>
      </c>
    </row>
    <row r="1036" spans="1:187" ht="11.25" customHeight="1">
      <c r="A1036" s="1" t="s">
        <v>1643</v>
      </c>
      <c r="B1036" s="1" t="str">
        <f ca="1">IFERROR(__xludf.DUMMYFUNCTION("GOOGLETRANSLATE(A1036, ""en"", ""fr"")"),"SE COMPORTER")</f>
        <v>SE COMPORTER</v>
      </c>
      <c r="C1036" s="1" t="s">
        <v>185</v>
      </c>
      <c r="N1036" s="1" t="s">
        <v>10</v>
      </c>
      <c r="AN1036" s="1" t="s">
        <v>36</v>
      </c>
      <c r="DN1036" s="1" t="s">
        <v>114</v>
      </c>
      <c r="GD1036" s="1" t="s">
        <v>189</v>
      </c>
      <c r="GE1036" s="1" t="s">
        <v>190</v>
      </c>
    </row>
    <row r="1037" spans="1:187" ht="11.25" customHeight="1">
      <c r="A1037" s="1" t="s">
        <v>1644</v>
      </c>
      <c r="B1037" s="1" t="str">
        <f ca="1">IFERROR(__xludf.DUMMYFUNCTION("GOOGLETRANSLATE(A1037, ""en"", ""fr"")"),"COMPORTEMENT")</f>
        <v>COMPORTEMENT</v>
      </c>
      <c r="C1037" s="1" t="s">
        <v>185</v>
      </c>
      <c r="N1037" s="1" t="s">
        <v>10</v>
      </c>
      <c r="AN1037" s="1" t="s">
        <v>36</v>
      </c>
      <c r="GD1037" s="1" t="s">
        <v>193</v>
      </c>
      <c r="GE1037" s="1" t="s">
        <v>1645</v>
      </c>
    </row>
    <row r="1038" spans="1:187" ht="11.25" customHeight="1">
      <c r="A1038" s="1" t="s">
        <v>1646</v>
      </c>
      <c r="B1038" s="1" t="str">
        <f ca="1">IFERROR(__xludf.DUMMYFUNCTION("GOOGLETRANSLATE(A1038, ""en"", ""fr"")"),"Comportement n ° 1")</f>
        <v>Comportement n ° 1</v>
      </c>
      <c r="C1038" s="1" t="s">
        <v>192</v>
      </c>
      <c r="GE1038" s="1" t="s">
        <v>190</v>
      </c>
    </row>
    <row r="1039" spans="1:187" ht="11.25" customHeight="1">
      <c r="A1039" s="1" t="s">
        <v>1647</v>
      </c>
      <c r="B1039" s="1" t="str">
        <f ca="1">IFERROR(__xludf.DUMMYFUNCTION("GOOGLETRANSLATE(A1039, ""en"", ""fr"")"),"DÉCAPITER")</f>
        <v>DÉCAPITER</v>
      </c>
      <c r="C1039" s="1" t="s">
        <v>192</v>
      </c>
      <c r="E1039" s="1" t="s">
        <v>16613</v>
      </c>
      <c r="I1039" s="1" t="s">
        <v>5</v>
      </c>
      <c r="BZ1039" s="1" t="s">
        <v>74</v>
      </c>
      <c r="CC1039" s="1" t="s">
        <v>77</v>
      </c>
      <c r="GD1039" s="1" t="s">
        <v>1177</v>
      </c>
      <c r="GE1039" s="1" t="s">
        <v>190</v>
      </c>
    </row>
    <row r="1040" spans="1:187" ht="11.25" customHeight="1">
      <c r="A1040" s="1" t="s">
        <v>1648</v>
      </c>
      <c r="B1040" s="1" t="str">
        <f ca="1">IFERROR(__xludf.DUMMYFUNCTION("GOOGLETRANSLATE(A1040, ""en"", ""fr"")"),"DERRIÈRE")</f>
        <v>DERRIÈRE</v>
      </c>
      <c r="C1040" s="1" t="s">
        <v>185</v>
      </c>
      <c r="DA1040" s="1" t="s">
        <v>101</v>
      </c>
      <c r="GB1040" s="1" t="s">
        <v>180</v>
      </c>
      <c r="GD1040" s="1" t="s">
        <v>207</v>
      </c>
      <c r="GE1040" s="1" t="s">
        <v>1649</v>
      </c>
    </row>
    <row r="1041" spans="1:187" ht="11.25" customHeight="1">
      <c r="A1041" s="1" t="s">
        <v>1650</v>
      </c>
      <c r="B1041" s="1" t="str">
        <f ca="1">IFERROR(__xludf.DUMMYFUNCTION("GOOGLETRANSLATE(A1041, ""en"", ""fr"")"),"Être n ° 1")</f>
        <v>Être n ° 1</v>
      </c>
      <c r="C1041" s="1" t="s">
        <v>185</v>
      </c>
      <c r="O1041" s="1" t="s">
        <v>11</v>
      </c>
      <c r="DP1041" s="1" t="s">
        <v>116</v>
      </c>
      <c r="GD1041" s="1" t="s">
        <v>1651</v>
      </c>
      <c r="GE1041" s="1" t="s">
        <v>1652</v>
      </c>
    </row>
    <row r="1042" spans="1:187" ht="11.25" customHeight="1">
      <c r="A1042" s="1" t="s">
        <v>1653</v>
      </c>
      <c r="B1042" s="1" t="str">
        <f ca="1">IFERROR(__xludf.DUMMYFUNCTION("GOOGLETRANSLATE(A1042, ""en"", ""fr"")"),"Être n ° 2")</f>
        <v>Être n ° 2</v>
      </c>
      <c r="C1042" s="1" t="s">
        <v>185</v>
      </c>
      <c r="AJ1042" s="1" t="s">
        <v>32</v>
      </c>
      <c r="AT1042" s="1" t="s">
        <v>42</v>
      </c>
      <c r="FT1042" s="1" t="s">
        <v>172</v>
      </c>
      <c r="GD1042" s="1" t="s">
        <v>193</v>
      </c>
      <c r="GE1042" s="1" t="s">
        <v>1654</v>
      </c>
    </row>
    <row r="1043" spans="1:187" ht="11.25" customHeight="1">
      <c r="A1043" s="1" t="s">
        <v>1655</v>
      </c>
      <c r="B1043" s="1" t="str">
        <f ca="1">IFERROR(__xludf.DUMMYFUNCTION("GOOGLETRANSLATE(A1043, ""en"", ""fr"")"),"Être # 3")</f>
        <v>Être # 3</v>
      </c>
      <c r="C1043" s="1" t="s">
        <v>185</v>
      </c>
      <c r="GD1043" s="1" t="s">
        <v>225</v>
      </c>
      <c r="GE1043" s="1" t="s">
        <v>1656</v>
      </c>
    </row>
    <row r="1044" spans="1:187" ht="11.25" customHeight="1">
      <c r="A1044" s="1" t="s">
        <v>1657</v>
      </c>
      <c r="B1044" s="1" t="str">
        <f ca="1">IFERROR(__xludf.DUMMYFUNCTION("GOOGLETRANSLATE(A1044, ""en"", ""fr"")"),"TARDIF")</f>
        <v>TARDIF</v>
      </c>
      <c r="C1044" s="1" t="s">
        <v>192</v>
      </c>
      <c r="E1044" s="1" t="s">
        <v>16613</v>
      </c>
      <c r="CY1044" s="1" t="s">
        <v>99</v>
      </c>
      <c r="DR1044" s="1" t="s">
        <v>118</v>
      </c>
      <c r="GD1044" s="1" t="s">
        <v>202</v>
      </c>
      <c r="GE1044" s="1" t="s">
        <v>190</v>
      </c>
    </row>
    <row r="1045" spans="1:187" ht="11.25" customHeight="1">
      <c r="A1045" s="1" t="s">
        <v>1658</v>
      </c>
      <c r="B1045" s="1" t="str">
        <f ca="1">IFERROR(__xludf.DUMMYFUNCTION("GOOGLETRANSLATE(A1045, ""en"", ""fr"")"),"BELGE")</f>
        <v>BELGE</v>
      </c>
      <c r="C1045" s="1" t="s">
        <v>196</v>
      </c>
      <c r="FU1045" s="1" t="s">
        <v>173</v>
      </c>
      <c r="GD1045" s="1" t="s">
        <v>545</v>
      </c>
    </row>
    <row r="1046" spans="1:187" ht="11.25" customHeight="1">
      <c r="A1046" s="1" t="s">
        <v>1659</v>
      </c>
      <c r="B1046" s="1" t="str">
        <f ca="1">IFERROR(__xludf.DUMMYFUNCTION("GOOGLETRANSLATE(A1046, ""en"", ""fr"")"),"BELGIQUE")</f>
        <v>BELGIQUE</v>
      </c>
      <c r="C1046" s="1" t="s">
        <v>196</v>
      </c>
      <c r="FU1046" s="1" t="s">
        <v>173</v>
      </c>
      <c r="GD1046" s="1" t="s">
        <v>545</v>
      </c>
    </row>
    <row r="1047" spans="1:187" ht="11.25" customHeight="1">
      <c r="A1047" s="1" t="s">
        <v>1660</v>
      </c>
      <c r="B1047" s="1" t="str">
        <f ca="1">IFERROR(__xludf.DUMMYFUNCTION("GOOGLETRANSLATE(A1047, ""en"", ""fr"")"),"DÉMENTIR")</f>
        <v>DÉMENTIR</v>
      </c>
      <c r="C1047" s="1" t="s">
        <v>192</v>
      </c>
      <c r="E1047" s="1" t="s">
        <v>16613</v>
      </c>
      <c r="I1047" s="1" t="s">
        <v>5</v>
      </c>
      <c r="N1047" s="1" t="s">
        <v>10</v>
      </c>
      <c r="AN1047" s="1" t="s">
        <v>36</v>
      </c>
      <c r="DN1047" s="1" t="s">
        <v>114</v>
      </c>
      <c r="GD1047" s="1" t="s">
        <v>189</v>
      </c>
      <c r="GE1047" s="1" t="s">
        <v>190</v>
      </c>
    </row>
    <row r="1048" spans="1:187" ht="11.25" customHeight="1">
      <c r="A1048" s="1" t="s">
        <v>1661</v>
      </c>
      <c r="B1048" s="1" t="str">
        <f ca="1">IFERROR(__xludf.DUMMYFUNCTION("GOOGLETRANSLATE(A1048, ""en"", ""fr"")"),"CROYANCE")</f>
        <v>CROYANCE</v>
      </c>
      <c r="C1048" s="1" t="s">
        <v>185</v>
      </c>
      <c r="O1048" s="1" t="s">
        <v>11</v>
      </c>
      <c r="Z1048" s="1" t="s">
        <v>22</v>
      </c>
      <c r="CP1048" s="1" t="s">
        <v>90</v>
      </c>
      <c r="CQ1048" s="1" t="s">
        <v>91</v>
      </c>
      <c r="FH1048" s="1" t="s">
        <v>160</v>
      </c>
      <c r="FI1048" s="1" t="s">
        <v>161</v>
      </c>
      <c r="GD1048" s="1" t="s">
        <v>193</v>
      </c>
      <c r="GE1048" s="1" t="s">
        <v>1662</v>
      </c>
    </row>
    <row r="1049" spans="1:187" ht="11.25" customHeight="1">
      <c r="A1049" s="1" t="s">
        <v>1663</v>
      </c>
      <c r="B1049" s="1" t="str">
        <f ca="1">IFERROR(__xludf.DUMMYFUNCTION("GOOGLETRANSLATE(A1049, ""en"", ""fr"")"),"Croyez # 1")</f>
        <v>Croyez # 1</v>
      </c>
      <c r="C1049" s="1" t="s">
        <v>185</v>
      </c>
      <c r="O1049" s="1" t="s">
        <v>11</v>
      </c>
      <c r="CO1049" s="1" t="s">
        <v>89</v>
      </c>
      <c r="DP1049" s="1" t="s">
        <v>116</v>
      </c>
      <c r="FH1049" s="1" t="s">
        <v>160</v>
      </c>
      <c r="FI1049" s="1" t="s">
        <v>161</v>
      </c>
      <c r="GD1049" s="1" t="s">
        <v>189</v>
      </c>
      <c r="GE1049" s="1" t="s">
        <v>1664</v>
      </c>
    </row>
    <row r="1050" spans="1:187" ht="11.25" customHeight="1">
      <c r="A1050" s="1" t="s">
        <v>1665</v>
      </c>
      <c r="B1050" s="1" t="str">
        <f ca="1">IFERROR(__xludf.DUMMYFUNCTION("GOOGLETRANSLATE(A1050, ""en"", ""fr"")"),"Croyez # 2")</f>
        <v>Croyez # 2</v>
      </c>
      <c r="C1050" s="1" t="s">
        <v>185</v>
      </c>
      <c r="O1050" s="1" t="s">
        <v>11</v>
      </c>
      <c r="AN1050" s="1" t="s">
        <v>36</v>
      </c>
      <c r="DN1050" s="1" t="s">
        <v>114</v>
      </c>
      <c r="FH1050" s="1" t="s">
        <v>160</v>
      </c>
      <c r="FI1050" s="1" t="s">
        <v>161</v>
      </c>
      <c r="GD1050" s="1" t="s">
        <v>189</v>
      </c>
      <c r="GE1050" s="1" t="s">
        <v>1666</v>
      </c>
    </row>
    <row r="1051" spans="1:187" ht="11.25" customHeight="1">
      <c r="A1051" s="1" t="s">
        <v>1667</v>
      </c>
      <c r="B1051" s="1" t="str">
        <f ca="1">IFERROR(__xludf.DUMMYFUNCTION("GOOGLETRANSLATE(A1051, ""en"", ""fr"")"),"Croyez # 3")</f>
        <v>Croyez # 3</v>
      </c>
      <c r="C1051" s="1" t="s">
        <v>185</v>
      </c>
      <c r="M1051" s="1" t="s">
        <v>9</v>
      </c>
      <c r="O1051" s="1" t="s">
        <v>11</v>
      </c>
      <c r="CO1051" s="1" t="s">
        <v>89</v>
      </c>
      <c r="DP1051" s="1" t="s">
        <v>116</v>
      </c>
      <c r="EG1051" s="1" t="s">
        <v>133</v>
      </c>
      <c r="EJ1051" s="1" t="s">
        <v>136</v>
      </c>
      <c r="GD1051" s="1" t="s">
        <v>189</v>
      </c>
      <c r="GE1051" s="1" t="s">
        <v>1668</v>
      </c>
    </row>
    <row r="1052" spans="1:187" ht="11.25" customHeight="1">
      <c r="A1052" s="1" t="s">
        <v>1669</v>
      </c>
      <c r="B1052" s="1" t="str">
        <f ca="1">IFERROR(__xludf.DUMMYFUNCTION("GOOGLETRANSLATE(A1052, ""en"", ""fr"")"),"CROYANT")</f>
        <v>CROYANT</v>
      </c>
      <c r="C1052" s="1" t="s">
        <v>185</v>
      </c>
      <c r="M1052" s="1" t="s">
        <v>9</v>
      </c>
      <c r="O1052" s="1" t="s">
        <v>11</v>
      </c>
      <c r="AI1052" s="1" t="s">
        <v>31</v>
      </c>
      <c r="AJ1052" s="1" t="s">
        <v>32</v>
      </c>
      <c r="AT1052" s="1" t="s">
        <v>42</v>
      </c>
      <c r="EF1052" s="1" t="s">
        <v>132</v>
      </c>
      <c r="EJ1052" s="1" t="s">
        <v>136</v>
      </c>
      <c r="GD1052" s="1" t="s">
        <v>193</v>
      </c>
      <c r="GE1052" s="1" t="s">
        <v>190</v>
      </c>
    </row>
    <row r="1053" spans="1:187" ht="11.25" customHeight="1">
      <c r="A1053" s="1" t="s">
        <v>1670</v>
      </c>
      <c r="B1053" s="1" t="str">
        <f ca="1">IFERROR(__xludf.DUMMYFUNCTION("GOOGLETRANSLATE(A1053, ""en"", ""fr"")"),"RABAISSER")</f>
        <v>RABAISSER</v>
      </c>
      <c r="C1053" s="1" t="s">
        <v>185</v>
      </c>
      <c r="E1053" s="1" t="s">
        <v>16613</v>
      </c>
      <c r="H1053" s="1" t="s">
        <v>4</v>
      </c>
      <c r="I1053" s="1" t="s">
        <v>5</v>
      </c>
      <c r="AN1053" s="1" t="s">
        <v>36</v>
      </c>
      <c r="DN1053" s="1" t="s">
        <v>114</v>
      </c>
      <c r="EL1053" s="1" t="s">
        <v>138</v>
      </c>
      <c r="EN1053" s="1" t="s">
        <v>140</v>
      </c>
      <c r="GD1053" s="1" t="s">
        <v>189</v>
      </c>
      <c r="GE1053" s="1" t="s">
        <v>190</v>
      </c>
    </row>
    <row r="1054" spans="1:187" ht="11.25" customHeight="1">
      <c r="A1054" s="1" t="s">
        <v>1671</v>
      </c>
      <c r="B1054" s="1" t="str">
        <f ca="1">IFERROR(__xludf.DUMMYFUNCTION("GOOGLETRANSLATE(A1054, ""en"", ""fr"")"),"BELLIGÉRANT")</f>
        <v>BELLIGÉRANT</v>
      </c>
      <c r="C1054" s="1" t="s">
        <v>185</v>
      </c>
      <c r="E1054" s="1" t="s">
        <v>16613</v>
      </c>
      <c r="I1054" s="1" t="s">
        <v>5</v>
      </c>
      <c r="S1054" s="1" t="s">
        <v>15</v>
      </c>
      <c r="T1054" s="1" t="s">
        <v>16</v>
      </c>
      <c r="DR1054" s="1" t="s">
        <v>118</v>
      </c>
      <c r="DW1054" s="1" t="s">
        <v>123</v>
      </c>
      <c r="ED1054" s="1" t="s">
        <v>130</v>
      </c>
      <c r="GD1054" s="1" t="s">
        <v>202</v>
      </c>
      <c r="GE1054" s="1" t="s">
        <v>190</v>
      </c>
    </row>
    <row r="1055" spans="1:187" ht="11.25" customHeight="1">
      <c r="A1055" s="1" t="s">
        <v>1672</v>
      </c>
      <c r="B1055" s="1" t="str">
        <f ca="1">IFERROR(__xludf.DUMMYFUNCTION("GOOGLETRANSLATE(A1055, ""en"", ""fr"")"),"VENTRE")</f>
        <v>VENTRE</v>
      </c>
      <c r="C1055" s="1" t="s">
        <v>185</v>
      </c>
      <c r="BJ1055" s="1" t="s">
        <v>58</v>
      </c>
      <c r="GD1055" s="1" t="s">
        <v>193</v>
      </c>
      <c r="GE1055" s="1" t="s">
        <v>190</v>
      </c>
    </row>
    <row r="1056" spans="1:187" ht="11.25" customHeight="1">
      <c r="A1056" s="1" t="s">
        <v>1673</v>
      </c>
      <c r="B1056" s="1" t="str">
        <f ca="1">IFERROR(__xludf.DUMMYFUNCTION("GOOGLETRANSLATE(A1056, ""en"", ""fr"")"),"Appartenir # 1")</f>
        <v>Appartenir # 1</v>
      </c>
      <c r="C1056" s="1" t="s">
        <v>185</v>
      </c>
      <c r="L1056" s="1" t="s">
        <v>8</v>
      </c>
      <c r="M1056" s="1" t="s">
        <v>9</v>
      </c>
      <c r="O1056" s="1" t="s">
        <v>11</v>
      </c>
      <c r="AN1056" s="1" t="s">
        <v>36</v>
      </c>
      <c r="DN1056" s="1" t="s">
        <v>114</v>
      </c>
      <c r="GD1056" s="1" t="s">
        <v>400</v>
      </c>
      <c r="GE1056" s="1" t="s">
        <v>1674</v>
      </c>
    </row>
    <row r="1057" spans="1:187" ht="11.25" customHeight="1">
      <c r="A1057" s="1" t="s">
        <v>1675</v>
      </c>
      <c r="B1057" s="1" t="str">
        <f ca="1">IFERROR(__xludf.DUMMYFUNCTION("GOOGLETRANSLATE(A1057, ""en"", ""fr"")"),"Appartenir # 2")</f>
        <v>Appartenir # 2</v>
      </c>
      <c r="C1057" s="1" t="s">
        <v>185</v>
      </c>
      <c r="AA1057" s="1" t="s">
        <v>23</v>
      </c>
      <c r="BC1057" s="1" t="s">
        <v>51</v>
      </c>
      <c r="BD1057" s="1" t="s">
        <v>52</v>
      </c>
      <c r="EV1057" s="1" t="s">
        <v>148</v>
      </c>
      <c r="EW1057" s="1" t="s">
        <v>149</v>
      </c>
      <c r="GD1057" s="1" t="s">
        <v>193</v>
      </c>
      <c r="GE1057" s="1" t="s">
        <v>1676</v>
      </c>
    </row>
    <row r="1058" spans="1:187" ht="11.25" customHeight="1">
      <c r="A1058" s="1" t="s">
        <v>1677</v>
      </c>
      <c r="B1058" s="1" t="str">
        <f ca="1">IFERROR(__xludf.DUMMYFUNCTION("GOOGLETRANSLATE(A1058, ""en"", ""fr"")"),"BIEN-AIMÉ")</f>
        <v>BIEN-AIMÉ</v>
      </c>
      <c r="C1058" s="1" t="s">
        <v>185</v>
      </c>
      <c r="D1058" s="1" t="s">
        <v>16612</v>
      </c>
      <c r="F1058" s="1" t="s">
        <v>2</v>
      </c>
      <c r="G1058" s="1" t="s">
        <v>3</v>
      </c>
      <c r="S1058" s="1" t="s">
        <v>15</v>
      </c>
      <c r="ER1058" s="1" t="s">
        <v>144</v>
      </c>
      <c r="ES1058" s="1" t="s">
        <v>145</v>
      </c>
      <c r="GD1058" s="1" t="s">
        <v>202</v>
      </c>
      <c r="GE1058" s="1" t="s">
        <v>190</v>
      </c>
    </row>
    <row r="1059" spans="1:187" ht="11.25" customHeight="1">
      <c r="A1059" s="1" t="s">
        <v>1678</v>
      </c>
      <c r="B1059" s="1" t="str">
        <f ca="1">IFERROR(__xludf.DUMMYFUNCTION("GOOGLETRANSLATE(A1059, ""en"", ""fr"")"),"CI-DESSOUS")</f>
        <v>CI-DESSOUS</v>
      </c>
      <c r="C1059" s="1" t="s">
        <v>185</v>
      </c>
      <c r="DA1059" s="1" t="s">
        <v>101</v>
      </c>
      <c r="GB1059" s="1" t="s">
        <v>180</v>
      </c>
      <c r="GD1059" s="1" t="s">
        <v>207</v>
      </c>
      <c r="GE1059" s="1" t="s">
        <v>1679</v>
      </c>
    </row>
    <row r="1060" spans="1:187" ht="11.25" customHeight="1">
      <c r="A1060" s="1" t="s">
        <v>1680</v>
      </c>
      <c r="B1060" s="1" t="str">
        <f ca="1">IFERROR(__xludf.DUMMYFUNCTION("GOOGLETRANSLATE(A1060, ""en"", ""fr"")"),"Ceinture n ° 1")</f>
        <v>Ceinture n ° 1</v>
      </c>
      <c r="C1060" s="1" t="s">
        <v>185</v>
      </c>
      <c r="BC1060" s="1" t="s">
        <v>51</v>
      </c>
      <c r="BD1060" s="1" t="s">
        <v>52</v>
      </c>
      <c r="GD1060" s="1" t="s">
        <v>193</v>
      </c>
      <c r="GE1060" s="1" t="s">
        <v>190</v>
      </c>
    </row>
    <row r="1061" spans="1:187" ht="11.25" customHeight="1">
      <c r="A1061" s="1" t="s">
        <v>1681</v>
      </c>
      <c r="B1061" s="1" t="str">
        <f ca="1">IFERROR(__xludf.DUMMYFUNCTION("GOOGLETRANSLATE(A1061, ""en"", ""fr"")"),"Ceinture n ° 2")</f>
        <v>Ceinture n ° 2</v>
      </c>
      <c r="C1061" s="1" t="s">
        <v>185</v>
      </c>
      <c r="E1061" s="1" t="s">
        <v>16613</v>
      </c>
      <c r="H1061" s="1" t="s">
        <v>4</v>
      </c>
      <c r="I1061" s="1" t="s">
        <v>5</v>
      </c>
      <c r="J1061" s="1" t="s">
        <v>6</v>
      </c>
      <c r="N1061" s="1" t="s">
        <v>10</v>
      </c>
      <c r="AN1061" s="1" t="s">
        <v>36</v>
      </c>
      <c r="DN1061" s="1" t="s">
        <v>114</v>
      </c>
      <c r="GD1061" s="1" t="s">
        <v>189</v>
      </c>
      <c r="GE1061" s="1" t="s">
        <v>190</v>
      </c>
    </row>
    <row r="1062" spans="1:187" ht="11.25" customHeight="1">
      <c r="A1062" s="1" t="s">
        <v>1682</v>
      </c>
      <c r="B1062" s="1" t="str">
        <f ca="1">IFERROR(__xludf.DUMMYFUNCTION("GOOGLETRANSLATE(A1062, ""en"", ""fr"")"),"Bend # 1")</f>
        <v>Bend # 1</v>
      </c>
      <c r="C1062" s="1" t="s">
        <v>185</v>
      </c>
      <c r="DA1062" s="1" t="s">
        <v>101</v>
      </c>
      <c r="GD1062" s="1" t="s">
        <v>193</v>
      </c>
      <c r="GE1062" s="1" t="s">
        <v>190</v>
      </c>
    </row>
    <row r="1063" spans="1:187" ht="11.25" customHeight="1">
      <c r="A1063" s="1" t="s">
        <v>1683</v>
      </c>
      <c r="B1063" s="1" t="str">
        <f ca="1">IFERROR(__xludf.DUMMYFUNCTION("GOOGLETRANSLATE(A1063, ""en"", ""fr"")"),"Bend # 2")</f>
        <v>Bend # 2</v>
      </c>
      <c r="C1063" s="1" t="s">
        <v>185</v>
      </c>
      <c r="L1063" s="1" t="s">
        <v>8</v>
      </c>
      <c r="M1063" s="1" t="s">
        <v>9</v>
      </c>
      <c r="O1063" s="1" t="s">
        <v>11</v>
      </c>
      <c r="DD1063" s="1" t="s">
        <v>104</v>
      </c>
      <c r="DO1063" s="1" t="s">
        <v>115</v>
      </c>
      <c r="GD1063" s="1" t="s">
        <v>189</v>
      </c>
      <c r="GE1063" s="1" t="s">
        <v>190</v>
      </c>
    </row>
    <row r="1064" spans="1:187" ht="11.25" customHeight="1">
      <c r="A1064" s="1" t="s">
        <v>1684</v>
      </c>
      <c r="B1064" s="1" t="str">
        <f ca="1">IFERROR(__xludf.DUMMYFUNCTION("GOOGLETRANSLATE(A1064, ""en"", ""fr"")"),"SOUS")</f>
        <v>SOUS</v>
      </c>
      <c r="C1064" s="1" t="s">
        <v>185</v>
      </c>
      <c r="DA1064" s="1" t="s">
        <v>101</v>
      </c>
      <c r="GB1064" s="1" t="s">
        <v>180</v>
      </c>
      <c r="GD1064" s="1" t="s">
        <v>215</v>
      </c>
      <c r="GE1064" s="1" t="s">
        <v>190</v>
      </c>
    </row>
    <row r="1065" spans="1:187" ht="11.25" customHeight="1">
      <c r="A1065" s="1" t="s">
        <v>1685</v>
      </c>
      <c r="B1065" s="1" t="str">
        <f ca="1">IFERROR(__xludf.DUMMYFUNCTION("GOOGLETRANSLATE(A1065, ""en"", ""fr"")"),"BIENFAITEUR")</f>
        <v>BIENFAITEUR</v>
      </c>
      <c r="C1065" s="1" t="s">
        <v>192</v>
      </c>
      <c r="D1065" s="1" t="s">
        <v>16612</v>
      </c>
      <c r="U1065" s="1" t="s">
        <v>17</v>
      </c>
      <c r="AA1065" s="1" t="s">
        <v>23</v>
      </c>
      <c r="AJ1065" s="1" t="s">
        <v>32</v>
      </c>
      <c r="AT1065" s="1" t="s">
        <v>42</v>
      </c>
      <c r="CD1065" s="1" t="s">
        <v>78</v>
      </c>
      <c r="GD1065" s="1" t="s">
        <v>193</v>
      </c>
      <c r="GE1065" s="1" t="s">
        <v>190</v>
      </c>
    </row>
    <row r="1066" spans="1:187" ht="11.25" customHeight="1">
      <c r="A1066" s="1" t="s">
        <v>1686</v>
      </c>
      <c r="B1066" s="1" t="str">
        <f ca="1">IFERROR(__xludf.DUMMYFUNCTION("GOOGLETRANSLATE(A1066, ""en"", ""fr"")"),"BIENFAISANT")</f>
        <v>BIENFAISANT</v>
      </c>
      <c r="C1066" s="1" t="s">
        <v>192</v>
      </c>
      <c r="D1066" s="1" t="s">
        <v>16612</v>
      </c>
      <c r="U1066" s="1" t="s">
        <v>17</v>
      </c>
      <c r="CM1066" s="1" t="s">
        <v>87</v>
      </c>
      <c r="DQ1066" s="1" t="s">
        <v>117</v>
      </c>
      <c r="GD1066" s="1" t="s">
        <v>202</v>
      </c>
      <c r="GE1066" s="1" t="s">
        <v>190</v>
      </c>
    </row>
    <row r="1067" spans="1:187" ht="11.25" customHeight="1">
      <c r="A1067" s="1" t="s">
        <v>1687</v>
      </c>
      <c r="B1067" s="1" t="str">
        <f ca="1">IFERROR(__xludf.DUMMYFUNCTION("GOOGLETRANSLATE(A1067, ""en"", ""fr"")"),"BÉNÉFIQUE")</f>
        <v>BÉNÉFIQUE</v>
      </c>
      <c r="C1067" s="1" t="s">
        <v>185</v>
      </c>
      <c r="D1067" s="1" t="s">
        <v>16612</v>
      </c>
      <c r="F1067" s="1" t="s">
        <v>2</v>
      </c>
      <c r="U1067" s="1" t="s">
        <v>17</v>
      </c>
      <c r="CN1067" s="1" t="s">
        <v>88</v>
      </c>
      <c r="FX1067" s="1" t="s">
        <v>176</v>
      </c>
      <c r="GD1067" s="1" t="s">
        <v>202</v>
      </c>
      <c r="GE1067" s="1" t="s">
        <v>190</v>
      </c>
    </row>
    <row r="1068" spans="1:187" ht="11.25" customHeight="1">
      <c r="A1068" s="1" t="s">
        <v>1688</v>
      </c>
      <c r="B1068" s="1" t="str">
        <f ca="1">IFERROR(__xludf.DUMMYFUNCTION("GOOGLETRANSLATE(A1068, ""en"", ""fr"")"),"BÉNÉFICIAIRE")</f>
        <v>BÉNÉFICIAIRE</v>
      </c>
      <c r="C1068" s="1" t="s">
        <v>192</v>
      </c>
      <c r="D1068" s="1" t="s">
        <v>16612</v>
      </c>
      <c r="AA1068" s="1" t="s">
        <v>23</v>
      </c>
      <c r="AB1068" s="1" t="s">
        <v>24</v>
      </c>
      <c r="AJ1068" s="1" t="s">
        <v>32</v>
      </c>
      <c r="AT1068" s="1" t="s">
        <v>42</v>
      </c>
      <c r="GD1068" s="1" t="s">
        <v>193</v>
      </c>
      <c r="GE1068" s="1" t="s">
        <v>190</v>
      </c>
    </row>
    <row r="1069" spans="1:187" ht="11.25" customHeight="1">
      <c r="A1069" s="1" t="s">
        <v>1689</v>
      </c>
      <c r="B1069" s="1" t="str">
        <f ca="1">IFERROR(__xludf.DUMMYFUNCTION("GOOGLETRANSLATE(A1069, ""en"", ""fr"")"),"Avantage n ° 1")</f>
        <v>Avantage n ° 1</v>
      </c>
      <c r="C1069" s="1" t="s">
        <v>185</v>
      </c>
      <c r="D1069" s="1" t="s">
        <v>16612</v>
      </c>
      <c r="F1069" s="1" t="s">
        <v>2</v>
      </c>
      <c r="AA1069" s="1" t="s">
        <v>23</v>
      </c>
      <c r="AC1069" s="1" t="s">
        <v>25</v>
      </c>
      <c r="BK1069" s="1" t="s">
        <v>59</v>
      </c>
      <c r="BL1069" s="1" t="s">
        <v>60</v>
      </c>
      <c r="EV1069" s="1" t="s">
        <v>148</v>
      </c>
      <c r="EW1069" s="1" t="s">
        <v>149</v>
      </c>
      <c r="GC1069" s="1" t="s">
        <v>181</v>
      </c>
      <c r="GD1069" s="1" t="s">
        <v>193</v>
      </c>
      <c r="GE1069" s="1" t="s">
        <v>1690</v>
      </c>
    </row>
    <row r="1070" spans="1:187" ht="11.25" customHeight="1">
      <c r="A1070" s="1" t="s">
        <v>1691</v>
      </c>
      <c r="B1070" s="1" t="str">
        <f ca="1">IFERROR(__xludf.DUMMYFUNCTION("GOOGLETRANSLATE(A1070, ""en"", ""fr"")"),"Avantage n ° 2")</f>
        <v>Avantage n ° 2</v>
      </c>
      <c r="C1070" s="1" t="s">
        <v>185</v>
      </c>
      <c r="D1070" s="1" t="s">
        <v>16612</v>
      </c>
      <c r="F1070" s="1" t="s">
        <v>2</v>
      </c>
      <c r="G1070" s="1" t="s">
        <v>3</v>
      </c>
      <c r="J1070" s="1" t="s">
        <v>6</v>
      </c>
      <c r="K1070" s="1" t="s">
        <v>7</v>
      </c>
      <c r="AN1070" s="1" t="s">
        <v>36</v>
      </c>
      <c r="DN1070" s="1" t="s">
        <v>114</v>
      </c>
      <c r="FN1070" s="1" t="s">
        <v>166</v>
      </c>
      <c r="GD1070" s="1" t="s">
        <v>189</v>
      </c>
      <c r="GE1070" s="1" t="s">
        <v>1692</v>
      </c>
    </row>
    <row r="1071" spans="1:187" ht="11.25" customHeight="1">
      <c r="A1071" s="1" t="s">
        <v>1693</v>
      </c>
      <c r="B1071" s="1" t="str">
        <f ca="1">IFERROR(__xludf.DUMMYFUNCTION("GOOGLETRANSLATE(A1071, ""en"", ""fr"")"),"Avantage n ° 3")</f>
        <v>Avantage n ° 3</v>
      </c>
      <c r="C1071" s="1" t="s">
        <v>185</v>
      </c>
      <c r="D1071" s="1" t="s">
        <v>16612</v>
      </c>
      <c r="F1071" s="1" t="s">
        <v>2</v>
      </c>
      <c r="J1071" s="1" t="s">
        <v>6</v>
      </c>
      <c r="BO1071" s="1" t="s">
        <v>63</v>
      </c>
      <c r="FQ1071" s="1" t="s">
        <v>169</v>
      </c>
      <c r="GD1071" s="1" t="s">
        <v>193</v>
      </c>
      <c r="GE1071" s="1" t="s">
        <v>1694</v>
      </c>
    </row>
    <row r="1072" spans="1:187" ht="11.25" customHeight="1">
      <c r="A1072" s="1" t="s">
        <v>1695</v>
      </c>
      <c r="B1072" s="1" t="str">
        <f ca="1">IFERROR(__xludf.DUMMYFUNCTION("GOOGLETRANSLATE(A1072, ""en"", ""fr"")"),"BIENVEILLANCE")</f>
        <v>BIENVEILLANCE</v>
      </c>
      <c r="C1072" s="1" t="s">
        <v>185</v>
      </c>
      <c r="D1072" s="1" t="s">
        <v>16612</v>
      </c>
      <c r="U1072" s="1" t="s">
        <v>17</v>
      </c>
      <c r="AA1072" s="1" t="s">
        <v>23</v>
      </c>
      <c r="FX1072" s="1" t="s">
        <v>176</v>
      </c>
      <c r="GD1072" s="1" t="s">
        <v>193</v>
      </c>
      <c r="GE1072" s="1" t="s">
        <v>190</v>
      </c>
    </row>
    <row r="1073" spans="1:187" ht="11.25" customHeight="1">
      <c r="A1073" s="1" t="s">
        <v>1696</v>
      </c>
      <c r="B1073" s="1" t="str">
        <f ca="1">IFERROR(__xludf.DUMMYFUNCTION("GOOGLETRANSLATE(A1073, ""en"", ""fr"")"),"BIENVEILLANT")</f>
        <v>BIENVEILLANT</v>
      </c>
      <c r="C1073" s="1" t="s">
        <v>192</v>
      </c>
      <c r="D1073" s="1" t="s">
        <v>16612</v>
      </c>
      <c r="U1073" s="1" t="s">
        <v>17</v>
      </c>
      <c r="AA1073" s="1" t="s">
        <v>23</v>
      </c>
      <c r="DQ1073" s="1" t="s">
        <v>117</v>
      </c>
      <c r="GD1073" s="1" t="s">
        <v>202</v>
      </c>
      <c r="GE1073" s="1" t="s">
        <v>190</v>
      </c>
    </row>
    <row r="1074" spans="1:187" ht="11.25" customHeight="1">
      <c r="A1074" s="1" t="s">
        <v>1697</v>
      </c>
      <c r="B1074" s="1" t="str">
        <f ca="1">IFERROR(__xludf.DUMMYFUNCTION("GOOGLETRANSLATE(A1074, ""en"", ""fr"")"),"BÉNIN")</f>
        <v>BÉNIN</v>
      </c>
      <c r="C1074" s="1" t="s">
        <v>185</v>
      </c>
      <c r="D1074" s="1" t="s">
        <v>16612</v>
      </c>
      <c r="F1074" s="1" t="s">
        <v>2</v>
      </c>
      <c r="G1074" s="1" t="s">
        <v>3</v>
      </c>
      <c r="K1074" s="1" t="s">
        <v>7</v>
      </c>
      <c r="O1074" s="1" t="s">
        <v>11</v>
      </c>
      <c r="U1074" s="1" t="s">
        <v>17</v>
      </c>
      <c r="GD1074" s="1" t="s">
        <v>202</v>
      </c>
      <c r="GE1074" s="1" t="s">
        <v>190</v>
      </c>
    </row>
    <row r="1075" spans="1:187" ht="11.25" customHeight="1">
      <c r="A1075" s="1" t="s">
        <v>1698</v>
      </c>
      <c r="B1075" s="1" t="str">
        <f ca="1">IFERROR(__xludf.DUMMYFUNCTION("GOOGLETRANSLATE(A1075, ""en"", ""fr"")"),"COURBÉ")</f>
        <v>COURBÉ</v>
      </c>
      <c r="C1075" s="1" t="s">
        <v>185</v>
      </c>
      <c r="L1075" s="1" t="s">
        <v>8</v>
      </c>
      <c r="O1075" s="1" t="s">
        <v>11</v>
      </c>
      <c r="CR1075" s="1" t="s">
        <v>92</v>
      </c>
      <c r="GD1075" s="1" t="s">
        <v>202</v>
      </c>
      <c r="GE1075" s="1" t="s">
        <v>190</v>
      </c>
    </row>
    <row r="1076" spans="1:187" ht="11.25" customHeight="1">
      <c r="A1076" s="1" t="s">
        <v>1699</v>
      </c>
      <c r="B1076" s="1" t="str">
        <f ca="1">IFERROR(__xludf.DUMMYFUNCTION("GOOGLETRANSLATE(A1076, ""en"", ""fr"")"),"Landre")</f>
        <v>Landre</v>
      </c>
      <c r="C1076" s="1" t="s">
        <v>192</v>
      </c>
      <c r="D1076" s="1" t="s">
        <v>16612</v>
      </c>
      <c r="N1076" s="1" t="s">
        <v>10</v>
      </c>
      <c r="AA1076" s="1" t="s">
        <v>23</v>
      </c>
      <c r="AB1076" s="1" t="s">
        <v>24</v>
      </c>
      <c r="DO1076" s="1" t="s">
        <v>115</v>
      </c>
      <c r="GD1076" s="1" t="s">
        <v>670</v>
      </c>
      <c r="GE1076" s="1" t="s">
        <v>190</v>
      </c>
    </row>
    <row r="1077" spans="1:187" ht="11.25" customHeight="1">
      <c r="A1077" s="1" t="s">
        <v>1700</v>
      </c>
      <c r="B1077" s="1" t="str">
        <f ca="1">IFERROR(__xludf.DUMMYFUNCTION("GOOGLETRANSLATE(A1077, ""en"", ""fr"")"),"ADMONESTER")</f>
        <v>ADMONESTER</v>
      </c>
      <c r="C1077" s="1" t="s">
        <v>196</v>
      </c>
      <c r="EL1077" s="1" t="s">
        <v>138</v>
      </c>
      <c r="EN1077" s="1" t="s">
        <v>140</v>
      </c>
      <c r="GD1077" s="1" t="s">
        <v>189</v>
      </c>
    </row>
    <row r="1078" spans="1:187" ht="11.25" customHeight="1">
      <c r="A1078" s="1" t="s">
        <v>1701</v>
      </c>
      <c r="B1078" s="1" t="str">
        <f ca="1">IFERROR(__xludf.DUMMYFUNCTION("GOOGLETRANSLATE(A1078, ""en"", ""fr"")"),"PRIVER")</f>
        <v>PRIVER</v>
      </c>
      <c r="C1078" s="1" t="s">
        <v>192</v>
      </c>
      <c r="E1078" s="1" t="s">
        <v>16613</v>
      </c>
      <c r="I1078" s="1" t="s">
        <v>5</v>
      </c>
      <c r="BK1078" s="1" t="s">
        <v>59</v>
      </c>
      <c r="DP1078" s="1" t="s">
        <v>116</v>
      </c>
      <c r="GD1078" s="1" t="s">
        <v>189</v>
      </c>
      <c r="GE1078" s="1" t="s">
        <v>190</v>
      </c>
    </row>
    <row r="1079" spans="1:187" ht="11.25" customHeight="1">
      <c r="A1079" s="1" t="s">
        <v>1702</v>
      </c>
      <c r="B1079" s="1" t="str">
        <f ca="1">IFERROR(__xludf.DUMMYFUNCTION("GOOGLETRANSLATE(A1079, ""en"", ""fr"")"),"DEUIL")</f>
        <v>DEUIL</v>
      </c>
      <c r="C1079" s="1" t="s">
        <v>192</v>
      </c>
      <c r="E1079" s="1" t="s">
        <v>16613</v>
      </c>
      <c r="L1079" s="1" t="s">
        <v>8</v>
      </c>
      <c r="O1079" s="1" t="s">
        <v>11</v>
      </c>
      <c r="V1079" s="1" t="s">
        <v>18</v>
      </c>
      <c r="GD1079" s="1" t="s">
        <v>193</v>
      </c>
      <c r="GE1079" s="1" t="s">
        <v>190</v>
      </c>
    </row>
    <row r="1080" spans="1:187" ht="11.25" customHeight="1">
      <c r="A1080" s="1" t="s">
        <v>1703</v>
      </c>
      <c r="B1080" s="1" t="str">
        <f ca="1">IFERROR(__xludf.DUMMYFUNCTION("GOOGLETRANSLATE(A1080, ""en"", ""fr"")"),"PRIVÉ")</f>
        <v>PRIVÉ</v>
      </c>
      <c r="C1080" s="1" t="s">
        <v>192</v>
      </c>
      <c r="E1080" s="1" t="s">
        <v>16613</v>
      </c>
      <c r="L1080" s="1" t="s">
        <v>8</v>
      </c>
      <c r="AJ1080" s="1" t="s">
        <v>32</v>
      </c>
      <c r="AT1080" s="1" t="s">
        <v>42</v>
      </c>
      <c r="GD1080" s="1" t="s">
        <v>193</v>
      </c>
      <c r="GE1080" s="1" t="s">
        <v>190</v>
      </c>
    </row>
    <row r="1081" spans="1:187" ht="11.25" customHeight="1">
      <c r="A1081" s="1" t="s">
        <v>1704</v>
      </c>
      <c r="B1081" s="1" t="str">
        <f ca="1">IFERROR(__xludf.DUMMYFUNCTION("GOOGLETRANSLATE(A1081, ""en"", ""fr"")"),"BERLIN")</f>
        <v>BERLIN</v>
      </c>
      <c r="C1081" s="1" t="s">
        <v>185</v>
      </c>
      <c r="AC1081" s="1" t="s">
        <v>25</v>
      </c>
      <c r="AH1081" s="1" t="s">
        <v>30</v>
      </c>
      <c r="DI1081" s="1" t="s">
        <v>109</v>
      </c>
      <c r="DV1081" s="1" t="s">
        <v>122</v>
      </c>
      <c r="ED1081" s="1" t="s">
        <v>130</v>
      </c>
      <c r="GD1081" s="1" t="s">
        <v>193</v>
      </c>
      <c r="GE1081" s="1" t="s">
        <v>190</v>
      </c>
    </row>
    <row r="1082" spans="1:187" ht="11.25" customHeight="1">
      <c r="A1082" s="1" t="s">
        <v>1705</v>
      </c>
      <c r="B1082" s="1" t="str">
        <f ca="1">IFERROR(__xludf.DUMMYFUNCTION("GOOGLETRANSLATE(A1082, ""en"", ""fr"")"),"FOU FURIEUX")</f>
        <v>FOU FURIEUX</v>
      </c>
      <c r="C1082" s="1" t="s">
        <v>192</v>
      </c>
      <c r="E1082" s="1" t="s">
        <v>16613</v>
      </c>
      <c r="I1082" s="1" t="s">
        <v>5</v>
      </c>
      <c r="S1082" s="1" t="s">
        <v>15</v>
      </c>
      <c r="T1082" s="1" t="s">
        <v>16</v>
      </c>
      <c r="DR1082" s="1" t="s">
        <v>118</v>
      </c>
      <c r="GD1082" s="1" t="s">
        <v>202</v>
      </c>
      <c r="GE1082" s="1" t="s">
        <v>190</v>
      </c>
    </row>
    <row r="1083" spans="1:187" ht="11.25" customHeight="1">
      <c r="A1083" s="1" t="s">
        <v>1706</v>
      </c>
      <c r="B1083" s="1" t="str">
        <f ca="1">IFERROR(__xludf.DUMMYFUNCTION("GOOGLETRANSLATE(A1083, ""en"", ""fr"")"),"SUPPLIER")</f>
        <v>SUPPLIER</v>
      </c>
      <c r="C1083" s="1" t="s">
        <v>192</v>
      </c>
      <c r="E1083" s="1" t="s">
        <v>16613</v>
      </c>
      <c r="L1083" s="1" t="s">
        <v>8</v>
      </c>
      <c r="M1083" s="1" t="s">
        <v>9</v>
      </c>
      <c r="N1083" s="1" t="s">
        <v>10</v>
      </c>
      <c r="AN1083" s="1" t="s">
        <v>36</v>
      </c>
      <c r="DN1083" s="1" t="s">
        <v>114</v>
      </c>
      <c r="GD1083" s="1" t="s">
        <v>189</v>
      </c>
      <c r="GE1083" s="1" t="s">
        <v>190</v>
      </c>
    </row>
    <row r="1084" spans="1:187" ht="11.25" customHeight="1">
      <c r="A1084" s="1" t="s">
        <v>1707</v>
      </c>
      <c r="B1084" s="1" t="str">
        <f ca="1">IFERROR(__xludf.DUMMYFUNCTION("GOOGLETRANSLATE(A1084, ""en"", ""fr"")"),"Assouplir")</f>
        <v>Assouplir</v>
      </c>
      <c r="C1084" s="1" t="s">
        <v>192</v>
      </c>
      <c r="E1084" s="1" t="s">
        <v>16613</v>
      </c>
      <c r="Q1084" s="1" t="s">
        <v>13</v>
      </c>
      <c r="S1084" s="1" t="s">
        <v>15</v>
      </c>
      <c r="T1084" s="1" t="s">
        <v>16</v>
      </c>
      <c r="DR1084" s="1" t="s">
        <v>118</v>
      </c>
      <c r="GD1084" s="1" t="s">
        <v>202</v>
      </c>
      <c r="GE1084" s="1" t="s">
        <v>190</v>
      </c>
    </row>
    <row r="1085" spans="1:187" ht="11.25" customHeight="1">
      <c r="A1085" s="1" t="s">
        <v>1708</v>
      </c>
      <c r="B1085" s="1" t="str">
        <f ca="1">IFERROR(__xludf.DUMMYFUNCTION("GOOGLETRANSLATE(A1085, ""en"", ""fr"")"),"À côté du n ° 1")</f>
        <v>À côté du n ° 1</v>
      </c>
      <c r="C1085" s="1" t="s">
        <v>185</v>
      </c>
      <c r="DA1085" s="1" t="s">
        <v>101</v>
      </c>
      <c r="GB1085" s="1" t="s">
        <v>180</v>
      </c>
      <c r="GD1085" s="1" t="s">
        <v>215</v>
      </c>
      <c r="GE1085" s="1" t="s">
        <v>1709</v>
      </c>
    </row>
    <row r="1086" spans="1:187" ht="11.25" customHeight="1">
      <c r="A1086" s="1" t="s">
        <v>1710</v>
      </c>
      <c r="B1086" s="1" t="str">
        <f ca="1">IFERROR(__xludf.DUMMYFUNCTION("GOOGLETRANSLATE(A1086, ""en"", ""fr"")"),"À côté du n ° 2")</f>
        <v>À côté du n ° 2</v>
      </c>
      <c r="C1086" s="1" t="s">
        <v>185</v>
      </c>
      <c r="CS1086" s="1" t="s">
        <v>93</v>
      </c>
      <c r="GD1086" s="1" t="s">
        <v>225</v>
      </c>
      <c r="GE1086" s="1" t="s">
        <v>1711</v>
      </c>
    </row>
    <row r="1087" spans="1:187" ht="11.25" customHeight="1">
      <c r="A1087" s="1" t="s">
        <v>1712</v>
      </c>
      <c r="B1087" s="1" t="str">
        <f ca="1">IFERROR(__xludf.DUMMYFUNCTION("GOOGLETRANSLATE(A1087, ""en"", ""fr"")"),"À côté du n ° 3")</f>
        <v>À côté du n ° 3</v>
      </c>
      <c r="C1087" s="1" t="s">
        <v>185</v>
      </c>
      <c r="V1087" s="1" t="s">
        <v>18</v>
      </c>
      <c r="FA1087" s="1" t="s">
        <v>153</v>
      </c>
      <c r="FC1087" s="1" t="s">
        <v>155</v>
      </c>
      <c r="GD1087" s="1" t="s">
        <v>1628</v>
      </c>
      <c r="GE1087" s="1" t="s">
        <v>1713</v>
      </c>
    </row>
    <row r="1088" spans="1:187" ht="11.25" customHeight="1">
      <c r="A1088" s="1" t="s">
        <v>1714</v>
      </c>
      <c r="B1088" s="1" t="str">
        <f ca="1">IFERROR(__xludf.DUMMYFUNCTION("GOOGLETRANSLATE(A1088, ""en"", ""fr"")"),"ASSIÉGER")</f>
        <v>ASSIÉGER</v>
      </c>
      <c r="C1088" s="1" t="s">
        <v>192</v>
      </c>
      <c r="E1088" s="1" t="s">
        <v>16613</v>
      </c>
      <c r="I1088" s="1" t="s">
        <v>5</v>
      </c>
      <c r="N1088" s="1" t="s">
        <v>10</v>
      </c>
      <c r="AN1088" s="1" t="s">
        <v>36</v>
      </c>
      <c r="CC1088" s="1" t="s">
        <v>77</v>
      </c>
      <c r="DN1088" s="1" t="s">
        <v>114</v>
      </c>
      <c r="GD1088" s="1" t="s">
        <v>189</v>
      </c>
      <c r="GE1088" s="1" t="s">
        <v>190</v>
      </c>
    </row>
    <row r="1089" spans="1:187" ht="11.25" customHeight="1">
      <c r="A1089" s="1" t="s">
        <v>1715</v>
      </c>
      <c r="B1089" s="1" t="str">
        <f ca="1">IFERROR(__xludf.DUMMYFUNCTION("GOOGLETRANSLATE(A1089, ""en"", ""fr"")"),"MEILLEUR")</f>
        <v>MEILLEUR</v>
      </c>
      <c r="C1089" s="1" t="s">
        <v>185</v>
      </c>
      <c r="D1089" s="1" t="s">
        <v>16612</v>
      </c>
      <c r="F1089" s="1" t="s">
        <v>2</v>
      </c>
      <c r="U1089" s="1" t="s">
        <v>17</v>
      </c>
      <c r="CL1089" s="1" t="s">
        <v>86</v>
      </c>
      <c r="CN1089" s="1" t="s">
        <v>88</v>
      </c>
      <c r="FX1089" s="1" t="s">
        <v>176</v>
      </c>
      <c r="GD1089" s="1" t="s">
        <v>1716</v>
      </c>
      <c r="GE1089" s="1" t="s">
        <v>1717</v>
      </c>
    </row>
    <row r="1090" spans="1:187" ht="11.25" customHeight="1">
      <c r="A1090" s="1" t="s">
        <v>1718</v>
      </c>
      <c r="B1090" s="1" t="str">
        <f ca="1">IFERROR(__xludf.DUMMYFUNCTION("GOOGLETRANSLATE(A1090, ""en"", ""fr"")"),"DONNER")</f>
        <v>DONNER</v>
      </c>
      <c r="C1090" s="1" t="s">
        <v>185</v>
      </c>
      <c r="D1090" s="1" t="s">
        <v>16612</v>
      </c>
      <c r="F1090" s="1" t="s">
        <v>2</v>
      </c>
      <c r="J1090" s="1" t="s">
        <v>6</v>
      </c>
      <c r="K1090" s="1" t="s">
        <v>7</v>
      </c>
      <c r="N1090" s="1" t="s">
        <v>10</v>
      </c>
      <c r="AN1090" s="1" t="s">
        <v>36</v>
      </c>
      <c r="DN1090" s="1" t="s">
        <v>114</v>
      </c>
      <c r="FN1090" s="1" t="s">
        <v>166</v>
      </c>
      <c r="GD1090" s="1" t="s">
        <v>189</v>
      </c>
      <c r="GE1090" s="1" t="s">
        <v>190</v>
      </c>
    </row>
    <row r="1091" spans="1:187" ht="11.25" customHeight="1">
      <c r="A1091" s="1" t="s">
        <v>1719</v>
      </c>
      <c r="B1091" s="1" t="str">
        <f ca="1">IFERROR(__xludf.DUMMYFUNCTION("GOOGLETRANSLATE(A1091, ""en"", ""fr"")"),"Bet # 1")</f>
        <v>Bet # 1</v>
      </c>
      <c r="C1091" s="1" t="s">
        <v>185</v>
      </c>
      <c r="N1091" s="1" t="s">
        <v>10</v>
      </c>
      <c r="AA1091" s="1" t="s">
        <v>23</v>
      </c>
      <c r="AC1091" s="1" t="s">
        <v>25</v>
      </c>
      <c r="BK1091" s="1" t="s">
        <v>59</v>
      </c>
      <c r="BL1091" s="1" t="s">
        <v>60</v>
      </c>
      <c r="GC1091" s="1" t="s">
        <v>181</v>
      </c>
      <c r="GD1091" s="1" t="s">
        <v>193</v>
      </c>
      <c r="GE1091" s="1" t="s">
        <v>1720</v>
      </c>
    </row>
    <row r="1092" spans="1:187" ht="11.25" customHeight="1">
      <c r="A1092" s="1" t="s">
        <v>1721</v>
      </c>
      <c r="B1092" s="1" t="str">
        <f ca="1">IFERROR(__xludf.DUMMYFUNCTION("GOOGLETRANSLATE(A1092, ""en"", ""fr"")"),"Bet # 2")</f>
        <v>Bet # 2</v>
      </c>
      <c r="C1092" s="1" t="s">
        <v>185</v>
      </c>
      <c r="N1092" s="1" t="s">
        <v>10</v>
      </c>
      <c r="AA1092" s="1" t="s">
        <v>23</v>
      </c>
      <c r="BP1092" s="1" t="s">
        <v>64</v>
      </c>
      <c r="DN1092" s="1" t="s">
        <v>114</v>
      </c>
      <c r="GD1092" s="1" t="s">
        <v>189</v>
      </c>
      <c r="GE1092" s="1" t="s">
        <v>1722</v>
      </c>
    </row>
    <row r="1093" spans="1:187" ht="11.25" customHeight="1">
      <c r="A1093" s="1" t="s">
        <v>1723</v>
      </c>
      <c r="B1093" s="1" t="str">
        <f ca="1">IFERROR(__xludf.DUMMYFUNCTION("GOOGLETRANSLATE(A1093, ""en"", ""fr"")"),"TRAHIR")</f>
        <v>TRAHIR</v>
      </c>
      <c r="C1093" s="1" t="s">
        <v>185</v>
      </c>
      <c r="E1093" s="1" t="s">
        <v>16613</v>
      </c>
      <c r="H1093" s="1" t="s">
        <v>4</v>
      </c>
      <c r="I1093" s="1" t="s">
        <v>5</v>
      </c>
      <c r="AN1093" s="1" t="s">
        <v>36</v>
      </c>
      <c r="DN1093" s="1" t="s">
        <v>114</v>
      </c>
      <c r="EE1093" s="1" t="s">
        <v>131</v>
      </c>
      <c r="EJ1093" s="1" t="s">
        <v>136</v>
      </c>
      <c r="GD1093" s="1" t="s">
        <v>189</v>
      </c>
      <c r="GE1093" s="1" t="s">
        <v>190</v>
      </c>
    </row>
    <row r="1094" spans="1:187" ht="11.25" customHeight="1">
      <c r="A1094" s="1" t="s">
        <v>1724</v>
      </c>
      <c r="B1094" s="1" t="str">
        <f ca="1">IFERROR(__xludf.DUMMYFUNCTION("GOOGLETRANSLATE(A1094, ""en"", ""fr"")"),"TRAHISON")</f>
        <v>TRAHISON</v>
      </c>
      <c r="C1094" s="1" t="s">
        <v>185</v>
      </c>
      <c r="E1094" s="1" t="s">
        <v>16613</v>
      </c>
      <c r="I1094" s="1" t="s">
        <v>5</v>
      </c>
      <c r="AN1094" s="1" t="s">
        <v>36</v>
      </c>
      <c r="BK1094" s="1" t="s">
        <v>59</v>
      </c>
      <c r="EE1094" s="1" t="s">
        <v>131</v>
      </c>
      <c r="EJ1094" s="1" t="s">
        <v>136</v>
      </c>
      <c r="GD1094" s="1" t="s">
        <v>193</v>
      </c>
      <c r="GE1094" s="1" t="s">
        <v>190</v>
      </c>
    </row>
    <row r="1095" spans="1:187" ht="11.25" customHeight="1">
      <c r="A1095" s="1" t="s">
        <v>1725</v>
      </c>
      <c r="B1095" s="1" t="str">
        <f ca="1">IFERROR(__xludf.DUMMYFUNCTION("GOOGLETRANSLATE(A1095, ""en"", ""fr"")"),"FIANCER")</f>
        <v>FIANCER</v>
      </c>
      <c r="C1095" s="1" t="s">
        <v>192</v>
      </c>
      <c r="D1095" s="1" t="s">
        <v>16612</v>
      </c>
      <c r="N1095" s="1" t="s">
        <v>10</v>
      </c>
      <c r="AA1095" s="1" t="s">
        <v>23</v>
      </c>
      <c r="AB1095" s="1" t="s">
        <v>24</v>
      </c>
      <c r="DN1095" s="1" t="s">
        <v>114</v>
      </c>
      <c r="GD1095" s="1" t="s">
        <v>670</v>
      </c>
      <c r="GE1095" s="1" t="s">
        <v>190</v>
      </c>
    </row>
    <row r="1096" spans="1:187" ht="11.25" customHeight="1">
      <c r="A1096" s="1" t="s">
        <v>1726</v>
      </c>
      <c r="B1096" s="1" t="str">
        <f ca="1">IFERROR(__xludf.DUMMYFUNCTION("GOOGLETRANSLATE(A1096, ""en"", ""fr"")"),"FIANÇAILLES")</f>
        <v>FIANÇAILLES</v>
      </c>
      <c r="C1096" s="1" t="s">
        <v>192</v>
      </c>
      <c r="D1096" s="1" t="s">
        <v>16612</v>
      </c>
      <c r="AA1096" s="1" t="s">
        <v>23</v>
      </c>
      <c r="AB1096" s="1" t="s">
        <v>24</v>
      </c>
      <c r="GD1096" s="1" t="s">
        <v>193</v>
      </c>
      <c r="GE1096" s="1" t="s">
        <v>190</v>
      </c>
    </row>
    <row r="1097" spans="1:187" ht="11.25" customHeight="1">
      <c r="A1097" s="1" t="s">
        <v>1727</v>
      </c>
      <c r="B1097" s="1" t="str">
        <f ca="1">IFERROR(__xludf.DUMMYFUNCTION("GOOGLETRANSLATE(A1097, ""en"", ""fr"")"),"Mieux # 1")</f>
        <v>Mieux # 1</v>
      </c>
      <c r="C1097" s="1" t="s">
        <v>185</v>
      </c>
      <c r="D1097" s="1" t="s">
        <v>16612</v>
      </c>
      <c r="F1097" s="1" t="s">
        <v>2</v>
      </c>
      <c r="U1097" s="1" t="s">
        <v>17</v>
      </c>
      <c r="CL1097" s="1" t="s">
        <v>86</v>
      </c>
      <c r="CN1097" s="1" t="s">
        <v>88</v>
      </c>
      <c r="FX1097" s="1" t="s">
        <v>176</v>
      </c>
      <c r="GD1097" s="1" t="s">
        <v>1728</v>
      </c>
      <c r="GE1097" s="1" t="s">
        <v>1729</v>
      </c>
    </row>
    <row r="1098" spans="1:187" ht="11.25" customHeight="1">
      <c r="A1098" s="1" t="s">
        <v>1730</v>
      </c>
      <c r="B1098" s="1" t="str">
        <f ca="1">IFERROR(__xludf.DUMMYFUNCTION("GOOGLETRANSLATE(A1098, ""en"", ""fr"")"),"Mieux # 2")</f>
        <v>Mieux # 2</v>
      </c>
      <c r="C1098" s="1" t="s">
        <v>185</v>
      </c>
      <c r="D1098" s="1" t="s">
        <v>16612</v>
      </c>
      <c r="F1098" s="1" t="s">
        <v>2</v>
      </c>
      <c r="N1098" s="1" t="s">
        <v>10</v>
      </c>
      <c r="BP1098" s="1" t="s">
        <v>64</v>
      </c>
      <c r="DN1098" s="1" t="s">
        <v>114</v>
      </c>
      <c r="EK1098" s="1" t="s">
        <v>137</v>
      </c>
      <c r="EN1098" s="1" t="s">
        <v>140</v>
      </c>
      <c r="GD1098" s="1" t="s">
        <v>189</v>
      </c>
      <c r="GE1098" s="1" t="s">
        <v>1731</v>
      </c>
    </row>
    <row r="1099" spans="1:187" ht="11.25" customHeight="1">
      <c r="A1099" s="1" t="s">
        <v>1732</v>
      </c>
      <c r="B1099" s="1" t="str">
        <f ca="1">IFERROR(__xludf.DUMMYFUNCTION("GOOGLETRANSLATE(A1099, ""en"", ""fr"")"),"Mieux # 3")</f>
        <v>Mieux # 3</v>
      </c>
      <c r="C1099" s="1" t="s">
        <v>185</v>
      </c>
      <c r="DN1099" s="1" t="s">
        <v>114</v>
      </c>
      <c r="EE1099" s="1" t="s">
        <v>131</v>
      </c>
      <c r="EJ1099" s="1" t="s">
        <v>136</v>
      </c>
      <c r="GD1099" s="1" t="s">
        <v>222</v>
      </c>
      <c r="GE1099" s="1" t="s">
        <v>1733</v>
      </c>
    </row>
    <row r="1100" spans="1:187" ht="11.25" customHeight="1">
      <c r="A1100" s="1" t="s">
        <v>1734</v>
      </c>
      <c r="B1100" s="1" t="str">
        <f ca="1">IFERROR(__xludf.DUMMYFUNCTION("GOOGLETRANSLATE(A1100, ""en"", ""fr"")"),"AMÉLIORATION")</f>
        <v>AMÉLIORATION</v>
      </c>
      <c r="C1100" s="1" t="s">
        <v>196</v>
      </c>
      <c r="FR1100" s="1" t="s">
        <v>170</v>
      </c>
      <c r="GD1100" s="1" t="s">
        <v>193</v>
      </c>
    </row>
    <row r="1101" spans="1:187" ht="11.25" customHeight="1">
      <c r="A1101" s="1" t="s">
        <v>1735</v>
      </c>
      <c r="B1101" s="1" t="str">
        <f ca="1">IFERROR(__xludf.DUMMYFUNCTION("GOOGLETRANSLATE(A1101, ""en"", ""fr"")"),"ENTRE")</f>
        <v>ENTRE</v>
      </c>
      <c r="C1101" s="1" t="s">
        <v>185</v>
      </c>
      <c r="DA1101" s="1" t="s">
        <v>101</v>
      </c>
      <c r="GB1101" s="1" t="s">
        <v>180</v>
      </c>
      <c r="GD1101" s="1" t="s">
        <v>215</v>
      </c>
      <c r="GE1101" s="1" t="s">
        <v>1736</v>
      </c>
    </row>
    <row r="1102" spans="1:187" ht="11.25" customHeight="1">
      <c r="A1102" s="1" t="s">
        <v>1737</v>
      </c>
      <c r="B1102" s="1" t="str">
        <f ca="1">IFERROR(__xludf.DUMMYFUNCTION("GOOGLETRANSLATE(A1102, ""en"", ""fr"")"),"MÉFIEZ-VOUS")</f>
        <v>MÉFIEZ-VOUS</v>
      </c>
      <c r="C1102" s="1" t="s">
        <v>185</v>
      </c>
      <c r="E1102" s="1" t="s">
        <v>16613</v>
      </c>
      <c r="H1102" s="1" t="s">
        <v>4</v>
      </c>
      <c r="I1102" s="1" t="s">
        <v>5</v>
      </c>
      <c r="J1102" s="1" t="s">
        <v>6</v>
      </c>
      <c r="X1102" s="1" t="s">
        <v>20</v>
      </c>
      <c r="CK1102" s="1" t="s">
        <v>85</v>
      </c>
      <c r="DN1102" s="1" t="s">
        <v>114</v>
      </c>
      <c r="GD1102" s="1" t="s">
        <v>189</v>
      </c>
      <c r="GE1102" s="1" t="s">
        <v>190</v>
      </c>
    </row>
    <row r="1103" spans="1:187" ht="11.25" customHeight="1">
      <c r="A1103" s="1" t="s">
        <v>1738</v>
      </c>
      <c r="B1103" s="1" t="str">
        <f ca="1">IFERROR(__xludf.DUMMYFUNCTION("GOOGLETRANSLATE(A1103, ""en"", ""fr"")"),"DÉCONCERTER")</f>
        <v>DÉCONCERTER</v>
      </c>
      <c r="C1103" s="1" t="s">
        <v>185</v>
      </c>
      <c r="E1103" s="1" t="s">
        <v>16613</v>
      </c>
      <c r="H1103" s="1" t="s">
        <v>4</v>
      </c>
      <c r="X1103" s="1" t="s">
        <v>20</v>
      </c>
      <c r="CO1103" s="1" t="s">
        <v>89</v>
      </c>
      <c r="DN1103" s="1" t="s">
        <v>114</v>
      </c>
      <c r="FE1103" s="1" t="s">
        <v>157</v>
      </c>
      <c r="FI1103" s="1" t="s">
        <v>161</v>
      </c>
      <c r="GD1103" s="1" t="s">
        <v>189</v>
      </c>
      <c r="GE1103" s="1" t="s">
        <v>190</v>
      </c>
    </row>
    <row r="1104" spans="1:187" ht="11.25" customHeight="1">
      <c r="A1104" s="1" t="s">
        <v>1739</v>
      </c>
      <c r="B1104" s="1" t="str">
        <f ca="1">IFERROR(__xludf.DUMMYFUNCTION("GOOGLETRANSLATE(A1104, ""en"", ""fr"")"),"PERPLEXITÉ")</f>
        <v>PERPLEXITÉ</v>
      </c>
      <c r="C1104" s="1" t="s">
        <v>185</v>
      </c>
      <c r="E1104" s="1" t="s">
        <v>16613</v>
      </c>
      <c r="H1104" s="1" t="s">
        <v>4</v>
      </c>
      <c r="X1104" s="1" t="s">
        <v>20</v>
      </c>
      <c r="CH1104" s="1" t="s">
        <v>82</v>
      </c>
      <c r="FE1104" s="1" t="s">
        <v>157</v>
      </c>
      <c r="FI1104" s="1" t="s">
        <v>161</v>
      </c>
      <c r="GD1104" s="1" t="s">
        <v>193</v>
      </c>
      <c r="GE1104" s="1" t="s">
        <v>190</v>
      </c>
    </row>
    <row r="1105" spans="1:187" ht="11.25" customHeight="1">
      <c r="A1105" s="1" t="s">
        <v>1740</v>
      </c>
      <c r="B1105" s="1" t="str">
        <f ca="1">IFERROR(__xludf.DUMMYFUNCTION("GOOGLETRANSLATE(A1105, ""en"", ""fr"")"),"AU-DELÀ")</f>
        <v>AU-DELÀ</v>
      </c>
      <c r="C1105" s="1" t="s">
        <v>185</v>
      </c>
      <c r="DA1105" s="1" t="s">
        <v>101</v>
      </c>
      <c r="GB1105" s="1" t="s">
        <v>180</v>
      </c>
      <c r="GD1105" s="1" t="s">
        <v>207</v>
      </c>
      <c r="GE1105" s="1" t="s">
        <v>1741</v>
      </c>
    </row>
    <row r="1106" spans="1:187" ht="11.25" customHeight="1">
      <c r="A1106" s="1" t="s">
        <v>1742</v>
      </c>
      <c r="B1106" s="1" t="str">
        <f ca="1">IFERROR(__xludf.DUMMYFUNCTION("GOOGLETRANSLATE(A1106, ""en"", ""fr"")"),"BIBLE")</f>
        <v>BIBLE</v>
      </c>
      <c r="C1106" s="1" t="s">
        <v>185</v>
      </c>
      <c r="AI1106" s="1" t="s">
        <v>31</v>
      </c>
      <c r="BC1106" s="1" t="s">
        <v>51</v>
      </c>
      <c r="BH1106" s="1" t="s">
        <v>56</v>
      </c>
      <c r="BL1106" s="1" t="s">
        <v>60</v>
      </c>
      <c r="EF1106" s="1" t="s">
        <v>132</v>
      </c>
      <c r="EJ1106" s="1" t="s">
        <v>136</v>
      </c>
      <c r="GD1106" s="1" t="s">
        <v>193</v>
      </c>
      <c r="GE1106" s="1" t="s">
        <v>190</v>
      </c>
    </row>
    <row r="1107" spans="1:187" ht="11.25" customHeight="1">
      <c r="A1107" s="1" t="s">
        <v>1743</v>
      </c>
      <c r="B1107" s="1" t="str">
        <f ca="1">IFERROR(__xludf.DUMMYFUNCTION("GOOGLETRANSLATE(A1107, ""en"", ""fr"")"),"BIBLIQUE")</f>
        <v>BIBLIQUE</v>
      </c>
      <c r="C1107" s="1" t="s">
        <v>185</v>
      </c>
      <c r="AI1107" s="1" t="s">
        <v>31</v>
      </c>
      <c r="BC1107" s="1" t="s">
        <v>51</v>
      </c>
      <c r="BH1107" s="1" t="s">
        <v>56</v>
      </c>
      <c r="EF1107" s="1" t="s">
        <v>132</v>
      </c>
      <c r="EJ1107" s="1" t="s">
        <v>136</v>
      </c>
      <c r="GD1107" s="1" t="s">
        <v>202</v>
      </c>
      <c r="GE1107" s="1" t="s">
        <v>190</v>
      </c>
    </row>
    <row r="1108" spans="1:187" ht="11.25" customHeight="1">
      <c r="A1108" s="1" t="s">
        <v>1744</v>
      </c>
      <c r="B1108" s="1" t="str">
        <f ca="1">IFERROR(__xludf.DUMMYFUNCTION("GOOGLETRANSLATE(A1108, ""en"", ""fr"")"),"Biceps")</f>
        <v>Biceps</v>
      </c>
      <c r="C1108" s="1" t="s">
        <v>185</v>
      </c>
      <c r="K1108" s="1" t="s">
        <v>7</v>
      </c>
      <c r="BJ1108" s="1" t="s">
        <v>58</v>
      </c>
      <c r="EZ1108" s="1" t="s">
        <v>152</v>
      </c>
      <c r="FC1108" s="1" t="s">
        <v>155</v>
      </c>
      <c r="GD1108" s="1" t="s">
        <v>193</v>
      </c>
      <c r="GE1108" s="1" t="s">
        <v>190</v>
      </c>
    </row>
    <row r="1109" spans="1:187" ht="11.25" customHeight="1">
      <c r="A1109" s="1" t="s">
        <v>1745</v>
      </c>
      <c r="B1109" s="1" t="str">
        <f ca="1">IFERROR(__xludf.DUMMYFUNCTION("GOOGLETRANSLATE(A1109, ""en"", ""fr"")"),"Enchère n ° 1")</f>
        <v>Enchère n ° 1</v>
      </c>
      <c r="C1109" s="1" t="s">
        <v>185</v>
      </c>
      <c r="N1109" s="1" t="s">
        <v>10</v>
      </c>
      <c r="AA1109" s="1" t="s">
        <v>23</v>
      </c>
      <c r="AC1109" s="1" t="s">
        <v>25</v>
      </c>
      <c r="AH1109" s="1" t="s">
        <v>30</v>
      </c>
      <c r="BK1109" s="1" t="s">
        <v>59</v>
      </c>
      <c r="BL1109" s="1" t="s">
        <v>60</v>
      </c>
      <c r="EC1109" s="1" t="s">
        <v>129</v>
      </c>
      <c r="ED1109" s="1" t="s">
        <v>130</v>
      </c>
      <c r="GD1109" s="1" t="s">
        <v>193</v>
      </c>
      <c r="GE1109" s="1" t="s">
        <v>190</v>
      </c>
    </row>
    <row r="1110" spans="1:187" ht="11.25" customHeight="1">
      <c r="A1110" s="1" t="s">
        <v>1746</v>
      </c>
      <c r="B1110" s="1" t="str">
        <f ca="1">IFERROR(__xludf.DUMMYFUNCTION("GOOGLETRANSLATE(A1110, ""en"", ""fr"")"),"Enchère n ° 2")</f>
        <v>Enchère n ° 2</v>
      </c>
      <c r="C1110" s="1" t="s">
        <v>185</v>
      </c>
      <c r="N1110" s="1" t="s">
        <v>10</v>
      </c>
      <c r="AA1110" s="1" t="s">
        <v>23</v>
      </c>
      <c r="BK1110" s="1" t="s">
        <v>59</v>
      </c>
      <c r="DN1110" s="1" t="s">
        <v>114</v>
      </c>
      <c r="EC1110" s="1" t="s">
        <v>129</v>
      </c>
      <c r="ED1110" s="1" t="s">
        <v>130</v>
      </c>
      <c r="GD1110" s="1" t="s">
        <v>189</v>
      </c>
      <c r="GE1110" s="1" t="s">
        <v>190</v>
      </c>
    </row>
    <row r="1111" spans="1:187" ht="11.25" customHeight="1">
      <c r="A1111" s="1" t="s">
        <v>1747</v>
      </c>
      <c r="B1111" s="1" t="str">
        <f ca="1">IFERROR(__xludf.DUMMYFUNCTION("GOOGLETRANSLATE(A1111, ""en"", ""fr"")"),"GRAND")</f>
        <v>GRAND</v>
      </c>
      <c r="C1111" s="1" t="s">
        <v>185</v>
      </c>
      <c r="J1111" s="1" t="s">
        <v>6</v>
      </c>
      <c r="CS1111" s="1" t="s">
        <v>93</v>
      </c>
      <c r="DC1111" s="1" t="s">
        <v>103</v>
      </c>
      <c r="GD1111" s="1" t="s">
        <v>202</v>
      </c>
      <c r="GE1111" s="1" t="s">
        <v>1748</v>
      </c>
    </row>
    <row r="1112" spans="1:187" ht="11.25" customHeight="1">
      <c r="A1112" s="1" t="s">
        <v>1749</v>
      </c>
      <c r="B1112" s="1" t="str">
        <f ca="1">IFERROR(__xludf.DUMMYFUNCTION("GOOGLETRANSLATE(A1112, ""en"", ""fr"")"),"BIGOTERIE")</f>
        <v>BIGOTERIE</v>
      </c>
      <c r="C1112" s="1" t="s">
        <v>196</v>
      </c>
      <c r="EM1112" s="1" t="s">
        <v>139</v>
      </c>
      <c r="EN1112" s="1" t="s">
        <v>140</v>
      </c>
      <c r="GD1112" s="1" t="s">
        <v>193</v>
      </c>
    </row>
    <row r="1113" spans="1:187" ht="11.25" customHeight="1">
      <c r="A1113" s="1" t="s">
        <v>1750</v>
      </c>
      <c r="B1113" s="1" t="str">
        <f ca="1">IFERROR(__xludf.DUMMYFUNCTION("GOOGLETRANSLATE(A1113, ""en"", ""fr"")"),"BILATÉRAL")</f>
        <v>BILATÉRAL</v>
      </c>
      <c r="C1113" s="1" t="s">
        <v>196</v>
      </c>
      <c r="GD1113" s="1" t="s">
        <v>212</v>
      </c>
    </row>
    <row r="1114" spans="1:187" ht="11.25" customHeight="1">
      <c r="A1114" s="1" t="s">
        <v>1751</v>
      </c>
      <c r="B1114" s="1" t="str">
        <f ca="1">IFERROR(__xludf.DUMMYFUNCTION("GOOGLETRANSLATE(A1114, ""en"", ""fr"")"),"Projet de loi n ° 1")</f>
        <v>Projet de loi n ° 1</v>
      </c>
      <c r="C1114" s="1" t="s">
        <v>185</v>
      </c>
      <c r="AG1114" s="1" t="s">
        <v>29</v>
      </c>
      <c r="AH1114" s="1" t="s">
        <v>30</v>
      </c>
      <c r="BC1114" s="1" t="s">
        <v>51</v>
      </c>
      <c r="BH1114" s="1" t="s">
        <v>56</v>
      </c>
      <c r="BL1114" s="1" t="s">
        <v>60</v>
      </c>
      <c r="EB1114" s="1" t="s">
        <v>128</v>
      </c>
      <c r="ED1114" s="1" t="s">
        <v>130</v>
      </c>
      <c r="GD1114" s="1" t="s">
        <v>193</v>
      </c>
      <c r="GE1114" s="1" t="s">
        <v>1752</v>
      </c>
    </row>
    <row r="1115" spans="1:187" ht="11.25" customHeight="1">
      <c r="A1115" s="1" t="s">
        <v>1753</v>
      </c>
      <c r="B1115" s="1" t="str">
        <f ca="1">IFERROR(__xludf.DUMMYFUNCTION("GOOGLETRANSLATE(A1115, ""en"", ""fr"")"),"Projet de loi n ° 2")</f>
        <v>Projet de loi n ° 2</v>
      </c>
      <c r="C1115" s="1" t="s">
        <v>185</v>
      </c>
      <c r="AA1115" s="1" t="s">
        <v>23</v>
      </c>
      <c r="AC1115" s="1" t="s">
        <v>25</v>
      </c>
      <c r="BC1115" s="1" t="s">
        <v>51</v>
      </c>
      <c r="BH1115" s="1" t="s">
        <v>56</v>
      </c>
      <c r="BL1115" s="1" t="s">
        <v>60</v>
      </c>
      <c r="EV1115" s="1" t="s">
        <v>148</v>
      </c>
      <c r="EW1115" s="1" t="s">
        <v>149</v>
      </c>
      <c r="GD1115" s="1" t="s">
        <v>193</v>
      </c>
      <c r="GE1115" s="1" t="s">
        <v>1754</v>
      </c>
    </row>
    <row r="1116" spans="1:187" ht="11.25" customHeight="1">
      <c r="A1116" s="1" t="s">
        <v>1755</v>
      </c>
      <c r="B1116" s="1" t="str">
        <f ca="1">IFERROR(__xludf.DUMMYFUNCTION("GOOGLETRANSLATE(A1116, ""en"", ""fr"")"),"MILLIARD")</f>
        <v>MILLIARD</v>
      </c>
      <c r="C1116" s="1" t="s">
        <v>185</v>
      </c>
      <c r="W1116" s="1" t="s">
        <v>19</v>
      </c>
      <c r="AC1116" s="1" t="s">
        <v>25</v>
      </c>
      <c r="CS1116" s="1" t="s">
        <v>93</v>
      </c>
      <c r="CT1116" s="1" t="s">
        <v>94</v>
      </c>
      <c r="CV1116" s="1" t="s">
        <v>96</v>
      </c>
      <c r="EV1116" s="1" t="s">
        <v>148</v>
      </c>
      <c r="EW1116" s="1" t="s">
        <v>149</v>
      </c>
      <c r="GD1116" s="1" t="s">
        <v>1756</v>
      </c>
      <c r="GE1116" s="1" t="s">
        <v>190</v>
      </c>
    </row>
    <row r="1117" spans="1:187" ht="11.25" customHeight="1">
      <c r="A1117" s="1" t="s">
        <v>1757</v>
      </c>
      <c r="B1117" s="1" t="str">
        <f ca="1">IFERROR(__xludf.DUMMYFUNCTION("GOOGLETRANSLATE(A1117, ""en"", ""fr"")"),"POUBELLE")</f>
        <v>POUBELLE</v>
      </c>
      <c r="C1117" s="1" t="s">
        <v>185</v>
      </c>
      <c r="BC1117" s="1" t="s">
        <v>51</v>
      </c>
      <c r="BD1117" s="1" t="s">
        <v>52</v>
      </c>
      <c r="GD1117" s="1" t="s">
        <v>193</v>
      </c>
      <c r="GE1117" s="1" t="s">
        <v>190</v>
      </c>
    </row>
    <row r="1118" spans="1:187" ht="11.25" customHeight="1">
      <c r="A1118" s="1" t="s">
        <v>1758</v>
      </c>
      <c r="B1118" s="1" t="str">
        <f ca="1">IFERROR(__xludf.DUMMYFUNCTION("GOOGLETRANSLATE(A1118, ""en"", ""fr"")"),"BIOGRAPHIE")</f>
        <v>BIOGRAPHIE</v>
      </c>
      <c r="C1118" s="1" t="s">
        <v>185</v>
      </c>
      <c r="AD1118" s="1" t="s">
        <v>26</v>
      </c>
      <c r="BK1118" s="1" t="s">
        <v>59</v>
      </c>
      <c r="BL1118" s="1" t="s">
        <v>60</v>
      </c>
      <c r="GC1118" s="1" t="s">
        <v>181</v>
      </c>
      <c r="GD1118" s="1" t="s">
        <v>193</v>
      </c>
      <c r="GE1118" s="1" t="s">
        <v>190</v>
      </c>
    </row>
    <row r="1119" spans="1:187" ht="11.25" customHeight="1">
      <c r="A1119" s="1" t="s">
        <v>1759</v>
      </c>
      <c r="B1119" s="1" t="str">
        <f ca="1">IFERROR(__xludf.DUMMYFUNCTION("GOOGLETRANSLATE(A1119, ""en"", ""fr"")"),"BIOLOGIQUE")</f>
        <v>BIOLOGIQUE</v>
      </c>
      <c r="C1119" s="1" t="s">
        <v>185</v>
      </c>
      <c r="Y1119" s="1" t="s">
        <v>21</v>
      </c>
      <c r="Z1119" s="1" t="s">
        <v>22</v>
      </c>
      <c r="GD1119" s="1" t="s">
        <v>202</v>
      </c>
      <c r="GE1119" s="1" t="s">
        <v>190</v>
      </c>
    </row>
    <row r="1120" spans="1:187" ht="11.25" customHeight="1">
      <c r="A1120" s="1" t="s">
        <v>1760</v>
      </c>
      <c r="B1120" s="1" t="str">
        <f ca="1">IFERROR(__xludf.DUMMYFUNCTION("GOOGLETRANSLATE(A1120, ""en"", ""fr"")"),"OISEAU")</f>
        <v>OISEAU</v>
      </c>
      <c r="C1120" s="1" t="s">
        <v>185</v>
      </c>
      <c r="AU1120" s="1" t="s">
        <v>43</v>
      </c>
      <c r="GD1120" s="1" t="s">
        <v>193</v>
      </c>
      <c r="GE1120" s="1" t="s">
        <v>1761</v>
      </c>
    </row>
    <row r="1121" spans="1:187" ht="11.25" customHeight="1">
      <c r="A1121" s="1" t="s">
        <v>1762</v>
      </c>
      <c r="B1121" s="1" t="str">
        <f ca="1">IFERROR(__xludf.DUMMYFUNCTION("GOOGLETRANSLATE(A1121, ""en"", ""fr"")"),"Naissance n ° 1")</f>
        <v>Naissance n ° 1</v>
      </c>
      <c r="C1121" s="1" t="s">
        <v>185</v>
      </c>
      <c r="BU1121" s="1" t="s">
        <v>69</v>
      </c>
      <c r="EZ1121" s="1" t="s">
        <v>152</v>
      </c>
      <c r="FC1121" s="1" t="s">
        <v>155</v>
      </c>
      <c r="GD1121" s="1" t="s">
        <v>193</v>
      </c>
      <c r="GE1121" s="1" t="s">
        <v>1763</v>
      </c>
    </row>
    <row r="1122" spans="1:187" ht="11.25" customHeight="1">
      <c r="A1122" s="1" t="s">
        <v>1764</v>
      </c>
      <c r="B1122" s="1" t="str">
        <f ca="1">IFERROR(__xludf.DUMMYFUNCTION("GOOGLETRANSLATE(A1122, ""en"", ""fr"")"),"Naissance n ° 2")</f>
        <v>Naissance n ° 2</v>
      </c>
      <c r="C1122" s="1" t="s">
        <v>185</v>
      </c>
      <c r="BU1122" s="1" t="s">
        <v>69</v>
      </c>
      <c r="DO1122" s="1" t="s">
        <v>115</v>
      </c>
      <c r="EZ1122" s="1" t="s">
        <v>152</v>
      </c>
      <c r="FC1122" s="1" t="s">
        <v>155</v>
      </c>
      <c r="GD1122" s="1" t="s">
        <v>189</v>
      </c>
      <c r="GE1122" s="1" t="s">
        <v>1765</v>
      </c>
    </row>
    <row r="1123" spans="1:187" ht="11.25" customHeight="1">
      <c r="A1123" s="1" t="s">
        <v>1766</v>
      </c>
      <c r="B1123" s="1" t="str">
        <f ca="1">IFERROR(__xludf.DUMMYFUNCTION("GOOGLETRANSLATE(A1123, ""en"", ""fr"")"),"ANNIVERSAIRE")</f>
        <v>ANNIVERSAIRE</v>
      </c>
      <c r="C1123" s="1" t="s">
        <v>185</v>
      </c>
      <c r="AM1123" s="1" t="s">
        <v>35</v>
      </c>
      <c r="CZ1123" s="1" t="s">
        <v>100</v>
      </c>
      <c r="EM1123" s="1" t="s">
        <v>139</v>
      </c>
      <c r="EN1123" s="1" t="s">
        <v>140</v>
      </c>
      <c r="GD1123" s="1" t="s">
        <v>193</v>
      </c>
      <c r="GE1123" s="1" t="s">
        <v>190</v>
      </c>
    </row>
    <row r="1124" spans="1:187" ht="11.25" customHeight="1">
      <c r="A1124" s="1" t="s">
        <v>1767</v>
      </c>
      <c r="B1124" s="1" t="str">
        <f ca="1">IFERROR(__xludf.DUMMYFUNCTION("GOOGLETRANSLATE(A1124, ""en"", ""fr"")"),"LIEU DE NAISSANCE")</f>
        <v>LIEU DE NAISSANCE</v>
      </c>
      <c r="C1124" s="1" t="s">
        <v>185</v>
      </c>
      <c r="AV1124" s="1" t="s">
        <v>44</v>
      </c>
      <c r="AW1124" s="1" t="s">
        <v>45</v>
      </c>
      <c r="EM1124" s="1" t="s">
        <v>139</v>
      </c>
      <c r="EN1124" s="1" t="s">
        <v>140</v>
      </c>
      <c r="GD1124" s="1" t="s">
        <v>193</v>
      </c>
      <c r="GE1124" s="1" t="s">
        <v>190</v>
      </c>
    </row>
    <row r="1125" spans="1:187" ht="11.25" customHeight="1">
      <c r="A1125" s="1" t="s">
        <v>1768</v>
      </c>
      <c r="B1125" s="1" t="str">
        <f ca="1">IFERROR(__xludf.DUMMYFUNCTION("GOOGLETRANSLATE(A1125, ""en"", ""fr"")"),"ÉVÊQUE")</f>
        <v>ÉVÊQUE</v>
      </c>
      <c r="C1125" s="1" t="s">
        <v>185</v>
      </c>
      <c r="K1125" s="1" t="s">
        <v>7</v>
      </c>
      <c r="AI1125" s="1" t="s">
        <v>31</v>
      </c>
      <c r="AJ1125" s="1" t="s">
        <v>32</v>
      </c>
      <c r="AT1125" s="1" t="s">
        <v>42</v>
      </c>
      <c r="EF1125" s="1" t="s">
        <v>132</v>
      </c>
      <c r="EJ1125" s="1" t="s">
        <v>136</v>
      </c>
      <c r="GD1125" s="1" t="s">
        <v>193</v>
      </c>
      <c r="GE1125" s="1" t="s">
        <v>190</v>
      </c>
    </row>
    <row r="1126" spans="1:187" ht="11.25" customHeight="1">
      <c r="A1126" s="1" t="s">
        <v>1769</v>
      </c>
      <c r="B1126" s="1" t="str">
        <f ca="1">IFERROR(__xludf.DUMMYFUNCTION("GOOGLETRANSLATE(A1126, ""en"", ""fr"")"),"Bit # 1")</f>
        <v>Bit # 1</v>
      </c>
      <c r="C1126" s="1" t="s">
        <v>185</v>
      </c>
      <c r="L1126" s="1" t="s">
        <v>8</v>
      </c>
      <c r="X1126" s="1" t="s">
        <v>20</v>
      </c>
      <c r="CS1126" s="1" t="s">
        <v>93</v>
      </c>
      <c r="GD1126" s="1" t="s">
        <v>849</v>
      </c>
      <c r="GE1126" s="1" t="s">
        <v>1770</v>
      </c>
    </row>
    <row r="1127" spans="1:187" ht="11.25" customHeight="1">
      <c r="A1127" s="1" t="s">
        <v>1771</v>
      </c>
      <c r="B1127" s="1" t="str">
        <f ca="1">IFERROR(__xludf.DUMMYFUNCTION("GOOGLETRANSLATE(A1127, ""en"", ""fr"")"),"Bit # 2")</f>
        <v>Bit # 2</v>
      </c>
      <c r="C1127" s="1" t="s">
        <v>185</v>
      </c>
      <c r="E1127" s="1" t="s">
        <v>16613</v>
      </c>
      <c r="H1127" s="1" t="s">
        <v>4</v>
      </c>
      <c r="I1127" s="1" t="s">
        <v>5</v>
      </c>
      <c r="N1127" s="1" t="s">
        <v>10</v>
      </c>
      <c r="AN1127" s="1" t="s">
        <v>36</v>
      </c>
      <c r="DN1127" s="1" t="s">
        <v>114</v>
      </c>
      <c r="GD1127" s="1" t="s">
        <v>1076</v>
      </c>
      <c r="GE1127" s="1" t="s">
        <v>1772</v>
      </c>
    </row>
    <row r="1128" spans="1:187" ht="11.25" customHeight="1">
      <c r="A1128" s="1" t="s">
        <v>1773</v>
      </c>
      <c r="B1128" s="1" t="str">
        <f ca="1">IFERROR(__xludf.DUMMYFUNCTION("GOOGLETRANSLATE(A1128, ""en"", ""fr"")"),"VACHE")</f>
        <v>VACHE</v>
      </c>
      <c r="C1128" s="1" t="s">
        <v>192</v>
      </c>
      <c r="E1128" s="1" t="s">
        <v>16613</v>
      </c>
      <c r="I1128" s="1" t="s">
        <v>5</v>
      </c>
      <c r="S1128" s="1" t="s">
        <v>15</v>
      </c>
      <c r="AN1128" s="1" t="s">
        <v>36</v>
      </c>
      <c r="DR1128" s="1" t="s">
        <v>118</v>
      </c>
      <c r="GD1128" s="1" t="s">
        <v>202</v>
      </c>
      <c r="GE1128" s="1" t="s">
        <v>190</v>
      </c>
    </row>
    <row r="1129" spans="1:187" ht="11.25" customHeight="1">
      <c r="A1129" s="1" t="s">
        <v>1774</v>
      </c>
      <c r="B1129" s="1" t="str">
        <f ca="1">IFERROR(__xludf.DUMMYFUNCTION("GOOGLETRANSLATE(A1129, ""en"", ""fr"")"),"Morsure n ° 1")</f>
        <v>Morsure n ° 1</v>
      </c>
      <c r="C1129" s="1" t="s">
        <v>185</v>
      </c>
      <c r="E1129" s="1" t="s">
        <v>16613</v>
      </c>
      <c r="H1129" s="1" t="s">
        <v>4</v>
      </c>
      <c r="I1129" s="1" t="s">
        <v>5</v>
      </c>
      <c r="N1129" s="1" t="s">
        <v>10</v>
      </c>
      <c r="BU1129" s="1" t="s">
        <v>69</v>
      </c>
      <c r="GD1129" s="1" t="s">
        <v>193</v>
      </c>
      <c r="GE1129" s="1" t="s">
        <v>1775</v>
      </c>
    </row>
    <row r="1130" spans="1:187" ht="11.25" customHeight="1">
      <c r="A1130" s="1" t="s">
        <v>1776</v>
      </c>
      <c r="B1130" s="1" t="str">
        <f ca="1">IFERROR(__xludf.DUMMYFUNCTION("GOOGLETRANSLATE(A1130, ""en"", ""fr"")"),"Morsure n ° 2")</f>
        <v>Morsure n ° 2</v>
      </c>
      <c r="C1130" s="1" t="s">
        <v>185</v>
      </c>
      <c r="E1130" s="1" t="s">
        <v>16613</v>
      </c>
      <c r="H1130" s="1" t="s">
        <v>4</v>
      </c>
      <c r="I1130" s="1" t="s">
        <v>5</v>
      </c>
      <c r="N1130" s="1" t="s">
        <v>10</v>
      </c>
      <c r="AN1130" s="1" t="s">
        <v>36</v>
      </c>
      <c r="DN1130" s="1" t="s">
        <v>114</v>
      </c>
      <c r="GD1130" s="1" t="s">
        <v>189</v>
      </c>
      <c r="GE1130" s="1" t="s">
        <v>1777</v>
      </c>
    </row>
    <row r="1131" spans="1:187" ht="11.25" customHeight="1">
      <c r="A1131" s="1" t="s">
        <v>1778</v>
      </c>
      <c r="B1131" s="1" t="str">
        <f ca="1">IFERROR(__xludf.DUMMYFUNCTION("GOOGLETRANSLATE(A1131, ""en"", ""fr"")"),"Morsure n ° 3")</f>
        <v>Morsure n ° 3</v>
      </c>
      <c r="C1131" s="1" t="s">
        <v>185</v>
      </c>
      <c r="E1131" s="1" t="s">
        <v>16613</v>
      </c>
      <c r="H1131" s="1" t="s">
        <v>4</v>
      </c>
      <c r="I1131" s="1" t="s">
        <v>5</v>
      </c>
      <c r="S1131" s="1" t="s">
        <v>15</v>
      </c>
      <c r="GD1131" s="1" t="s">
        <v>202</v>
      </c>
      <c r="GE1131" s="1" t="s">
        <v>1779</v>
      </c>
    </row>
    <row r="1132" spans="1:187" ht="11.25" customHeight="1">
      <c r="A1132" s="1" t="s">
        <v>1780</v>
      </c>
      <c r="B1132" s="1" t="str">
        <f ca="1">IFERROR(__xludf.DUMMYFUNCTION("GOOGLETRANSLATE(A1132, ""en"", ""fr"")"),"Mordu # 1")</f>
        <v>Mordu # 1</v>
      </c>
      <c r="C1132" s="1" t="s">
        <v>192</v>
      </c>
      <c r="GD1132" s="1" t="s">
        <v>1085</v>
      </c>
      <c r="GE1132" s="1" t="s">
        <v>190</v>
      </c>
    </row>
    <row r="1133" spans="1:187" ht="11.25" customHeight="1">
      <c r="A1133" s="1" t="s">
        <v>1781</v>
      </c>
      <c r="B1133" s="1" t="str">
        <f ca="1">IFERROR(__xludf.DUMMYFUNCTION("GOOGLETRANSLATE(A1133, ""en"", ""fr"")"),"AMER")</f>
        <v>AMER</v>
      </c>
      <c r="C1133" s="1" t="s">
        <v>185</v>
      </c>
      <c r="E1133" s="1" t="s">
        <v>16613</v>
      </c>
      <c r="H1133" s="1" t="s">
        <v>4</v>
      </c>
      <c r="I1133" s="1" t="s">
        <v>5</v>
      </c>
      <c r="O1133" s="1" t="s">
        <v>11</v>
      </c>
      <c r="Q1133" s="1" t="s">
        <v>13</v>
      </c>
      <c r="T1133" s="1" t="s">
        <v>16</v>
      </c>
      <c r="CN1133" s="1" t="s">
        <v>88</v>
      </c>
      <c r="FA1133" s="1" t="s">
        <v>153</v>
      </c>
      <c r="FC1133" s="1" t="s">
        <v>155</v>
      </c>
      <c r="GD1133" s="1" t="s">
        <v>202</v>
      </c>
      <c r="GE1133" s="1" t="s">
        <v>190</v>
      </c>
    </row>
    <row r="1134" spans="1:187" ht="11.25" customHeight="1">
      <c r="A1134" s="1" t="s">
        <v>1782</v>
      </c>
      <c r="B1134" s="1" t="str">
        <f ca="1">IFERROR(__xludf.DUMMYFUNCTION("GOOGLETRANSLATE(A1134, ""en"", ""fr"")"),"AMERTUME")</f>
        <v>AMERTUME</v>
      </c>
      <c r="C1134" s="1" t="s">
        <v>185</v>
      </c>
      <c r="E1134" s="1" t="s">
        <v>16613</v>
      </c>
      <c r="H1134" s="1" t="s">
        <v>4</v>
      </c>
      <c r="O1134" s="1" t="s">
        <v>11</v>
      </c>
      <c r="Q1134" s="1" t="s">
        <v>13</v>
      </c>
      <c r="T1134" s="1" t="s">
        <v>16</v>
      </c>
      <c r="FA1134" s="1" t="s">
        <v>153</v>
      </c>
      <c r="FC1134" s="1" t="s">
        <v>155</v>
      </c>
      <c r="GD1134" s="1" t="s">
        <v>193</v>
      </c>
      <c r="GE1134" s="1" t="s">
        <v>190</v>
      </c>
    </row>
    <row r="1135" spans="1:187" ht="11.25" customHeight="1">
      <c r="A1135" s="1" t="s">
        <v>1783</v>
      </c>
      <c r="B1135" s="1" t="str">
        <f ca="1">IFERROR(__xludf.DUMMYFUNCTION("GOOGLETRANSLATE(A1135, ""en"", ""fr"")"),"BITUMINEUX")</f>
        <v>BITUMINEUX</v>
      </c>
      <c r="C1135" s="1" t="s">
        <v>196</v>
      </c>
      <c r="GD1135" s="1" t="s">
        <v>202</v>
      </c>
    </row>
    <row r="1136" spans="1:187" ht="11.25" customHeight="1">
      <c r="A1136" s="1" t="s">
        <v>1784</v>
      </c>
      <c r="B1136" s="1" t="str">
        <f ca="1">IFERROR(__xludf.DUMMYFUNCTION("GOOGLETRANSLATE(A1136, ""en"", ""fr"")"),"BIZARRE")</f>
        <v>BIZARRE</v>
      </c>
      <c r="C1136" s="1" t="s">
        <v>192</v>
      </c>
      <c r="E1136" s="1" t="s">
        <v>16613</v>
      </c>
      <c r="V1136" s="1" t="s">
        <v>18</v>
      </c>
      <c r="DR1136" s="1" t="s">
        <v>118</v>
      </c>
      <c r="GD1136" s="1" t="s">
        <v>202</v>
      </c>
      <c r="GE1136" s="1" t="s">
        <v>190</v>
      </c>
    </row>
    <row r="1137" spans="1:187" ht="11.25" customHeight="1">
      <c r="A1137" s="1" t="s">
        <v>1785</v>
      </c>
      <c r="B1137" s="1" t="str">
        <f ca="1">IFERROR(__xludf.DUMMYFUNCTION("GOOGLETRANSLATE(A1137, ""en"", ""fr"")"),"Noir # 1")</f>
        <v>Noir # 1</v>
      </c>
      <c r="C1137" s="1" t="s">
        <v>185</v>
      </c>
      <c r="DE1137" s="1" t="s">
        <v>105</v>
      </c>
      <c r="GD1137" s="1" t="s">
        <v>202</v>
      </c>
      <c r="GE1137" s="1" t="s">
        <v>1786</v>
      </c>
    </row>
    <row r="1138" spans="1:187" ht="11.25" customHeight="1">
      <c r="A1138" s="1" t="s">
        <v>1787</v>
      </c>
      <c r="B1138" s="1" t="str">
        <f ca="1">IFERROR(__xludf.DUMMYFUNCTION("GOOGLETRANSLATE(A1138, ""en"", ""fr"")"),"Noir # 2")</f>
        <v>Noir # 2</v>
      </c>
      <c r="C1138" s="1" t="s">
        <v>185</v>
      </c>
      <c r="AH1138" s="1" t="s">
        <v>30</v>
      </c>
      <c r="AJ1138" s="1" t="s">
        <v>32</v>
      </c>
      <c r="AO1138" s="1" t="s">
        <v>37</v>
      </c>
      <c r="AT1138" s="1" t="s">
        <v>42</v>
      </c>
      <c r="DZ1138" s="1" t="s">
        <v>126</v>
      </c>
      <c r="ED1138" s="1" t="s">
        <v>130</v>
      </c>
      <c r="GD1138" s="1" t="s">
        <v>193</v>
      </c>
      <c r="GE1138" s="1" t="s">
        <v>1788</v>
      </c>
    </row>
    <row r="1139" spans="1:187" ht="11.25" customHeight="1">
      <c r="A1139" s="1" t="s">
        <v>1789</v>
      </c>
      <c r="B1139" s="1" t="str">
        <f ca="1">IFERROR(__xludf.DUMMYFUNCTION("GOOGLETRANSLATE(A1139, ""en"", ""fr"")"),"Noir # 3")</f>
        <v>Noir # 3</v>
      </c>
      <c r="C1139" s="1" t="s">
        <v>185</v>
      </c>
      <c r="BU1139" s="1" t="s">
        <v>69</v>
      </c>
      <c r="DN1139" s="1" t="s">
        <v>114</v>
      </c>
      <c r="EY1139" s="1" t="s">
        <v>151</v>
      </c>
      <c r="FC1139" s="1" t="s">
        <v>155</v>
      </c>
      <c r="GD1139" s="1" t="s">
        <v>189</v>
      </c>
      <c r="GE1139" s="1" t="s">
        <v>1790</v>
      </c>
    </row>
    <row r="1140" spans="1:187" ht="11.25" customHeight="1">
      <c r="A1140" s="1" t="s">
        <v>1791</v>
      </c>
      <c r="B1140" s="1" t="str">
        <f ca="1">IFERROR(__xludf.DUMMYFUNCTION("GOOGLETRANSLATE(A1140, ""en"", ""fr"")"),"Noir # 4")</f>
        <v>Noir # 4</v>
      </c>
      <c r="C1140" s="1" t="s">
        <v>185</v>
      </c>
      <c r="GD1140" s="1" t="s">
        <v>225</v>
      </c>
      <c r="GE1140" s="1" t="s">
        <v>1792</v>
      </c>
    </row>
    <row r="1141" spans="1:187" ht="11.25" customHeight="1">
      <c r="A1141" s="1" t="s">
        <v>1793</v>
      </c>
      <c r="B1141" s="1" t="str">
        <f ca="1">IFERROR(__xludf.DUMMYFUNCTION("GOOGLETRANSLATE(A1141, ""en"", ""fr"")"),"CHANTAGE")</f>
        <v>CHANTAGE</v>
      </c>
      <c r="C1141" s="1" t="s">
        <v>192</v>
      </c>
      <c r="E1141" s="1" t="s">
        <v>16613</v>
      </c>
      <c r="K1141" s="1" t="s">
        <v>7</v>
      </c>
      <c r="N1141" s="1" t="s">
        <v>10</v>
      </c>
      <c r="AA1141" s="1" t="s">
        <v>23</v>
      </c>
      <c r="AN1141" s="1" t="s">
        <v>36</v>
      </c>
      <c r="DN1141" s="1" t="s">
        <v>114</v>
      </c>
      <c r="GD1141" s="1" t="s">
        <v>670</v>
      </c>
      <c r="GE1141" s="1" t="s">
        <v>190</v>
      </c>
    </row>
    <row r="1142" spans="1:187" ht="11.25" customHeight="1">
      <c r="A1142" s="1" t="s">
        <v>1794</v>
      </c>
      <c r="B1142" s="1" t="str">
        <f ca="1">IFERROR(__xludf.DUMMYFUNCTION("GOOGLETRANSLATE(A1142, ""en"", ""fr"")"),"LAME")</f>
        <v>LAME</v>
      </c>
      <c r="C1142" s="1" t="s">
        <v>185</v>
      </c>
      <c r="BC1142" s="1" t="s">
        <v>51</v>
      </c>
      <c r="BD1142" s="1" t="s">
        <v>52</v>
      </c>
      <c r="GD1142" s="1" t="s">
        <v>193</v>
      </c>
      <c r="GE1142" s="1" t="s">
        <v>190</v>
      </c>
    </row>
    <row r="1143" spans="1:187" ht="11.25" customHeight="1">
      <c r="A1143" s="1" t="s">
        <v>1795</v>
      </c>
      <c r="B1143" s="1" t="str">
        <f ca="1">IFERROR(__xludf.DUMMYFUNCTION("GOOGLETRANSLATE(A1143, ""en"", ""fr"")"),"BLABLA")</f>
        <v>BLABLA</v>
      </c>
      <c r="C1143" s="1" t="s">
        <v>192</v>
      </c>
      <c r="E1143" s="1" t="s">
        <v>16613</v>
      </c>
      <c r="DM1143" s="1" t="s">
        <v>113</v>
      </c>
      <c r="GE1143" s="1" t="s">
        <v>190</v>
      </c>
    </row>
    <row r="1144" spans="1:187" ht="11.25" customHeight="1">
      <c r="A1144" s="1" t="s">
        <v>1796</v>
      </c>
      <c r="B1144" s="1" t="str">
        <f ca="1">IFERROR(__xludf.DUMMYFUNCTION("GOOGLETRANSLATE(A1144, ""en"", ""fr"")"),"Blâme # 1")</f>
        <v>Blâme # 1</v>
      </c>
      <c r="C1144" s="1" t="s">
        <v>185</v>
      </c>
      <c r="E1144" s="1" t="s">
        <v>16613</v>
      </c>
      <c r="H1144" s="1" t="s">
        <v>4</v>
      </c>
      <c r="I1144" s="1" t="s">
        <v>5</v>
      </c>
      <c r="V1144" s="1" t="s">
        <v>18</v>
      </c>
      <c r="EG1144" s="1" t="s">
        <v>133</v>
      </c>
      <c r="EJ1144" s="1" t="s">
        <v>136</v>
      </c>
      <c r="GD1144" s="1" t="s">
        <v>193</v>
      </c>
      <c r="GE1144" s="1" t="s">
        <v>1797</v>
      </c>
    </row>
    <row r="1145" spans="1:187" ht="11.25" customHeight="1">
      <c r="A1145" s="1" t="s">
        <v>1798</v>
      </c>
      <c r="B1145" s="1" t="str">
        <f ca="1">IFERROR(__xludf.DUMMYFUNCTION("GOOGLETRANSLATE(A1145, ""en"", ""fr"")"),"Blâme n ° 2")</f>
        <v>Blâme n ° 2</v>
      </c>
      <c r="C1145" s="1" t="s">
        <v>185</v>
      </c>
      <c r="E1145" s="1" t="s">
        <v>16613</v>
      </c>
      <c r="H1145" s="1" t="s">
        <v>4</v>
      </c>
      <c r="I1145" s="1" t="s">
        <v>5</v>
      </c>
      <c r="AN1145" s="1" t="s">
        <v>36</v>
      </c>
      <c r="DN1145" s="1" t="s">
        <v>114</v>
      </c>
      <c r="EG1145" s="1" t="s">
        <v>133</v>
      </c>
      <c r="EJ1145" s="1" t="s">
        <v>136</v>
      </c>
      <c r="GD1145" s="1" t="s">
        <v>189</v>
      </c>
      <c r="GE1145" s="1" t="s">
        <v>1799</v>
      </c>
    </row>
    <row r="1146" spans="1:187" ht="11.25" customHeight="1">
      <c r="A1146" s="1" t="s">
        <v>1800</v>
      </c>
      <c r="B1146" s="1" t="str">
        <f ca="1">IFERROR(__xludf.DUMMYFUNCTION("GOOGLETRANSLATE(A1146, ""en"", ""fr"")"),"IRRÉPROCHABLE")</f>
        <v>IRRÉPROCHABLE</v>
      </c>
      <c r="C1146" s="1" t="s">
        <v>192</v>
      </c>
      <c r="D1146" s="1" t="s">
        <v>16612</v>
      </c>
      <c r="U1146" s="1" t="s">
        <v>17</v>
      </c>
      <c r="AE1146" s="1" t="s">
        <v>27</v>
      </c>
      <c r="CM1146" s="1" t="s">
        <v>87</v>
      </c>
      <c r="DR1146" s="1" t="s">
        <v>118</v>
      </c>
      <c r="GD1146" s="1" t="s">
        <v>202</v>
      </c>
      <c r="GE1146" s="1" t="s">
        <v>190</v>
      </c>
    </row>
    <row r="1147" spans="1:187" ht="11.25" customHeight="1">
      <c r="A1147" s="1" t="s">
        <v>1801</v>
      </c>
      <c r="B1147" s="1" t="str">
        <f ca="1">IFERROR(__xludf.DUMMYFUNCTION("GOOGLETRANSLATE(A1147, ""en"", ""fr"")"),"FADE")</f>
        <v>FADE</v>
      </c>
      <c r="C1147" s="1" t="s">
        <v>192</v>
      </c>
      <c r="E1147" s="1" t="s">
        <v>16613</v>
      </c>
      <c r="L1147" s="1" t="s">
        <v>8</v>
      </c>
      <c r="DR1147" s="1" t="s">
        <v>118</v>
      </c>
      <c r="GD1147" s="1" t="s">
        <v>202</v>
      </c>
      <c r="GE1147" s="1" t="s">
        <v>190</v>
      </c>
    </row>
    <row r="1148" spans="1:187" ht="11.25" customHeight="1">
      <c r="A1148" s="1" t="s">
        <v>1802</v>
      </c>
      <c r="B1148" s="1" t="str">
        <f ca="1">IFERROR(__xludf.DUMMYFUNCTION("GOOGLETRANSLATE(A1148, ""en"", ""fr"")"),"COUVERTURE")</f>
        <v>COUVERTURE</v>
      </c>
      <c r="C1148" s="1" t="s">
        <v>185</v>
      </c>
      <c r="BC1148" s="1" t="s">
        <v>51</v>
      </c>
      <c r="BD1148" s="1" t="s">
        <v>52</v>
      </c>
      <c r="GD1148" s="1" t="s">
        <v>193</v>
      </c>
      <c r="GE1148" s="1" t="s">
        <v>1803</v>
      </c>
    </row>
    <row r="1149" spans="1:187" ht="11.25" customHeight="1">
      <c r="A1149" s="1" t="s">
        <v>1804</v>
      </c>
      <c r="B1149" s="1" t="str">
        <f ca="1">IFERROR(__xludf.DUMMYFUNCTION("GOOGLETRANSLATE(A1149, ""en"", ""fr"")"),"Blast # 1")</f>
        <v>Blast # 1</v>
      </c>
      <c r="C1149" s="1" t="s">
        <v>185</v>
      </c>
      <c r="E1149" s="1" t="s">
        <v>16613</v>
      </c>
      <c r="H1149" s="1" t="s">
        <v>4</v>
      </c>
      <c r="J1149" s="1" t="s">
        <v>6</v>
      </c>
      <c r="N1149" s="1" t="s">
        <v>10</v>
      </c>
      <c r="BU1149" s="1" t="s">
        <v>69</v>
      </c>
      <c r="EC1149" s="1" t="s">
        <v>129</v>
      </c>
      <c r="ED1149" s="1" t="s">
        <v>130</v>
      </c>
      <c r="GD1149" s="1" t="s">
        <v>193</v>
      </c>
      <c r="GE1149" s="1" t="s">
        <v>190</v>
      </c>
    </row>
    <row r="1150" spans="1:187" ht="11.25" customHeight="1">
      <c r="A1150" s="1" t="s">
        <v>1805</v>
      </c>
      <c r="B1150" s="1" t="str">
        <f ca="1">IFERROR(__xludf.DUMMYFUNCTION("GOOGLETRANSLATE(A1150, ""en"", ""fr"")"),"Explosion n ° 2")</f>
        <v>Explosion n ° 2</v>
      </c>
      <c r="C1150" s="1" t="s">
        <v>185</v>
      </c>
      <c r="E1150" s="1" t="s">
        <v>16613</v>
      </c>
      <c r="H1150" s="1" t="s">
        <v>4</v>
      </c>
      <c r="J1150" s="1" t="s">
        <v>6</v>
      </c>
      <c r="N1150" s="1" t="s">
        <v>10</v>
      </c>
      <c r="CB1150" s="1" t="s">
        <v>76</v>
      </c>
      <c r="DN1150" s="1" t="s">
        <v>114</v>
      </c>
      <c r="EC1150" s="1" t="s">
        <v>129</v>
      </c>
      <c r="ED1150" s="1" t="s">
        <v>130</v>
      </c>
      <c r="GD1150" s="1" t="s">
        <v>189</v>
      </c>
      <c r="GE1150" s="1" t="s">
        <v>190</v>
      </c>
    </row>
    <row r="1151" spans="1:187" ht="11.25" customHeight="1">
      <c r="A1151" s="1" t="s">
        <v>1806</v>
      </c>
      <c r="B1151" s="1" t="str">
        <f ca="1">IFERROR(__xludf.DUMMYFUNCTION("GOOGLETRANSLATE(A1151, ""en"", ""fr"")"),"FLAGRANT")</f>
        <v>FLAGRANT</v>
      </c>
      <c r="C1151" s="1" t="s">
        <v>192</v>
      </c>
      <c r="E1151" s="1" t="s">
        <v>16613</v>
      </c>
      <c r="J1151" s="1" t="s">
        <v>6</v>
      </c>
      <c r="W1151" s="1" t="s">
        <v>19</v>
      </c>
      <c r="DR1151" s="1" t="s">
        <v>118</v>
      </c>
      <c r="GD1151" s="1" t="s">
        <v>202</v>
      </c>
      <c r="GE1151" s="1" t="s">
        <v>190</v>
      </c>
    </row>
    <row r="1152" spans="1:187" ht="11.25" customHeight="1">
      <c r="A1152" s="1" t="s">
        <v>1807</v>
      </c>
      <c r="B1152" s="1" t="str">
        <f ca="1">IFERROR(__xludf.DUMMYFUNCTION("GOOGLETRANSLATE(A1152, ""en"", ""fr"")"),"SOMBRE")</f>
        <v>SOMBRE</v>
      </c>
      <c r="C1152" s="1" t="s">
        <v>185</v>
      </c>
      <c r="E1152" s="1" t="s">
        <v>16613</v>
      </c>
      <c r="H1152" s="1" t="s">
        <v>4</v>
      </c>
      <c r="V1152" s="1" t="s">
        <v>18</v>
      </c>
      <c r="FW1152" s="1" t="s">
        <v>175</v>
      </c>
      <c r="GD1152" s="1" t="s">
        <v>202</v>
      </c>
      <c r="GE1152" s="1" t="s">
        <v>190</v>
      </c>
    </row>
    <row r="1153" spans="1:187" ht="11.25" customHeight="1">
      <c r="A1153" s="1" t="s">
        <v>1808</v>
      </c>
      <c r="B1153" s="1" t="str">
        <f ca="1">IFERROR(__xludf.DUMMYFUNCTION("GOOGLETRANSLATE(A1153, ""en"", ""fr"")"),"Saigner n ° 1")</f>
        <v>Saigner n ° 1</v>
      </c>
      <c r="C1153" s="1" t="s">
        <v>185</v>
      </c>
      <c r="L1153" s="1" t="s">
        <v>8</v>
      </c>
      <c r="O1153" s="1" t="s">
        <v>11</v>
      </c>
      <c r="BU1153" s="1" t="s">
        <v>69</v>
      </c>
      <c r="EZ1153" s="1" t="s">
        <v>152</v>
      </c>
      <c r="FC1153" s="1" t="s">
        <v>155</v>
      </c>
      <c r="GD1153" s="1" t="s">
        <v>202</v>
      </c>
      <c r="GE1153" s="1" t="s">
        <v>190</v>
      </c>
    </row>
    <row r="1154" spans="1:187" ht="11.25" customHeight="1">
      <c r="A1154" s="1" t="s">
        <v>1809</v>
      </c>
      <c r="B1154" s="1" t="str">
        <f ca="1">IFERROR(__xludf.DUMMYFUNCTION("GOOGLETRANSLATE(A1154, ""en"", ""fr"")"),"Saigner n ° 2")</f>
        <v>Saigner n ° 2</v>
      </c>
      <c r="C1154" s="1" t="s">
        <v>185</v>
      </c>
      <c r="L1154" s="1" t="s">
        <v>8</v>
      </c>
      <c r="O1154" s="1" t="s">
        <v>11</v>
      </c>
      <c r="BU1154" s="1" t="s">
        <v>69</v>
      </c>
      <c r="DO1154" s="1" t="s">
        <v>115</v>
      </c>
      <c r="EZ1154" s="1" t="s">
        <v>152</v>
      </c>
      <c r="FC1154" s="1" t="s">
        <v>155</v>
      </c>
      <c r="GD1154" s="1" t="s">
        <v>189</v>
      </c>
      <c r="GE1154" s="1" t="s">
        <v>190</v>
      </c>
    </row>
    <row r="1155" spans="1:187" ht="11.25" customHeight="1">
      <c r="A1155" s="1" t="s">
        <v>1810</v>
      </c>
      <c r="B1155" s="1" t="str">
        <f ca="1">IFERROR(__xludf.DUMMYFUNCTION("GOOGLETRANSLATE(A1155, ""en"", ""fr"")"),"DÉFAUT")</f>
        <v>DÉFAUT</v>
      </c>
      <c r="C1155" s="1" t="s">
        <v>192</v>
      </c>
      <c r="E1155" s="1" t="s">
        <v>16613</v>
      </c>
      <c r="L1155" s="1" t="s">
        <v>8</v>
      </c>
      <c r="V1155" s="1" t="s">
        <v>18</v>
      </c>
      <c r="GD1155" s="1" t="s">
        <v>193</v>
      </c>
      <c r="GE1155" s="1" t="s">
        <v>190</v>
      </c>
    </row>
    <row r="1156" spans="1:187" ht="11.25" customHeight="1">
      <c r="A1156" s="1" t="s">
        <v>1811</v>
      </c>
      <c r="B1156" s="1" t="str">
        <f ca="1">IFERROR(__xludf.DUMMYFUNCTION("GOOGLETRANSLATE(A1156, ""en"", ""fr"")"),"Bless")</f>
        <v>Bless</v>
      </c>
      <c r="C1156" s="1" t="s">
        <v>185</v>
      </c>
      <c r="D1156" s="1" t="s">
        <v>16612</v>
      </c>
      <c r="F1156" s="1" t="s">
        <v>2</v>
      </c>
      <c r="G1156" s="1" t="s">
        <v>3</v>
      </c>
      <c r="O1156" s="1" t="s">
        <v>11</v>
      </c>
      <c r="AI1156" s="1" t="s">
        <v>31</v>
      </c>
      <c r="AN1156" s="1" t="s">
        <v>36</v>
      </c>
      <c r="DN1156" s="1" t="s">
        <v>114</v>
      </c>
      <c r="EI1156" s="1" t="s">
        <v>135</v>
      </c>
      <c r="EJ1156" s="1" t="s">
        <v>136</v>
      </c>
      <c r="GD1156" s="1" t="s">
        <v>189</v>
      </c>
      <c r="GE1156" s="1" t="s">
        <v>1812</v>
      </c>
    </row>
    <row r="1157" spans="1:187" ht="11.25" customHeight="1">
      <c r="A1157" s="1" t="s">
        <v>1813</v>
      </c>
      <c r="B1157" s="1" t="str">
        <f ca="1">IFERROR(__xludf.DUMMYFUNCTION("GOOGLETRANSLATE(A1157, ""en"", ""fr"")"),"Bless # 2")</f>
        <v>Bless # 2</v>
      </c>
      <c r="C1157" s="1" t="s">
        <v>185</v>
      </c>
      <c r="D1157" s="1" t="s">
        <v>16612</v>
      </c>
      <c r="F1157" s="1" t="s">
        <v>2</v>
      </c>
      <c r="AI1157" s="1" t="s">
        <v>31</v>
      </c>
      <c r="BK1157" s="1" t="s">
        <v>59</v>
      </c>
      <c r="EI1157" s="1" t="s">
        <v>135</v>
      </c>
      <c r="EJ1157" s="1" t="s">
        <v>136</v>
      </c>
      <c r="GC1157" s="1" t="s">
        <v>181</v>
      </c>
      <c r="GD1157" s="1" t="s">
        <v>193</v>
      </c>
      <c r="GE1157" s="1" t="s">
        <v>1814</v>
      </c>
    </row>
    <row r="1158" spans="1:187" ht="11.25" customHeight="1">
      <c r="A1158" s="1" t="s">
        <v>1815</v>
      </c>
      <c r="B1158" s="1" t="str">
        <f ca="1">IFERROR(__xludf.DUMMYFUNCTION("GOOGLETRANSLATE(A1158, ""en"", ""fr"")"),"Bless # 3")</f>
        <v>Bless # 3</v>
      </c>
      <c r="C1158" s="1" t="s">
        <v>185</v>
      </c>
      <c r="D1158" s="1" t="s">
        <v>16612</v>
      </c>
      <c r="F1158" s="1" t="s">
        <v>2</v>
      </c>
      <c r="U1158" s="1" t="s">
        <v>17</v>
      </c>
      <c r="AI1158" s="1" t="s">
        <v>31</v>
      </c>
      <c r="EI1158" s="1" t="s">
        <v>135</v>
      </c>
      <c r="EJ1158" s="1" t="s">
        <v>136</v>
      </c>
      <c r="GD1158" s="1" t="s">
        <v>202</v>
      </c>
      <c r="GE1158" s="1" t="s">
        <v>1816</v>
      </c>
    </row>
    <row r="1159" spans="1:187" ht="11.25" customHeight="1">
      <c r="A1159" s="1" t="s">
        <v>1817</v>
      </c>
      <c r="B1159" s="1" t="str">
        <f ca="1">IFERROR(__xludf.DUMMYFUNCTION("GOOGLETRANSLATE(A1159, ""en"", ""fr"")"),"Aveugle # 1")</f>
        <v>Aveugle # 1</v>
      </c>
      <c r="C1159" s="1" t="s">
        <v>185</v>
      </c>
      <c r="E1159" s="1" t="s">
        <v>16613</v>
      </c>
      <c r="H1159" s="1" t="s">
        <v>4</v>
      </c>
      <c r="L1159" s="1" t="s">
        <v>8</v>
      </c>
      <c r="AJ1159" s="1" t="s">
        <v>32</v>
      </c>
      <c r="AT1159" s="1" t="s">
        <v>42</v>
      </c>
      <c r="EZ1159" s="1" t="s">
        <v>152</v>
      </c>
      <c r="FC1159" s="1" t="s">
        <v>155</v>
      </c>
      <c r="GD1159" s="1" t="s">
        <v>193</v>
      </c>
      <c r="GE1159" s="1" t="s">
        <v>1818</v>
      </c>
    </row>
    <row r="1160" spans="1:187" ht="11.25" customHeight="1">
      <c r="A1160" s="1" t="s">
        <v>1819</v>
      </c>
      <c r="B1160" s="1" t="str">
        <f ca="1">IFERROR(__xludf.DUMMYFUNCTION("GOOGLETRANSLATE(A1160, ""en"", ""fr"")"),"Aveugle # 2")</f>
        <v>Aveugle # 2</v>
      </c>
      <c r="C1160" s="1" t="s">
        <v>185</v>
      </c>
      <c r="E1160" s="1" t="s">
        <v>16613</v>
      </c>
      <c r="H1160" s="1" t="s">
        <v>4</v>
      </c>
      <c r="I1160" s="1" t="s">
        <v>5</v>
      </c>
      <c r="AN1160" s="1" t="s">
        <v>36</v>
      </c>
      <c r="DN1160" s="1" t="s">
        <v>114</v>
      </c>
      <c r="EY1160" s="1" t="s">
        <v>151</v>
      </c>
      <c r="FC1160" s="1" t="s">
        <v>155</v>
      </c>
      <c r="GD1160" s="1" t="s">
        <v>189</v>
      </c>
      <c r="GE1160" s="1" t="s">
        <v>1820</v>
      </c>
    </row>
    <row r="1161" spans="1:187" ht="11.25" customHeight="1">
      <c r="A1161" s="1" t="s">
        <v>1821</v>
      </c>
      <c r="B1161" s="1" t="str">
        <f ca="1">IFERROR(__xludf.DUMMYFUNCTION("GOOGLETRANSLATE(A1161, ""en"", ""fr"")"),"Aveugle # 3")</f>
        <v>Aveugle # 3</v>
      </c>
      <c r="C1161" s="1" t="s">
        <v>185</v>
      </c>
      <c r="E1161" s="1" t="s">
        <v>16613</v>
      </c>
      <c r="H1161" s="1" t="s">
        <v>4</v>
      </c>
      <c r="L1161" s="1" t="s">
        <v>8</v>
      </c>
      <c r="V1161" s="1" t="s">
        <v>18</v>
      </c>
      <c r="FH1161" s="1" t="s">
        <v>160</v>
      </c>
      <c r="FI1161" s="1" t="s">
        <v>161</v>
      </c>
      <c r="GD1161" s="1" t="s">
        <v>202</v>
      </c>
      <c r="GE1161" s="1" t="s">
        <v>1822</v>
      </c>
    </row>
    <row r="1162" spans="1:187" ht="11.25" customHeight="1">
      <c r="A1162" s="1" t="s">
        <v>1823</v>
      </c>
      <c r="B1162" s="1" t="str">
        <f ca="1">IFERROR(__xludf.DUMMYFUNCTION("GOOGLETRANSLATE(A1162, ""en"", ""fr"")"),"Aveugle # 4")</f>
        <v>Aveugle # 4</v>
      </c>
      <c r="C1162" s="1" t="s">
        <v>185</v>
      </c>
      <c r="E1162" s="1" t="s">
        <v>16613</v>
      </c>
      <c r="H1162" s="1" t="s">
        <v>4</v>
      </c>
      <c r="J1162" s="1" t="s">
        <v>6</v>
      </c>
      <c r="V1162" s="1" t="s">
        <v>18</v>
      </c>
      <c r="GD1162" s="1" t="s">
        <v>202</v>
      </c>
      <c r="GE1162" s="1" t="s">
        <v>1824</v>
      </c>
    </row>
    <row r="1163" spans="1:187" ht="11.25" customHeight="1">
      <c r="A1163" s="1" t="s">
        <v>1825</v>
      </c>
      <c r="B1163" s="1" t="str">
        <f ca="1">IFERROR(__xludf.DUMMYFUNCTION("GOOGLETRANSLATE(A1163, ""en"", ""fr"")"),"Aveugle # 5")</f>
        <v>Aveugle # 5</v>
      </c>
      <c r="C1163" s="1" t="s">
        <v>185</v>
      </c>
      <c r="BC1163" s="1" t="s">
        <v>51</v>
      </c>
      <c r="BD1163" s="1" t="s">
        <v>52</v>
      </c>
      <c r="GD1163" s="1" t="s">
        <v>193</v>
      </c>
      <c r="GE1163" s="1" t="s">
        <v>1826</v>
      </c>
    </row>
    <row r="1164" spans="1:187" ht="11.25" customHeight="1">
      <c r="A1164" s="1" t="s">
        <v>1827</v>
      </c>
      <c r="B1164" s="1" t="str">
        <f ca="1">IFERROR(__xludf.DUMMYFUNCTION("GOOGLETRANSLATE(A1164, ""en"", ""fr"")"),"CÉCITÉ")</f>
        <v>CÉCITÉ</v>
      </c>
      <c r="C1164" s="1" t="s">
        <v>192</v>
      </c>
      <c r="E1164" s="1" t="s">
        <v>16613</v>
      </c>
      <c r="L1164" s="1" t="s">
        <v>8</v>
      </c>
      <c r="V1164" s="1" t="s">
        <v>18</v>
      </c>
      <c r="DR1164" s="1" t="s">
        <v>118</v>
      </c>
      <c r="GD1164" s="1" t="s">
        <v>202</v>
      </c>
      <c r="GE1164" s="1" t="s">
        <v>190</v>
      </c>
    </row>
    <row r="1165" spans="1:187" ht="11.25" customHeight="1">
      <c r="A1165" s="1" t="s">
        <v>1828</v>
      </c>
      <c r="B1165" s="1" t="str">
        <f ca="1">IFERROR(__xludf.DUMMYFUNCTION("GOOGLETRANSLATE(A1165, ""en"", ""fr"")"),"Clignote # 1")</f>
        <v>Clignote # 1</v>
      </c>
      <c r="C1165" s="1" t="s">
        <v>185</v>
      </c>
      <c r="O1165" s="1" t="s">
        <v>11</v>
      </c>
      <c r="BU1165" s="1" t="s">
        <v>69</v>
      </c>
      <c r="EZ1165" s="1" t="s">
        <v>152</v>
      </c>
      <c r="FC1165" s="1" t="s">
        <v>155</v>
      </c>
      <c r="GD1165" s="1" t="s">
        <v>193</v>
      </c>
      <c r="GE1165" s="1" t="s">
        <v>190</v>
      </c>
    </row>
    <row r="1166" spans="1:187" ht="11.25" customHeight="1">
      <c r="A1166" s="1" t="s">
        <v>1829</v>
      </c>
      <c r="B1166" s="1" t="str">
        <f ca="1">IFERROR(__xludf.DUMMYFUNCTION("GOOGLETRANSLATE(A1166, ""en"", ""fr"")"),"Clignotement # 2")</f>
        <v>Clignotement # 2</v>
      </c>
      <c r="C1166" s="1" t="s">
        <v>185</v>
      </c>
      <c r="O1166" s="1" t="s">
        <v>11</v>
      </c>
      <c r="BU1166" s="1" t="s">
        <v>69</v>
      </c>
      <c r="DO1166" s="1" t="s">
        <v>115</v>
      </c>
      <c r="EZ1166" s="1" t="s">
        <v>152</v>
      </c>
      <c r="FC1166" s="1" t="s">
        <v>155</v>
      </c>
      <c r="GD1166" s="1" t="s">
        <v>189</v>
      </c>
      <c r="GE1166" s="1" t="s">
        <v>190</v>
      </c>
    </row>
    <row r="1167" spans="1:187" ht="11.25" customHeight="1">
      <c r="A1167" s="1" t="s">
        <v>1830</v>
      </c>
      <c r="B1167" s="1" t="str">
        <f ca="1">IFERROR(__xludf.DUMMYFUNCTION("GOOGLETRANSLATE(A1167, ""en"", ""fr"")"),"BONHEUR")</f>
        <v>BONHEUR</v>
      </c>
      <c r="C1167" s="1" t="s">
        <v>192</v>
      </c>
      <c r="D1167" s="1" t="s">
        <v>16612</v>
      </c>
      <c r="P1167" s="1" t="s">
        <v>12</v>
      </c>
      <c r="T1167" s="1" t="s">
        <v>16</v>
      </c>
      <c r="GD1167" s="1" t="s">
        <v>193</v>
      </c>
      <c r="GE1167" s="1" t="s">
        <v>190</v>
      </c>
    </row>
    <row r="1168" spans="1:187" ht="11.25" customHeight="1">
      <c r="A1168" s="1" t="s">
        <v>1831</v>
      </c>
      <c r="B1168" s="1" t="str">
        <f ca="1">IFERROR(__xludf.DUMMYFUNCTION("GOOGLETRANSLATE(A1168, ""en"", ""fr"")"),"BIENHEUREUX")</f>
        <v>BIENHEUREUX</v>
      </c>
      <c r="C1168" s="1" t="s">
        <v>192</v>
      </c>
      <c r="D1168" s="1" t="s">
        <v>16612</v>
      </c>
      <c r="P1168" s="1" t="s">
        <v>12</v>
      </c>
      <c r="T1168" s="1" t="s">
        <v>16</v>
      </c>
      <c r="CM1168" s="1" t="s">
        <v>87</v>
      </c>
      <c r="DR1168" s="1" t="s">
        <v>118</v>
      </c>
      <c r="GD1168" s="1" t="s">
        <v>202</v>
      </c>
      <c r="GE1168" s="1" t="s">
        <v>190</v>
      </c>
    </row>
    <row r="1169" spans="1:187" ht="11.25" customHeight="1">
      <c r="A1169" s="1" t="s">
        <v>1832</v>
      </c>
      <c r="B1169" s="1" t="str">
        <f ca="1">IFERROR(__xludf.DUMMYFUNCTION("GOOGLETRANSLATE(A1169, ""en"", ""fr"")"),"JOYEUX")</f>
        <v>JOYEUX</v>
      </c>
      <c r="C1169" s="1" t="s">
        <v>192</v>
      </c>
      <c r="D1169" s="1" t="s">
        <v>16612</v>
      </c>
      <c r="P1169" s="1" t="s">
        <v>12</v>
      </c>
      <c r="DR1169" s="1" t="s">
        <v>118</v>
      </c>
      <c r="GD1169" s="1" t="s">
        <v>202</v>
      </c>
      <c r="GE1169" s="1" t="s">
        <v>190</v>
      </c>
    </row>
    <row r="1170" spans="1:187" ht="11.25" customHeight="1">
      <c r="A1170" s="1" t="s">
        <v>1833</v>
      </c>
      <c r="B1170" s="1" t="str">
        <f ca="1">IFERROR(__xludf.DUMMYFUNCTION("GOOGLETRANSLATE(A1170, ""en"", ""fr"")"),"TEMPÊTE DE NEIGE")</f>
        <v>TEMPÊTE DE NEIGE</v>
      </c>
      <c r="C1170" s="1" t="s">
        <v>185</v>
      </c>
      <c r="AV1170" s="1" t="s">
        <v>44</v>
      </c>
      <c r="BB1170" s="1" t="s">
        <v>50</v>
      </c>
      <c r="GD1170" s="1" t="s">
        <v>193</v>
      </c>
      <c r="GE1170" s="1" t="s">
        <v>190</v>
      </c>
    </row>
    <row r="1171" spans="1:187" ht="11.25" customHeight="1">
      <c r="A1171" s="1" t="s">
        <v>1834</v>
      </c>
      <c r="B1171" s="1" t="str">
        <f ca="1">IFERROR(__xludf.DUMMYFUNCTION("GOOGLETRANSLATE(A1171, ""en"", ""fr"")"),"BLOC")</f>
        <v>BLOC</v>
      </c>
      <c r="C1171" s="1" t="s">
        <v>185</v>
      </c>
      <c r="J1171" s="1" t="s">
        <v>6</v>
      </c>
      <c r="AH1171" s="1" t="s">
        <v>30</v>
      </c>
      <c r="AK1171" s="1" t="s">
        <v>33</v>
      </c>
      <c r="AT1171" s="1" t="s">
        <v>42</v>
      </c>
      <c r="DZ1171" s="1" t="s">
        <v>126</v>
      </c>
      <c r="ED1171" s="1" t="s">
        <v>130</v>
      </c>
      <c r="GD1171" s="1" t="s">
        <v>193</v>
      </c>
      <c r="GE1171" s="1" t="s">
        <v>190</v>
      </c>
    </row>
    <row r="1172" spans="1:187" ht="11.25" customHeight="1">
      <c r="A1172" s="1" t="s">
        <v>1835</v>
      </c>
      <c r="B1172" s="1" t="str">
        <f ca="1">IFERROR(__xludf.DUMMYFUNCTION("GOOGLETRANSLATE(A1172, ""en"", ""fr"")"),"Bloc n ° 1")</f>
        <v>Bloc n ° 1</v>
      </c>
      <c r="C1172" s="1" t="s">
        <v>185</v>
      </c>
      <c r="E1172" s="1" t="s">
        <v>16613</v>
      </c>
      <c r="H1172" s="1" t="s">
        <v>4</v>
      </c>
      <c r="J1172" s="1" t="s">
        <v>6</v>
      </c>
      <c r="O1172" s="1" t="s">
        <v>11</v>
      </c>
      <c r="DA1172" s="1" t="s">
        <v>101</v>
      </c>
      <c r="GD1172" s="1" t="s">
        <v>193</v>
      </c>
      <c r="GE1172" s="1" t="s">
        <v>1836</v>
      </c>
    </row>
    <row r="1173" spans="1:187" ht="11.25" customHeight="1">
      <c r="A1173" s="1" t="s">
        <v>1837</v>
      </c>
      <c r="B1173" s="1" t="str">
        <f ca="1">IFERROR(__xludf.DUMMYFUNCTION("GOOGLETRANSLATE(A1173, ""en"", ""fr"")"),"Bloc n ° 2")</f>
        <v>Bloc n ° 2</v>
      </c>
      <c r="C1173" s="1" t="s">
        <v>185</v>
      </c>
      <c r="E1173" s="1" t="s">
        <v>16613</v>
      </c>
      <c r="H1173" s="1" t="s">
        <v>4</v>
      </c>
      <c r="I1173" s="1" t="s">
        <v>5</v>
      </c>
      <c r="J1173" s="1" t="s">
        <v>6</v>
      </c>
      <c r="N1173" s="1" t="s">
        <v>10</v>
      </c>
      <c r="CC1173" s="1" t="s">
        <v>77</v>
      </c>
      <c r="DO1173" s="1" t="s">
        <v>115</v>
      </c>
      <c r="DT1173" s="1" t="s">
        <v>120</v>
      </c>
      <c r="ED1173" s="1" t="s">
        <v>130</v>
      </c>
      <c r="GD1173" s="1" t="s">
        <v>189</v>
      </c>
      <c r="GE1173" s="1" t="s">
        <v>1838</v>
      </c>
    </row>
    <row r="1174" spans="1:187" ht="11.25" customHeight="1">
      <c r="A1174" s="1" t="s">
        <v>1839</v>
      </c>
      <c r="B1174" s="1" t="str">
        <f ca="1">IFERROR(__xludf.DUMMYFUNCTION("GOOGLETRANSLATE(A1174, ""en"", ""fr"")"),"BLOCUS")</f>
        <v>BLOCUS</v>
      </c>
      <c r="C1174" s="1" t="s">
        <v>185</v>
      </c>
      <c r="J1174" s="1" t="s">
        <v>6</v>
      </c>
      <c r="AF1174" s="1" t="s">
        <v>28</v>
      </c>
      <c r="DT1174" s="1" t="s">
        <v>120</v>
      </c>
      <c r="ED1174" s="1" t="s">
        <v>130</v>
      </c>
      <c r="GD1174" s="1" t="s">
        <v>1840</v>
      </c>
      <c r="GE1174" s="1" t="s">
        <v>190</v>
      </c>
    </row>
    <row r="1175" spans="1:187" ht="11.25" customHeight="1">
      <c r="A1175" s="1" t="s">
        <v>1841</v>
      </c>
      <c r="B1175" s="1" t="str">
        <f ca="1">IFERROR(__xludf.DUMMYFUNCTION("GOOGLETRANSLATE(A1175, ""en"", ""fr"")"),"IMBÉCILE")</f>
        <v>IMBÉCILE</v>
      </c>
      <c r="C1175" s="1" t="s">
        <v>192</v>
      </c>
      <c r="E1175" s="1" t="s">
        <v>16613</v>
      </c>
      <c r="L1175" s="1" t="s">
        <v>8</v>
      </c>
      <c r="V1175" s="1" t="s">
        <v>18</v>
      </c>
      <c r="BT1175" s="1" t="s">
        <v>68</v>
      </c>
      <c r="DR1175" s="1" t="s">
        <v>118</v>
      </c>
      <c r="GD1175" s="1" t="s">
        <v>202</v>
      </c>
      <c r="GE1175" s="1" t="s">
        <v>190</v>
      </c>
    </row>
    <row r="1176" spans="1:187" ht="11.25" customHeight="1">
      <c r="A1176" s="1" t="s">
        <v>1842</v>
      </c>
      <c r="B1176" s="1" t="str">
        <f ca="1">IFERROR(__xludf.DUMMYFUNCTION("GOOGLETRANSLATE(A1176, ""en"", ""fr"")"),"SANG")</f>
        <v>SANG</v>
      </c>
      <c r="C1176" s="1" t="s">
        <v>185</v>
      </c>
      <c r="BJ1176" s="1" t="s">
        <v>58</v>
      </c>
      <c r="EZ1176" s="1" t="s">
        <v>152</v>
      </c>
      <c r="FC1176" s="1" t="s">
        <v>155</v>
      </c>
      <c r="GD1176" s="1" t="s">
        <v>193</v>
      </c>
      <c r="GE1176" s="1" t="s">
        <v>1843</v>
      </c>
    </row>
    <row r="1177" spans="1:187" ht="11.25" customHeight="1">
      <c r="A1177" s="1" t="s">
        <v>1844</v>
      </c>
      <c r="B1177" s="1" t="str">
        <f ca="1">IFERROR(__xludf.DUMMYFUNCTION("GOOGLETRANSLATE(A1177, ""en"", ""fr"")"),"EFFUSION DE SANG")</f>
        <v>EFFUSION DE SANG</v>
      </c>
      <c r="C1177" s="1" t="s">
        <v>192</v>
      </c>
      <c r="E1177" s="1" t="s">
        <v>16613</v>
      </c>
      <c r="I1177" s="1" t="s">
        <v>5</v>
      </c>
      <c r="L1177" s="1" t="s">
        <v>8</v>
      </c>
      <c r="Q1177" s="1" t="s">
        <v>13</v>
      </c>
      <c r="GD1177" s="1" t="s">
        <v>193</v>
      </c>
      <c r="GE1177" s="1" t="s">
        <v>190</v>
      </c>
    </row>
    <row r="1178" spans="1:187" ht="11.25" customHeight="1">
      <c r="A1178" s="1" t="s">
        <v>1845</v>
      </c>
      <c r="B1178" s="1" t="str">
        <f ca="1">IFERROR(__xludf.DUMMYFUNCTION("GOOGLETRANSLATE(A1178, ""en"", ""fr"")"),"SANGUINAIRE")</f>
        <v>SANGUINAIRE</v>
      </c>
      <c r="C1178" s="1" t="s">
        <v>192</v>
      </c>
      <c r="E1178" s="1" t="s">
        <v>16613</v>
      </c>
      <c r="I1178" s="1" t="s">
        <v>5</v>
      </c>
      <c r="J1178" s="1" t="s">
        <v>6</v>
      </c>
      <c r="K1178" s="1" t="s">
        <v>7</v>
      </c>
      <c r="DQ1178" s="1" t="s">
        <v>117</v>
      </c>
      <c r="GD1178" s="1" t="s">
        <v>202</v>
      </c>
      <c r="GE1178" s="1" t="s">
        <v>190</v>
      </c>
    </row>
    <row r="1179" spans="1:187" ht="11.25" customHeight="1">
      <c r="A1179" s="1" t="s">
        <v>1846</v>
      </c>
      <c r="B1179" s="1" t="str">
        <f ca="1">IFERROR(__xludf.DUMMYFUNCTION("GOOGLETRANSLATE(A1179, ""en"", ""fr"")"),"SANGLANT")</f>
        <v>SANGLANT</v>
      </c>
      <c r="C1179" s="1" t="s">
        <v>185</v>
      </c>
      <c r="E1179" s="1" t="s">
        <v>16613</v>
      </c>
      <c r="H1179" s="1" t="s">
        <v>4</v>
      </c>
      <c r="BU1179" s="1" t="s">
        <v>69</v>
      </c>
      <c r="EZ1179" s="1" t="s">
        <v>152</v>
      </c>
      <c r="FC1179" s="1" t="s">
        <v>155</v>
      </c>
      <c r="GD1179" s="1" t="s">
        <v>202</v>
      </c>
      <c r="GE1179" s="1" t="s">
        <v>190</v>
      </c>
    </row>
    <row r="1180" spans="1:187" ht="11.25" customHeight="1">
      <c r="A1180" s="1" t="s">
        <v>1847</v>
      </c>
      <c r="B1180" s="1" t="str">
        <f ca="1">IFERROR(__xludf.DUMMYFUNCTION("GOOGLETRANSLATE(A1180, ""en"", ""fr"")"),"FLORAISON")</f>
        <v>FLORAISON</v>
      </c>
      <c r="C1180" s="1" t="s">
        <v>192</v>
      </c>
      <c r="D1180" s="1" t="s">
        <v>16612</v>
      </c>
      <c r="N1180" s="1" t="s">
        <v>10</v>
      </c>
      <c r="BV1180" s="1" t="s">
        <v>70</v>
      </c>
      <c r="BX1180" s="1" t="s">
        <v>72</v>
      </c>
      <c r="DN1180" s="1" t="s">
        <v>114</v>
      </c>
      <c r="GD1180" s="1" t="s">
        <v>189</v>
      </c>
      <c r="GE1180" s="1" t="s">
        <v>190</v>
      </c>
    </row>
    <row r="1181" spans="1:187" ht="11.25" customHeight="1">
      <c r="A1181" s="1" t="s">
        <v>1848</v>
      </c>
      <c r="B1181" s="1" t="str">
        <f ca="1">IFERROR(__xludf.DUMMYFUNCTION("GOOGLETRANSLATE(A1181, ""en"", ""fr"")"),"FLEURIR")</f>
        <v>FLEURIR</v>
      </c>
      <c r="C1181" s="1" t="s">
        <v>192</v>
      </c>
      <c r="D1181" s="1" t="s">
        <v>16612</v>
      </c>
      <c r="N1181" s="1" t="s">
        <v>10</v>
      </c>
      <c r="BV1181" s="1" t="s">
        <v>70</v>
      </c>
      <c r="BX1181" s="1" t="s">
        <v>72</v>
      </c>
      <c r="DN1181" s="1" t="s">
        <v>114</v>
      </c>
      <c r="GD1181" s="1" t="s">
        <v>189</v>
      </c>
      <c r="GE1181" s="1" t="s">
        <v>190</v>
      </c>
    </row>
    <row r="1182" spans="1:187" ht="11.25" customHeight="1">
      <c r="A1182" s="1" t="s">
        <v>1849</v>
      </c>
      <c r="B1182" s="1" t="str">
        <f ca="1">IFERROR(__xludf.DUMMYFUNCTION("GOOGLETRANSLATE(A1182, ""en"", ""fr"")"),"Souffler # 1")</f>
        <v>Souffler # 1</v>
      </c>
      <c r="C1182" s="1" t="s">
        <v>185</v>
      </c>
      <c r="E1182" s="1" t="s">
        <v>16613</v>
      </c>
      <c r="H1182" s="1" t="s">
        <v>4</v>
      </c>
      <c r="I1182" s="1" t="s">
        <v>5</v>
      </c>
      <c r="J1182" s="1" t="s">
        <v>6</v>
      </c>
      <c r="N1182" s="1" t="s">
        <v>10</v>
      </c>
      <c r="CC1182" s="1" t="s">
        <v>77</v>
      </c>
      <c r="DW1182" s="1" t="s">
        <v>123</v>
      </c>
      <c r="ED1182" s="1" t="s">
        <v>130</v>
      </c>
      <c r="GD1182" s="1" t="s">
        <v>193</v>
      </c>
      <c r="GE1182" s="1" t="s">
        <v>1850</v>
      </c>
    </row>
    <row r="1183" spans="1:187" ht="11.25" customHeight="1">
      <c r="A1183" s="1" t="s">
        <v>1851</v>
      </c>
      <c r="B1183" s="1" t="str">
        <f ca="1">IFERROR(__xludf.DUMMYFUNCTION("GOOGLETRANSLATE(A1183, ""en"", ""fr"")"),"Bouler # 2")</f>
        <v>Bouler # 2</v>
      </c>
      <c r="C1183" s="1" t="s">
        <v>185</v>
      </c>
      <c r="I1183" s="1" t="s">
        <v>5</v>
      </c>
      <c r="J1183" s="1" t="s">
        <v>6</v>
      </c>
      <c r="N1183" s="1" t="s">
        <v>10</v>
      </c>
      <c r="CC1183" s="1" t="s">
        <v>77</v>
      </c>
      <c r="DN1183" s="1" t="s">
        <v>114</v>
      </c>
      <c r="GD1183" s="1" t="s">
        <v>189</v>
      </c>
      <c r="GE1183" s="1" t="s">
        <v>1852</v>
      </c>
    </row>
    <row r="1184" spans="1:187" ht="11.25" customHeight="1">
      <c r="A1184" s="1" t="s">
        <v>1853</v>
      </c>
      <c r="B1184" s="1" t="str">
        <f ca="1">IFERROR(__xludf.DUMMYFUNCTION("GOOGLETRANSLATE(A1184, ""en"", ""fr"")"),"Bouler # 3")</f>
        <v>Bouler # 3</v>
      </c>
      <c r="C1184" s="1" t="s">
        <v>185</v>
      </c>
      <c r="E1184" s="1" t="s">
        <v>16613</v>
      </c>
      <c r="H1184" s="1" t="s">
        <v>4</v>
      </c>
      <c r="J1184" s="1" t="s">
        <v>6</v>
      </c>
      <c r="N1184" s="1" t="s">
        <v>10</v>
      </c>
      <c r="CC1184" s="1" t="s">
        <v>77</v>
      </c>
      <c r="DN1184" s="1" t="s">
        <v>114</v>
      </c>
      <c r="DW1184" s="1" t="s">
        <v>123</v>
      </c>
      <c r="ED1184" s="1" t="s">
        <v>130</v>
      </c>
      <c r="GD1184" s="1" t="s">
        <v>189</v>
      </c>
      <c r="GE1184" s="1" t="s">
        <v>1854</v>
      </c>
    </row>
    <row r="1185" spans="1:187" ht="11.25" customHeight="1">
      <c r="A1185" s="1" t="s">
        <v>1855</v>
      </c>
      <c r="B1185" s="1" t="str">
        <f ca="1">IFERROR(__xludf.DUMMYFUNCTION("GOOGLETRANSLATE(A1185, ""en"", ""fr"")"),"VENTILATEUR")</f>
        <v>VENTILATEUR</v>
      </c>
      <c r="C1185" s="1" t="s">
        <v>185</v>
      </c>
      <c r="BC1185" s="1" t="s">
        <v>51</v>
      </c>
      <c r="BD1185" s="1" t="s">
        <v>52</v>
      </c>
      <c r="GD1185" s="1" t="s">
        <v>193</v>
      </c>
      <c r="GE1185" s="1" t="s">
        <v>190</v>
      </c>
    </row>
    <row r="1186" spans="1:187" ht="11.25" customHeight="1">
      <c r="A1186" s="1" t="s">
        <v>1856</v>
      </c>
      <c r="B1186" s="1" t="str">
        <f ca="1">IFERROR(__xludf.DUMMYFUNCTION("GOOGLETRANSLATE(A1186, ""en"", ""fr"")"),"Blown # 1")</f>
        <v>Blown # 1</v>
      </c>
      <c r="C1186" s="1" t="s">
        <v>192</v>
      </c>
      <c r="GD1186" s="1" t="s">
        <v>1085</v>
      </c>
      <c r="GE1186" s="1" t="s">
        <v>190</v>
      </c>
    </row>
    <row r="1187" spans="1:187" ht="11.25" customHeight="1">
      <c r="A1187" s="1" t="s">
        <v>1857</v>
      </c>
      <c r="B1187" s="1" t="str">
        <f ca="1">IFERROR(__xludf.DUMMYFUNCTION("GOOGLETRANSLATE(A1187, ""en"", ""fr"")"),"Bleu # 1")</f>
        <v>Bleu # 1</v>
      </c>
      <c r="C1187" s="1" t="s">
        <v>185</v>
      </c>
      <c r="Q1187" s="1" t="s">
        <v>13</v>
      </c>
      <c r="FA1187" s="1" t="s">
        <v>153</v>
      </c>
      <c r="FC1187" s="1" t="s">
        <v>155</v>
      </c>
      <c r="GD1187" s="1" t="s">
        <v>1858</v>
      </c>
      <c r="GE1187" s="1" t="s">
        <v>1859</v>
      </c>
    </row>
    <row r="1188" spans="1:187" ht="11.25" customHeight="1">
      <c r="A1188" s="1" t="s">
        <v>1860</v>
      </c>
      <c r="B1188" s="1" t="str">
        <f ca="1">IFERROR(__xludf.DUMMYFUNCTION("GOOGLETRANSLATE(A1188, ""en"", ""fr"")"),"Bleu # 2")</f>
        <v>Bleu # 2</v>
      </c>
      <c r="C1188" s="1" t="s">
        <v>185</v>
      </c>
      <c r="AA1188" s="1" t="s">
        <v>23</v>
      </c>
      <c r="AC1188" s="1" t="s">
        <v>25</v>
      </c>
      <c r="AK1188" s="1" t="s">
        <v>33</v>
      </c>
      <c r="AT1188" s="1" t="s">
        <v>42</v>
      </c>
      <c r="FB1188" s="1" t="s">
        <v>154</v>
      </c>
      <c r="FC1188" s="1" t="s">
        <v>155</v>
      </c>
      <c r="GD1188" s="1" t="s">
        <v>193</v>
      </c>
      <c r="GE1188" s="1" t="s">
        <v>1861</v>
      </c>
    </row>
    <row r="1189" spans="1:187" ht="11.25" customHeight="1">
      <c r="A1189" s="1" t="s">
        <v>1862</v>
      </c>
      <c r="B1189" s="1" t="str">
        <f ca="1">IFERROR(__xludf.DUMMYFUNCTION("GOOGLETRANSLATE(A1189, ""en"", ""fr"")"),"Bleu # 3")</f>
        <v>Bleu # 3</v>
      </c>
      <c r="C1189" s="1" t="s">
        <v>185</v>
      </c>
      <c r="AD1189" s="1" t="s">
        <v>26</v>
      </c>
      <c r="BK1189" s="1" t="s">
        <v>59</v>
      </c>
      <c r="BL1189" s="1" t="s">
        <v>60</v>
      </c>
      <c r="FA1189" s="1" t="s">
        <v>153</v>
      </c>
      <c r="FC1189" s="1" t="s">
        <v>155</v>
      </c>
      <c r="GC1189" s="1" t="s">
        <v>181</v>
      </c>
      <c r="GD1189" s="1" t="s">
        <v>193</v>
      </c>
      <c r="GE1189" s="1" t="s">
        <v>1863</v>
      </c>
    </row>
    <row r="1190" spans="1:187" ht="11.25" customHeight="1">
      <c r="A1190" s="1" t="s">
        <v>1864</v>
      </c>
      <c r="B1190" s="1" t="str">
        <f ca="1">IFERROR(__xludf.DUMMYFUNCTION("GOOGLETRANSLATE(A1190, ""en"", ""fr"")"),"Bleu # 4")</f>
        <v>Bleu # 4</v>
      </c>
      <c r="C1190" s="1" t="s">
        <v>185</v>
      </c>
      <c r="AE1190" s="1" t="s">
        <v>27</v>
      </c>
      <c r="BK1190" s="1" t="s">
        <v>59</v>
      </c>
      <c r="BL1190" s="1" t="s">
        <v>60</v>
      </c>
      <c r="EB1190" s="1" t="s">
        <v>128</v>
      </c>
      <c r="ED1190" s="1" t="s">
        <v>130</v>
      </c>
      <c r="GC1190" s="1" t="s">
        <v>181</v>
      </c>
      <c r="GD1190" s="1" t="s">
        <v>193</v>
      </c>
      <c r="GE1190" s="1" t="s">
        <v>1865</v>
      </c>
    </row>
    <row r="1191" spans="1:187" ht="11.25" customHeight="1">
      <c r="A1191" s="1" t="s">
        <v>1866</v>
      </c>
      <c r="B1191" s="1" t="str">
        <f ca="1">IFERROR(__xludf.DUMMYFUNCTION("GOOGLETRANSLATE(A1191, ""en"", ""fr"")"),"GAFFE")</f>
        <v>GAFFE</v>
      </c>
      <c r="C1191" s="1" t="s">
        <v>185</v>
      </c>
      <c r="E1191" s="1" t="s">
        <v>16613</v>
      </c>
      <c r="H1191" s="1" t="s">
        <v>4</v>
      </c>
      <c r="L1191" s="1" t="s">
        <v>8</v>
      </c>
      <c r="N1191" s="1" t="s">
        <v>10</v>
      </c>
      <c r="BT1191" s="1" t="s">
        <v>68</v>
      </c>
      <c r="FL1191" s="1" t="s">
        <v>164</v>
      </c>
      <c r="FM1191" s="1" t="s">
        <v>418</v>
      </c>
      <c r="GD1191" s="1" t="s">
        <v>193</v>
      </c>
      <c r="GE1191" s="1" t="s">
        <v>190</v>
      </c>
    </row>
    <row r="1192" spans="1:187" ht="11.25" customHeight="1">
      <c r="A1192" s="1" t="s">
        <v>1867</v>
      </c>
      <c r="B1192" s="1" t="str">
        <f ca="1">IFERROR(__xludf.DUMMYFUNCTION("GOOGLETRANSLATE(A1192, ""en"", ""fr"")"),"ÉMOUSSÉ")</f>
        <v>ÉMOUSSÉ</v>
      </c>
      <c r="C1192" s="1" t="s">
        <v>192</v>
      </c>
      <c r="E1192" s="1" t="s">
        <v>16613</v>
      </c>
      <c r="H1192" s="1" t="s">
        <v>4</v>
      </c>
      <c r="J1192" s="1" t="s">
        <v>6</v>
      </c>
      <c r="CR1192" s="1" t="s">
        <v>92</v>
      </c>
      <c r="DQ1192" s="1" t="s">
        <v>117</v>
      </c>
      <c r="GD1192" s="1" t="s">
        <v>202</v>
      </c>
      <c r="GE1192" s="1" t="s">
        <v>190</v>
      </c>
    </row>
    <row r="1193" spans="1:187" ht="11.25" customHeight="1">
      <c r="A1193" s="1" t="s">
        <v>1868</v>
      </c>
      <c r="B1193" s="1" t="str">
        <f ca="1">IFERROR(__xludf.DUMMYFUNCTION("GOOGLETRANSLATE(A1193, ""en"", ""fr"")"),"SE BROUILLER")</f>
        <v>SE BROUILLER</v>
      </c>
      <c r="C1193" s="1" t="s">
        <v>192</v>
      </c>
      <c r="E1193" s="1" t="s">
        <v>16613</v>
      </c>
      <c r="L1193" s="1" t="s">
        <v>8</v>
      </c>
      <c r="N1193" s="1" t="s">
        <v>10</v>
      </c>
      <c r="X1193" s="1" t="s">
        <v>20</v>
      </c>
      <c r="BK1193" s="1" t="s">
        <v>59</v>
      </c>
      <c r="DN1193" s="1" t="s">
        <v>114</v>
      </c>
      <c r="GD1193" s="1" t="s">
        <v>189</v>
      </c>
      <c r="GE1193" s="1" t="s">
        <v>190</v>
      </c>
    </row>
    <row r="1194" spans="1:187" ht="11.25" customHeight="1">
      <c r="A1194" s="1" t="s">
        <v>1869</v>
      </c>
      <c r="B1194" s="1" t="str">
        <f ca="1">IFERROR(__xludf.DUMMYFUNCTION("GOOGLETRANSLATE(A1194, ""en"", ""fr"")"),"LÂCHER")</f>
        <v>LÂCHER</v>
      </c>
      <c r="C1194" s="1" t="s">
        <v>192</v>
      </c>
      <c r="E1194" s="1" t="s">
        <v>16613</v>
      </c>
      <c r="I1194" s="1" t="s">
        <v>5</v>
      </c>
      <c r="N1194" s="1" t="s">
        <v>10</v>
      </c>
      <c r="W1194" s="1" t="s">
        <v>19</v>
      </c>
      <c r="BK1194" s="1" t="s">
        <v>59</v>
      </c>
      <c r="DN1194" s="1" t="s">
        <v>114</v>
      </c>
      <c r="GD1194" s="1" t="s">
        <v>189</v>
      </c>
      <c r="GE1194" s="1" t="s">
        <v>190</v>
      </c>
    </row>
    <row r="1195" spans="1:187" ht="11.25" customHeight="1">
      <c r="A1195" s="1" t="s">
        <v>1870</v>
      </c>
      <c r="B1195" s="1" t="str">
        <f ca="1">IFERROR(__xludf.DUMMYFUNCTION("GOOGLETRANSLATE(A1195, ""en"", ""fr"")"),"Conseil n ° 1")</f>
        <v>Conseil n ° 1</v>
      </c>
      <c r="C1195" s="1" t="s">
        <v>185</v>
      </c>
      <c r="K1195" s="1" t="s">
        <v>7</v>
      </c>
      <c r="Y1195" s="1" t="s">
        <v>21</v>
      </c>
      <c r="AC1195" s="1" t="s">
        <v>25</v>
      </c>
      <c r="AH1195" s="1" t="s">
        <v>30</v>
      </c>
      <c r="AK1195" s="1" t="s">
        <v>33</v>
      </c>
      <c r="AT1195" s="1" t="s">
        <v>42</v>
      </c>
      <c r="DY1195" s="1" t="s">
        <v>125</v>
      </c>
      <c r="ED1195" s="1" t="s">
        <v>130</v>
      </c>
      <c r="FH1195" s="1" t="s">
        <v>160</v>
      </c>
      <c r="FI1195" s="1" t="s">
        <v>161</v>
      </c>
      <c r="GD1195" s="1" t="s">
        <v>193</v>
      </c>
      <c r="GE1195" s="1" t="s">
        <v>1871</v>
      </c>
    </row>
    <row r="1196" spans="1:187" ht="11.25" customHeight="1">
      <c r="A1196" s="1" t="s">
        <v>1872</v>
      </c>
      <c r="B1196" s="1" t="str">
        <f ca="1">IFERROR(__xludf.DUMMYFUNCTION("GOOGLETRANSLATE(A1196, ""en"", ""fr"")"),"Conseil n ° 2")</f>
        <v>Conseil n ° 2</v>
      </c>
      <c r="C1196" s="1" t="s">
        <v>185</v>
      </c>
      <c r="Y1196" s="1" t="s">
        <v>21</v>
      </c>
      <c r="BC1196" s="1" t="s">
        <v>51</v>
      </c>
      <c r="BH1196" s="1" t="s">
        <v>56</v>
      </c>
      <c r="BL1196" s="1" t="s">
        <v>60</v>
      </c>
      <c r="GD1196" s="1" t="s">
        <v>193</v>
      </c>
      <c r="GE1196" s="1" t="s">
        <v>1873</v>
      </c>
    </row>
    <row r="1197" spans="1:187" ht="11.25" customHeight="1">
      <c r="A1197" s="1" t="s">
        <v>1874</v>
      </c>
      <c r="B1197" s="1" t="str">
        <f ca="1">IFERROR(__xludf.DUMMYFUNCTION("GOOGLETRANSLATE(A1197, ""en"", ""fr"")"),"Conseil n ° 3")</f>
        <v>Conseil n ° 3</v>
      </c>
      <c r="C1197" s="1" t="s">
        <v>185</v>
      </c>
      <c r="BC1197" s="1" t="s">
        <v>51</v>
      </c>
      <c r="BD1197" s="1" t="s">
        <v>52</v>
      </c>
      <c r="GD1197" s="1" t="s">
        <v>193</v>
      </c>
      <c r="GE1197" s="1" t="s">
        <v>1875</v>
      </c>
    </row>
    <row r="1198" spans="1:187" ht="11.25" customHeight="1">
      <c r="A1198" s="1" t="s">
        <v>1876</v>
      </c>
      <c r="B1198" s="1" t="str">
        <f ca="1">IFERROR(__xludf.DUMMYFUNCTION("GOOGLETRANSLATE(A1198, ""en"", ""fr"")"),"Conseil n ° 4")</f>
        <v>Conseil n ° 4</v>
      </c>
      <c r="C1198" s="1" t="s">
        <v>185</v>
      </c>
      <c r="CE1198" s="1" t="s">
        <v>79</v>
      </c>
      <c r="DN1198" s="1" t="s">
        <v>114</v>
      </c>
      <c r="GD1198" s="1" t="s">
        <v>189</v>
      </c>
      <c r="GE1198" s="1" t="s">
        <v>1877</v>
      </c>
    </row>
    <row r="1199" spans="1:187" ht="11.25" customHeight="1">
      <c r="A1199" s="1" t="s">
        <v>1878</v>
      </c>
      <c r="B1199" s="1" t="str">
        <f ca="1">IFERROR(__xludf.DUMMYFUNCTION("GOOGLETRANSLATE(A1199, ""en"", ""fr"")"),"Conseil n ° 5")</f>
        <v>Conseil n ° 5</v>
      </c>
      <c r="C1199" s="1" t="s">
        <v>185</v>
      </c>
      <c r="AA1199" s="1" t="s">
        <v>23</v>
      </c>
      <c r="AC1199" s="1" t="s">
        <v>25</v>
      </c>
      <c r="BK1199" s="1" t="s">
        <v>59</v>
      </c>
      <c r="BL1199" s="1" t="s">
        <v>60</v>
      </c>
      <c r="EZ1199" s="1" t="s">
        <v>152</v>
      </c>
      <c r="FC1199" s="1" t="s">
        <v>155</v>
      </c>
      <c r="GC1199" s="1" t="s">
        <v>181</v>
      </c>
      <c r="GD1199" s="1" t="s">
        <v>193</v>
      </c>
      <c r="GE1199" s="1" t="s">
        <v>1879</v>
      </c>
    </row>
    <row r="1200" spans="1:187" ht="11.25" customHeight="1">
      <c r="A1200" s="1" t="s">
        <v>1880</v>
      </c>
      <c r="B1200" s="1" t="str">
        <f ca="1">IFERROR(__xludf.DUMMYFUNCTION("GOOGLETRANSLATE(A1200, ""en"", ""fr"")"),"Conseil n ° 6")</f>
        <v>Conseil n ° 6</v>
      </c>
      <c r="C1200" s="1" t="s">
        <v>185</v>
      </c>
      <c r="W1200" s="1" t="s">
        <v>19</v>
      </c>
      <c r="CR1200" s="1" t="s">
        <v>92</v>
      </c>
      <c r="FY1200" s="1" t="s">
        <v>177</v>
      </c>
      <c r="GD1200" s="1" t="s">
        <v>236</v>
      </c>
      <c r="GE1200" s="1" t="s">
        <v>1881</v>
      </c>
    </row>
    <row r="1201" spans="1:187" ht="11.25" customHeight="1">
      <c r="A1201" s="1" t="s">
        <v>1882</v>
      </c>
      <c r="B1201" s="1" t="str">
        <f ca="1">IFERROR(__xludf.DUMMYFUNCTION("GOOGLETRANSLATE(A1201, ""en"", ""fr"")"),"Conseil n ° 7")</f>
        <v>Conseil n ° 7</v>
      </c>
      <c r="C1201" s="1" t="s">
        <v>185</v>
      </c>
      <c r="E1201" s="1" t="s">
        <v>16613</v>
      </c>
      <c r="H1201" s="1" t="s">
        <v>4</v>
      </c>
      <c r="V1201" s="1" t="s">
        <v>18</v>
      </c>
      <c r="FW1201" s="1" t="s">
        <v>175</v>
      </c>
      <c r="GD1201" s="1" t="s">
        <v>236</v>
      </c>
      <c r="GE1201" s="1" t="s">
        <v>1883</v>
      </c>
    </row>
    <row r="1202" spans="1:187" ht="11.25" customHeight="1">
      <c r="A1202" s="1" t="s">
        <v>1884</v>
      </c>
      <c r="B1202" s="1" t="str">
        <f ca="1">IFERROR(__xludf.DUMMYFUNCTION("GOOGLETRANSLATE(A1202, ""en"", ""fr"")"),"Conseil n ° 8")</f>
        <v>Conseil n ° 8</v>
      </c>
      <c r="C1202" s="1" t="s">
        <v>185</v>
      </c>
      <c r="D1202" s="1" t="s">
        <v>16612</v>
      </c>
      <c r="F1202" s="1" t="s">
        <v>2</v>
      </c>
      <c r="U1202" s="1" t="s">
        <v>17</v>
      </c>
      <c r="EE1202" s="1" t="s">
        <v>131</v>
      </c>
      <c r="EJ1202" s="1" t="s">
        <v>136</v>
      </c>
      <c r="GD1202" s="1" t="s">
        <v>202</v>
      </c>
      <c r="GE1202" s="1" t="s">
        <v>1885</v>
      </c>
    </row>
    <row r="1203" spans="1:187" ht="11.25" customHeight="1">
      <c r="A1203" s="1" t="s">
        <v>1886</v>
      </c>
      <c r="B1203" s="1" t="str">
        <f ca="1">IFERROR(__xludf.DUMMYFUNCTION("GOOGLETRANSLATE(A1203, ""en"", ""fr"")"),"Conseil n ° 9")</f>
        <v>Conseil n ° 9</v>
      </c>
      <c r="C1203" s="1" t="s">
        <v>185</v>
      </c>
      <c r="AA1203" s="1" t="s">
        <v>23</v>
      </c>
      <c r="BK1203" s="1" t="s">
        <v>59</v>
      </c>
      <c r="EZ1203" s="1" t="s">
        <v>152</v>
      </c>
      <c r="FC1203" s="1" t="s">
        <v>155</v>
      </c>
      <c r="GC1203" s="1" t="s">
        <v>181</v>
      </c>
      <c r="GD1203" s="1" t="s">
        <v>202</v>
      </c>
      <c r="GE1203" s="1" t="s">
        <v>1887</v>
      </c>
    </row>
    <row r="1204" spans="1:187" ht="11.25" customHeight="1">
      <c r="A1204" s="1" t="s">
        <v>1888</v>
      </c>
      <c r="B1204" s="1" t="str">
        <f ca="1">IFERROR(__xludf.DUMMYFUNCTION("GOOGLETRANSLATE(A1204, ""en"", ""fr"")"),"Conseil # _10")</f>
        <v>Conseil # _10</v>
      </c>
      <c r="C1204" s="1" t="s">
        <v>185</v>
      </c>
      <c r="GD1204" s="1" t="s">
        <v>225</v>
      </c>
      <c r="GE1204" s="1" t="s">
        <v>1889</v>
      </c>
    </row>
    <row r="1205" spans="1:187" ht="11.25" customHeight="1">
      <c r="A1205" s="1" t="s">
        <v>1890</v>
      </c>
      <c r="B1205" s="1" t="str">
        <f ca="1">IFERROR(__xludf.DUMMYFUNCTION("GOOGLETRANSLATE(A1205, ""en"", ""fr"")"),"PENSIONNAIRE")</f>
        <v>PENSIONNAIRE</v>
      </c>
      <c r="C1205" s="1" t="s">
        <v>185</v>
      </c>
      <c r="AA1205" s="1" t="s">
        <v>23</v>
      </c>
      <c r="AJ1205" s="1" t="s">
        <v>32</v>
      </c>
      <c r="AT1205" s="1" t="s">
        <v>42</v>
      </c>
      <c r="FT1205" s="1" t="s">
        <v>172</v>
      </c>
      <c r="GD1205" s="1" t="s">
        <v>193</v>
      </c>
      <c r="GE1205" s="1" t="s">
        <v>190</v>
      </c>
    </row>
    <row r="1206" spans="1:187" ht="11.25" customHeight="1">
      <c r="A1206" s="1" t="s">
        <v>1891</v>
      </c>
      <c r="B1206" s="1" t="str">
        <f ca="1">IFERROR(__xludf.DUMMYFUNCTION("GOOGLETRANSLATE(A1206, ""en"", ""fr"")"),"SE VANTER")</f>
        <v>SE VANTER</v>
      </c>
      <c r="C1206" s="1" t="s">
        <v>192</v>
      </c>
      <c r="E1206" s="1" t="s">
        <v>16613</v>
      </c>
      <c r="K1206" s="1" t="s">
        <v>7</v>
      </c>
      <c r="N1206" s="1" t="s">
        <v>10</v>
      </c>
      <c r="V1206" s="1" t="s">
        <v>18</v>
      </c>
      <c r="BK1206" s="1" t="s">
        <v>59</v>
      </c>
      <c r="DN1206" s="1" t="s">
        <v>114</v>
      </c>
      <c r="GD1206" s="1" t="s">
        <v>189</v>
      </c>
      <c r="GE1206" s="1" t="s">
        <v>190</v>
      </c>
    </row>
    <row r="1207" spans="1:187" ht="11.25" customHeight="1">
      <c r="A1207" s="1" t="s">
        <v>1892</v>
      </c>
      <c r="B1207" s="1" t="str">
        <f ca="1">IFERROR(__xludf.DUMMYFUNCTION("GOOGLETRANSLATE(A1207, ""en"", ""fr"")"),"VANTARD")</f>
        <v>VANTARD</v>
      </c>
      <c r="C1207" s="1" t="s">
        <v>192</v>
      </c>
      <c r="E1207" s="1" t="s">
        <v>16613</v>
      </c>
      <c r="K1207" s="1" t="s">
        <v>7</v>
      </c>
      <c r="V1207" s="1" t="s">
        <v>18</v>
      </c>
      <c r="BK1207" s="1" t="s">
        <v>59</v>
      </c>
      <c r="DR1207" s="1" t="s">
        <v>118</v>
      </c>
      <c r="GD1207" s="1" t="s">
        <v>202</v>
      </c>
      <c r="GE1207" s="1" t="s">
        <v>190</v>
      </c>
    </row>
    <row r="1208" spans="1:187" ht="11.25" customHeight="1">
      <c r="A1208" s="1" t="s">
        <v>1893</v>
      </c>
      <c r="B1208" s="1" t="str">
        <f ca="1">IFERROR(__xludf.DUMMYFUNCTION("GOOGLETRANSLATE(A1208, ""en"", ""fr"")"),"BATEAU")</f>
        <v>BATEAU</v>
      </c>
      <c r="C1208" s="1" t="s">
        <v>185</v>
      </c>
      <c r="BC1208" s="1" t="s">
        <v>51</v>
      </c>
      <c r="BF1208" s="1" t="s">
        <v>54</v>
      </c>
      <c r="GD1208" s="1" t="s">
        <v>193</v>
      </c>
      <c r="GE1208" s="1" t="s">
        <v>1894</v>
      </c>
    </row>
    <row r="1209" spans="1:187" ht="11.25" customHeight="1">
      <c r="A1209" s="1" t="s">
        <v>1895</v>
      </c>
      <c r="B1209" s="1" t="str">
        <f ca="1">IFERROR(__xludf.DUMMYFUNCTION("GOOGLETRANSLATE(A1209, ""en"", ""fr"")"),"Maître d'équipage")</f>
        <v>Maître d'équipage</v>
      </c>
      <c r="C1209" s="1" t="s">
        <v>185</v>
      </c>
      <c r="AA1209" s="1" t="s">
        <v>23</v>
      </c>
      <c r="AJ1209" s="1" t="s">
        <v>32</v>
      </c>
      <c r="AT1209" s="1" t="s">
        <v>42</v>
      </c>
      <c r="FK1209" s="1" t="s">
        <v>163</v>
      </c>
      <c r="FM1209" s="1" t="s">
        <v>418</v>
      </c>
      <c r="GD1209" s="1" t="s">
        <v>193</v>
      </c>
      <c r="GE1209" s="1" t="s">
        <v>190</v>
      </c>
    </row>
    <row r="1210" spans="1:187" ht="11.25" customHeight="1">
      <c r="A1210" s="1" t="s">
        <v>1896</v>
      </c>
      <c r="B1210" s="1" t="str">
        <f ca="1">IFERROR(__xludf.DUMMYFUNCTION("GOOGLETRANSLATE(A1210, ""en"", ""fr"")"),"Corps n ° 1")</f>
        <v>Corps n ° 1</v>
      </c>
      <c r="C1210" s="1" t="s">
        <v>185</v>
      </c>
      <c r="BJ1210" s="1" t="s">
        <v>58</v>
      </c>
      <c r="EZ1210" s="1" t="s">
        <v>152</v>
      </c>
      <c r="FC1210" s="1" t="s">
        <v>155</v>
      </c>
      <c r="GD1210" s="1" t="s">
        <v>193</v>
      </c>
      <c r="GE1210" s="1" t="s">
        <v>1897</v>
      </c>
    </row>
    <row r="1211" spans="1:187" ht="11.25" customHeight="1">
      <c r="A1211" s="1" t="s">
        <v>1898</v>
      </c>
      <c r="B1211" s="1" t="str">
        <f ca="1">IFERROR(__xludf.DUMMYFUNCTION("GOOGLETRANSLATE(A1211, ""en"", ""fr"")"),"Corps n ° 2")</f>
        <v>Corps n ° 2</v>
      </c>
      <c r="C1211" s="1" t="s">
        <v>185</v>
      </c>
      <c r="GD1211" s="1" t="s">
        <v>929</v>
      </c>
      <c r="GE1211" s="1" t="s">
        <v>1899</v>
      </c>
    </row>
    <row r="1212" spans="1:187" ht="11.25" customHeight="1">
      <c r="A1212" s="1" t="s">
        <v>1900</v>
      </c>
      <c r="B1212" s="1" t="str">
        <f ca="1">IFERROR(__xludf.DUMMYFUNCTION("GOOGLETRANSLATE(A1212, ""en"", ""fr"")"),"Corps n ° 3")</f>
        <v>Corps n ° 3</v>
      </c>
      <c r="C1212" s="1" t="s">
        <v>185</v>
      </c>
      <c r="CS1212" s="1" t="s">
        <v>93</v>
      </c>
      <c r="GD1212" s="1" t="s">
        <v>193</v>
      </c>
      <c r="GE1212" s="1" t="s">
        <v>1901</v>
      </c>
    </row>
    <row r="1213" spans="1:187" ht="11.25" customHeight="1">
      <c r="A1213" s="1" t="s">
        <v>1902</v>
      </c>
      <c r="B1213" s="1" t="str">
        <f ca="1">IFERROR(__xludf.DUMMYFUNCTION("GOOGLETRANSLATE(A1213, ""en"", ""fr"")"),"Corps n ° 4")</f>
        <v>Corps n ° 4</v>
      </c>
      <c r="C1213" s="1" t="s">
        <v>185</v>
      </c>
      <c r="J1213" s="1" t="s">
        <v>6</v>
      </c>
      <c r="K1213" s="1" t="s">
        <v>7</v>
      </c>
      <c r="AG1213" s="1" t="s">
        <v>29</v>
      </c>
      <c r="AH1213" s="1" t="s">
        <v>30</v>
      </c>
      <c r="AK1213" s="1" t="s">
        <v>33</v>
      </c>
      <c r="AT1213" s="1" t="s">
        <v>42</v>
      </c>
      <c r="DY1213" s="1" t="s">
        <v>125</v>
      </c>
      <c r="ED1213" s="1" t="s">
        <v>130</v>
      </c>
      <c r="GD1213" s="1" t="s">
        <v>193</v>
      </c>
      <c r="GE1213" s="1" t="s">
        <v>1903</v>
      </c>
    </row>
    <row r="1214" spans="1:187" ht="11.25" customHeight="1">
      <c r="A1214" s="1" t="s">
        <v>1904</v>
      </c>
      <c r="B1214" s="1" t="str">
        <f ca="1">IFERROR(__xludf.DUMMYFUNCTION("GOOGLETRANSLATE(A1214, ""en"", ""fr"")"),"Corps n ° 5")</f>
        <v>Corps n ° 5</v>
      </c>
      <c r="C1214" s="1" t="s">
        <v>185</v>
      </c>
      <c r="CR1214" s="1" t="s">
        <v>92</v>
      </c>
      <c r="GD1214" s="1" t="s">
        <v>202</v>
      </c>
      <c r="GE1214" s="1" t="s">
        <v>1905</v>
      </c>
    </row>
    <row r="1215" spans="1:187" ht="11.25" customHeight="1">
      <c r="A1215" s="1" t="s">
        <v>1906</v>
      </c>
      <c r="B1215" s="1" t="str">
        <f ca="1">IFERROR(__xludf.DUMMYFUNCTION("GOOGLETRANSLATE(A1215, ""en"", ""fr"")"),"FAUX")</f>
        <v>FAUX</v>
      </c>
      <c r="C1215" s="1" t="s">
        <v>192</v>
      </c>
      <c r="E1215" s="1" t="s">
        <v>16613</v>
      </c>
      <c r="V1215" s="1" t="s">
        <v>18</v>
      </c>
      <c r="CM1215" s="1" t="s">
        <v>87</v>
      </c>
      <c r="DR1215" s="1" t="s">
        <v>118</v>
      </c>
      <c r="GD1215" s="1" t="s">
        <v>202</v>
      </c>
      <c r="GE1215" s="1" t="s">
        <v>190</v>
      </c>
    </row>
    <row r="1216" spans="1:187" ht="11.25" customHeight="1">
      <c r="A1216" s="1" t="s">
        <v>1907</v>
      </c>
      <c r="B1216" s="1" t="str">
        <f ca="1">IFERROR(__xludf.DUMMYFUNCTION("GOOGLETRANSLATE(A1216, ""en"", ""fr"")"),"Faire bouillir # 1")</f>
        <v>Faire bouillir # 1</v>
      </c>
      <c r="C1216" s="1" t="s">
        <v>185</v>
      </c>
      <c r="N1216" s="1" t="s">
        <v>10</v>
      </c>
      <c r="BU1216" s="1" t="s">
        <v>69</v>
      </c>
      <c r="GD1216" s="1" t="s">
        <v>193</v>
      </c>
      <c r="GE1216" s="1" t="s">
        <v>190</v>
      </c>
    </row>
    <row r="1217" spans="1:187" ht="11.25" customHeight="1">
      <c r="A1217" s="1" t="s">
        <v>1908</v>
      </c>
      <c r="B1217" s="1" t="str">
        <f ca="1">IFERROR(__xludf.DUMMYFUNCTION("GOOGLETRANSLATE(A1217, ""en"", ""fr"")"),"Bouillir n ° 2")</f>
        <v>Bouillir n ° 2</v>
      </c>
      <c r="C1217" s="1" t="s">
        <v>185</v>
      </c>
      <c r="N1217" s="1" t="s">
        <v>10</v>
      </c>
      <c r="BW1217" s="1" t="s">
        <v>71</v>
      </c>
      <c r="DO1217" s="1" t="s">
        <v>115</v>
      </c>
      <c r="GD1217" s="1" t="s">
        <v>189</v>
      </c>
      <c r="GE1217" s="1" t="s">
        <v>190</v>
      </c>
    </row>
    <row r="1218" spans="1:187" ht="11.25" customHeight="1">
      <c r="A1218" s="1" t="s">
        <v>1909</v>
      </c>
      <c r="B1218" s="1" t="str">
        <f ca="1">IFERROR(__xludf.DUMMYFUNCTION("GOOGLETRANSLATE(A1218, ""en"", ""fr"")"),"Bruyant")</f>
        <v>Bruyant</v>
      </c>
      <c r="C1218" s="1" t="s">
        <v>192</v>
      </c>
      <c r="E1218" s="1" t="s">
        <v>16613</v>
      </c>
      <c r="J1218" s="1" t="s">
        <v>6</v>
      </c>
      <c r="BK1218" s="1" t="s">
        <v>59</v>
      </c>
      <c r="DR1218" s="1" t="s">
        <v>118</v>
      </c>
      <c r="GD1218" s="1" t="s">
        <v>202</v>
      </c>
      <c r="GE1218" s="1" t="s">
        <v>190</v>
      </c>
    </row>
    <row r="1219" spans="1:187" ht="11.25" customHeight="1">
      <c r="A1219" s="1" t="s">
        <v>1910</v>
      </c>
      <c r="B1219" s="1" t="str">
        <f ca="1">IFERROR(__xludf.DUMMYFUNCTION("GOOGLETRANSLATE(A1219, ""en"", ""fr"")"),"AUDACIEUX")</f>
        <v>AUDACIEUX</v>
      </c>
      <c r="C1219" s="1" t="s">
        <v>185</v>
      </c>
      <c r="J1219" s="1" t="s">
        <v>6</v>
      </c>
      <c r="N1219" s="1" t="s">
        <v>10</v>
      </c>
      <c r="U1219" s="1" t="s">
        <v>17</v>
      </c>
      <c r="GD1219" s="1" t="s">
        <v>202</v>
      </c>
      <c r="GE1219" s="1" t="s">
        <v>190</v>
      </c>
    </row>
    <row r="1220" spans="1:187" ht="11.25" customHeight="1">
      <c r="A1220" s="1" t="s">
        <v>1911</v>
      </c>
      <c r="B1220" s="1" t="str">
        <f ca="1">IFERROR(__xludf.DUMMYFUNCTION("GOOGLETRANSLATE(A1220, ""en"", ""fr"")"),"AUDACE")</f>
        <v>AUDACE</v>
      </c>
      <c r="C1220" s="1" t="s">
        <v>192</v>
      </c>
      <c r="D1220" s="1" t="s">
        <v>16612</v>
      </c>
      <c r="J1220" s="1" t="s">
        <v>6</v>
      </c>
      <c r="K1220" s="1" t="s">
        <v>7</v>
      </c>
      <c r="U1220" s="1" t="s">
        <v>17</v>
      </c>
      <c r="GD1220" s="1" t="s">
        <v>193</v>
      </c>
      <c r="GE1220" s="1" t="s">
        <v>190</v>
      </c>
    </row>
    <row r="1221" spans="1:187" ht="11.25" customHeight="1">
      <c r="A1221" s="1" t="s">
        <v>1912</v>
      </c>
      <c r="B1221" s="1" t="str">
        <f ca="1">IFERROR(__xludf.DUMMYFUNCTION("GOOGLETRANSLATE(A1221, ""en"", ""fr"")"),"BOLIVIE")</f>
        <v>BOLIVIE</v>
      </c>
      <c r="C1221" s="1" t="s">
        <v>196</v>
      </c>
      <c r="GD1221" s="1" t="s">
        <v>545</v>
      </c>
    </row>
    <row r="1222" spans="1:187" ht="11.25" customHeight="1">
      <c r="A1222" s="1" t="s">
        <v>1913</v>
      </c>
      <c r="B1222" s="1" t="str">
        <f ca="1">IFERROR(__xludf.DUMMYFUNCTION("GOOGLETRANSLATE(A1222, ""en"", ""fr"")"),"TRAVERSIN")</f>
        <v>TRAVERSIN</v>
      </c>
      <c r="C1222" s="1" t="s">
        <v>192</v>
      </c>
      <c r="D1222" s="1" t="s">
        <v>16612</v>
      </c>
      <c r="G1222" s="1" t="s">
        <v>3</v>
      </c>
      <c r="J1222" s="1" t="s">
        <v>6</v>
      </c>
      <c r="N1222" s="1" t="s">
        <v>10</v>
      </c>
      <c r="BX1222" s="1" t="s">
        <v>72</v>
      </c>
      <c r="DN1222" s="1" t="s">
        <v>114</v>
      </c>
      <c r="GD1222" s="1" t="s">
        <v>189</v>
      </c>
      <c r="GE1222" s="1" t="s">
        <v>190</v>
      </c>
    </row>
    <row r="1223" spans="1:187" ht="11.25" customHeight="1">
      <c r="A1223" s="1" t="s">
        <v>1914</v>
      </c>
      <c r="B1223" s="1" t="str">
        <f ca="1">IFERROR(__xludf.DUMMYFUNCTION("GOOGLETRANSLATE(A1223, ""en"", ""fr"")"),"BOULON")</f>
        <v>BOULON</v>
      </c>
      <c r="C1223" s="1" t="s">
        <v>192</v>
      </c>
      <c r="E1223" s="1" t="s">
        <v>16613</v>
      </c>
      <c r="N1223" s="1" t="s">
        <v>10</v>
      </c>
      <c r="AN1223" s="1" t="s">
        <v>36</v>
      </c>
      <c r="BT1223" s="1" t="s">
        <v>68</v>
      </c>
      <c r="DN1223" s="1" t="s">
        <v>114</v>
      </c>
      <c r="GD1223" s="1" t="s">
        <v>189</v>
      </c>
      <c r="GE1223" s="1" t="s">
        <v>190</v>
      </c>
    </row>
    <row r="1224" spans="1:187" ht="11.25" customHeight="1">
      <c r="A1224" s="1" t="s">
        <v>1915</v>
      </c>
      <c r="B1224" s="1" t="str">
        <f ca="1">IFERROR(__xludf.DUMMYFUNCTION("GOOGLETRANSLATE(A1224, ""en"", ""fr"")"),"Bombe n ° 1")</f>
        <v>Bombe n ° 1</v>
      </c>
      <c r="C1224" s="1" t="s">
        <v>185</v>
      </c>
      <c r="E1224" s="1" t="s">
        <v>16613</v>
      </c>
      <c r="H1224" s="1" t="s">
        <v>4</v>
      </c>
      <c r="I1224" s="1" t="s">
        <v>5</v>
      </c>
      <c r="J1224" s="1" t="s">
        <v>6</v>
      </c>
      <c r="AF1224" s="1" t="s">
        <v>28</v>
      </c>
      <c r="AH1224" s="1" t="s">
        <v>30</v>
      </c>
      <c r="BC1224" s="1" t="s">
        <v>51</v>
      </c>
      <c r="BD1224" s="1" t="s">
        <v>52</v>
      </c>
      <c r="DW1224" s="1" t="s">
        <v>123</v>
      </c>
      <c r="ED1224" s="1" t="s">
        <v>130</v>
      </c>
      <c r="GD1224" s="1" t="s">
        <v>193</v>
      </c>
      <c r="GE1224" s="1" t="s">
        <v>190</v>
      </c>
    </row>
    <row r="1225" spans="1:187" ht="11.25" customHeight="1">
      <c r="A1225" s="1" t="s">
        <v>1916</v>
      </c>
      <c r="B1225" s="1" t="str">
        <f ca="1">IFERROR(__xludf.DUMMYFUNCTION("GOOGLETRANSLATE(A1225, ""en"", ""fr"")"),"Bombe n ° 2")</f>
        <v>Bombe n ° 2</v>
      </c>
      <c r="C1225" s="1" t="s">
        <v>185</v>
      </c>
      <c r="E1225" s="1" t="s">
        <v>16613</v>
      </c>
      <c r="H1225" s="1" t="s">
        <v>4</v>
      </c>
      <c r="I1225" s="1" t="s">
        <v>5</v>
      </c>
      <c r="J1225" s="1" t="s">
        <v>6</v>
      </c>
      <c r="N1225" s="1" t="s">
        <v>10</v>
      </c>
      <c r="AF1225" s="1" t="s">
        <v>28</v>
      </c>
      <c r="AN1225" s="1" t="s">
        <v>36</v>
      </c>
      <c r="DO1225" s="1" t="s">
        <v>115</v>
      </c>
      <c r="DW1225" s="1" t="s">
        <v>123</v>
      </c>
      <c r="ED1225" s="1" t="s">
        <v>130</v>
      </c>
      <c r="GD1225" s="1" t="s">
        <v>189</v>
      </c>
      <c r="GE1225" s="1" t="s">
        <v>190</v>
      </c>
    </row>
    <row r="1226" spans="1:187" ht="11.25" customHeight="1">
      <c r="A1226" s="1" t="s">
        <v>1917</v>
      </c>
      <c r="B1226" s="1" t="str">
        <f ca="1">IFERROR(__xludf.DUMMYFUNCTION("GOOGLETRANSLATE(A1226, ""en"", ""fr"")"),"BOMBARDER")</f>
        <v>BOMBARDER</v>
      </c>
      <c r="C1226" s="1" t="s">
        <v>192</v>
      </c>
      <c r="E1226" s="1" t="s">
        <v>16613</v>
      </c>
      <c r="I1226" s="1" t="s">
        <v>5</v>
      </c>
      <c r="N1226" s="1" t="s">
        <v>10</v>
      </c>
      <c r="DN1226" s="1" t="s">
        <v>114</v>
      </c>
      <c r="GD1226" s="1" t="s">
        <v>189</v>
      </c>
      <c r="GE1226" s="1" t="s">
        <v>190</v>
      </c>
    </row>
    <row r="1227" spans="1:187" ht="11.25" customHeight="1">
      <c r="A1227" s="1" t="s">
        <v>1918</v>
      </c>
      <c r="B1227" s="1" t="str">
        <f ca="1">IFERROR(__xludf.DUMMYFUNCTION("GOOGLETRANSLATE(A1227, ""en"", ""fr"")"),"BOMBARDEMENT")</f>
        <v>BOMBARDEMENT</v>
      </c>
      <c r="C1227" s="1" t="s">
        <v>192</v>
      </c>
      <c r="E1227" s="1" t="s">
        <v>16613</v>
      </c>
      <c r="I1227" s="1" t="s">
        <v>5</v>
      </c>
      <c r="GD1227" s="1" t="s">
        <v>193</v>
      </c>
      <c r="GE1227" s="1" t="s">
        <v>190</v>
      </c>
    </row>
    <row r="1228" spans="1:187" ht="11.25" customHeight="1">
      <c r="A1228" s="1" t="s">
        <v>1919</v>
      </c>
      <c r="B1228" s="1" t="str">
        <f ca="1">IFERROR(__xludf.DUMMYFUNCTION("GOOGLETRANSLATE(A1228, ""en"", ""fr"")"),"LIER")</f>
        <v>LIER</v>
      </c>
      <c r="C1228" s="1" t="s">
        <v>185</v>
      </c>
      <c r="G1228" s="1" t="s">
        <v>3</v>
      </c>
      <c r="J1228" s="1" t="s">
        <v>6</v>
      </c>
      <c r="AC1228" s="1" t="s">
        <v>25</v>
      </c>
      <c r="BK1228" s="1" t="s">
        <v>59</v>
      </c>
      <c r="BL1228" s="1" t="s">
        <v>60</v>
      </c>
      <c r="GC1228" s="1" t="s">
        <v>181</v>
      </c>
      <c r="GD1228" s="1" t="s">
        <v>193</v>
      </c>
      <c r="GE1228" s="1" t="s">
        <v>190</v>
      </c>
    </row>
    <row r="1229" spans="1:187" ht="11.25" customHeight="1">
      <c r="A1229" s="1" t="s">
        <v>1920</v>
      </c>
      <c r="B1229" s="1" t="str">
        <f ca="1">IFERROR(__xludf.DUMMYFUNCTION("GOOGLETRANSLATE(A1229, ""en"", ""fr"")"),"ESCLAVAGE")</f>
        <v>ESCLAVAGE</v>
      </c>
      <c r="C1229" s="1" t="s">
        <v>185</v>
      </c>
      <c r="E1229" s="1" t="s">
        <v>16613</v>
      </c>
      <c r="H1229" s="1" t="s">
        <v>4</v>
      </c>
      <c r="L1229" s="1" t="s">
        <v>8</v>
      </c>
      <c r="M1229" s="1" t="s">
        <v>9</v>
      </c>
      <c r="O1229" s="1" t="s">
        <v>11</v>
      </c>
      <c r="V1229" s="1" t="s">
        <v>18</v>
      </c>
      <c r="DT1229" s="1" t="s">
        <v>120</v>
      </c>
      <c r="ED1229" s="1" t="s">
        <v>130</v>
      </c>
      <c r="GD1229" s="1" t="s">
        <v>193</v>
      </c>
      <c r="GE1229" s="1" t="s">
        <v>190</v>
      </c>
    </row>
    <row r="1230" spans="1:187" ht="11.25" customHeight="1">
      <c r="A1230" s="1" t="s">
        <v>1921</v>
      </c>
      <c r="B1230" s="1" t="str">
        <f ca="1">IFERROR(__xludf.DUMMYFUNCTION("GOOGLETRANSLATE(A1230, ""en"", ""fr"")"),"OS")</f>
        <v>OS</v>
      </c>
      <c r="C1230" s="1" t="s">
        <v>185</v>
      </c>
      <c r="BJ1230" s="1" t="s">
        <v>58</v>
      </c>
      <c r="EZ1230" s="1" t="s">
        <v>152</v>
      </c>
      <c r="FC1230" s="1" t="s">
        <v>155</v>
      </c>
      <c r="GD1230" s="1" t="s">
        <v>193</v>
      </c>
      <c r="GE1230" s="1" t="s">
        <v>1922</v>
      </c>
    </row>
    <row r="1231" spans="1:187" ht="11.25" customHeight="1">
      <c r="A1231" s="1" t="s">
        <v>1923</v>
      </c>
      <c r="B1231" s="1" t="str">
        <f ca="1">IFERROR(__xludf.DUMMYFUNCTION("GOOGLETRANSLATE(A1231, ""en"", ""fr"")"),"BEAU")</f>
        <v>BEAU</v>
      </c>
      <c r="C1231" s="1" t="s">
        <v>192</v>
      </c>
      <c r="D1231" s="1" t="s">
        <v>16612</v>
      </c>
      <c r="U1231" s="1" t="s">
        <v>17</v>
      </c>
      <c r="CM1231" s="1" t="s">
        <v>87</v>
      </c>
      <c r="DR1231" s="1" t="s">
        <v>118</v>
      </c>
      <c r="GD1231" s="1" t="s">
        <v>202</v>
      </c>
      <c r="GE1231" s="1" t="s">
        <v>190</v>
      </c>
    </row>
    <row r="1232" spans="1:187" ht="11.25" customHeight="1">
      <c r="A1232" s="1" t="s">
        <v>1924</v>
      </c>
      <c r="B1232" s="1" t="str">
        <f ca="1">IFERROR(__xludf.DUMMYFUNCTION("GOOGLETRANSLATE(A1232, ""en"", ""fr"")"),"PRIME")</f>
        <v>PRIME</v>
      </c>
      <c r="C1232" s="1" t="s">
        <v>185</v>
      </c>
      <c r="D1232" s="1" t="s">
        <v>16612</v>
      </c>
      <c r="F1232" s="1" t="s">
        <v>2</v>
      </c>
      <c r="AA1232" s="1" t="s">
        <v>23</v>
      </c>
      <c r="AC1232" s="1" t="s">
        <v>25</v>
      </c>
      <c r="BK1232" s="1" t="s">
        <v>59</v>
      </c>
      <c r="EV1232" s="1" t="s">
        <v>148</v>
      </c>
      <c r="EW1232" s="1" t="s">
        <v>149</v>
      </c>
      <c r="GC1232" s="1" t="s">
        <v>181</v>
      </c>
      <c r="GD1232" s="1" t="s">
        <v>193</v>
      </c>
      <c r="GE1232" s="1" t="s">
        <v>190</v>
      </c>
    </row>
    <row r="1233" spans="1:187" ht="11.25" customHeight="1">
      <c r="A1233" s="1" t="s">
        <v>1925</v>
      </c>
      <c r="B1233" s="1" t="str">
        <f ca="1">IFERROR(__xludf.DUMMYFUNCTION("GOOGLETRANSLATE(A1233, ""en"", ""fr"")"),"LIVRE")</f>
        <v>LIVRE</v>
      </c>
      <c r="C1233" s="1" t="s">
        <v>185</v>
      </c>
      <c r="BC1233" s="1" t="s">
        <v>51</v>
      </c>
      <c r="BH1233" s="1" t="s">
        <v>56</v>
      </c>
      <c r="BL1233" s="1" t="s">
        <v>60</v>
      </c>
      <c r="FH1233" s="1" t="s">
        <v>160</v>
      </c>
      <c r="FI1233" s="1" t="s">
        <v>161</v>
      </c>
      <c r="GD1233" s="1" t="s">
        <v>193</v>
      </c>
      <c r="GE1233" s="1" t="s">
        <v>1926</v>
      </c>
    </row>
    <row r="1234" spans="1:187" ht="11.25" customHeight="1">
      <c r="A1234" s="1" t="s">
        <v>1927</v>
      </c>
      <c r="B1234" s="1" t="str">
        <f ca="1">IFERROR(__xludf.DUMMYFUNCTION("GOOGLETRANSLATE(A1234, ""en"", ""fr"")"),"TENUE DE LIVRE COMPTE")</f>
        <v>TENUE DE LIVRE COMPTE</v>
      </c>
      <c r="C1234" s="1" t="s">
        <v>185</v>
      </c>
      <c r="AA1234" s="1" t="s">
        <v>23</v>
      </c>
      <c r="BQ1234" s="1" t="s">
        <v>65</v>
      </c>
      <c r="EV1234" s="1" t="s">
        <v>148</v>
      </c>
      <c r="EW1234" s="1" t="s">
        <v>149</v>
      </c>
      <c r="GD1234" s="1" t="s">
        <v>193</v>
      </c>
      <c r="GE1234" s="1" t="s">
        <v>190</v>
      </c>
    </row>
    <row r="1235" spans="1:187" ht="11.25" customHeight="1">
      <c r="A1235" s="1" t="s">
        <v>1928</v>
      </c>
      <c r="B1235" s="1" t="str">
        <f ca="1">IFERROR(__xludf.DUMMYFUNCTION("GOOGLETRANSLATE(A1235, ""en"", ""fr"")"),"BOOM")</f>
        <v>BOOM</v>
      </c>
      <c r="C1235" s="1" t="s">
        <v>192</v>
      </c>
      <c r="D1235" s="1" t="s">
        <v>16612</v>
      </c>
      <c r="J1235" s="1" t="s">
        <v>6</v>
      </c>
      <c r="AA1235" s="1" t="s">
        <v>23</v>
      </c>
      <c r="BX1235" s="1" t="s">
        <v>72</v>
      </c>
      <c r="GD1235" s="1" t="s">
        <v>193</v>
      </c>
      <c r="GE1235" s="1" t="s">
        <v>190</v>
      </c>
    </row>
    <row r="1236" spans="1:187" ht="11.25" customHeight="1">
      <c r="A1236" s="1" t="s">
        <v>1929</v>
      </c>
      <c r="B1236" s="1" t="str">
        <f ca="1">IFERROR(__xludf.DUMMYFUNCTION("GOOGLETRANSLATE(A1236, ""en"", ""fr"")"),"Boost # 1")</f>
        <v>Boost # 1</v>
      </c>
      <c r="C1236" s="1" t="s">
        <v>185</v>
      </c>
      <c r="D1236" s="1" t="s">
        <v>16612</v>
      </c>
      <c r="F1236" s="1" t="s">
        <v>2</v>
      </c>
      <c r="J1236" s="1" t="s">
        <v>6</v>
      </c>
      <c r="N1236" s="1" t="s">
        <v>10</v>
      </c>
      <c r="BX1236" s="1" t="s">
        <v>72</v>
      </c>
      <c r="FN1236" s="1" t="s">
        <v>166</v>
      </c>
      <c r="GD1236" s="1" t="s">
        <v>202</v>
      </c>
      <c r="GE1236" s="1" t="s">
        <v>190</v>
      </c>
    </row>
    <row r="1237" spans="1:187" ht="11.25" customHeight="1">
      <c r="A1237" s="1" t="s">
        <v>1930</v>
      </c>
      <c r="B1237" s="1" t="str">
        <f ca="1">IFERROR(__xludf.DUMMYFUNCTION("GOOGLETRANSLATE(A1237, ""en"", ""fr"")"),"Boost # 2")</f>
        <v>Boost # 2</v>
      </c>
      <c r="C1237" s="1" t="s">
        <v>185</v>
      </c>
      <c r="D1237" s="1" t="s">
        <v>16612</v>
      </c>
      <c r="F1237" s="1" t="s">
        <v>2</v>
      </c>
      <c r="J1237" s="1" t="s">
        <v>6</v>
      </c>
      <c r="N1237" s="1" t="s">
        <v>10</v>
      </c>
      <c r="BX1237" s="1" t="s">
        <v>72</v>
      </c>
      <c r="DN1237" s="1" t="s">
        <v>114</v>
      </c>
      <c r="FN1237" s="1" t="s">
        <v>166</v>
      </c>
      <c r="GD1237" s="1" t="s">
        <v>189</v>
      </c>
      <c r="GE1237" s="1" t="s">
        <v>190</v>
      </c>
    </row>
    <row r="1238" spans="1:187" ht="11.25" customHeight="1">
      <c r="A1238" s="1" t="s">
        <v>1931</v>
      </c>
      <c r="B1238" s="1" t="str">
        <f ca="1">IFERROR(__xludf.DUMMYFUNCTION("GOOGLETRANSLATE(A1238, ""en"", ""fr"")"),"BOTTE")</f>
        <v>BOTTE</v>
      </c>
      <c r="C1238" s="1" t="s">
        <v>192</v>
      </c>
      <c r="E1238" s="1" t="s">
        <v>16613</v>
      </c>
      <c r="G1238" s="1" t="s">
        <v>3</v>
      </c>
      <c r="K1238" s="1" t="s">
        <v>7</v>
      </c>
      <c r="N1238" s="1" t="s">
        <v>10</v>
      </c>
      <c r="DN1238" s="1" t="s">
        <v>114</v>
      </c>
      <c r="GD1238" s="1" t="s">
        <v>670</v>
      </c>
      <c r="GE1238" s="1" t="s">
        <v>190</v>
      </c>
    </row>
    <row r="1239" spans="1:187" ht="11.25" customHeight="1">
      <c r="A1239" s="1" t="s">
        <v>1932</v>
      </c>
      <c r="B1239" s="1" t="str">
        <f ca="1">IFERROR(__xludf.DUMMYFUNCTION("GOOGLETRANSLATE(A1239, ""en"", ""fr"")"),"Border n ° 1")</f>
        <v>Border n ° 1</v>
      </c>
      <c r="C1239" s="1" t="s">
        <v>185</v>
      </c>
      <c r="AG1239" s="1" t="s">
        <v>29</v>
      </c>
      <c r="AH1239" s="1" t="s">
        <v>30</v>
      </c>
      <c r="AV1239" s="1" t="s">
        <v>44</v>
      </c>
      <c r="BA1239" s="1" t="s">
        <v>49</v>
      </c>
      <c r="GD1239" s="1" t="s">
        <v>193</v>
      </c>
      <c r="GE1239" s="1" t="s">
        <v>190</v>
      </c>
    </row>
    <row r="1240" spans="1:187" ht="11.25" customHeight="1">
      <c r="A1240" s="1" t="s">
        <v>1933</v>
      </c>
      <c r="B1240" s="1" t="str">
        <f ca="1">IFERROR(__xludf.DUMMYFUNCTION("GOOGLETRANSLATE(A1240, ""en"", ""fr"")"),"Frontière n ° 2")</f>
        <v>Frontière n ° 2</v>
      </c>
      <c r="C1240" s="1" t="s">
        <v>185</v>
      </c>
      <c r="DA1240" s="1" t="s">
        <v>101</v>
      </c>
      <c r="DN1240" s="1" t="s">
        <v>114</v>
      </c>
      <c r="GD1240" s="1" t="s">
        <v>189</v>
      </c>
      <c r="GE1240" s="1" t="s">
        <v>190</v>
      </c>
    </row>
    <row r="1241" spans="1:187" ht="11.25" customHeight="1">
      <c r="A1241" s="1" t="s">
        <v>1934</v>
      </c>
      <c r="B1241" s="1" t="str">
        <f ca="1">IFERROR(__xludf.DUMMYFUNCTION("GOOGLETRANSLATE(A1241, ""en"", ""fr"")"),"Alésage n ° 1")</f>
        <v>Alésage n ° 1</v>
      </c>
      <c r="C1241" s="1" t="s">
        <v>185</v>
      </c>
      <c r="E1241" s="1" t="s">
        <v>16613</v>
      </c>
      <c r="H1241" s="1" t="s">
        <v>4</v>
      </c>
      <c r="V1241" s="1" t="s">
        <v>18</v>
      </c>
      <c r="FW1241" s="1" t="s">
        <v>175</v>
      </c>
      <c r="GD1241" s="1" t="s">
        <v>193</v>
      </c>
      <c r="GE1241" s="1" t="s">
        <v>1935</v>
      </c>
    </row>
    <row r="1242" spans="1:187" ht="11.25" customHeight="1">
      <c r="A1242" s="1" t="s">
        <v>1936</v>
      </c>
      <c r="B1242" s="1" t="str">
        <f ca="1">IFERROR(__xludf.DUMMYFUNCTION("GOOGLETRANSLATE(A1242, ""en"", ""fr"")"),"Alésage n ° 2")</f>
        <v>Alésage n ° 2</v>
      </c>
      <c r="C1242" s="1" t="s">
        <v>185</v>
      </c>
      <c r="BC1242" s="1" t="s">
        <v>51</v>
      </c>
      <c r="BD1242" s="1" t="s">
        <v>52</v>
      </c>
      <c r="FL1242" s="1" t="s">
        <v>164</v>
      </c>
      <c r="FM1242" s="1" t="s">
        <v>418</v>
      </c>
      <c r="GD1242" s="1" t="s">
        <v>193</v>
      </c>
      <c r="GE1242" s="1" t="s">
        <v>1937</v>
      </c>
    </row>
    <row r="1243" spans="1:187" ht="11.25" customHeight="1">
      <c r="A1243" s="1" t="s">
        <v>1938</v>
      </c>
      <c r="B1243" s="1" t="str">
        <f ca="1">IFERROR(__xludf.DUMMYFUNCTION("GOOGLETRANSLATE(A1243, ""en"", ""fr"")"),"Alésage n ° 3")</f>
        <v>Alésage n ° 3</v>
      </c>
      <c r="C1243" s="1" t="s">
        <v>185</v>
      </c>
      <c r="J1243" s="1" t="s">
        <v>6</v>
      </c>
      <c r="N1243" s="1" t="s">
        <v>10</v>
      </c>
      <c r="AL1243" s="1" t="s">
        <v>34</v>
      </c>
      <c r="DN1243" s="1" t="s">
        <v>114</v>
      </c>
      <c r="GD1243" s="1" t="s">
        <v>1076</v>
      </c>
      <c r="GE1243" s="1" t="s">
        <v>1939</v>
      </c>
    </row>
    <row r="1244" spans="1:187" ht="11.25" customHeight="1">
      <c r="A1244" s="1" t="s">
        <v>1940</v>
      </c>
      <c r="B1244" s="1" t="str">
        <f ca="1">IFERROR(__xludf.DUMMYFUNCTION("GOOGLETRANSLATE(A1244, ""en"", ""fr"")"),"Alésage n ° 4")</f>
        <v>Alésage n ° 4</v>
      </c>
      <c r="C1244" s="1" t="s">
        <v>185</v>
      </c>
      <c r="BU1244" s="1" t="s">
        <v>69</v>
      </c>
      <c r="DO1244" s="1" t="s">
        <v>115</v>
      </c>
      <c r="EZ1244" s="1" t="s">
        <v>152</v>
      </c>
      <c r="FC1244" s="1" t="s">
        <v>155</v>
      </c>
      <c r="GD1244" s="1" t="s">
        <v>1076</v>
      </c>
      <c r="GE1244" s="1" t="s">
        <v>1941</v>
      </c>
    </row>
    <row r="1245" spans="1:187" ht="11.25" customHeight="1">
      <c r="A1245" s="1" t="s">
        <v>1942</v>
      </c>
      <c r="B1245" s="1" t="str">
        <f ca="1">IFERROR(__xludf.DUMMYFUNCTION("GOOGLETRANSLATE(A1245, ""en"", ""fr"")"),"Alésage n ° 5")</f>
        <v>Alésage n ° 5</v>
      </c>
      <c r="C1245" s="1" t="s">
        <v>185</v>
      </c>
      <c r="E1245" s="1" t="s">
        <v>16613</v>
      </c>
      <c r="H1245" s="1" t="s">
        <v>4</v>
      </c>
      <c r="O1245" s="1" t="s">
        <v>11</v>
      </c>
      <c r="V1245" s="1" t="s">
        <v>18</v>
      </c>
      <c r="FW1245" s="1" t="s">
        <v>175</v>
      </c>
      <c r="GD1245" s="1" t="s">
        <v>202</v>
      </c>
      <c r="GE1245" s="1" t="s">
        <v>1943</v>
      </c>
    </row>
    <row r="1246" spans="1:187" ht="11.25" customHeight="1">
      <c r="A1246" s="1" t="s">
        <v>1944</v>
      </c>
      <c r="B1246" s="1" t="str">
        <f ca="1">IFERROR(__xludf.DUMMYFUNCTION("GOOGLETRANSLATE(A1246, ""en"", ""fr"")"),"Alésage n ° 6")</f>
        <v>Alésage n ° 6</v>
      </c>
      <c r="C1246" s="1" t="s">
        <v>185</v>
      </c>
      <c r="E1246" s="1" t="s">
        <v>16613</v>
      </c>
      <c r="H1246" s="1" t="s">
        <v>4</v>
      </c>
      <c r="V1246" s="1" t="s">
        <v>18</v>
      </c>
      <c r="FW1246" s="1" t="s">
        <v>175</v>
      </c>
      <c r="GD1246" s="1" t="s">
        <v>202</v>
      </c>
      <c r="GE1246" s="1" t="s">
        <v>1945</v>
      </c>
    </row>
    <row r="1247" spans="1:187" ht="11.25" customHeight="1">
      <c r="A1247" s="1" t="s">
        <v>1946</v>
      </c>
      <c r="B1247" s="1" t="str">
        <f ca="1">IFERROR(__xludf.DUMMYFUNCTION("GOOGLETRANSLATE(A1247, ""en"", ""fr"")"),"ENNUI")</f>
        <v>ENNUI</v>
      </c>
      <c r="C1247" s="1" t="s">
        <v>192</v>
      </c>
      <c r="E1247" s="1" t="s">
        <v>16613</v>
      </c>
      <c r="V1247" s="1" t="s">
        <v>18</v>
      </c>
      <c r="GD1247" s="1" t="s">
        <v>193</v>
      </c>
      <c r="GE1247" s="1" t="s">
        <v>190</v>
      </c>
    </row>
    <row r="1248" spans="1:187" ht="11.25" customHeight="1">
      <c r="A1248" s="1" t="s">
        <v>1947</v>
      </c>
      <c r="B1248" s="1" t="str">
        <f ca="1">IFERROR(__xludf.DUMMYFUNCTION("GOOGLETRANSLATE(A1248, ""en"", ""fr"")"),"NÉ")</f>
        <v>NÉ</v>
      </c>
      <c r="C1248" s="1" t="s">
        <v>185</v>
      </c>
      <c r="O1248" s="1" t="s">
        <v>11</v>
      </c>
      <c r="BU1248" s="1" t="s">
        <v>69</v>
      </c>
      <c r="EZ1248" s="1" t="s">
        <v>152</v>
      </c>
      <c r="FC1248" s="1" t="s">
        <v>155</v>
      </c>
      <c r="GD1248" s="1" t="s">
        <v>202</v>
      </c>
      <c r="GE1248" s="1" t="s">
        <v>1948</v>
      </c>
    </row>
    <row r="1249" spans="1:187" ht="11.25" customHeight="1">
      <c r="A1249" s="1" t="s">
        <v>1949</v>
      </c>
      <c r="B1249" s="1" t="str">
        <f ca="1">IFERROR(__xludf.DUMMYFUNCTION("GOOGLETRANSLATE(A1249, ""en"", ""fr"")"),"Né")</f>
        <v>Né</v>
      </c>
      <c r="C1249" s="1" t="s">
        <v>196</v>
      </c>
      <c r="FP1249" s="1" t="s">
        <v>168</v>
      </c>
      <c r="GD1249" s="1" t="s">
        <v>189</v>
      </c>
    </row>
    <row r="1250" spans="1:187" ht="11.25" customHeight="1">
      <c r="A1250" s="1" t="s">
        <v>1950</v>
      </c>
      <c r="B1250" s="1" t="str">
        <f ca="1">IFERROR(__xludf.DUMMYFUNCTION("GOOGLETRANSLATE(A1250, ""en"", ""fr"")"),"Emprunter # 1")</f>
        <v>Emprunter # 1</v>
      </c>
      <c r="C1250" s="1" t="s">
        <v>185</v>
      </c>
      <c r="AA1250" s="1" t="s">
        <v>23</v>
      </c>
      <c r="AB1250" s="1" t="s">
        <v>24</v>
      </c>
      <c r="EU1250" s="1" t="s">
        <v>147</v>
      </c>
      <c r="EW1250" s="1" t="s">
        <v>149</v>
      </c>
      <c r="GD1250" s="1" t="s">
        <v>202</v>
      </c>
      <c r="GE1250" s="1" t="s">
        <v>190</v>
      </c>
    </row>
    <row r="1251" spans="1:187" ht="11.25" customHeight="1">
      <c r="A1251" s="1" t="s">
        <v>1951</v>
      </c>
      <c r="B1251" s="1" t="str">
        <f ca="1">IFERROR(__xludf.DUMMYFUNCTION("GOOGLETRANSLATE(A1251, ""en"", ""fr"")"),"Emprunter # 2")</f>
        <v>Emprunter # 2</v>
      </c>
      <c r="C1251" s="1" t="s">
        <v>185</v>
      </c>
      <c r="L1251" s="1" t="s">
        <v>8</v>
      </c>
      <c r="AA1251" s="1" t="s">
        <v>23</v>
      </c>
      <c r="AB1251" s="1" t="s">
        <v>24</v>
      </c>
      <c r="DN1251" s="1" t="s">
        <v>114</v>
      </c>
      <c r="EU1251" s="1" t="s">
        <v>147</v>
      </c>
      <c r="EW1251" s="1" t="s">
        <v>149</v>
      </c>
      <c r="GD1251" s="1" t="s">
        <v>189</v>
      </c>
      <c r="GE1251" s="1" t="s">
        <v>190</v>
      </c>
    </row>
    <row r="1252" spans="1:187" ht="11.25" customHeight="1">
      <c r="A1252" s="1" t="s">
        <v>1952</v>
      </c>
      <c r="B1252" s="1" t="str">
        <f ca="1">IFERROR(__xludf.DUMMYFUNCTION("GOOGLETRANSLATE(A1252, ""en"", ""fr"")"),"SEIN")</f>
        <v>SEIN</v>
      </c>
      <c r="C1252" s="1" t="s">
        <v>185</v>
      </c>
      <c r="BJ1252" s="1" t="s">
        <v>58</v>
      </c>
      <c r="EZ1252" s="1" t="s">
        <v>152</v>
      </c>
      <c r="FC1252" s="1" t="s">
        <v>155</v>
      </c>
      <c r="GD1252" s="1" t="s">
        <v>193</v>
      </c>
      <c r="GE1252" s="1" t="s">
        <v>190</v>
      </c>
    </row>
    <row r="1253" spans="1:187" ht="11.25" customHeight="1">
      <c r="A1253" s="1" t="s">
        <v>1953</v>
      </c>
      <c r="B1253" s="1" t="str">
        <f ca="1">IFERROR(__xludf.DUMMYFUNCTION("GOOGLETRANSLATE(A1253, ""en"", ""fr"")"),"CHEF")</f>
        <v>CHEF</v>
      </c>
      <c r="C1253" s="1" t="s">
        <v>185</v>
      </c>
      <c r="J1253" s="1" t="s">
        <v>6</v>
      </c>
      <c r="K1253" s="1" t="s">
        <v>7</v>
      </c>
      <c r="N1253" s="1" t="s">
        <v>10</v>
      </c>
      <c r="AA1253" s="1" t="s">
        <v>23</v>
      </c>
      <c r="AC1253" s="1" t="s">
        <v>25</v>
      </c>
      <c r="AJ1253" s="1" t="s">
        <v>32</v>
      </c>
      <c r="AT1253" s="1" t="s">
        <v>42</v>
      </c>
      <c r="DY1253" s="1" t="s">
        <v>125</v>
      </c>
      <c r="ED1253" s="1" t="s">
        <v>130</v>
      </c>
      <c r="GD1253" s="1" t="s">
        <v>193</v>
      </c>
      <c r="GE1253" s="1" t="s">
        <v>1954</v>
      </c>
    </row>
    <row r="1254" spans="1:187" ht="11.25" customHeight="1">
      <c r="A1254" s="1" t="s">
        <v>1955</v>
      </c>
      <c r="B1254" s="1" t="str">
        <f ca="1">IFERROR(__xludf.DUMMYFUNCTION("GOOGLETRANSLATE(A1254, ""en"", ""fr"")"),"BOSTON")</f>
        <v>BOSTON</v>
      </c>
      <c r="C1254" s="1" t="s">
        <v>185</v>
      </c>
      <c r="AC1254" s="1" t="s">
        <v>25</v>
      </c>
      <c r="AH1254" s="1" t="s">
        <v>30</v>
      </c>
      <c r="DI1254" s="1" t="s">
        <v>109</v>
      </c>
      <c r="GD1254" s="1" t="s">
        <v>193</v>
      </c>
      <c r="GE1254" s="1" t="s">
        <v>190</v>
      </c>
    </row>
    <row r="1255" spans="1:187" ht="11.25" customHeight="1">
      <c r="A1255" s="1" t="s">
        <v>1956</v>
      </c>
      <c r="B1255" s="1" t="str">
        <f ca="1">IFERROR(__xludf.DUMMYFUNCTION("GOOGLETRANSLATE(A1255, ""en"", ""fr"")"),"Les deux n ° 1")</f>
        <v>Les deux n ° 1</v>
      </c>
      <c r="C1255" s="1" t="s">
        <v>185</v>
      </c>
      <c r="CS1255" s="1" t="s">
        <v>93</v>
      </c>
      <c r="GD1255" s="1" t="s">
        <v>1957</v>
      </c>
      <c r="GE1255" s="1" t="s">
        <v>1958</v>
      </c>
    </row>
    <row r="1256" spans="1:187" ht="11.25" customHeight="1">
      <c r="A1256" s="1" t="s">
        <v>1959</v>
      </c>
      <c r="B1256" s="1" t="str">
        <f ca="1">IFERROR(__xludf.DUMMYFUNCTION("GOOGLETRANSLATE(A1256, ""en"", ""fr"")"),"Les deux # 2")</f>
        <v>Les deux # 2</v>
      </c>
      <c r="C1256" s="1" t="s">
        <v>185</v>
      </c>
      <c r="GD1256" s="1" t="s">
        <v>763</v>
      </c>
      <c r="GE1256" s="1" t="s">
        <v>1960</v>
      </c>
    </row>
    <row r="1257" spans="1:187" ht="11.25" customHeight="1">
      <c r="A1257" s="1" t="s">
        <v>1961</v>
      </c>
      <c r="B1257" s="1" t="str">
        <f ca="1">IFERROR(__xludf.DUMMYFUNCTION("GOOGLETRANSLATE(A1257, ""en"", ""fr"")"),"Les deux # 3")</f>
        <v>Les deux # 3</v>
      </c>
      <c r="C1257" s="1" t="s">
        <v>185</v>
      </c>
      <c r="CS1257" s="1" t="s">
        <v>93</v>
      </c>
      <c r="GD1257" s="1" t="s">
        <v>1962</v>
      </c>
      <c r="GE1257" s="1" t="s">
        <v>1963</v>
      </c>
    </row>
    <row r="1258" spans="1:187" ht="11.25" customHeight="1">
      <c r="A1258" s="1" t="s">
        <v>1964</v>
      </c>
      <c r="B1258" s="1" t="str">
        <f ca="1">IFERROR(__xludf.DUMMYFUNCTION("GOOGLETRANSLATE(A1258, ""en"", ""fr"")"),"Déranger # 1")</f>
        <v>Déranger # 1</v>
      </c>
      <c r="C1258" s="1" t="s">
        <v>185</v>
      </c>
      <c r="E1258" s="1" t="s">
        <v>16613</v>
      </c>
      <c r="H1258" s="1" t="s">
        <v>4</v>
      </c>
      <c r="I1258" s="1" t="s">
        <v>5</v>
      </c>
      <c r="N1258" s="1" t="s">
        <v>10</v>
      </c>
      <c r="AN1258" s="1" t="s">
        <v>36</v>
      </c>
      <c r="DN1258" s="1" t="s">
        <v>114</v>
      </c>
      <c r="FW1258" s="1" t="s">
        <v>175</v>
      </c>
      <c r="GD1258" s="1" t="s">
        <v>400</v>
      </c>
      <c r="GE1258" s="1" t="s">
        <v>1965</v>
      </c>
    </row>
    <row r="1259" spans="1:187" ht="11.25" customHeight="1">
      <c r="A1259" s="1" t="s">
        <v>1966</v>
      </c>
      <c r="B1259" s="1" t="str">
        <f ca="1">IFERROR(__xludf.DUMMYFUNCTION("GOOGLETRANSLATE(A1259, ""en"", ""fr"")"),"Déranger # 2")</f>
        <v>Déranger # 2</v>
      </c>
      <c r="C1259" s="1" t="s">
        <v>185</v>
      </c>
      <c r="N1259" s="1" t="s">
        <v>10</v>
      </c>
      <c r="AL1259" s="1" t="s">
        <v>34</v>
      </c>
      <c r="DN1259" s="1" t="s">
        <v>114</v>
      </c>
      <c r="FO1259" s="1" t="s">
        <v>167</v>
      </c>
      <c r="GD1259" s="1" t="s">
        <v>189</v>
      </c>
      <c r="GE1259" s="1" t="s">
        <v>1967</v>
      </c>
    </row>
    <row r="1260" spans="1:187" ht="11.25" customHeight="1">
      <c r="A1260" s="1" t="s">
        <v>1968</v>
      </c>
      <c r="B1260" s="1" t="str">
        <f ca="1">IFERROR(__xludf.DUMMYFUNCTION("GOOGLETRANSLATE(A1260, ""en"", ""fr"")"),"Déranger # 3")</f>
        <v>Déranger # 3</v>
      </c>
      <c r="C1260" s="1" t="s">
        <v>185</v>
      </c>
      <c r="E1260" s="1" t="s">
        <v>16613</v>
      </c>
      <c r="H1260" s="1" t="s">
        <v>4</v>
      </c>
      <c r="V1260" s="1" t="s">
        <v>18</v>
      </c>
      <c r="FW1260" s="1" t="s">
        <v>175</v>
      </c>
      <c r="GD1260" s="1" t="s">
        <v>193</v>
      </c>
      <c r="GE1260" s="1" t="s">
        <v>1969</v>
      </c>
    </row>
    <row r="1261" spans="1:187" ht="11.25" customHeight="1">
      <c r="A1261" s="1" t="s">
        <v>1970</v>
      </c>
      <c r="B1261" s="1" t="str">
        <f ca="1">IFERROR(__xludf.DUMMYFUNCTION("GOOGLETRANSLATE(A1261, ""en"", ""fr"")"),"ENNUYEUX")</f>
        <v>ENNUYEUX</v>
      </c>
      <c r="C1261" s="1" t="s">
        <v>185</v>
      </c>
      <c r="E1261" s="1" t="s">
        <v>16613</v>
      </c>
      <c r="H1261" s="1" t="s">
        <v>4</v>
      </c>
      <c r="V1261" s="1" t="s">
        <v>18</v>
      </c>
      <c r="FW1261" s="1" t="s">
        <v>175</v>
      </c>
      <c r="GD1261" s="1" t="s">
        <v>193</v>
      </c>
      <c r="GE1261" s="1" t="s">
        <v>190</v>
      </c>
    </row>
    <row r="1262" spans="1:187" ht="11.25" customHeight="1">
      <c r="A1262" s="1" t="s">
        <v>1971</v>
      </c>
      <c r="B1262" s="1" t="str">
        <f ca="1">IFERROR(__xludf.DUMMYFUNCTION("GOOGLETRANSLATE(A1262, ""en"", ""fr"")"),"BOUTEILLE")</f>
        <v>BOUTEILLE</v>
      </c>
      <c r="C1262" s="1" t="s">
        <v>185</v>
      </c>
      <c r="BC1262" s="1" t="s">
        <v>51</v>
      </c>
      <c r="BD1262" s="1" t="s">
        <v>52</v>
      </c>
      <c r="GD1262" s="1" t="s">
        <v>193</v>
      </c>
      <c r="GE1262" s="1" t="s">
        <v>1972</v>
      </c>
    </row>
    <row r="1263" spans="1:187" ht="11.25" customHeight="1">
      <c r="A1263" s="1" t="s">
        <v>1973</v>
      </c>
      <c r="B1263" s="1" t="str">
        <f ca="1">IFERROR(__xludf.DUMMYFUNCTION("GOOGLETRANSLATE(A1263, ""en"", ""fr"")"),"BAS")</f>
        <v>BAS</v>
      </c>
      <c r="C1263" s="1" t="s">
        <v>185</v>
      </c>
      <c r="DA1263" s="1" t="s">
        <v>101</v>
      </c>
      <c r="DB1263" s="1" t="s">
        <v>102</v>
      </c>
      <c r="GB1263" s="1" t="s">
        <v>180</v>
      </c>
      <c r="GD1263" s="1" t="s">
        <v>193</v>
      </c>
      <c r="GE1263" s="1" t="s">
        <v>1974</v>
      </c>
    </row>
    <row r="1264" spans="1:187" ht="11.25" customHeight="1">
      <c r="A1264" s="1" t="s">
        <v>1975</v>
      </c>
      <c r="B1264" s="1" t="str">
        <f ca="1">IFERROR(__xludf.DUMMYFUNCTION("GOOGLETRANSLATE(A1264, ""en"", ""fr"")"),"ACHETÉ")</f>
        <v>ACHETÉ</v>
      </c>
      <c r="C1264" s="1" t="s">
        <v>185</v>
      </c>
      <c r="N1264" s="1" t="s">
        <v>10</v>
      </c>
      <c r="AA1264" s="1" t="s">
        <v>23</v>
      </c>
      <c r="AL1264" s="1" t="s">
        <v>34</v>
      </c>
      <c r="DO1264" s="1" t="s">
        <v>115</v>
      </c>
      <c r="EU1264" s="1" t="s">
        <v>147</v>
      </c>
      <c r="EW1264" s="1" t="s">
        <v>149</v>
      </c>
      <c r="GD1264" s="1" t="s">
        <v>1076</v>
      </c>
      <c r="GE1264" s="1" t="s">
        <v>1976</v>
      </c>
    </row>
    <row r="1265" spans="1:187" ht="11.25" customHeight="1">
      <c r="A1265" s="1" t="s">
        <v>1977</v>
      </c>
      <c r="B1265" s="1" t="str">
        <f ca="1">IFERROR(__xludf.DUMMYFUNCTION("GOOGLETRANSLATE(A1265, ""en"", ""fr"")"),"ROCHER")</f>
        <v>ROCHER</v>
      </c>
      <c r="C1265" s="1" t="s">
        <v>185</v>
      </c>
      <c r="BC1265" s="1" t="s">
        <v>51</v>
      </c>
      <c r="BI1265" s="1" t="s">
        <v>57</v>
      </c>
      <c r="GD1265" s="1" t="s">
        <v>193</v>
      </c>
      <c r="GE1265" s="1" t="s">
        <v>190</v>
      </c>
    </row>
    <row r="1266" spans="1:187" ht="11.25" customHeight="1">
      <c r="A1266" s="1" t="s">
        <v>1978</v>
      </c>
      <c r="B1266" s="1" t="str">
        <f ca="1">IFERROR(__xludf.DUMMYFUNCTION("GOOGLETRANSLATE(A1266, ""en"", ""fr"")"),"BOULEVARD")</f>
        <v>BOULEVARD</v>
      </c>
      <c r="C1266" s="1" t="s">
        <v>185</v>
      </c>
      <c r="AV1266" s="1" t="s">
        <v>44</v>
      </c>
      <c r="AY1266" s="1" t="s">
        <v>47</v>
      </c>
      <c r="GD1266" s="1" t="s">
        <v>193</v>
      </c>
      <c r="GE1266" s="1" t="s">
        <v>190</v>
      </c>
    </row>
    <row r="1267" spans="1:187" ht="11.25" customHeight="1">
      <c r="A1267" s="1" t="s">
        <v>1979</v>
      </c>
      <c r="B1267" s="1" t="str">
        <f ca="1">IFERROR(__xludf.DUMMYFUNCTION("GOOGLETRANSLATE(A1267, ""en"", ""fr"")"),"REBOND")</f>
        <v>REBOND</v>
      </c>
      <c r="C1267" s="1" t="s">
        <v>185</v>
      </c>
      <c r="N1267" s="1" t="s">
        <v>10</v>
      </c>
      <c r="CC1267" s="1" t="s">
        <v>77</v>
      </c>
      <c r="DO1267" s="1" t="s">
        <v>115</v>
      </c>
      <c r="GD1267" s="1" t="s">
        <v>189</v>
      </c>
      <c r="GE1267" s="1" t="s">
        <v>190</v>
      </c>
    </row>
    <row r="1268" spans="1:187" ht="11.25" customHeight="1">
      <c r="A1268" s="1" t="s">
        <v>1980</v>
      </c>
      <c r="B1268" s="1" t="str">
        <f ca="1">IFERROR(__xludf.DUMMYFUNCTION("GOOGLETRANSLATE(A1268, ""en"", ""fr"")"),"Lié n ° 1")</f>
        <v>Lié n ° 1</v>
      </c>
      <c r="C1268" s="1" t="s">
        <v>185</v>
      </c>
      <c r="DA1268" s="1" t="s">
        <v>101</v>
      </c>
      <c r="EE1268" s="1" t="s">
        <v>131</v>
      </c>
      <c r="EJ1268" s="1" t="s">
        <v>136</v>
      </c>
      <c r="GD1268" s="1" t="s">
        <v>193</v>
      </c>
      <c r="GE1268" s="1" t="s">
        <v>1981</v>
      </c>
    </row>
    <row r="1269" spans="1:187" ht="11.25" customHeight="1">
      <c r="A1269" s="1" t="s">
        <v>1982</v>
      </c>
      <c r="B1269" s="1" t="str">
        <f ca="1">IFERROR(__xludf.DUMMYFUNCTION("GOOGLETRANSLATE(A1269, ""en"", ""fr"")"),"Lié n ° 2")</f>
        <v>Lié n ° 2</v>
      </c>
      <c r="C1269" s="1" t="s">
        <v>185</v>
      </c>
      <c r="J1269" s="1" t="s">
        <v>6</v>
      </c>
      <c r="CC1269" s="1" t="s">
        <v>77</v>
      </c>
      <c r="DN1269" s="1" t="s">
        <v>114</v>
      </c>
      <c r="EE1269" s="1" t="s">
        <v>131</v>
      </c>
      <c r="EJ1269" s="1" t="s">
        <v>136</v>
      </c>
      <c r="GD1269" s="1" t="s">
        <v>1076</v>
      </c>
      <c r="GE1269" s="1" t="s">
        <v>1983</v>
      </c>
    </row>
    <row r="1270" spans="1:187" ht="11.25" customHeight="1">
      <c r="A1270" s="1" t="s">
        <v>1984</v>
      </c>
      <c r="B1270" s="1" t="str">
        <f ca="1">IFERROR(__xludf.DUMMYFUNCTION("GOOGLETRANSLATE(A1270, ""en"", ""fr"")"),"Lié n ° 3")</f>
        <v>Lié n ° 3</v>
      </c>
      <c r="C1270" s="1" t="s">
        <v>185</v>
      </c>
      <c r="E1270" s="1" t="s">
        <v>16613</v>
      </c>
      <c r="H1270" s="1" t="s">
        <v>4</v>
      </c>
      <c r="L1270" s="1" t="s">
        <v>8</v>
      </c>
      <c r="O1270" s="1" t="s">
        <v>11</v>
      </c>
      <c r="V1270" s="1" t="s">
        <v>18</v>
      </c>
      <c r="EE1270" s="1" t="s">
        <v>131</v>
      </c>
      <c r="EJ1270" s="1" t="s">
        <v>136</v>
      </c>
      <c r="GD1270" s="1" t="s">
        <v>202</v>
      </c>
      <c r="GE1270" s="1" t="s">
        <v>1985</v>
      </c>
    </row>
    <row r="1271" spans="1:187" ht="11.25" customHeight="1">
      <c r="A1271" s="1" t="s">
        <v>1986</v>
      </c>
      <c r="B1271" s="1" t="str">
        <f ca="1">IFERROR(__xludf.DUMMYFUNCTION("GOOGLETRANSLATE(A1271, ""en"", ""fr"")"),"Lié n ° 4")</f>
        <v>Lié n ° 4</v>
      </c>
      <c r="C1271" s="1" t="s">
        <v>185</v>
      </c>
      <c r="CI1271" s="1" t="s">
        <v>83</v>
      </c>
      <c r="FY1271" s="1" t="s">
        <v>177</v>
      </c>
      <c r="GD1271" s="1" t="s">
        <v>202</v>
      </c>
      <c r="GE1271" s="1" t="s">
        <v>1987</v>
      </c>
    </row>
    <row r="1272" spans="1:187" ht="11.25" customHeight="1">
      <c r="A1272" s="1" t="s">
        <v>1988</v>
      </c>
      <c r="B1272" s="1" t="str">
        <f ca="1">IFERROR(__xludf.DUMMYFUNCTION("GOOGLETRANSLATE(A1272, ""en"", ""fr"")"),"Lié n ° 5")</f>
        <v>Lié n ° 5</v>
      </c>
      <c r="C1272" s="1" t="s">
        <v>185</v>
      </c>
      <c r="BQ1272" s="1" t="s">
        <v>65</v>
      </c>
      <c r="GD1272" s="1" t="s">
        <v>202</v>
      </c>
      <c r="GE1272" s="1" t="s">
        <v>1989</v>
      </c>
    </row>
    <row r="1273" spans="1:187" ht="11.25" customHeight="1">
      <c r="A1273" s="1" t="s">
        <v>1990</v>
      </c>
      <c r="B1273" s="1" t="str">
        <f ca="1">IFERROR(__xludf.DUMMYFUNCTION("GOOGLETRANSLATE(A1273, ""en"", ""fr"")"),"FRONTIÈRE")</f>
        <v>FRONTIÈRE</v>
      </c>
      <c r="C1273" s="1" t="s">
        <v>185</v>
      </c>
      <c r="AH1273" s="1" t="s">
        <v>30</v>
      </c>
      <c r="DA1273" s="1" t="s">
        <v>101</v>
      </c>
      <c r="GB1273" s="1" t="s">
        <v>180</v>
      </c>
      <c r="GD1273" s="1" t="s">
        <v>193</v>
      </c>
      <c r="GE1273" s="1" t="s">
        <v>1991</v>
      </c>
    </row>
    <row r="1274" spans="1:187" ht="11.25" customHeight="1">
      <c r="A1274" s="1" t="s">
        <v>1992</v>
      </c>
      <c r="B1274" s="1" t="str">
        <f ca="1">IFERROR(__xludf.DUMMYFUNCTION("GOOGLETRANSLATE(A1274, ""en"", ""fr"")"),"SANS BORNES")</f>
        <v>SANS BORNES</v>
      </c>
      <c r="C1274" s="1" t="s">
        <v>192</v>
      </c>
      <c r="D1274" s="1" t="s">
        <v>16612</v>
      </c>
      <c r="J1274" s="1" t="s">
        <v>6</v>
      </c>
      <c r="BX1274" s="1" t="s">
        <v>72</v>
      </c>
      <c r="CS1274" s="1" t="s">
        <v>93</v>
      </c>
      <c r="DR1274" s="1" t="s">
        <v>118</v>
      </c>
      <c r="GD1274" s="1" t="s">
        <v>202</v>
      </c>
      <c r="GE1274" s="1" t="s">
        <v>190</v>
      </c>
    </row>
    <row r="1275" spans="1:187" ht="11.25" customHeight="1">
      <c r="A1275" s="1" t="s">
        <v>1993</v>
      </c>
      <c r="B1275" s="1" t="str">
        <f ca="1">IFERROR(__xludf.DUMMYFUNCTION("GOOGLETRANSLATE(A1275, ""en"", ""fr"")"),"GÉNÉREUX")</f>
        <v>GÉNÉREUX</v>
      </c>
      <c r="C1275" s="1" t="s">
        <v>185</v>
      </c>
      <c r="D1275" s="1" t="s">
        <v>16612</v>
      </c>
      <c r="J1275" s="1" t="s">
        <v>6</v>
      </c>
      <c r="BX1275" s="1" t="s">
        <v>72</v>
      </c>
      <c r="CS1275" s="1" t="s">
        <v>93</v>
      </c>
      <c r="DR1275" s="1" t="s">
        <v>118</v>
      </c>
      <c r="EV1275" s="1" t="s">
        <v>148</v>
      </c>
      <c r="EW1275" s="1" t="s">
        <v>149</v>
      </c>
      <c r="GD1275" s="1" t="s">
        <v>202</v>
      </c>
      <c r="GE1275" s="1" t="s">
        <v>190</v>
      </c>
    </row>
    <row r="1276" spans="1:187" ht="11.25" customHeight="1">
      <c r="A1276" s="1" t="s">
        <v>1994</v>
      </c>
      <c r="B1276" s="1" t="str">
        <f ca="1">IFERROR(__xludf.DUMMYFUNCTION("GOOGLETRANSLATE(A1276, ""en"", ""fr"")"),"PRIME")</f>
        <v>PRIME</v>
      </c>
      <c r="C1276" s="1" t="s">
        <v>196</v>
      </c>
      <c r="EV1276" s="1" t="s">
        <v>148</v>
      </c>
      <c r="EW1276" s="1" t="s">
        <v>149</v>
      </c>
      <c r="GD1276" s="1" t="s">
        <v>875</v>
      </c>
    </row>
    <row r="1277" spans="1:187" ht="11.25" customHeight="1">
      <c r="A1277" s="1" t="s">
        <v>1995</v>
      </c>
      <c r="B1277" s="1" t="str">
        <f ca="1">IFERROR(__xludf.DUMMYFUNCTION("GOOGLETRANSLATE(A1277, ""en"", ""fr"")"),"BOURGEOIS")</f>
        <v>BOURGEOIS</v>
      </c>
      <c r="C1277" s="1" t="s">
        <v>196</v>
      </c>
      <c r="EA1277" s="1" t="s">
        <v>127</v>
      </c>
      <c r="ED1277" s="1" t="s">
        <v>130</v>
      </c>
      <c r="GD1277" s="1" t="s">
        <v>212</v>
      </c>
    </row>
    <row r="1278" spans="1:187" ht="11.25" customHeight="1">
      <c r="A1278" s="1" t="s">
        <v>1996</v>
      </c>
      <c r="B1278" s="1" t="str">
        <f ca="1">IFERROR(__xludf.DUMMYFUNCTION("GOOGLETRANSLATE(A1278, ""en"", ""fr"")"),"BOURGEOISIE")</f>
        <v>BOURGEOISIE</v>
      </c>
      <c r="C1278" s="1" t="s">
        <v>196</v>
      </c>
      <c r="EA1278" s="1" t="s">
        <v>127</v>
      </c>
      <c r="ED1278" s="1" t="s">
        <v>130</v>
      </c>
      <c r="GD1278" s="1" t="s">
        <v>1997</v>
      </c>
    </row>
    <row r="1279" spans="1:187" ht="11.25" customHeight="1">
      <c r="A1279" s="1" t="s">
        <v>1998</v>
      </c>
      <c r="B1279" s="1" t="str">
        <f ca="1">IFERROR(__xludf.DUMMYFUNCTION("GOOGLETRANSLATE(A1279, ""en"", ""fr"")"),"COMBAT")</f>
        <v>COMBAT</v>
      </c>
      <c r="C1279" s="1" t="s">
        <v>185</v>
      </c>
      <c r="E1279" s="1" t="s">
        <v>16613</v>
      </c>
      <c r="H1279" s="1" t="s">
        <v>4</v>
      </c>
      <c r="I1279" s="1" t="s">
        <v>5</v>
      </c>
      <c r="N1279" s="1" t="s">
        <v>10</v>
      </c>
      <c r="AM1279" s="1" t="s">
        <v>35</v>
      </c>
      <c r="DW1279" s="1" t="s">
        <v>123</v>
      </c>
      <c r="ED1279" s="1" t="s">
        <v>130</v>
      </c>
      <c r="GD1279" s="1" t="s">
        <v>193</v>
      </c>
      <c r="GE1279" s="1" t="s">
        <v>190</v>
      </c>
    </row>
    <row r="1280" spans="1:187" ht="11.25" customHeight="1">
      <c r="A1280" s="1" t="s">
        <v>1999</v>
      </c>
      <c r="B1280" s="1" t="str">
        <f ca="1">IFERROR(__xludf.DUMMYFUNCTION("GOOGLETRANSLATE(A1280, ""en"", ""fr"")"),"Arc # 1")</f>
        <v>Arc # 1</v>
      </c>
      <c r="C1280" s="1" t="s">
        <v>185</v>
      </c>
      <c r="AF1280" s="1" t="s">
        <v>28</v>
      </c>
      <c r="BC1280" s="1" t="s">
        <v>51</v>
      </c>
      <c r="BD1280" s="1" t="s">
        <v>52</v>
      </c>
      <c r="DW1280" s="1" t="s">
        <v>123</v>
      </c>
      <c r="ED1280" s="1" t="s">
        <v>130</v>
      </c>
      <c r="GD1280" s="1" t="s">
        <v>849</v>
      </c>
      <c r="GE1280" s="1" t="s">
        <v>2000</v>
      </c>
    </row>
    <row r="1281" spans="1:187" ht="11.25" customHeight="1">
      <c r="A1281" s="1" t="s">
        <v>2001</v>
      </c>
      <c r="B1281" s="1" t="str">
        <f ca="1">IFERROR(__xludf.DUMMYFUNCTION("GOOGLETRANSLATE(A1281, ""en"", ""fr"")"),"Arc # 2")</f>
        <v>Arc # 2</v>
      </c>
      <c r="C1281" s="1" t="s">
        <v>185</v>
      </c>
      <c r="L1281" s="1" t="s">
        <v>8</v>
      </c>
      <c r="M1281" s="1" t="s">
        <v>9</v>
      </c>
      <c r="BK1281" s="1" t="s">
        <v>59</v>
      </c>
      <c r="DO1281" s="1" t="s">
        <v>115</v>
      </c>
      <c r="DT1281" s="1" t="s">
        <v>120</v>
      </c>
      <c r="ED1281" s="1" t="s">
        <v>130</v>
      </c>
      <c r="GD1281" s="1" t="s">
        <v>189</v>
      </c>
      <c r="GE1281" s="1" t="s">
        <v>2002</v>
      </c>
    </row>
    <row r="1282" spans="1:187" ht="11.25" customHeight="1">
      <c r="A1282" s="1" t="s">
        <v>2003</v>
      </c>
      <c r="B1282" s="1" t="str">
        <f ca="1">IFERROR(__xludf.DUMMYFUNCTION("GOOGLETRANSLATE(A1282, ""en"", ""fr"")"),"Arc # 3")</f>
        <v>Arc # 3</v>
      </c>
      <c r="C1282" s="1" t="s">
        <v>185</v>
      </c>
      <c r="L1282" s="1" t="s">
        <v>8</v>
      </c>
      <c r="O1282" s="1" t="s">
        <v>11</v>
      </c>
      <c r="V1282" s="1" t="s">
        <v>18</v>
      </c>
      <c r="DT1282" s="1" t="s">
        <v>120</v>
      </c>
      <c r="ED1282" s="1" t="s">
        <v>130</v>
      </c>
      <c r="GD1282" s="1" t="s">
        <v>202</v>
      </c>
      <c r="GE1282" s="1" t="s">
        <v>2004</v>
      </c>
    </row>
    <row r="1283" spans="1:187" ht="11.25" customHeight="1">
      <c r="A1283" s="1" t="s">
        <v>2005</v>
      </c>
      <c r="B1283" s="1" t="str">
        <f ca="1">IFERROR(__xludf.DUMMYFUNCTION("GOOGLETRANSLATE(A1283, ""en"", ""fr"")"),"TONNELLE")</f>
        <v>TONNELLE</v>
      </c>
      <c r="C1283" s="1" t="s">
        <v>185</v>
      </c>
      <c r="AV1283" s="1" t="s">
        <v>44</v>
      </c>
      <c r="AW1283" s="1" t="s">
        <v>45</v>
      </c>
      <c r="GD1283" s="1" t="s">
        <v>193</v>
      </c>
      <c r="GE1283" s="1" t="s">
        <v>190</v>
      </c>
    </row>
    <row r="1284" spans="1:187" ht="11.25" customHeight="1">
      <c r="A1284" s="1" t="s">
        <v>2006</v>
      </c>
      <c r="B1284" s="1" t="str">
        <f ca="1">IFERROR(__xludf.DUMMYFUNCTION("GOOGLETRANSLATE(A1284, ""en"", ""fr"")"),"Bol n ° 1")</f>
        <v>Bol n ° 1</v>
      </c>
      <c r="C1284" s="1" t="s">
        <v>185</v>
      </c>
      <c r="BC1284" s="1" t="s">
        <v>51</v>
      </c>
      <c r="BD1284" s="1" t="s">
        <v>52</v>
      </c>
      <c r="GD1284" s="1" t="s">
        <v>193</v>
      </c>
      <c r="GE1284" s="1" t="s">
        <v>190</v>
      </c>
    </row>
    <row r="1285" spans="1:187" ht="11.25" customHeight="1">
      <c r="A1285" s="1" t="s">
        <v>2007</v>
      </c>
      <c r="B1285" s="1" t="str">
        <f ca="1">IFERROR(__xludf.DUMMYFUNCTION("GOOGLETRANSLATE(A1285, ""en"", ""fr"")"),"Bol n ° 2")</f>
        <v>Bol n ° 2</v>
      </c>
      <c r="C1285" s="1" t="s">
        <v>185</v>
      </c>
      <c r="AD1285" s="1" t="s">
        <v>26</v>
      </c>
      <c r="CC1285" s="1" t="s">
        <v>77</v>
      </c>
      <c r="DN1285" s="1" t="s">
        <v>114</v>
      </c>
      <c r="GD1285" s="1" t="s">
        <v>189</v>
      </c>
      <c r="GE1285" s="1" t="s">
        <v>190</v>
      </c>
    </row>
    <row r="1286" spans="1:187" ht="11.25" customHeight="1">
      <c r="A1286" s="1" t="s">
        <v>2008</v>
      </c>
      <c r="B1286" s="1" t="str">
        <f ca="1">IFERROR(__xludf.DUMMYFUNCTION("GOOGLETRANSLATE(A1286, ""en"", ""fr"")"),"Box # 1")</f>
        <v>Box # 1</v>
      </c>
      <c r="C1286" s="1" t="s">
        <v>185</v>
      </c>
      <c r="BC1286" s="1" t="s">
        <v>51</v>
      </c>
      <c r="BD1286" s="1" t="s">
        <v>52</v>
      </c>
      <c r="GD1286" s="1" t="s">
        <v>193</v>
      </c>
      <c r="GE1286" s="1" t="s">
        <v>2009</v>
      </c>
    </row>
    <row r="1287" spans="1:187" ht="11.25" customHeight="1">
      <c r="A1287" s="1" t="s">
        <v>2010</v>
      </c>
      <c r="B1287" s="1" t="str">
        <f ca="1">IFERROR(__xludf.DUMMYFUNCTION("GOOGLETRANSLATE(A1287, ""en"", ""fr"")"),"Box # 2")</f>
        <v>Box # 2</v>
      </c>
      <c r="C1287" s="1" t="s">
        <v>185</v>
      </c>
      <c r="E1287" s="1" t="s">
        <v>16613</v>
      </c>
      <c r="H1287" s="1" t="s">
        <v>4</v>
      </c>
      <c r="I1287" s="1" t="s">
        <v>5</v>
      </c>
      <c r="J1287" s="1" t="s">
        <v>6</v>
      </c>
      <c r="N1287" s="1" t="s">
        <v>10</v>
      </c>
      <c r="AN1287" s="1" t="s">
        <v>36</v>
      </c>
      <c r="DO1287" s="1" t="s">
        <v>115</v>
      </c>
      <c r="DW1287" s="1" t="s">
        <v>123</v>
      </c>
      <c r="ED1287" s="1" t="s">
        <v>130</v>
      </c>
      <c r="GD1287" s="1" t="s">
        <v>189</v>
      </c>
      <c r="GE1287" s="1" t="s">
        <v>2011</v>
      </c>
    </row>
    <row r="1288" spans="1:187" ht="11.25" customHeight="1">
      <c r="A1288" s="1" t="s">
        <v>2012</v>
      </c>
      <c r="B1288" s="1" t="str">
        <f ca="1">IFERROR(__xludf.DUMMYFUNCTION("GOOGLETRANSLATE(A1288, ""en"", ""fr"")"),"Box # 3")</f>
        <v>Box # 3</v>
      </c>
      <c r="C1288" s="1" t="s">
        <v>185</v>
      </c>
      <c r="N1288" s="1" t="s">
        <v>10</v>
      </c>
      <c r="CC1288" s="1" t="s">
        <v>77</v>
      </c>
      <c r="DN1288" s="1" t="s">
        <v>114</v>
      </c>
      <c r="DT1288" s="1" t="s">
        <v>120</v>
      </c>
      <c r="ED1288" s="1" t="s">
        <v>130</v>
      </c>
      <c r="GD1288" s="1" t="s">
        <v>189</v>
      </c>
      <c r="GE1288" s="1" t="s">
        <v>2013</v>
      </c>
    </row>
    <row r="1289" spans="1:187" ht="11.25" customHeight="1">
      <c r="A1289" s="1" t="s">
        <v>2014</v>
      </c>
      <c r="B1289" s="1" t="str">
        <f ca="1">IFERROR(__xludf.DUMMYFUNCTION("GOOGLETRANSLATE(A1289, ""en"", ""fr"")"),"Box # 4")</f>
        <v>Box # 4</v>
      </c>
      <c r="C1289" s="1" t="s">
        <v>185</v>
      </c>
      <c r="J1289" s="1" t="s">
        <v>6</v>
      </c>
      <c r="N1289" s="1" t="s">
        <v>10</v>
      </c>
      <c r="AC1289" s="1" t="s">
        <v>25</v>
      </c>
      <c r="AD1289" s="1" t="s">
        <v>26</v>
      </c>
      <c r="AM1289" s="1" t="s">
        <v>35</v>
      </c>
      <c r="FL1289" s="1" t="s">
        <v>164</v>
      </c>
      <c r="FM1289" s="1" t="s">
        <v>418</v>
      </c>
      <c r="GD1289" s="1" t="s">
        <v>193</v>
      </c>
      <c r="GE1289" s="1" t="s">
        <v>2015</v>
      </c>
    </row>
    <row r="1290" spans="1:187" ht="11.25" customHeight="1">
      <c r="A1290" s="1" t="s">
        <v>2016</v>
      </c>
      <c r="B1290" s="1" t="str">
        <f ca="1">IFERROR(__xludf.DUMMYFUNCTION("GOOGLETRANSLATE(A1290, ""en"", ""fr"")"),"BOXEUR")</f>
        <v>BOXEUR</v>
      </c>
      <c r="C1290" s="1" t="s">
        <v>185</v>
      </c>
      <c r="J1290" s="1" t="s">
        <v>6</v>
      </c>
      <c r="N1290" s="1" t="s">
        <v>10</v>
      </c>
      <c r="AD1290" s="1" t="s">
        <v>26</v>
      </c>
      <c r="AJ1290" s="1" t="s">
        <v>32</v>
      </c>
      <c r="AT1290" s="1" t="s">
        <v>42</v>
      </c>
      <c r="FK1290" s="1" t="s">
        <v>163</v>
      </c>
      <c r="FM1290" s="1" t="s">
        <v>418</v>
      </c>
      <c r="GD1290" s="1" t="s">
        <v>193</v>
      </c>
      <c r="GE1290" s="1" t="s">
        <v>190</v>
      </c>
    </row>
    <row r="1291" spans="1:187" ht="11.25" customHeight="1">
      <c r="A1291" s="1" t="s">
        <v>2017</v>
      </c>
      <c r="B1291" s="1" t="str">
        <f ca="1">IFERROR(__xludf.DUMMYFUNCTION("GOOGLETRANSLATE(A1291, ""en"", ""fr"")"),"GARÇON")</f>
        <v>GARÇON</v>
      </c>
      <c r="C1291" s="1" t="s">
        <v>185</v>
      </c>
      <c r="AJ1291" s="1" t="s">
        <v>32</v>
      </c>
      <c r="AQ1291" s="1" t="s">
        <v>39</v>
      </c>
      <c r="AS1291" s="1" t="s">
        <v>41</v>
      </c>
      <c r="AT1291" s="1" t="s">
        <v>42</v>
      </c>
      <c r="EZ1291" s="1" t="s">
        <v>152</v>
      </c>
      <c r="FC1291" s="1" t="s">
        <v>155</v>
      </c>
      <c r="GD1291" s="1" t="s">
        <v>193</v>
      </c>
      <c r="GE1291" s="1" t="s">
        <v>2018</v>
      </c>
    </row>
    <row r="1292" spans="1:187" ht="11.25" customHeight="1">
      <c r="A1292" s="1" t="s">
        <v>2019</v>
      </c>
      <c r="B1292" s="1" t="str">
        <f ca="1">IFERROR(__xludf.DUMMYFUNCTION("GOOGLETRANSLATE(A1292, ""en"", ""fr"")"),"Boycott # 1")</f>
        <v>Boycott # 1</v>
      </c>
      <c r="C1292" s="1" t="s">
        <v>185</v>
      </c>
      <c r="I1292" s="1" t="s">
        <v>5</v>
      </c>
      <c r="N1292" s="1" t="s">
        <v>10</v>
      </c>
      <c r="AC1292" s="1" t="s">
        <v>25</v>
      </c>
      <c r="BK1292" s="1" t="s">
        <v>59</v>
      </c>
      <c r="BL1292" s="1" t="s">
        <v>60</v>
      </c>
      <c r="DW1292" s="1" t="s">
        <v>123</v>
      </c>
      <c r="ED1292" s="1" t="s">
        <v>130</v>
      </c>
      <c r="GC1292" s="1" t="s">
        <v>181</v>
      </c>
      <c r="GD1292" s="1" t="s">
        <v>193</v>
      </c>
      <c r="GE1292" s="1" t="s">
        <v>190</v>
      </c>
    </row>
    <row r="1293" spans="1:187" ht="11.25" customHeight="1">
      <c r="A1293" s="1" t="s">
        <v>2020</v>
      </c>
      <c r="B1293" s="1" t="str">
        <f ca="1">IFERROR(__xludf.DUMMYFUNCTION("GOOGLETRANSLATE(A1293, ""en"", ""fr"")"),"Boycott # 2")</f>
        <v>Boycott # 2</v>
      </c>
      <c r="C1293" s="1" t="s">
        <v>185</v>
      </c>
      <c r="I1293" s="1" t="s">
        <v>5</v>
      </c>
      <c r="N1293" s="1" t="s">
        <v>10</v>
      </c>
      <c r="BK1293" s="1" t="s">
        <v>59</v>
      </c>
      <c r="DN1293" s="1" t="s">
        <v>114</v>
      </c>
      <c r="DW1293" s="1" t="s">
        <v>123</v>
      </c>
      <c r="ED1293" s="1" t="s">
        <v>130</v>
      </c>
      <c r="GD1293" s="1" t="s">
        <v>189</v>
      </c>
      <c r="GE1293" s="1" t="s">
        <v>190</v>
      </c>
    </row>
    <row r="1294" spans="1:187" ht="11.25" customHeight="1">
      <c r="A1294" s="1" t="s">
        <v>2021</v>
      </c>
      <c r="B1294" s="1" t="str">
        <f ca="1">IFERROR(__xludf.DUMMYFUNCTION("GOOGLETRANSLATE(A1294, ""en"", ""fr"")"),"Accolade n ° 1")</f>
        <v>Accolade n ° 1</v>
      </c>
      <c r="C1294" s="1" t="s">
        <v>185</v>
      </c>
      <c r="J1294" s="1" t="s">
        <v>6</v>
      </c>
      <c r="BC1294" s="1" t="s">
        <v>51</v>
      </c>
      <c r="BD1294" s="1" t="s">
        <v>52</v>
      </c>
      <c r="GD1294" s="1" t="s">
        <v>193</v>
      </c>
      <c r="GE1294" s="1" t="s">
        <v>190</v>
      </c>
    </row>
    <row r="1295" spans="1:187" ht="11.25" customHeight="1">
      <c r="A1295" s="1" t="s">
        <v>2022</v>
      </c>
      <c r="B1295" s="1" t="str">
        <f ca="1">IFERROR(__xludf.DUMMYFUNCTION("GOOGLETRANSLATE(A1295, ""en"", ""fr"")"),"Accolade n ° 2")</f>
        <v>Accolade n ° 2</v>
      </c>
      <c r="C1295" s="1" t="s">
        <v>185</v>
      </c>
      <c r="J1295" s="1" t="s">
        <v>6</v>
      </c>
      <c r="AL1295" s="1" t="s">
        <v>34</v>
      </c>
      <c r="DN1295" s="1" t="s">
        <v>114</v>
      </c>
      <c r="GD1295" s="1" t="s">
        <v>189</v>
      </c>
      <c r="GE1295" s="1" t="s">
        <v>190</v>
      </c>
    </row>
    <row r="1296" spans="1:187" ht="11.25" customHeight="1">
      <c r="A1296" s="1" t="s">
        <v>2023</v>
      </c>
      <c r="B1296" s="1" t="str">
        <f ca="1">IFERROR(__xludf.DUMMYFUNCTION("GOOGLETRANSLATE(A1296, ""en"", ""fr"")"),"SE VANTER")</f>
        <v>SE VANTER</v>
      </c>
      <c r="C1296" s="1" t="s">
        <v>192</v>
      </c>
      <c r="E1296" s="1" t="s">
        <v>16613</v>
      </c>
      <c r="K1296" s="1" t="s">
        <v>7</v>
      </c>
      <c r="N1296" s="1" t="s">
        <v>10</v>
      </c>
      <c r="BK1296" s="1" t="s">
        <v>59</v>
      </c>
      <c r="DN1296" s="1" t="s">
        <v>114</v>
      </c>
      <c r="GD1296" s="1" t="s">
        <v>189</v>
      </c>
      <c r="GE1296" s="1" t="s">
        <v>190</v>
      </c>
    </row>
    <row r="1297" spans="1:187" ht="11.25" customHeight="1">
      <c r="A1297" s="1" t="s">
        <v>2024</v>
      </c>
      <c r="B1297" s="1" t="str">
        <f ca="1">IFERROR(__xludf.DUMMYFUNCTION("GOOGLETRANSLATE(A1297, ""en"", ""fr"")"),"CERVEAU")</f>
        <v>CERVEAU</v>
      </c>
      <c r="C1297" s="1" t="s">
        <v>185</v>
      </c>
      <c r="BJ1297" s="1" t="s">
        <v>58</v>
      </c>
      <c r="FH1297" s="1" t="s">
        <v>160</v>
      </c>
      <c r="FI1297" s="1" t="s">
        <v>161</v>
      </c>
      <c r="GD1297" s="1" t="s">
        <v>193</v>
      </c>
      <c r="GE1297" s="1" t="s">
        <v>190</v>
      </c>
    </row>
    <row r="1298" spans="1:187" ht="11.25" customHeight="1">
      <c r="A1298" s="1" t="s">
        <v>2025</v>
      </c>
      <c r="B1298" s="1" t="str">
        <f ca="1">IFERROR(__xludf.DUMMYFUNCTION("GOOGLETRANSLATE(A1298, ""en"", ""fr"")"),"INTELLIGENT")</f>
        <v>INTELLIGENT</v>
      </c>
      <c r="C1298" s="1" t="s">
        <v>192</v>
      </c>
      <c r="D1298" s="1" t="s">
        <v>16612</v>
      </c>
      <c r="CG1298" s="1" t="s">
        <v>81</v>
      </c>
      <c r="DR1298" s="1" t="s">
        <v>118</v>
      </c>
      <c r="GD1298" s="1" t="s">
        <v>202</v>
      </c>
      <c r="GE1298" s="1" t="s">
        <v>190</v>
      </c>
    </row>
    <row r="1299" spans="1:187" ht="11.25" customHeight="1">
      <c r="A1299" s="1" t="s">
        <v>2026</v>
      </c>
      <c r="B1299" s="1" t="str">
        <f ca="1">IFERROR(__xludf.DUMMYFUNCTION("GOOGLETRANSLATE(A1299, ""en"", ""fr"")"),"FREIN")</f>
        <v>FREIN</v>
      </c>
      <c r="C1299" s="1" t="s">
        <v>185</v>
      </c>
      <c r="BC1299" s="1" t="s">
        <v>51</v>
      </c>
      <c r="BD1299" s="1" t="s">
        <v>52</v>
      </c>
      <c r="GD1299" s="1" t="s">
        <v>193</v>
      </c>
      <c r="GE1299" s="1" t="s">
        <v>190</v>
      </c>
    </row>
    <row r="1300" spans="1:187" ht="11.25" customHeight="1">
      <c r="A1300" s="1" t="s">
        <v>2027</v>
      </c>
      <c r="B1300" s="1" t="str">
        <f ca="1">IFERROR(__xludf.DUMMYFUNCTION("GOOGLETRANSLATE(A1300, ""en"", ""fr"")"),"Branche n ° 1")</f>
        <v>Branche n ° 1</v>
      </c>
      <c r="C1300" s="1" t="s">
        <v>185</v>
      </c>
      <c r="DA1300" s="1" t="s">
        <v>101</v>
      </c>
      <c r="GD1300" s="1" t="s">
        <v>193</v>
      </c>
      <c r="GE1300" s="1" t="s">
        <v>2028</v>
      </c>
    </row>
    <row r="1301" spans="1:187" ht="11.25" customHeight="1">
      <c r="A1301" s="1" t="s">
        <v>2029</v>
      </c>
      <c r="B1301" s="1" t="str">
        <f ca="1">IFERROR(__xludf.DUMMYFUNCTION("GOOGLETRANSLATE(A1301, ""en"", ""fr"")"),"Branche n ° 2")</f>
        <v>Branche n ° 2</v>
      </c>
      <c r="C1301" s="1" t="s">
        <v>196</v>
      </c>
      <c r="EV1301" s="1" t="s">
        <v>148</v>
      </c>
      <c r="EW1301" s="1" t="s">
        <v>149</v>
      </c>
      <c r="GD1301" s="1" t="s">
        <v>2030</v>
      </c>
    </row>
    <row r="1302" spans="1:187" ht="11.25" customHeight="1">
      <c r="A1302" s="1" t="s">
        <v>2031</v>
      </c>
      <c r="B1302" s="1" t="str">
        <f ca="1">IFERROR(__xludf.DUMMYFUNCTION("GOOGLETRANSLATE(A1302, ""en"", ""fr"")"),"Branche n ° 3")</f>
        <v>Branche n ° 3</v>
      </c>
      <c r="C1302" s="1" t="s">
        <v>192</v>
      </c>
      <c r="N1302" s="1" t="s">
        <v>10</v>
      </c>
      <c r="BX1302" s="1" t="s">
        <v>72</v>
      </c>
      <c r="DN1302" s="1" t="s">
        <v>114</v>
      </c>
      <c r="GD1302" s="1" t="s">
        <v>189</v>
      </c>
      <c r="GE1302" s="1" t="s">
        <v>2032</v>
      </c>
    </row>
    <row r="1303" spans="1:187" ht="11.25" customHeight="1">
      <c r="A1303" s="1" t="s">
        <v>2033</v>
      </c>
      <c r="B1303" s="1" t="str">
        <f ca="1">IFERROR(__xludf.DUMMYFUNCTION("GOOGLETRANSLATE(A1303, ""en"", ""fr"")"),"Marque n ° 1")</f>
        <v>Marque n ° 1</v>
      </c>
      <c r="C1303" s="1" t="s">
        <v>185</v>
      </c>
      <c r="AA1303" s="1" t="s">
        <v>23</v>
      </c>
      <c r="AC1303" s="1" t="s">
        <v>25</v>
      </c>
      <c r="BK1303" s="1" t="s">
        <v>59</v>
      </c>
      <c r="BL1303" s="1" t="s">
        <v>60</v>
      </c>
      <c r="GC1303" s="1" t="s">
        <v>181</v>
      </c>
      <c r="GD1303" s="1" t="s">
        <v>193</v>
      </c>
      <c r="GE1303" s="1" t="s">
        <v>190</v>
      </c>
    </row>
    <row r="1304" spans="1:187" ht="11.25" customHeight="1">
      <c r="A1304" s="1" t="s">
        <v>2034</v>
      </c>
      <c r="B1304" s="1" t="str">
        <f ca="1">IFERROR(__xludf.DUMMYFUNCTION("GOOGLETRANSLATE(A1304, ""en"", ""fr"")"),"Marque n ° 2")</f>
        <v>Marque n ° 2</v>
      </c>
      <c r="C1304" s="1" t="s">
        <v>185</v>
      </c>
      <c r="I1304" s="1" t="s">
        <v>5</v>
      </c>
      <c r="BK1304" s="1" t="s">
        <v>59</v>
      </c>
      <c r="DN1304" s="1" t="s">
        <v>114</v>
      </c>
      <c r="GD1304" s="1" t="s">
        <v>189</v>
      </c>
      <c r="GE1304" s="1" t="s">
        <v>190</v>
      </c>
    </row>
    <row r="1305" spans="1:187" ht="11.25" customHeight="1">
      <c r="A1305" s="1" t="s">
        <v>2035</v>
      </c>
      <c r="B1305" s="1" t="str">
        <f ca="1">IFERROR(__xludf.DUMMYFUNCTION("GOOGLETRANSLATE(A1305, ""en"", ""fr"")"),"BRANDIR")</f>
        <v>BRANDIR</v>
      </c>
      <c r="C1305" s="1" t="s">
        <v>185</v>
      </c>
      <c r="E1305" s="1" t="s">
        <v>16613</v>
      </c>
      <c r="H1305" s="1" t="s">
        <v>4</v>
      </c>
      <c r="I1305" s="1" t="s">
        <v>5</v>
      </c>
      <c r="J1305" s="1" t="s">
        <v>6</v>
      </c>
      <c r="N1305" s="1" t="s">
        <v>10</v>
      </c>
      <c r="CC1305" s="1" t="s">
        <v>77</v>
      </c>
      <c r="DN1305" s="1" t="s">
        <v>114</v>
      </c>
      <c r="DW1305" s="1" t="s">
        <v>123</v>
      </c>
      <c r="ED1305" s="1" t="s">
        <v>130</v>
      </c>
      <c r="GD1305" s="1" t="s">
        <v>189</v>
      </c>
      <c r="GE1305" s="1" t="s">
        <v>190</v>
      </c>
    </row>
    <row r="1306" spans="1:187" ht="11.25" customHeight="1">
      <c r="A1306" s="1" t="s">
        <v>2036</v>
      </c>
      <c r="B1306" s="1" t="str">
        <f ca="1">IFERROR(__xludf.DUMMYFUNCTION("GOOGLETRANSLATE(A1306, ""en"", ""fr"")"),"BRANDY")</f>
        <v>BRANDY</v>
      </c>
      <c r="C1306" s="1" t="s">
        <v>185</v>
      </c>
      <c r="BC1306" s="1" t="s">
        <v>51</v>
      </c>
      <c r="BE1306" s="1" t="s">
        <v>53</v>
      </c>
      <c r="GD1306" s="1" t="s">
        <v>193</v>
      </c>
      <c r="GE1306" s="1" t="s">
        <v>190</v>
      </c>
    </row>
    <row r="1307" spans="1:187" ht="11.25" customHeight="1">
      <c r="A1307" s="1" t="s">
        <v>2037</v>
      </c>
      <c r="B1307" s="1" t="str">
        <f ca="1">IFERROR(__xludf.DUMMYFUNCTION("GOOGLETRANSLATE(A1307, ""en"", ""fr"")"),"LAITON")</f>
        <v>LAITON</v>
      </c>
      <c r="C1307" s="1" t="s">
        <v>185</v>
      </c>
      <c r="BC1307" s="1" t="s">
        <v>51</v>
      </c>
      <c r="BD1307" s="1" t="s">
        <v>52</v>
      </c>
      <c r="EV1307" s="1" t="s">
        <v>148</v>
      </c>
      <c r="EW1307" s="1" t="s">
        <v>149</v>
      </c>
      <c r="GD1307" s="1" t="s">
        <v>193</v>
      </c>
      <c r="GE1307" s="1" t="s">
        <v>190</v>
      </c>
    </row>
    <row r="1308" spans="1:187" ht="11.25" customHeight="1">
      <c r="A1308" s="1" t="s">
        <v>2038</v>
      </c>
      <c r="B1308" s="1" t="str">
        <f ca="1">IFERROR(__xludf.DUMMYFUNCTION("GOOGLETRANSLATE(A1308, ""en"", ""fr"")"),"GOSSE")</f>
        <v>GOSSE</v>
      </c>
      <c r="C1308" s="1" t="s">
        <v>192</v>
      </c>
      <c r="E1308" s="1" t="s">
        <v>16613</v>
      </c>
      <c r="V1308" s="1" t="s">
        <v>18</v>
      </c>
      <c r="DR1308" s="1" t="s">
        <v>118</v>
      </c>
      <c r="GD1308" s="1" t="s">
        <v>202</v>
      </c>
      <c r="GE1308" s="1" t="s">
        <v>190</v>
      </c>
    </row>
    <row r="1309" spans="1:187" ht="11.25" customHeight="1">
      <c r="A1309" s="1" t="s">
        <v>2039</v>
      </c>
      <c r="B1309" s="1" t="str">
        <f ca="1">IFERROR(__xludf.DUMMYFUNCTION("GOOGLETRANSLATE(A1309, ""en"", ""fr"")"),"BRAVADE")</f>
        <v>BRAVADE</v>
      </c>
      <c r="C1309" s="1" t="s">
        <v>192</v>
      </c>
      <c r="E1309" s="1" t="s">
        <v>16613</v>
      </c>
      <c r="J1309" s="1" t="s">
        <v>6</v>
      </c>
      <c r="K1309" s="1" t="s">
        <v>7</v>
      </c>
      <c r="GD1309" s="1" t="s">
        <v>193</v>
      </c>
      <c r="GE1309" s="1" t="s">
        <v>190</v>
      </c>
    </row>
    <row r="1310" spans="1:187" ht="11.25" customHeight="1">
      <c r="A1310" s="1" t="s">
        <v>2040</v>
      </c>
      <c r="B1310" s="1" t="str">
        <f ca="1">IFERROR(__xludf.DUMMYFUNCTION("GOOGLETRANSLATE(A1310, ""en"", ""fr"")"),"COURAGEUX")</f>
        <v>COURAGEUX</v>
      </c>
      <c r="C1310" s="1" t="s">
        <v>185</v>
      </c>
      <c r="D1310" s="1" t="s">
        <v>16612</v>
      </c>
      <c r="F1310" s="1" t="s">
        <v>2</v>
      </c>
      <c r="J1310" s="1" t="s">
        <v>6</v>
      </c>
      <c r="K1310" s="1" t="s">
        <v>7</v>
      </c>
      <c r="U1310" s="1" t="s">
        <v>17</v>
      </c>
      <c r="CN1310" s="1" t="s">
        <v>88</v>
      </c>
      <c r="EE1310" s="1" t="s">
        <v>131</v>
      </c>
      <c r="EJ1310" s="1" t="s">
        <v>136</v>
      </c>
      <c r="GD1310" s="1" t="s">
        <v>202</v>
      </c>
      <c r="GE1310" s="1" t="s">
        <v>190</v>
      </c>
    </row>
    <row r="1311" spans="1:187" ht="11.25" customHeight="1">
      <c r="A1311" s="1" t="s">
        <v>2041</v>
      </c>
      <c r="B1311" s="1" t="str">
        <f ca="1">IFERROR(__xludf.DUMMYFUNCTION("GOOGLETRANSLATE(A1311, ""en"", ""fr"")"),"BRAVOURE")</f>
        <v>BRAVOURE</v>
      </c>
      <c r="C1311" s="1" t="s">
        <v>185</v>
      </c>
      <c r="D1311" s="1" t="s">
        <v>16612</v>
      </c>
      <c r="J1311" s="1" t="s">
        <v>6</v>
      </c>
      <c r="K1311" s="1" t="s">
        <v>7</v>
      </c>
      <c r="U1311" s="1" t="s">
        <v>17</v>
      </c>
      <c r="EE1311" s="1" t="s">
        <v>131</v>
      </c>
      <c r="EJ1311" s="1" t="s">
        <v>136</v>
      </c>
      <c r="GD1311" s="1" t="s">
        <v>193</v>
      </c>
      <c r="GE1311" s="1" t="s">
        <v>190</v>
      </c>
    </row>
    <row r="1312" spans="1:187" ht="11.25" customHeight="1">
      <c r="A1312" s="1" t="s">
        <v>2042</v>
      </c>
      <c r="B1312" s="1" t="str">
        <f ca="1">IFERROR(__xludf.DUMMYFUNCTION("GOOGLETRANSLATE(A1312, ""en"", ""fr"")"),"BAGARRE")</f>
        <v>BAGARRE</v>
      </c>
      <c r="C1312" s="1" t="s">
        <v>192</v>
      </c>
      <c r="E1312" s="1" t="s">
        <v>16613</v>
      </c>
      <c r="I1312" s="1" t="s">
        <v>5</v>
      </c>
      <c r="N1312" s="1" t="s">
        <v>10</v>
      </c>
      <c r="AN1312" s="1" t="s">
        <v>36</v>
      </c>
      <c r="CC1312" s="1" t="s">
        <v>77</v>
      </c>
      <c r="DN1312" s="1" t="s">
        <v>114</v>
      </c>
      <c r="GD1312" s="1" t="s">
        <v>189</v>
      </c>
      <c r="GE1312" s="1" t="s">
        <v>190</v>
      </c>
    </row>
    <row r="1313" spans="1:187" ht="11.25" customHeight="1">
      <c r="A1313" s="1" t="s">
        <v>2043</v>
      </c>
      <c r="B1313" s="1" t="str">
        <f ca="1">IFERROR(__xludf.DUMMYFUNCTION("GOOGLETRANSLATE(A1313, ""en"", ""fr"")"),"EFFRONTÉ")</f>
        <v>EFFRONTÉ</v>
      </c>
      <c r="C1313" s="1" t="s">
        <v>192</v>
      </c>
      <c r="E1313" s="1" t="s">
        <v>16613</v>
      </c>
      <c r="J1313" s="1" t="s">
        <v>6</v>
      </c>
      <c r="K1313" s="1" t="s">
        <v>7</v>
      </c>
      <c r="DR1313" s="1" t="s">
        <v>118</v>
      </c>
      <c r="GD1313" s="1" t="s">
        <v>202</v>
      </c>
      <c r="GE1313" s="1" t="s">
        <v>190</v>
      </c>
    </row>
    <row r="1314" spans="1:187" ht="11.25" customHeight="1">
      <c r="A1314" s="1" t="s">
        <v>2044</v>
      </c>
      <c r="B1314" s="1" t="str">
        <f ca="1">IFERROR(__xludf.DUMMYFUNCTION("GOOGLETRANSLATE(A1314, ""en"", ""fr"")"),"BRÉSIL")</f>
        <v>BRÉSIL</v>
      </c>
      <c r="C1314" s="1" t="s">
        <v>196</v>
      </c>
      <c r="FU1314" s="1" t="s">
        <v>173</v>
      </c>
      <c r="GD1314" s="1" t="s">
        <v>545</v>
      </c>
    </row>
    <row r="1315" spans="1:187" ht="11.25" customHeight="1">
      <c r="A1315" s="1" t="s">
        <v>2045</v>
      </c>
      <c r="B1315" s="1" t="str">
        <f ca="1">IFERROR(__xludf.DUMMYFUNCTION("GOOGLETRANSLATE(A1315, ""en"", ""fr"")"),"ENFREINDRE")</f>
        <v>ENFREINDRE</v>
      </c>
      <c r="C1315" s="1" t="s">
        <v>185</v>
      </c>
      <c r="E1315" s="1" t="s">
        <v>16613</v>
      </c>
      <c r="H1315" s="1" t="s">
        <v>4</v>
      </c>
      <c r="I1315" s="1" t="s">
        <v>5</v>
      </c>
      <c r="J1315" s="1" t="s">
        <v>6</v>
      </c>
      <c r="N1315" s="1" t="s">
        <v>10</v>
      </c>
      <c r="AN1315" s="1" t="s">
        <v>36</v>
      </c>
      <c r="DN1315" s="1" t="s">
        <v>114</v>
      </c>
      <c r="EG1315" s="1" t="s">
        <v>133</v>
      </c>
      <c r="EJ1315" s="1" t="s">
        <v>136</v>
      </c>
      <c r="GD1315" s="1" t="s">
        <v>189</v>
      </c>
      <c r="GE1315" s="1" t="s">
        <v>190</v>
      </c>
    </row>
    <row r="1316" spans="1:187" ht="11.25" customHeight="1">
      <c r="A1316" s="1" t="s">
        <v>2046</v>
      </c>
      <c r="B1316" s="1" t="str">
        <f ca="1">IFERROR(__xludf.DUMMYFUNCTION("GOOGLETRANSLATE(A1316, ""en"", ""fr"")"),"PAIN")</f>
        <v>PAIN</v>
      </c>
      <c r="C1316" s="1" t="s">
        <v>185</v>
      </c>
      <c r="BC1316" s="1" t="s">
        <v>51</v>
      </c>
      <c r="BE1316" s="1" t="s">
        <v>53</v>
      </c>
      <c r="EV1316" s="1" t="s">
        <v>148</v>
      </c>
      <c r="EW1316" s="1" t="s">
        <v>149</v>
      </c>
      <c r="GD1316" s="1" t="s">
        <v>193</v>
      </c>
      <c r="GE1316" s="1" t="s">
        <v>190</v>
      </c>
    </row>
    <row r="1317" spans="1:187" ht="11.25" customHeight="1">
      <c r="A1317" s="1" t="s">
        <v>2047</v>
      </c>
      <c r="B1317" s="1" t="str">
        <f ca="1">IFERROR(__xludf.DUMMYFUNCTION("GOOGLETRANSLATE(A1317, ""en"", ""fr"")"),"SOUTIEN DE FAMILLE")</f>
        <v>SOUTIEN DE FAMILLE</v>
      </c>
      <c r="C1317" s="1" t="s">
        <v>192</v>
      </c>
      <c r="D1317" s="1" t="s">
        <v>16612</v>
      </c>
      <c r="AA1317" s="1" t="s">
        <v>23</v>
      </c>
      <c r="AJ1317" s="1" t="s">
        <v>32</v>
      </c>
      <c r="AL1317" s="1" t="s">
        <v>34</v>
      </c>
      <c r="AT1317" s="1" t="s">
        <v>42</v>
      </c>
      <c r="GD1317" s="1" t="s">
        <v>193</v>
      </c>
      <c r="GE1317" s="1" t="s">
        <v>190</v>
      </c>
    </row>
    <row r="1318" spans="1:187" ht="11.25" customHeight="1">
      <c r="A1318" s="1" t="s">
        <v>2048</v>
      </c>
      <c r="B1318" s="1" t="str">
        <f ca="1">IFERROR(__xludf.DUMMYFUNCTION("GOOGLETRANSLATE(A1318, ""en"", ""fr"")"),"Pause n ° 1")</f>
        <v>Pause n ° 1</v>
      </c>
      <c r="C1318" s="1" t="s">
        <v>185</v>
      </c>
      <c r="E1318" s="1" t="s">
        <v>16613</v>
      </c>
      <c r="H1318" s="1" t="s">
        <v>4</v>
      </c>
      <c r="I1318" s="1" t="s">
        <v>5</v>
      </c>
      <c r="J1318" s="1" t="s">
        <v>6</v>
      </c>
      <c r="N1318" s="1" t="s">
        <v>10</v>
      </c>
      <c r="CC1318" s="1" t="s">
        <v>77</v>
      </c>
      <c r="DO1318" s="1" t="s">
        <v>115</v>
      </c>
      <c r="FO1318" s="1" t="s">
        <v>167</v>
      </c>
      <c r="GD1318" s="1" t="s">
        <v>189</v>
      </c>
      <c r="GE1318" s="1" t="s">
        <v>2049</v>
      </c>
    </row>
    <row r="1319" spans="1:187" ht="11.25" customHeight="1">
      <c r="A1319" s="1" t="s">
        <v>2050</v>
      </c>
      <c r="B1319" s="1" t="str">
        <f ca="1">IFERROR(__xludf.DUMMYFUNCTION("GOOGLETRANSLATE(A1319, ""en"", ""fr"")"),"Break # 2")</f>
        <v>Break # 2</v>
      </c>
      <c r="C1319" s="1" t="s">
        <v>185</v>
      </c>
      <c r="CY1319" s="1" t="s">
        <v>99</v>
      </c>
      <c r="GD1319" s="1" t="s">
        <v>193</v>
      </c>
      <c r="GE1319" s="1" t="s">
        <v>2051</v>
      </c>
    </row>
    <row r="1320" spans="1:187" ht="11.25" customHeight="1">
      <c r="A1320" s="1" t="s">
        <v>2052</v>
      </c>
      <c r="B1320" s="1" t="str">
        <f ca="1">IFERROR(__xludf.DUMMYFUNCTION("GOOGLETRANSLATE(A1320, ""en"", ""fr"")"),"Break # 3")</f>
        <v>Break # 3</v>
      </c>
      <c r="C1320" s="1" t="s">
        <v>185</v>
      </c>
      <c r="BK1320" s="1" t="s">
        <v>59</v>
      </c>
      <c r="DN1320" s="1" t="s">
        <v>114</v>
      </c>
      <c r="FD1320" s="1" t="s">
        <v>156</v>
      </c>
      <c r="FI1320" s="1" t="s">
        <v>161</v>
      </c>
      <c r="GD1320" s="1" t="s">
        <v>189</v>
      </c>
      <c r="GE1320" s="1" t="s">
        <v>2053</v>
      </c>
    </row>
    <row r="1321" spans="1:187" ht="11.25" customHeight="1">
      <c r="A1321" s="1" t="s">
        <v>2054</v>
      </c>
      <c r="B1321" s="1" t="str">
        <f ca="1">IFERROR(__xludf.DUMMYFUNCTION("GOOGLETRANSLATE(A1321, ""en"", ""fr"")"),"Break # 4")</f>
        <v>Break # 4</v>
      </c>
      <c r="C1321" s="1" t="s">
        <v>185</v>
      </c>
      <c r="E1321" s="1" t="s">
        <v>16613</v>
      </c>
      <c r="H1321" s="1" t="s">
        <v>4</v>
      </c>
      <c r="I1321" s="1" t="s">
        <v>5</v>
      </c>
      <c r="N1321" s="1" t="s">
        <v>10</v>
      </c>
      <c r="AE1321" s="1" t="s">
        <v>27</v>
      </c>
      <c r="AN1321" s="1" t="s">
        <v>36</v>
      </c>
      <c r="DN1321" s="1" t="s">
        <v>114</v>
      </c>
      <c r="EG1321" s="1" t="s">
        <v>133</v>
      </c>
      <c r="EJ1321" s="1" t="s">
        <v>136</v>
      </c>
      <c r="GD1321" s="1" t="s">
        <v>189</v>
      </c>
      <c r="GE1321" s="1" t="s">
        <v>2055</v>
      </c>
    </row>
    <row r="1322" spans="1:187" ht="11.25" customHeight="1">
      <c r="A1322" s="1" t="s">
        <v>2056</v>
      </c>
      <c r="B1322" s="1" t="str">
        <f ca="1">IFERROR(__xludf.DUMMYFUNCTION("GOOGLETRANSLATE(A1322, ""en"", ""fr"")"),"Break # 5")</f>
        <v>Break # 5</v>
      </c>
      <c r="C1322" s="1" t="s">
        <v>185</v>
      </c>
      <c r="E1322" s="1" t="s">
        <v>16613</v>
      </c>
      <c r="H1322" s="1" t="s">
        <v>4</v>
      </c>
      <c r="L1322" s="1" t="s">
        <v>8</v>
      </c>
      <c r="O1322" s="1" t="s">
        <v>11</v>
      </c>
      <c r="BT1322" s="1" t="s">
        <v>68</v>
      </c>
      <c r="DN1322" s="1" t="s">
        <v>114</v>
      </c>
      <c r="DW1322" s="1" t="s">
        <v>123</v>
      </c>
      <c r="ED1322" s="1" t="s">
        <v>130</v>
      </c>
      <c r="GD1322" s="1" t="s">
        <v>189</v>
      </c>
      <c r="GE1322" s="1" t="s">
        <v>2057</v>
      </c>
    </row>
    <row r="1323" spans="1:187" ht="11.25" customHeight="1">
      <c r="A1323" s="1" t="s">
        <v>2058</v>
      </c>
      <c r="B1323" s="1" t="str">
        <f ca="1">IFERROR(__xludf.DUMMYFUNCTION("GOOGLETRANSLATE(A1323, ""en"", ""fr"")"),"PANNE")</f>
        <v>PANNE</v>
      </c>
      <c r="C1323" s="1" t="s">
        <v>185</v>
      </c>
      <c r="E1323" s="1" t="s">
        <v>16613</v>
      </c>
      <c r="L1323" s="1" t="s">
        <v>8</v>
      </c>
      <c r="O1323" s="1" t="s">
        <v>11</v>
      </c>
      <c r="BT1323" s="1" t="s">
        <v>68</v>
      </c>
      <c r="DN1323" s="1" t="s">
        <v>114</v>
      </c>
      <c r="DW1323" s="1" t="s">
        <v>123</v>
      </c>
      <c r="ED1323" s="1" t="s">
        <v>130</v>
      </c>
      <c r="GD1323" s="1" t="s">
        <v>189</v>
      </c>
      <c r="GE1323" s="1" t="s">
        <v>190</v>
      </c>
    </row>
    <row r="1324" spans="1:187" ht="11.25" customHeight="1">
      <c r="A1324" s="1" t="s">
        <v>2059</v>
      </c>
      <c r="B1324" s="1" t="str">
        <f ca="1">IFERROR(__xludf.DUMMYFUNCTION("GOOGLETRANSLATE(A1324, ""en"", ""fr"")"),"BRISEUR")</f>
        <v>BRISEUR</v>
      </c>
      <c r="C1324" s="1" t="s">
        <v>185</v>
      </c>
      <c r="AV1324" s="1" t="s">
        <v>44</v>
      </c>
      <c r="AZ1324" s="1" t="s">
        <v>48</v>
      </c>
      <c r="GD1324" s="1" t="s">
        <v>193</v>
      </c>
      <c r="GE1324" s="1" t="s">
        <v>190</v>
      </c>
    </row>
    <row r="1325" spans="1:187" ht="11.25" customHeight="1">
      <c r="A1325" s="1" t="s">
        <v>2060</v>
      </c>
      <c r="B1325" s="1" t="str">
        <f ca="1">IFERROR(__xludf.DUMMYFUNCTION("GOOGLETRANSLATE(A1325, ""en"", ""fr"")"),"PETIT-DÉJEUNER")</f>
        <v>PETIT-DÉJEUNER</v>
      </c>
      <c r="C1325" s="1" t="s">
        <v>185</v>
      </c>
      <c r="BC1325" s="1" t="s">
        <v>51</v>
      </c>
      <c r="BE1325" s="1" t="s">
        <v>53</v>
      </c>
      <c r="GD1325" s="1" t="s">
        <v>193</v>
      </c>
      <c r="GE1325" s="1" t="s">
        <v>190</v>
      </c>
    </row>
    <row r="1326" spans="1:187" ht="11.25" customHeight="1">
      <c r="A1326" s="1" t="s">
        <v>2061</v>
      </c>
      <c r="B1326" s="1" t="str">
        <f ca="1">IFERROR(__xludf.DUMMYFUNCTION("GOOGLETRANSLATE(A1326, ""en"", ""fr"")"),"SEIN")</f>
        <v>SEIN</v>
      </c>
      <c r="C1326" s="1" t="s">
        <v>185</v>
      </c>
      <c r="AR1326" s="1" t="s">
        <v>40</v>
      </c>
      <c r="BJ1326" s="1" t="s">
        <v>58</v>
      </c>
      <c r="EZ1326" s="1" t="s">
        <v>152</v>
      </c>
      <c r="FC1326" s="1" t="s">
        <v>155</v>
      </c>
      <c r="GD1326" s="1" t="s">
        <v>193</v>
      </c>
      <c r="GE1326" s="1" t="s">
        <v>190</v>
      </c>
    </row>
    <row r="1327" spans="1:187" ht="11.25" customHeight="1">
      <c r="A1327" s="1" t="s">
        <v>2062</v>
      </c>
      <c r="B1327" s="1" t="str">
        <f ca="1">IFERROR(__xludf.DUMMYFUNCTION("GOOGLETRANSLATE(A1327, ""en"", ""fr"")"),"Souffle # 1")</f>
        <v>Souffle # 1</v>
      </c>
      <c r="C1327" s="1" t="s">
        <v>185</v>
      </c>
      <c r="BU1327" s="1" t="s">
        <v>69</v>
      </c>
      <c r="EZ1327" s="1" t="s">
        <v>152</v>
      </c>
      <c r="FC1327" s="1" t="s">
        <v>155</v>
      </c>
      <c r="GD1327" s="1" t="s">
        <v>193</v>
      </c>
      <c r="GE1327" s="1" t="s">
        <v>190</v>
      </c>
    </row>
    <row r="1328" spans="1:187" ht="11.25" customHeight="1">
      <c r="A1328" s="1" t="s">
        <v>2063</v>
      </c>
      <c r="B1328" s="1" t="str">
        <f ca="1">IFERROR(__xludf.DUMMYFUNCTION("GOOGLETRANSLATE(A1328, ""en"", ""fr"")"),"Souffle # 2")</f>
        <v>Souffle # 2</v>
      </c>
      <c r="C1328" s="1" t="s">
        <v>185</v>
      </c>
      <c r="BU1328" s="1" t="s">
        <v>69</v>
      </c>
      <c r="DO1328" s="1" t="s">
        <v>115</v>
      </c>
      <c r="EZ1328" s="1" t="s">
        <v>152</v>
      </c>
      <c r="FC1328" s="1" t="s">
        <v>155</v>
      </c>
      <c r="GD1328" s="1" t="s">
        <v>189</v>
      </c>
      <c r="GE1328" s="1" t="s">
        <v>190</v>
      </c>
    </row>
    <row r="1329" spans="1:187" ht="11.25" customHeight="1">
      <c r="A1329" s="1" t="s">
        <v>2064</v>
      </c>
      <c r="B1329" s="1" t="str">
        <f ca="1">IFERROR(__xludf.DUMMYFUNCTION("GOOGLETRANSLATE(A1329, ""en"", ""fr"")"),"À BOUT DE SOUFFLE")</f>
        <v>À BOUT DE SOUFFLE</v>
      </c>
      <c r="C1329" s="1" t="s">
        <v>196</v>
      </c>
      <c r="GD1329" s="1" t="s">
        <v>202</v>
      </c>
    </row>
    <row r="1330" spans="1:187" ht="11.25" customHeight="1">
      <c r="A1330" s="1" t="s">
        <v>2065</v>
      </c>
      <c r="B1330" s="1" t="str">
        <f ca="1">IFERROR(__xludf.DUMMYFUNCTION("GOOGLETRANSLATE(A1330, ""en"", ""fr"")"),"Race n ° 1")</f>
        <v>Race n ° 1</v>
      </c>
      <c r="C1330" s="1" t="s">
        <v>185</v>
      </c>
      <c r="BU1330" s="1" t="s">
        <v>69</v>
      </c>
      <c r="EZ1330" s="1" t="s">
        <v>152</v>
      </c>
      <c r="FC1330" s="1" t="s">
        <v>155</v>
      </c>
      <c r="GC1330" s="1" t="s">
        <v>181</v>
      </c>
      <c r="GD1330" s="1" t="s">
        <v>193</v>
      </c>
      <c r="GE1330" s="1" t="s">
        <v>190</v>
      </c>
    </row>
    <row r="1331" spans="1:187" ht="11.25" customHeight="1">
      <c r="A1331" s="1" t="s">
        <v>2066</v>
      </c>
      <c r="B1331" s="1" t="str">
        <f ca="1">IFERROR(__xludf.DUMMYFUNCTION("GOOGLETRANSLATE(A1331, ""en"", ""fr"")"),"Race n ° 2")</f>
        <v>Race n ° 2</v>
      </c>
      <c r="C1331" s="1" t="s">
        <v>185</v>
      </c>
      <c r="N1331" s="1" t="s">
        <v>10</v>
      </c>
      <c r="BV1331" s="1" t="s">
        <v>70</v>
      </c>
      <c r="DO1331" s="1" t="s">
        <v>115</v>
      </c>
      <c r="EZ1331" s="1" t="s">
        <v>152</v>
      </c>
      <c r="FC1331" s="1" t="s">
        <v>155</v>
      </c>
      <c r="GD1331" s="1" t="s">
        <v>189</v>
      </c>
      <c r="GE1331" s="1" t="s">
        <v>190</v>
      </c>
    </row>
    <row r="1332" spans="1:187" ht="11.25" customHeight="1">
      <c r="A1332" s="1" t="s">
        <v>2067</v>
      </c>
      <c r="B1332" s="1" t="str">
        <f ca="1">IFERROR(__xludf.DUMMYFUNCTION("GOOGLETRANSLATE(A1332, ""en"", ""fr"")"),"BRISE")</f>
        <v>BRISE</v>
      </c>
      <c r="C1332" s="1" t="s">
        <v>185</v>
      </c>
      <c r="AV1332" s="1" t="s">
        <v>44</v>
      </c>
      <c r="BB1332" s="1" t="s">
        <v>50</v>
      </c>
      <c r="GD1332" s="1" t="s">
        <v>193</v>
      </c>
      <c r="GE1332" s="1" t="s">
        <v>190</v>
      </c>
    </row>
    <row r="1333" spans="1:187" ht="11.25" customHeight="1">
      <c r="A1333" s="1" t="s">
        <v>2068</v>
      </c>
      <c r="B1333" s="1" t="str">
        <f ca="1">IFERROR(__xludf.DUMMYFUNCTION("GOOGLETRANSLATE(A1333, ""en"", ""fr"")"),"POT-DE-VIN")</f>
        <v>POT-DE-VIN</v>
      </c>
      <c r="C1333" s="1" t="s">
        <v>192</v>
      </c>
      <c r="E1333" s="1" t="s">
        <v>16613</v>
      </c>
      <c r="V1333" s="1" t="s">
        <v>18</v>
      </c>
      <c r="AA1333" s="1" t="s">
        <v>23</v>
      </c>
      <c r="DN1333" s="1" t="s">
        <v>114</v>
      </c>
      <c r="GD1333" s="1" t="s">
        <v>189</v>
      </c>
      <c r="GE1333" s="1" t="s">
        <v>190</v>
      </c>
    </row>
    <row r="1334" spans="1:187" ht="11.25" customHeight="1">
      <c r="A1334" s="1" t="s">
        <v>2069</v>
      </c>
      <c r="B1334" s="1" t="str">
        <f ca="1">IFERROR(__xludf.DUMMYFUNCTION("GOOGLETRANSLATE(A1334, ""en"", ""fr"")"),"MARIÉE")</f>
        <v>MARIÉE</v>
      </c>
      <c r="C1334" s="1" t="s">
        <v>185</v>
      </c>
      <c r="G1334" s="1" t="s">
        <v>3</v>
      </c>
      <c r="AJ1334" s="1" t="s">
        <v>32</v>
      </c>
      <c r="AP1334" s="1" t="s">
        <v>38</v>
      </c>
      <c r="AR1334" s="1" t="s">
        <v>40</v>
      </c>
      <c r="AT1334" s="1" t="s">
        <v>42</v>
      </c>
      <c r="EQ1334" s="1" t="s">
        <v>143</v>
      </c>
      <c r="ES1334" s="1" t="s">
        <v>145</v>
      </c>
      <c r="GD1334" s="1" t="s">
        <v>837</v>
      </c>
      <c r="GE1334" s="1" t="s">
        <v>190</v>
      </c>
    </row>
    <row r="1335" spans="1:187" ht="11.25" customHeight="1">
      <c r="A1335" s="1" t="s">
        <v>2070</v>
      </c>
      <c r="B1335" s="1" t="str">
        <f ca="1">IFERROR(__xludf.DUMMYFUNCTION("GOOGLETRANSLATE(A1335, ""en"", ""fr"")"),"Pont n ° 1")</f>
        <v>Pont n ° 1</v>
      </c>
      <c r="C1335" s="1" t="s">
        <v>185</v>
      </c>
      <c r="AV1335" s="1" t="s">
        <v>44</v>
      </c>
      <c r="AY1335" s="1" t="s">
        <v>47</v>
      </c>
      <c r="GD1335" s="1" t="s">
        <v>193</v>
      </c>
      <c r="GE1335" s="1" t="s">
        <v>2071</v>
      </c>
    </row>
    <row r="1336" spans="1:187" ht="11.25" customHeight="1">
      <c r="A1336" s="1" t="s">
        <v>2072</v>
      </c>
      <c r="B1336" s="1" t="str">
        <f ca="1">IFERROR(__xludf.DUMMYFUNCTION("GOOGLETRANSLATE(A1336, ""en"", ""fr"")"),"Pont n ° 2")</f>
        <v>Pont n ° 2</v>
      </c>
      <c r="C1336" s="1" t="s">
        <v>185</v>
      </c>
      <c r="AD1336" s="1" t="s">
        <v>26</v>
      </c>
      <c r="AM1336" s="1" t="s">
        <v>35</v>
      </c>
      <c r="BL1336" s="1" t="s">
        <v>60</v>
      </c>
      <c r="FL1336" s="1" t="s">
        <v>164</v>
      </c>
      <c r="FM1336" s="1" t="s">
        <v>418</v>
      </c>
      <c r="GD1336" s="1" t="s">
        <v>193</v>
      </c>
      <c r="GE1336" s="1" t="s">
        <v>2073</v>
      </c>
    </row>
    <row r="1337" spans="1:187" ht="11.25" customHeight="1">
      <c r="A1337" s="1" t="s">
        <v>2074</v>
      </c>
      <c r="B1337" s="1" t="str">
        <f ca="1">IFERROR(__xludf.DUMMYFUNCTION("GOOGLETRANSLATE(A1337, ""en"", ""fr"")"),"Pont n ° 3")</f>
        <v>Pont n ° 3</v>
      </c>
      <c r="C1337" s="1" t="s">
        <v>185</v>
      </c>
      <c r="J1337" s="1" t="s">
        <v>6</v>
      </c>
      <c r="DA1337" s="1" t="s">
        <v>101</v>
      </c>
      <c r="DN1337" s="1" t="s">
        <v>114</v>
      </c>
      <c r="GD1337" s="1" t="s">
        <v>189</v>
      </c>
      <c r="GE1337" s="1" t="s">
        <v>2075</v>
      </c>
    </row>
    <row r="1338" spans="1:187" ht="11.25" customHeight="1">
      <c r="A1338" s="1" t="s">
        <v>2076</v>
      </c>
      <c r="B1338" s="1" t="str">
        <f ca="1">IFERROR(__xludf.DUMMYFUNCTION("GOOGLETRANSLATE(A1338, ""en"", ""fr"")"),"BREF")</f>
        <v>BREF</v>
      </c>
      <c r="C1338" s="1" t="s">
        <v>185</v>
      </c>
      <c r="X1338" s="1" t="s">
        <v>20</v>
      </c>
      <c r="CY1338" s="1" t="s">
        <v>99</v>
      </c>
      <c r="DC1338" s="1" t="s">
        <v>103</v>
      </c>
      <c r="GB1338" s="1" t="s">
        <v>180</v>
      </c>
      <c r="GD1338" s="1" t="s">
        <v>202</v>
      </c>
      <c r="GE1338" s="1" t="s">
        <v>190</v>
      </c>
    </row>
    <row r="1339" spans="1:187" ht="11.25" customHeight="1">
      <c r="A1339" s="1" t="s">
        <v>2077</v>
      </c>
      <c r="B1339" s="1" t="str">
        <f ca="1">IFERROR(__xludf.DUMMYFUNCTION("GOOGLETRANSLATE(A1339, ""en"", ""fr"")"),"BRILLANT")</f>
        <v>BRILLANT</v>
      </c>
      <c r="C1339" s="1" t="s">
        <v>185</v>
      </c>
      <c r="D1339" s="1" t="s">
        <v>16612</v>
      </c>
      <c r="F1339" s="1" t="s">
        <v>2</v>
      </c>
      <c r="CN1339" s="1" t="s">
        <v>88</v>
      </c>
      <c r="CR1339" s="1" t="s">
        <v>92</v>
      </c>
      <c r="FX1339" s="1" t="s">
        <v>176</v>
      </c>
      <c r="GD1339" s="1" t="s">
        <v>202</v>
      </c>
      <c r="GE1339" s="1" t="s">
        <v>2078</v>
      </c>
    </row>
    <row r="1340" spans="1:187" ht="11.25" customHeight="1">
      <c r="A1340" s="1" t="s">
        <v>2079</v>
      </c>
      <c r="B1340" s="1" t="str">
        <f ca="1">IFERROR(__xludf.DUMMYFUNCTION("GOOGLETRANSLATE(A1340, ""en"", ""fr"")"),"LUMINOSITÉ")</f>
        <v>LUMINOSITÉ</v>
      </c>
      <c r="C1340" s="1" t="s">
        <v>185</v>
      </c>
      <c r="D1340" s="1" t="s">
        <v>16612</v>
      </c>
      <c r="F1340" s="1" t="s">
        <v>2</v>
      </c>
      <c r="CR1340" s="1" t="s">
        <v>92</v>
      </c>
      <c r="GD1340" s="1" t="s">
        <v>193</v>
      </c>
      <c r="GE1340" s="1" t="s">
        <v>190</v>
      </c>
    </row>
    <row r="1341" spans="1:187" ht="11.25" customHeight="1">
      <c r="A1341" s="1" t="s">
        <v>2080</v>
      </c>
      <c r="B1341" s="1" t="str">
        <f ca="1">IFERROR(__xludf.DUMMYFUNCTION("GOOGLETRANSLATE(A1341, ""en"", ""fr"")"),"ÉCLAT")</f>
        <v>ÉCLAT</v>
      </c>
      <c r="C1341" s="1" t="s">
        <v>185</v>
      </c>
      <c r="D1341" s="1" t="s">
        <v>16612</v>
      </c>
      <c r="F1341" s="1" t="s">
        <v>2</v>
      </c>
      <c r="CR1341" s="1" t="s">
        <v>92</v>
      </c>
      <c r="GD1341" s="1" t="s">
        <v>193</v>
      </c>
      <c r="GE1341" s="1" t="s">
        <v>190</v>
      </c>
    </row>
    <row r="1342" spans="1:187" ht="11.25" customHeight="1">
      <c r="A1342" s="1" t="s">
        <v>2081</v>
      </c>
      <c r="B1342" s="1" t="str">
        <f ca="1">IFERROR(__xludf.DUMMYFUNCTION("GOOGLETRANSLATE(A1342, ""en"", ""fr"")"),"BRILLANT")</f>
        <v>BRILLANT</v>
      </c>
      <c r="C1342" s="1" t="s">
        <v>185</v>
      </c>
      <c r="D1342" s="1" t="s">
        <v>16612</v>
      </c>
      <c r="F1342" s="1" t="s">
        <v>2</v>
      </c>
      <c r="W1342" s="1" t="s">
        <v>19</v>
      </c>
      <c r="CN1342" s="1" t="s">
        <v>88</v>
      </c>
      <c r="CR1342" s="1" t="s">
        <v>92</v>
      </c>
      <c r="FX1342" s="1" t="s">
        <v>176</v>
      </c>
      <c r="GD1342" s="1" t="s">
        <v>202</v>
      </c>
      <c r="GE1342" s="1" t="s">
        <v>190</v>
      </c>
    </row>
    <row r="1343" spans="1:187" ht="11.25" customHeight="1">
      <c r="A1343" s="1" t="s">
        <v>2082</v>
      </c>
      <c r="B1343" s="1" t="str">
        <f ca="1">IFERROR(__xludf.DUMMYFUNCTION("GOOGLETRANSLATE(A1343, ""en"", ""fr"")"),"Apporter n ° 1")</f>
        <v>Apporter n ° 1</v>
      </c>
      <c r="C1343" s="1" t="s">
        <v>185</v>
      </c>
      <c r="N1343" s="1" t="s">
        <v>10</v>
      </c>
      <c r="CD1343" s="1" t="s">
        <v>78</v>
      </c>
      <c r="DO1343" s="1" t="s">
        <v>115</v>
      </c>
      <c r="GD1343" s="1" t="s">
        <v>189</v>
      </c>
      <c r="GE1343" s="1" t="s">
        <v>2083</v>
      </c>
    </row>
    <row r="1344" spans="1:187" ht="11.25" customHeight="1">
      <c r="A1344" s="1" t="s">
        <v>2084</v>
      </c>
      <c r="B1344" s="1" t="str">
        <f ca="1">IFERROR(__xludf.DUMMYFUNCTION("GOOGLETRANSLATE(A1344, ""en"", ""fr"")"),"Apporter n ° 2")</f>
        <v>Apporter n ° 2</v>
      </c>
      <c r="C1344" s="1" t="s">
        <v>185</v>
      </c>
      <c r="G1344" s="1" t="s">
        <v>3</v>
      </c>
      <c r="K1344" s="1" t="s">
        <v>7</v>
      </c>
      <c r="N1344" s="1" t="s">
        <v>10</v>
      </c>
      <c r="AN1344" s="1" t="s">
        <v>36</v>
      </c>
      <c r="DN1344" s="1" t="s">
        <v>114</v>
      </c>
      <c r="FD1344" s="1" t="s">
        <v>156</v>
      </c>
      <c r="FI1344" s="1" t="s">
        <v>161</v>
      </c>
      <c r="GD1344" s="1" t="s">
        <v>189</v>
      </c>
      <c r="GE1344" s="1" t="s">
        <v>2085</v>
      </c>
    </row>
    <row r="1345" spans="1:187" ht="11.25" customHeight="1">
      <c r="A1345" s="1" t="s">
        <v>2086</v>
      </c>
      <c r="B1345" s="1" t="str">
        <f ca="1">IFERROR(__xludf.DUMMYFUNCTION("GOOGLETRANSLATE(A1345, ""en"", ""fr"")"),"Apporter n ° 3")</f>
        <v>Apporter n ° 3</v>
      </c>
      <c r="C1345" s="1" t="s">
        <v>185</v>
      </c>
      <c r="N1345" s="1" t="s">
        <v>10</v>
      </c>
      <c r="BK1345" s="1" t="s">
        <v>59</v>
      </c>
      <c r="DN1345" s="1" t="s">
        <v>114</v>
      </c>
      <c r="FD1345" s="1" t="s">
        <v>156</v>
      </c>
      <c r="FI1345" s="1" t="s">
        <v>161</v>
      </c>
      <c r="GD1345" s="1" t="s">
        <v>189</v>
      </c>
      <c r="GE1345" s="1" t="s">
        <v>2087</v>
      </c>
    </row>
    <row r="1346" spans="1:187" ht="11.25" customHeight="1">
      <c r="A1346" s="1" t="s">
        <v>2088</v>
      </c>
      <c r="B1346" s="1" t="str">
        <f ca="1">IFERROR(__xludf.DUMMYFUNCTION("GOOGLETRANSLATE(A1346, ""en"", ""fr"")"),"Apporter n ° 4")</f>
        <v>Apporter n ° 4</v>
      </c>
      <c r="C1346" s="1" t="s">
        <v>185</v>
      </c>
      <c r="K1346" s="1" t="s">
        <v>7</v>
      </c>
      <c r="N1346" s="1" t="s">
        <v>10</v>
      </c>
      <c r="BK1346" s="1" t="s">
        <v>59</v>
      </c>
      <c r="DN1346" s="1" t="s">
        <v>114</v>
      </c>
      <c r="FD1346" s="1" t="s">
        <v>156</v>
      </c>
      <c r="FI1346" s="1" t="s">
        <v>161</v>
      </c>
      <c r="GD1346" s="1" t="s">
        <v>189</v>
      </c>
      <c r="GE1346" s="1" t="s">
        <v>2089</v>
      </c>
    </row>
    <row r="1347" spans="1:187" ht="11.25" customHeight="1">
      <c r="A1347" s="1" t="s">
        <v>2090</v>
      </c>
      <c r="B1347" s="1" t="str">
        <f ca="1">IFERROR(__xludf.DUMMYFUNCTION("GOOGLETRANSLATE(A1347, ""en"", ""fr"")"),"Apporter n ° 5")</f>
        <v>Apporter n ° 5</v>
      </c>
      <c r="C1347" s="1" t="s">
        <v>185</v>
      </c>
      <c r="N1347" s="1" t="s">
        <v>10</v>
      </c>
      <c r="BS1347" s="1" t="s">
        <v>67</v>
      </c>
      <c r="DN1347" s="1" t="s">
        <v>114</v>
      </c>
      <c r="DU1347" s="1" t="s">
        <v>121</v>
      </c>
      <c r="ED1347" s="1" t="s">
        <v>130</v>
      </c>
      <c r="GD1347" s="1" t="s">
        <v>189</v>
      </c>
      <c r="GE1347" s="1" t="s">
        <v>2091</v>
      </c>
    </row>
    <row r="1348" spans="1:187" ht="11.25" customHeight="1">
      <c r="A1348" s="1" t="s">
        <v>2092</v>
      </c>
      <c r="B1348" s="1" t="str">
        <f ca="1">IFERROR(__xludf.DUMMYFUNCTION("GOOGLETRANSLATE(A1348, ""en"", ""fr"")"),"Apporter n ° 6")</f>
        <v>Apporter n ° 6</v>
      </c>
      <c r="C1348" s="1" t="s">
        <v>185</v>
      </c>
      <c r="N1348" s="1" t="s">
        <v>10</v>
      </c>
      <c r="CO1348" s="1" t="s">
        <v>89</v>
      </c>
      <c r="DN1348" s="1" t="s">
        <v>114</v>
      </c>
      <c r="FD1348" s="1" t="s">
        <v>156</v>
      </c>
      <c r="FI1348" s="1" t="s">
        <v>161</v>
      </c>
      <c r="GD1348" s="1" t="s">
        <v>189</v>
      </c>
      <c r="GE1348" s="1" t="s">
        <v>2093</v>
      </c>
    </row>
    <row r="1349" spans="1:187" ht="11.25" customHeight="1">
      <c r="A1349" s="1" t="s">
        <v>2094</v>
      </c>
      <c r="B1349" s="1" t="str">
        <f ca="1">IFERROR(__xludf.DUMMYFUNCTION("GOOGLETRANSLATE(A1349, ""en"", ""fr"")"),"Apporter n ° 7")</f>
        <v>Apporter n ° 7</v>
      </c>
      <c r="C1349" s="1" t="s">
        <v>185</v>
      </c>
      <c r="N1349" s="1" t="s">
        <v>10</v>
      </c>
      <c r="BP1349" s="1" t="s">
        <v>64</v>
      </c>
      <c r="DN1349" s="1" t="s">
        <v>114</v>
      </c>
      <c r="FP1349" s="1" t="s">
        <v>168</v>
      </c>
      <c r="GD1349" s="1" t="s">
        <v>189</v>
      </c>
      <c r="GE1349" s="1" t="s">
        <v>2095</v>
      </c>
    </row>
    <row r="1350" spans="1:187" ht="11.25" customHeight="1">
      <c r="A1350" s="1" t="s">
        <v>2096</v>
      </c>
      <c r="B1350" s="1" t="str">
        <f ca="1">IFERROR(__xludf.DUMMYFUNCTION("GOOGLETRANSLATE(A1350, ""en"", ""fr"")"),"POIL")</f>
        <v>POIL</v>
      </c>
      <c r="C1350" s="1" t="s">
        <v>192</v>
      </c>
      <c r="E1350" s="1" t="s">
        <v>16613</v>
      </c>
      <c r="I1350" s="1" t="s">
        <v>5</v>
      </c>
      <c r="O1350" s="1" t="s">
        <v>11</v>
      </c>
      <c r="S1350" s="1" t="s">
        <v>15</v>
      </c>
      <c r="T1350" s="1" t="s">
        <v>16</v>
      </c>
      <c r="DN1350" s="1" t="s">
        <v>114</v>
      </c>
      <c r="GD1350" s="1" t="s">
        <v>189</v>
      </c>
      <c r="GE1350" s="1" t="s">
        <v>190</v>
      </c>
    </row>
    <row r="1351" spans="1:187" ht="11.25" customHeight="1">
      <c r="A1351" s="1" t="s">
        <v>2097</v>
      </c>
      <c r="B1351" s="1" t="str">
        <f ca="1">IFERROR(__xludf.DUMMYFUNCTION("GOOGLETRANSLATE(A1351, ""en"", ""fr"")"),"Grande-Bretagne")</f>
        <v>Grande-Bretagne</v>
      </c>
      <c r="C1351" s="1" t="s">
        <v>185</v>
      </c>
      <c r="AC1351" s="1" t="s">
        <v>25</v>
      </c>
      <c r="AH1351" s="1" t="s">
        <v>30</v>
      </c>
      <c r="DI1351" s="1" t="s">
        <v>109</v>
      </c>
      <c r="FU1351" s="1" t="s">
        <v>173</v>
      </c>
      <c r="GD1351" s="1" t="s">
        <v>193</v>
      </c>
      <c r="GE1351" s="1" t="s">
        <v>190</v>
      </c>
    </row>
    <row r="1352" spans="1:187" ht="11.25" customHeight="1">
      <c r="A1352" s="1" t="s">
        <v>2098</v>
      </c>
      <c r="B1352" s="1" t="str">
        <f ca="1">IFERROR(__xludf.DUMMYFUNCTION("GOOGLETRANSLATE(A1352, ""en"", ""fr"")"),"BRITANIQUE")</f>
        <v>BRITANIQUE</v>
      </c>
      <c r="C1352" s="1" t="s">
        <v>185</v>
      </c>
      <c r="AC1352" s="1" t="s">
        <v>25</v>
      </c>
      <c r="AH1352" s="1" t="s">
        <v>30</v>
      </c>
      <c r="DI1352" s="1" t="s">
        <v>109</v>
      </c>
      <c r="FU1352" s="1" t="s">
        <v>173</v>
      </c>
      <c r="GD1352" s="1" t="s">
        <v>193</v>
      </c>
      <c r="GE1352" s="1" t="s">
        <v>190</v>
      </c>
    </row>
    <row r="1353" spans="1:187" ht="11.25" customHeight="1">
      <c r="A1353" s="1" t="s">
        <v>2099</v>
      </c>
      <c r="B1353" s="1" t="str">
        <f ca="1">IFERROR(__xludf.DUMMYFUNCTION("GOOGLETRANSLATE(A1353, ""en"", ""fr"")"),"FRAGILE")</f>
        <v>FRAGILE</v>
      </c>
      <c r="C1353" s="1" t="s">
        <v>192</v>
      </c>
      <c r="E1353" s="1" t="s">
        <v>16613</v>
      </c>
      <c r="L1353" s="1" t="s">
        <v>8</v>
      </c>
      <c r="DR1353" s="1" t="s">
        <v>118</v>
      </c>
      <c r="GD1353" s="1" t="s">
        <v>202</v>
      </c>
      <c r="GE1353" s="1" t="s">
        <v>190</v>
      </c>
    </row>
    <row r="1354" spans="1:187" ht="11.25" customHeight="1">
      <c r="A1354" s="1" t="s">
        <v>2100</v>
      </c>
      <c r="B1354" s="1" t="str">
        <f ca="1">IFERROR(__xludf.DUMMYFUNCTION("GOOGLETRANSLATE(A1354, ""en"", ""fr"")"),"LARGE")</f>
        <v>LARGE</v>
      </c>
      <c r="C1354" s="1" t="s">
        <v>185</v>
      </c>
      <c r="J1354" s="1" t="s">
        <v>6</v>
      </c>
      <c r="DA1354" s="1" t="s">
        <v>101</v>
      </c>
      <c r="DC1354" s="1" t="s">
        <v>103</v>
      </c>
      <c r="GB1354" s="1" t="s">
        <v>180</v>
      </c>
      <c r="GD1354" s="1" t="s">
        <v>202</v>
      </c>
      <c r="GE1354" s="1" t="s">
        <v>2101</v>
      </c>
    </row>
    <row r="1355" spans="1:187" ht="11.25" customHeight="1">
      <c r="A1355" s="1" t="s">
        <v>2102</v>
      </c>
      <c r="B1355" s="1" t="str">
        <f ca="1">IFERROR(__xludf.DUMMYFUNCTION("GOOGLETRANSLATE(A1355, ""en"", ""fr"")"),"Diffusion n ° 1")</f>
        <v>Diffusion n ° 1</v>
      </c>
      <c r="C1355" s="1" t="s">
        <v>185</v>
      </c>
      <c r="BK1355" s="1" t="s">
        <v>59</v>
      </c>
      <c r="BL1355" s="1" t="s">
        <v>60</v>
      </c>
      <c r="FH1355" s="1" t="s">
        <v>160</v>
      </c>
      <c r="FI1355" s="1" t="s">
        <v>161</v>
      </c>
      <c r="GC1355" s="1" t="s">
        <v>181</v>
      </c>
      <c r="GD1355" s="1" t="s">
        <v>193</v>
      </c>
      <c r="GE1355" s="1" t="s">
        <v>190</v>
      </c>
    </row>
    <row r="1356" spans="1:187" ht="11.25" customHeight="1">
      <c r="A1356" s="1" t="s">
        <v>2103</v>
      </c>
      <c r="B1356" s="1" t="str">
        <f ca="1">IFERROR(__xludf.DUMMYFUNCTION("GOOGLETRANSLATE(A1356, ""en"", ""fr"")"),"Diffusion n ° 2")</f>
        <v>Diffusion n ° 2</v>
      </c>
      <c r="C1356" s="1" t="s">
        <v>185</v>
      </c>
      <c r="BK1356" s="1" t="s">
        <v>59</v>
      </c>
      <c r="DN1356" s="1" t="s">
        <v>114</v>
      </c>
      <c r="FH1356" s="1" t="s">
        <v>160</v>
      </c>
      <c r="FI1356" s="1" t="s">
        <v>161</v>
      </c>
      <c r="GD1356" s="1" t="s">
        <v>189</v>
      </c>
      <c r="GE1356" s="1" t="s">
        <v>190</v>
      </c>
    </row>
    <row r="1357" spans="1:187" ht="11.25" customHeight="1">
      <c r="A1357" s="1" t="s">
        <v>2104</v>
      </c>
      <c r="B1357" s="1" t="str">
        <f ca="1">IFERROR(__xludf.DUMMYFUNCTION("GOOGLETRANSLATE(A1357, ""en"", ""fr"")"),"ÉLARGIR")</f>
        <v>ÉLARGIR</v>
      </c>
      <c r="C1357" s="1" t="s">
        <v>185</v>
      </c>
      <c r="J1357" s="1" t="s">
        <v>6</v>
      </c>
      <c r="BX1357" s="1" t="s">
        <v>72</v>
      </c>
      <c r="DN1357" s="1" t="s">
        <v>114</v>
      </c>
      <c r="GB1357" s="1" t="s">
        <v>180</v>
      </c>
      <c r="GD1357" s="1" t="s">
        <v>189</v>
      </c>
      <c r="GE1357" s="1" t="s">
        <v>190</v>
      </c>
    </row>
    <row r="1358" spans="1:187" ht="11.25" customHeight="1">
      <c r="A1358" s="1" t="s">
        <v>2105</v>
      </c>
      <c r="B1358" s="1" t="str">
        <f ca="1">IFERROR(__xludf.DUMMYFUNCTION("GOOGLETRANSLATE(A1358, ""en"", ""fr"")"),"LARGEUR")</f>
        <v>LARGEUR</v>
      </c>
      <c r="C1358" s="1" t="s">
        <v>185</v>
      </c>
      <c r="J1358" s="1" t="s">
        <v>6</v>
      </c>
      <c r="DA1358" s="1" t="s">
        <v>101</v>
      </c>
      <c r="GD1358" s="1" t="s">
        <v>193</v>
      </c>
      <c r="GE1358" s="1" t="s">
        <v>190</v>
      </c>
    </row>
    <row r="1359" spans="1:187" ht="11.25" customHeight="1">
      <c r="A1359" s="1" t="s">
        <v>2106</v>
      </c>
      <c r="B1359" s="1" t="str">
        <f ca="1">IFERROR(__xludf.DUMMYFUNCTION("GOOGLETRANSLATE(A1359, ""en"", ""fr"")"),"Broke # 1")</f>
        <v>Broke # 1</v>
      </c>
      <c r="C1359" s="1" t="s">
        <v>185</v>
      </c>
      <c r="I1359" s="1" t="s">
        <v>5</v>
      </c>
      <c r="J1359" s="1" t="s">
        <v>6</v>
      </c>
      <c r="N1359" s="1" t="s">
        <v>10</v>
      </c>
      <c r="CC1359" s="1" t="s">
        <v>77</v>
      </c>
      <c r="DO1359" s="1" t="s">
        <v>115</v>
      </c>
      <c r="FO1359" s="1" t="s">
        <v>167</v>
      </c>
      <c r="GD1359" s="1" t="s">
        <v>1076</v>
      </c>
      <c r="GE1359" s="1" t="s">
        <v>2107</v>
      </c>
    </row>
    <row r="1360" spans="1:187" ht="11.25" customHeight="1">
      <c r="A1360" s="1" t="s">
        <v>2108</v>
      </c>
      <c r="B1360" s="1" t="str">
        <f ca="1">IFERROR(__xludf.DUMMYFUNCTION("GOOGLETRANSLATE(A1360, ""en"", ""fr"")"),"Broke # 2")</f>
        <v>Broke # 2</v>
      </c>
      <c r="C1360" s="1" t="s">
        <v>185</v>
      </c>
      <c r="BV1360" s="1" t="s">
        <v>70</v>
      </c>
      <c r="DN1360" s="1" t="s">
        <v>114</v>
      </c>
      <c r="GD1360" s="1" t="s">
        <v>1076</v>
      </c>
      <c r="GE1360" s="1" t="s">
        <v>2109</v>
      </c>
    </row>
    <row r="1361" spans="1:187" ht="11.25" customHeight="1">
      <c r="A1361" s="1" t="s">
        <v>2110</v>
      </c>
      <c r="B1361" s="1" t="str">
        <f ca="1">IFERROR(__xludf.DUMMYFUNCTION("GOOGLETRANSLATE(A1361, ""en"", ""fr"")"),"Broke # 3")</f>
        <v>Broke # 3</v>
      </c>
      <c r="C1361" s="1" t="s">
        <v>185</v>
      </c>
      <c r="E1361" s="1" t="s">
        <v>16613</v>
      </c>
      <c r="H1361" s="1" t="s">
        <v>4</v>
      </c>
      <c r="V1361" s="1" t="s">
        <v>18</v>
      </c>
      <c r="AA1361" s="1" t="s">
        <v>23</v>
      </c>
      <c r="AC1361" s="1" t="s">
        <v>25</v>
      </c>
      <c r="EY1361" s="1" t="s">
        <v>151</v>
      </c>
      <c r="FC1361" s="1" t="s">
        <v>155</v>
      </c>
      <c r="GD1361" s="1" t="s">
        <v>202</v>
      </c>
      <c r="GE1361" s="1" t="s">
        <v>2111</v>
      </c>
    </row>
    <row r="1362" spans="1:187" ht="11.25" customHeight="1">
      <c r="A1362" s="1" t="s">
        <v>2112</v>
      </c>
      <c r="B1362" s="1" t="str">
        <f ca="1">IFERROR(__xludf.DUMMYFUNCTION("GOOGLETRANSLATE(A1362, ""en"", ""fr"")"),"Broke # 4")</f>
        <v>Broke # 4</v>
      </c>
      <c r="C1362" s="1" t="s">
        <v>185</v>
      </c>
      <c r="BK1362" s="1" t="s">
        <v>59</v>
      </c>
      <c r="DN1362" s="1" t="s">
        <v>114</v>
      </c>
      <c r="FD1362" s="1" t="s">
        <v>156</v>
      </c>
      <c r="FI1362" s="1" t="s">
        <v>161</v>
      </c>
      <c r="GD1362" s="1" t="s">
        <v>189</v>
      </c>
      <c r="GE1362" s="1" t="s">
        <v>2113</v>
      </c>
    </row>
    <row r="1363" spans="1:187" ht="11.25" customHeight="1">
      <c r="A1363" s="1" t="s">
        <v>2114</v>
      </c>
      <c r="B1363" s="1" t="str">
        <f ca="1">IFERROR(__xludf.DUMMYFUNCTION("GOOGLETRANSLATE(A1363, ""en"", ""fr"")"),"Broke # 5")</f>
        <v>Broke # 5</v>
      </c>
      <c r="C1363" s="1" t="s">
        <v>185</v>
      </c>
      <c r="E1363" s="1" t="s">
        <v>16613</v>
      </c>
      <c r="H1363" s="1" t="s">
        <v>4</v>
      </c>
      <c r="I1363" s="1" t="s">
        <v>5</v>
      </c>
      <c r="N1363" s="1" t="s">
        <v>10</v>
      </c>
      <c r="AE1363" s="1" t="s">
        <v>27</v>
      </c>
      <c r="AN1363" s="1" t="s">
        <v>36</v>
      </c>
      <c r="DN1363" s="1" t="s">
        <v>114</v>
      </c>
      <c r="EE1363" s="1" t="s">
        <v>131</v>
      </c>
      <c r="EJ1363" s="1" t="s">
        <v>136</v>
      </c>
      <c r="GD1363" s="1" t="s">
        <v>1076</v>
      </c>
      <c r="GE1363" s="1" t="s">
        <v>2115</v>
      </c>
    </row>
    <row r="1364" spans="1:187" ht="11.25" customHeight="1">
      <c r="A1364" s="1" t="s">
        <v>2116</v>
      </c>
      <c r="B1364" s="1" t="str">
        <f ca="1">IFERROR(__xludf.DUMMYFUNCTION("GOOGLETRANSLATE(A1364, ""en"", ""fr"")"),"Broke # 6")</f>
        <v>Broke # 6</v>
      </c>
      <c r="C1364" s="1" t="s">
        <v>185</v>
      </c>
      <c r="E1364" s="1" t="s">
        <v>16613</v>
      </c>
      <c r="H1364" s="1" t="s">
        <v>4</v>
      </c>
      <c r="O1364" s="1" t="s">
        <v>11</v>
      </c>
      <c r="V1364" s="1" t="s">
        <v>18</v>
      </c>
      <c r="GD1364" s="1" t="s">
        <v>202</v>
      </c>
      <c r="GE1364" s="1" t="s">
        <v>2117</v>
      </c>
    </row>
    <row r="1365" spans="1:187" ht="11.25" customHeight="1">
      <c r="A1365" s="1" t="s">
        <v>2118</v>
      </c>
      <c r="B1365" s="1" t="str">
        <f ca="1">IFERROR(__xludf.DUMMYFUNCTION("GOOGLETRANSLATE(A1365, ""en"", ""fr"")"),"Broke # 7")</f>
        <v>Broke # 7</v>
      </c>
      <c r="C1365" s="1" t="s">
        <v>185</v>
      </c>
      <c r="E1365" s="1" t="s">
        <v>16613</v>
      </c>
      <c r="H1365" s="1" t="s">
        <v>4</v>
      </c>
      <c r="L1365" s="1" t="s">
        <v>8</v>
      </c>
      <c r="O1365" s="1" t="s">
        <v>11</v>
      </c>
      <c r="BT1365" s="1" t="s">
        <v>68</v>
      </c>
      <c r="DN1365" s="1" t="s">
        <v>114</v>
      </c>
      <c r="FN1365" s="1" t="s">
        <v>166</v>
      </c>
      <c r="GD1365" s="1" t="s">
        <v>1076</v>
      </c>
      <c r="GE1365" s="1" t="s">
        <v>2119</v>
      </c>
    </row>
    <row r="1366" spans="1:187" ht="11.25" customHeight="1">
      <c r="A1366" s="1" t="s">
        <v>2120</v>
      </c>
      <c r="B1366" s="1" t="str">
        <f ca="1">IFERROR(__xludf.DUMMYFUNCTION("GOOGLETRANSLATE(A1366, ""en"", ""fr"")"),"Cassé n ° 1")</f>
        <v>Cassé n ° 1</v>
      </c>
      <c r="C1366" s="1" t="s">
        <v>192</v>
      </c>
      <c r="GD1366" s="1" t="s">
        <v>1085</v>
      </c>
      <c r="GE1366" s="1" t="s">
        <v>190</v>
      </c>
    </row>
    <row r="1367" spans="1:187" ht="11.25" customHeight="1">
      <c r="A1367" s="1" t="s">
        <v>2121</v>
      </c>
      <c r="B1367" s="1" t="str">
        <f ca="1">IFERROR(__xludf.DUMMYFUNCTION("GOOGLETRANSLATE(A1367, ""en"", ""fr"")"),"CŒUR BRISÉ")</f>
        <v>CŒUR BRISÉ</v>
      </c>
      <c r="C1367" s="1" t="s">
        <v>192</v>
      </c>
      <c r="E1367" s="1" t="s">
        <v>16613</v>
      </c>
      <c r="L1367" s="1" t="s">
        <v>8</v>
      </c>
      <c r="Q1367" s="1" t="s">
        <v>13</v>
      </c>
      <c r="T1367" s="1" t="s">
        <v>16</v>
      </c>
      <c r="AN1367" s="1" t="s">
        <v>36</v>
      </c>
      <c r="DQ1367" s="1" t="s">
        <v>117</v>
      </c>
      <c r="GD1367" s="1" t="s">
        <v>202</v>
      </c>
      <c r="GE1367" s="1" t="s">
        <v>190</v>
      </c>
    </row>
    <row r="1368" spans="1:187" ht="11.25" customHeight="1">
      <c r="A1368" s="1" t="s">
        <v>2122</v>
      </c>
      <c r="B1368" s="1" t="str">
        <f ca="1">IFERROR(__xludf.DUMMYFUNCTION("GOOGLETRANSLATE(A1368, ""en"", ""fr"")"),"COURTIER")</f>
        <v>COURTIER</v>
      </c>
      <c r="C1368" s="1" t="s">
        <v>185</v>
      </c>
      <c r="AA1368" s="1" t="s">
        <v>23</v>
      </c>
      <c r="AC1368" s="1" t="s">
        <v>25</v>
      </c>
      <c r="AJ1368" s="1" t="s">
        <v>32</v>
      </c>
      <c r="AT1368" s="1" t="s">
        <v>42</v>
      </c>
      <c r="ET1368" s="1" t="s">
        <v>146</v>
      </c>
      <c r="EW1368" s="1" t="s">
        <v>149</v>
      </c>
      <c r="GD1368" s="1" t="s">
        <v>193</v>
      </c>
      <c r="GE1368" s="1" t="s">
        <v>190</v>
      </c>
    </row>
    <row r="1369" spans="1:187" ht="11.25" customHeight="1">
      <c r="A1369" s="1" t="s">
        <v>2123</v>
      </c>
      <c r="B1369" s="1" t="str">
        <f ca="1">IFERROR(__xludf.DUMMYFUNCTION("GOOGLETRANSLATE(A1369, ""en"", ""fr"")"),"BRONZE")</f>
        <v>BRONZE</v>
      </c>
      <c r="C1369" s="1" t="s">
        <v>185</v>
      </c>
      <c r="DE1369" s="1" t="s">
        <v>105</v>
      </c>
      <c r="GD1369" s="1" t="s">
        <v>202</v>
      </c>
      <c r="GE1369" s="1" t="s">
        <v>190</v>
      </c>
    </row>
    <row r="1370" spans="1:187" ht="11.25" customHeight="1">
      <c r="A1370" s="1" t="s">
        <v>2124</v>
      </c>
      <c r="B1370" s="1" t="str">
        <f ca="1">IFERROR(__xludf.DUMMYFUNCTION("GOOGLETRANSLATE(A1370, ""en"", ""fr"")"),"NICHÉE")</f>
        <v>NICHÉE</v>
      </c>
      <c r="C1370" s="1" t="s">
        <v>192</v>
      </c>
      <c r="E1370" s="1" t="s">
        <v>16613</v>
      </c>
      <c r="Q1370" s="1" t="s">
        <v>13</v>
      </c>
      <c r="T1370" s="1" t="s">
        <v>16</v>
      </c>
      <c r="CG1370" s="1" t="s">
        <v>81</v>
      </c>
      <c r="DP1370" s="1" t="s">
        <v>116</v>
      </c>
      <c r="GD1370" s="1" t="s">
        <v>189</v>
      </c>
      <c r="GE1370" s="1" t="s">
        <v>190</v>
      </c>
    </row>
    <row r="1371" spans="1:187" ht="11.25" customHeight="1">
      <c r="A1371" s="1" t="s">
        <v>2125</v>
      </c>
      <c r="B1371" s="1" t="str">
        <f ca="1">IFERROR(__xludf.DUMMYFUNCTION("GOOGLETRANSLATE(A1371, ""en"", ""fr"")"),"FRÈRE")</f>
        <v>FRÈRE</v>
      </c>
      <c r="C1371" s="1" t="s">
        <v>185</v>
      </c>
      <c r="G1371" s="1" t="s">
        <v>3</v>
      </c>
      <c r="AJ1371" s="1" t="s">
        <v>32</v>
      </c>
      <c r="AP1371" s="1" t="s">
        <v>38</v>
      </c>
      <c r="AQ1371" s="1" t="s">
        <v>39</v>
      </c>
      <c r="AT1371" s="1" t="s">
        <v>42</v>
      </c>
      <c r="EQ1371" s="1" t="s">
        <v>143</v>
      </c>
      <c r="ES1371" s="1" t="s">
        <v>145</v>
      </c>
      <c r="GD1371" s="1" t="s">
        <v>837</v>
      </c>
      <c r="GE1371" s="1" t="s">
        <v>2126</v>
      </c>
    </row>
    <row r="1372" spans="1:187" ht="11.25" customHeight="1">
      <c r="A1372" s="1" t="s">
        <v>2127</v>
      </c>
      <c r="B1372" s="1" t="str">
        <f ca="1">IFERROR(__xludf.DUMMYFUNCTION("GOOGLETRANSLATE(A1372, ""en"", ""fr"")"),"FRATERNITÉ")</f>
        <v>FRATERNITÉ</v>
      </c>
      <c r="C1372" s="1" t="s">
        <v>185</v>
      </c>
      <c r="D1372" s="1" t="s">
        <v>16612</v>
      </c>
      <c r="F1372" s="1" t="s">
        <v>2</v>
      </c>
      <c r="G1372" s="1" t="s">
        <v>3</v>
      </c>
      <c r="J1372" s="1" t="s">
        <v>6</v>
      </c>
      <c r="U1372" s="1" t="s">
        <v>17</v>
      </c>
      <c r="ER1372" s="1" t="s">
        <v>144</v>
      </c>
      <c r="ES1372" s="1" t="s">
        <v>145</v>
      </c>
      <c r="GD1372" s="1" t="s">
        <v>193</v>
      </c>
      <c r="GE1372" s="1" t="s">
        <v>190</v>
      </c>
    </row>
    <row r="1373" spans="1:187" ht="11.25" customHeight="1">
      <c r="A1373" s="1" t="s">
        <v>2128</v>
      </c>
      <c r="B1373" s="1" t="str">
        <f ca="1">IFERROR(__xludf.DUMMYFUNCTION("GOOGLETRANSLATE(A1373, ""en"", ""fr"")"),"FRATERNEL")</f>
        <v>FRATERNEL</v>
      </c>
      <c r="C1373" s="1" t="s">
        <v>192</v>
      </c>
      <c r="D1373" s="1" t="s">
        <v>16612</v>
      </c>
      <c r="G1373" s="1" t="s">
        <v>3</v>
      </c>
      <c r="AN1373" s="1" t="s">
        <v>36</v>
      </c>
      <c r="DQ1373" s="1" t="s">
        <v>117</v>
      </c>
      <c r="GD1373" s="1" t="s">
        <v>202</v>
      </c>
      <c r="GE1373" s="1" t="s">
        <v>190</v>
      </c>
    </row>
    <row r="1374" spans="1:187" ht="11.25" customHeight="1">
      <c r="A1374" s="1" t="s">
        <v>2129</v>
      </c>
      <c r="B1374" s="1" t="str">
        <f ca="1">IFERROR(__xludf.DUMMYFUNCTION("GOOGLETRANSLATE(A1374, ""en"", ""fr"")"),"Apporté n ° 1")</f>
        <v>Apporté n ° 1</v>
      </c>
      <c r="C1374" s="1" t="s">
        <v>192</v>
      </c>
      <c r="GD1374" s="1" t="s">
        <v>1085</v>
      </c>
      <c r="GE1374" s="1" t="s">
        <v>190</v>
      </c>
    </row>
    <row r="1375" spans="1:187" ht="11.25" customHeight="1">
      <c r="A1375" s="1" t="s">
        <v>2130</v>
      </c>
      <c r="B1375" s="1" t="str">
        <f ca="1">IFERROR(__xludf.DUMMYFUNCTION("GOOGLETRANSLATE(A1375, ""en"", ""fr"")"),"BRUN")</f>
        <v>BRUN</v>
      </c>
      <c r="C1375" s="1" t="s">
        <v>185</v>
      </c>
      <c r="DE1375" s="1" t="s">
        <v>105</v>
      </c>
      <c r="GD1375" s="1" t="s">
        <v>202</v>
      </c>
      <c r="GE1375" s="1" t="s">
        <v>190</v>
      </c>
    </row>
    <row r="1376" spans="1:187" ht="11.25" customHeight="1">
      <c r="A1376" s="1" t="s">
        <v>2131</v>
      </c>
      <c r="B1376" s="1" t="str">
        <f ca="1">IFERROR(__xludf.DUMMYFUNCTION("GOOGLETRANSLATE(A1376, ""en"", ""fr"")"),"HÉMATOME")</f>
        <v>HÉMATOME</v>
      </c>
      <c r="C1376" s="1" t="s">
        <v>192</v>
      </c>
      <c r="E1376" s="1" t="s">
        <v>16613</v>
      </c>
      <c r="Q1376" s="1" t="s">
        <v>13</v>
      </c>
      <c r="GD1376" s="1" t="s">
        <v>193</v>
      </c>
      <c r="GE1376" s="1" t="s">
        <v>190</v>
      </c>
    </row>
    <row r="1377" spans="1:187" ht="11.25" customHeight="1">
      <c r="A1377" s="1" t="s">
        <v>2132</v>
      </c>
      <c r="B1377" s="1" t="str">
        <f ca="1">IFERROR(__xludf.DUMMYFUNCTION("GOOGLETRANSLATE(A1377, ""en"", ""fr"")"),"Brosse n ° 1")</f>
        <v>Brosse n ° 1</v>
      </c>
      <c r="C1377" s="1" t="s">
        <v>185</v>
      </c>
      <c r="BC1377" s="1" t="s">
        <v>51</v>
      </c>
      <c r="BD1377" s="1" t="s">
        <v>52</v>
      </c>
      <c r="GD1377" s="1" t="s">
        <v>193</v>
      </c>
      <c r="GE1377" s="1" t="s">
        <v>190</v>
      </c>
    </row>
    <row r="1378" spans="1:187" ht="11.25" customHeight="1">
      <c r="A1378" s="1" t="s">
        <v>2133</v>
      </c>
      <c r="B1378" s="1" t="str">
        <f ca="1">IFERROR(__xludf.DUMMYFUNCTION("GOOGLETRANSLATE(A1378, ""en"", ""fr"")"),"Brosse n ° 2")</f>
        <v>Brosse n ° 2</v>
      </c>
      <c r="C1378" s="1" t="s">
        <v>185</v>
      </c>
      <c r="AL1378" s="1" t="s">
        <v>34</v>
      </c>
      <c r="DN1378" s="1" t="s">
        <v>114</v>
      </c>
      <c r="GD1378" s="1" t="s">
        <v>189</v>
      </c>
      <c r="GE1378" s="1" t="s">
        <v>190</v>
      </c>
    </row>
    <row r="1379" spans="1:187" ht="11.25" customHeight="1">
      <c r="A1379" s="1" t="s">
        <v>2134</v>
      </c>
      <c r="B1379" s="1" t="str">
        <f ca="1">IFERROR(__xludf.DUMMYFUNCTION("GOOGLETRANSLATE(A1379, ""en"", ""fr"")"),"BRUSQUE")</f>
        <v>BRUSQUE</v>
      </c>
      <c r="C1379" s="1" t="s">
        <v>192</v>
      </c>
      <c r="E1379" s="1" t="s">
        <v>16613</v>
      </c>
      <c r="I1379" s="1" t="s">
        <v>5</v>
      </c>
      <c r="X1379" s="1" t="s">
        <v>20</v>
      </c>
      <c r="BK1379" s="1" t="s">
        <v>59</v>
      </c>
      <c r="DQ1379" s="1" t="s">
        <v>117</v>
      </c>
      <c r="GD1379" s="1" t="s">
        <v>202</v>
      </c>
      <c r="GE1379" s="1" t="s">
        <v>190</v>
      </c>
    </row>
    <row r="1380" spans="1:187" ht="11.25" customHeight="1">
      <c r="A1380" s="1" t="s">
        <v>2135</v>
      </c>
      <c r="B1380" s="1" t="str">
        <f ca="1">IFERROR(__xludf.DUMMYFUNCTION("GOOGLETRANSLATE(A1380, ""en"", ""fr"")"),"BRUTAL")</f>
        <v>BRUTAL</v>
      </c>
      <c r="C1380" s="1" t="s">
        <v>185</v>
      </c>
      <c r="GD1380" s="1" t="s">
        <v>1585</v>
      </c>
      <c r="GE1380" s="1" t="s">
        <v>190</v>
      </c>
    </row>
    <row r="1381" spans="1:187" ht="11.25" customHeight="1">
      <c r="A1381" s="1" t="s">
        <v>2136</v>
      </c>
      <c r="B1381" s="1" t="str">
        <f ca="1">IFERROR(__xludf.DUMMYFUNCTION("GOOGLETRANSLATE(A1381, ""en"", ""fr"")"),"BRUTALITÉ")</f>
        <v>BRUTALITÉ</v>
      </c>
      <c r="C1381" s="1" t="s">
        <v>185</v>
      </c>
      <c r="E1381" s="1" t="s">
        <v>16613</v>
      </c>
      <c r="H1381" s="1" t="s">
        <v>4</v>
      </c>
      <c r="I1381" s="1" t="s">
        <v>5</v>
      </c>
      <c r="J1381" s="1" t="s">
        <v>6</v>
      </c>
      <c r="N1381" s="1" t="s">
        <v>10</v>
      </c>
      <c r="V1381" s="1" t="s">
        <v>18</v>
      </c>
      <c r="W1381" s="1" t="s">
        <v>19</v>
      </c>
      <c r="GD1381" s="1" t="s">
        <v>193</v>
      </c>
      <c r="GE1381" s="1" t="s">
        <v>190</v>
      </c>
    </row>
    <row r="1382" spans="1:187" ht="11.25" customHeight="1">
      <c r="A1382" s="1" t="s">
        <v>2137</v>
      </c>
      <c r="B1382" s="1" t="str">
        <f ca="1">IFERROR(__xludf.DUMMYFUNCTION("GOOGLETRANSLATE(A1382, ""en"", ""fr"")"),"BRUTE")</f>
        <v>BRUTE</v>
      </c>
      <c r="C1382" s="1" t="s">
        <v>192</v>
      </c>
      <c r="E1382" s="1" t="s">
        <v>16613</v>
      </c>
      <c r="I1382" s="1" t="s">
        <v>5</v>
      </c>
      <c r="V1382" s="1" t="s">
        <v>18</v>
      </c>
      <c r="AT1382" s="1" t="s">
        <v>42</v>
      </c>
      <c r="GD1382" s="1" t="s">
        <v>193</v>
      </c>
      <c r="GE1382" s="1" t="s">
        <v>190</v>
      </c>
    </row>
    <row r="1383" spans="1:187" ht="11.25" customHeight="1">
      <c r="A1383" s="1" t="s">
        <v>2138</v>
      </c>
      <c r="B1383" s="1" t="str">
        <f ca="1">IFERROR(__xludf.DUMMYFUNCTION("GOOGLETRANSLATE(A1383, ""en"", ""fr"")"),"BRUTAL")</f>
        <v>BRUTAL</v>
      </c>
      <c r="C1383" s="1" t="s">
        <v>192</v>
      </c>
      <c r="E1383" s="1" t="s">
        <v>16613</v>
      </c>
      <c r="I1383" s="1" t="s">
        <v>5</v>
      </c>
      <c r="V1383" s="1" t="s">
        <v>18</v>
      </c>
      <c r="DR1383" s="1" t="s">
        <v>118</v>
      </c>
      <c r="GD1383" s="1" t="s">
        <v>202</v>
      </c>
      <c r="GE1383" s="1" t="s">
        <v>190</v>
      </c>
    </row>
    <row r="1384" spans="1:187" ht="11.25" customHeight="1">
      <c r="A1384" s="1" t="s">
        <v>2139</v>
      </c>
      <c r="B1384" s="1" t="str">
        <f ca="1">IFERROR(__xludf.DUMMYFUNCTION("GOOGLETRANSLATE(A1384, ""en"", ""fr"")"),"Bulle n ° 1")</f>
        <v>Bulle n ° 1</v>
      </c>
      <c r="C1384" s="1" t="s">
        <v>185</v>
      </c>
      <c r="BU1384" s="1" t="s">
        <v>69</v>
      </c>
      <c r="GD1384" s="1" t="s">
        <v>193</v>
      </c>
      <c r="GE1384" s="1" t="s">
        <v>190</v>
      </c>
    </row>
    <row r="1385" spans="1:187" ht="11.25" customHeight="1">
      <c r="A1385" s="1" t="s">
        <v>2140</v>
      </c>
      <c r="B1385" s="1" t="str">
        <f ca="1">IFERROR(__xludf.DUMMYFUNCTION("GOOGLETRANSLATE(A1385, ""en"", ""fr"")"),"Bulle n ° 2")</f>
        <v>Bulle n ° 2</v>
      </c>
      <c r="C1385" s="1" t="s">
        <v>185</v>
      </c>
      <c r="BU1385" s="1" t="s">
        <v>69</v>
      </c>
      <c r="DN1385" s="1" t="s">
        <v>114</v>
      </c>
      <c r="GD1385" s="1" t="s">
        <v>189</v>
      </c>
      <c r="GE1385" s="1" t="s">
        <v>190</v>
      </c>
    </row>
    <row r="1386" spans="1:187" ht="11.25" customHeight="1">
      <c r="A1386" s="1" t="s">
        <v>2141</v>
      </c>
      <c r="B1386" s="1" t="str">
        <f ca="1">IFERROR(__xludf.DUMMYFUNCTION("GOOGLETRANSLATE(A1386, ""en"", ""fr"")"),"BOUCLE")</f>
        <v>BOUCLE</v>
      </c>
      <c r="C1386" s="1" t="s">
        <v>192</v>
      </c>
      <c r="E1386" s="1" t="s">
        <v>16613</v>
      </c>
      <c r="L1386" s="1" t="s">
        <v>8</v>
      </c>
      <c r="M1386" s="1" t="s">
        <v>9</v>
      </c>
      <c r="O1386" s="1" t="s">
        <v>11</v>
      </c>
      <c r="BT1386" s="1" t="s">
        <v>68</v>
      </c>
      <c r="DN1386" s="1" t="s">
        <v>114</v>
      </c>
      <c r="GD1386" s="1" t="s">
        <v>189</v>
      </c>
      <c r="GE1386" s="1" t="s">
        <v>190</v>
      </c>
    </row>
    <row r="1387" spans="1:187" ht="11.25" customHeight="1">
      <c r="A1387" s="1" t="s">
        <v>2142</v>
      </c>
      <c r="B1387" s="1" t="str">
        <f ca="1">IFERROR(__xludf.DUMMYFUNCTION("GOOGLETRANSLATE(A1387, ""en"", ""fr"")"),"COPAIN")</f>
        <v>COPAIN</v>
      </c>
      <c r="C1387" s="1" t="s">
        <v>185</v>
      </c>
      <c r="G1387" s="1" t="s">
        <v>3</v>
      </c>
      <c r="AJ1387" s="1" t="s">
        <v>32</v>
      </c>
      <c r="AQ1387" s="1" t="s">
        <v>39</v>
      </c>
      <c r="AT1387" s="1" t="s">
        <v>42</v>
      </c>
      <c r="EQ1387" s="1" t="s">
        <v>143</v>
      </c>
      <c r="ES1387" s="1" t="s">
        <v>145</v>
      </c>
      <c r="GD1387" s="1" t="s">
        <v>193</v>
      </c>
      <c r="GE1387" s="1" t="s">
        <v>190</v>
      </c>
    </row>
    <row r="1388" spans="1:187" ht="11.25" customHeight="1">
      <c r="A1388" s="1" t="s">
        <v>2143</v>
      </c>
      <c r="B1388" s="1" t="str">
        <f ca="1">IFERROR(__xludf.DUMMYFUNCTION("GOOGLETRANSLATE(A1388, ""en"", ""fr"")"),"BUDGET")</f>
        <v>BUDGET</v>
      </c>
      <c r="C1388" s="1" t="s">
        <v>185</v>
      </c>
      <c r="AA1388" s="1" t="s">
        <v>23</v>
      </c>
      <c r="AC1388" s="1" t="s">
        <v>25</v>
      </c>
      <c r="BQ1388" s="1" t="s">
        <v>65</v>
      </c>
      <c r="EV1388" s="1" t="s">
        <v>148</v>
      </c>
      <c r="EW1388" s="1" t="s">
        <v>149</v>
      </c>
      <c r="GD1388" s="1" t="s">
        <v>193</v>
      </c>
      <c r="GE1388" s="1" t="s">
        <v>190</v>
      </c>
    </row>
    <row r="1389" spans="1:187" ht="11.25" customHeight="1">
      <c r="A1389" s="1" t="s">
        <v>2144</v>
      </c>
      <c r="B1389" s="1" t="str">
        <f ca="1">IFERROR(__xludf.DUMMYFUNCTION("GOOGLETRANSLATE(A1389, ""en"", ""fr"")"),"BUDGÉTAIRE")</f>
        <v>BUDGÉTAIRE</v>
      </c>
      <c r="C1389" s="1" t="s">
        <v>196</v>
      </c>
      <c r="EV1389" s="1" t="s">
        <v>148</v>
      </c>
      <c r="EW1389" s="1" t="s">
        <v>149</v>
      </c>
      <c r="GD1389" s="1" t="s">
        <v>2145</v>
      </c>
    </row>
    <row r="1390" spans="1:187" ht="11.25" customHeight="1">
      <c r="A1390" s="1" t="s">
        <v>2146</v>
      </c>
      <c r="B1390" s="1" t="str">
        <f ca="1">IFERROR(__xludf.DUMMYFUNCTION("GOOGLETRANSLATE(A1390, ""en"", ""fr"")"),"BUFFLE")</f>
        <v>BUFFLE</v>
      </c>
      <c r="C1390" s="1" t="s">
        <v>185</v>
      </c>
      <c r="AU1390" s="1" t="s">
        <v>43</v>
      </c>
      <c r="GD1390" s="1" t="s">
        <v>193</v>
      </c>
      <c r="GE1390" s="1" t="s">
        <v>2147</v>
      </c>
    </row>
    <row r="1391" spans="1:187" ht="11.25" customHeight="1">
      <c r="A1391" s="1" t="s">
        <v>2148</v>
      </c>
      <c r="B1391" s="1" t="str">
        <f ca="1">IFERROR(__xludf.DUMMYFUNCTION("GOOGLETRANSLATE(A1391, ""en"", ""fr"")"),"Bogue n ° 1")</f>
        <v>Bogue n ° 1</v>
      </c>
      <c r="C1391" s="1" t="s">
        <v>185</v>
      </c>
      <c r="AU1391" s="1" t="s">
        <v>43</v>
      </c>
      <c r="GD1391" s="1" t="s">
        <v>193</v>
      </c>
      <c r="GE1391" s="1" t="s">
        <v>190</v>
      </c>
    </row>
    <row r="1392" spans="1:187" ht="11.25" customHeight="1">
      <c r="A1392" s="1" t="s">
        <v>2149</v>
      </c>
      <c r="B1392" s="1" t="str">
        <f ca="1">IFERROR(__xludf.DUMMYFUNCTION("GOOGLETRANSLATE(A1392, ""en"", ""fr"")"),"Bogue n ° 2")</f>
        <v>Bogue n ° 2</v>
      </c>
      <c r="C1392" s="1" t="s">
        <v>185</v>
      </c>
      <c r="E1392" s="1" t="s">
        <v>16613</v>
      </c>
      <c r="H1392" s="1" t="s">
        <v>4</v>
      </c>
      <c r="I1392" s="1" t="s">
        <v>5</v>
      </c>
      <c r="BK1392" s="1" t="s">
        <v>59</v>
      </c>
      <c r="DN1392" s="1" t="s">
        <v>114</v>
      </c>
      <c r="GD1392" s="1" t="s">
        <v>189</v>
      </c>
      <c r="GE1392" s="1" t="s">
        <v>190</v>
      </c>
    </row>
    <row r="1393" spans="1:187" ht="11.25" customHeight="1">
      <c r="A1393" s="1" t="s">
        <v>2150</v>
      </c>
      <c r="B1393" s="1" t="str">
        <f ca="1">IFERROR(__xludf.DUMMYFUNCTION("GOOGLETRANSLATE(A1393, ""en"", ""fr"")"),"Construire n ° 1")</f>
        <v>Construire n ° 1</v>
      </c>
      <c r="C1393" s="1" t="s">
        <v>185</v>
      </c>
      <c r="N1393" s="1" t="s">
        <v>10</v>
      </c>
      <c r="AL1393" s="1" t="s">
        <v>34</v>
      </c>
      <c r="DO1393" s="1" t="s">
        <v>115</v>
      </c>
      <c r="FL1393" s="1" t="s">
        <v>164</v>
      </c>
      <c r="FM1393" s="1" t="s">
        <v>418</v>
      </c>
      <c r="GD1393" s="1" t="s">
        <v>189</v>
      </c>
      <c r="GE1393" s="1" t="s">
        <v>2151</v>
      </c>
    </row>
    <row r="1394" spans="1:187" ht="11.25" customHeight="1">
      <c r="A1394" s="1" t="s">
        <v>2152</v>
      </c>
      <c r="B1394" s="1" t="str">
        <f ca="1">IFERROR(__xludf.DUMMYFUNCTION("GOOGLETRANSLATE(A1394, ""en"", ""fr"")"),"Construire n ° 2")</f>
        <v>Construire n ° 2</v>
      </c>
      <c r="C1394" s="1" t="s">
        <v>185</v>
      </c>
      <c r="AV1394" s="1" t="s">
        <v>44</v>
      </c>
      <c r="AW1394" s="1" t="s">
        <v>45</v>
      </c>
      <c r="GD1394" s="1" t="s">
        <v>193</v>
      </c>
      <c r="GE1394" s="1" t="s">
        <v>2153</v>
      </c>
    </row>
    <row r="1395" spans="1:187" ht="11.25" customHeight="1">
      <c r="A1395" s="1" t="s">
        <v>2154</v>
      </c>
      <c r="B1395" s="1" t="str">
        <f ca="1">IFERROR(__xludf.DUMMYFUNCTION("GOOGLETRANSLATE(A1395, ""en"", ""fr"")"),"Construire # 3")</f>
        <v>Construire # 3</v>
      </c>
      <c r="C1395" s="1" t="s">
        <v>185</v>
      </c>
      <c r="J1395" s="1" t="s">
        <v>6</v>
      </c>
      <c r="BJ1395" s="1" t="s">
        <v>58</v>
      </c>
      <c r="EZ1395" s="1" t="s">
        <v>152</v>
      </c>
      <c r="FC1395" s="1" t="s">
        <v>155</v>
      </c>
      <c r="GD1395" s="1" t="s">
        <v>193</v>
      </c>
      <c r="GE1395" s="1" t="s">
        <v>2155</v>
      </c>
    </row>
    <row r="1396" spans="1:187" ht="11.25" customHeight="1">
      <c r="A1396" s="1" t="s">
        <v>2156</v>
      </c>
      <c r="B1396" s="1" t="str">
        <f ca="1">IFERROR(__xludf.DUMMYFUNCTION("GOOGLETRANSLATE(A1396, ""en"", ""fr"")"),"Construire n ° 4")</f>
        <v>Construire n ° 4</v>
      </c>
      <c r="C1396" s="1" t="s">
        <v>185</v>
      </c>
      <c r="J1396" s="1" t="s">
        <v>6</v>
      </c>
      <c r="N1396" s="1" t="s">
        <v>10</v>
      </c>
      <c r="BX1396" s="1" t="s">
        <v>72</v>
      </c>
      <c r="DN1396" s="1" t="s">
        <v>114</v>
      </c>
      <c r="DS1396" s="1" t="s">
        <v>119</v>
      </c>
      <c r="ED1396" s="1" t="s">
        <v>130</v>
      </c>
      <c r="GD1396" s="1" t="s">
        <v>189</v>
      </c>
      <c r="GE1396" s="1" t="s">
        <v>2157</v>
      </c>
    </row>
    <row r="1397" spans="1:187" ht="11.25" customHeight="1">
      <c r="A1397" s="1" t="s">
        <v>2158</v>
      </c>
      <c r="B1397" s="1" t="str">
        <f ca="1">IFERROR(__xludf.DUMMYFUNCTION("GOOGLETRANSLATE(A1397, ""en"", ""fr"")"),"Construire n ° 5")</f>
        <v>Construire n ° 5</v>
      </c>
      <c r="C1397" s="1" t="s">
        <v>185</v>
      </c>
      <c r="N1397" s="1" t="s">
        <v>10</v>
      </c>
      <c r="AC1397" s="1" t="s">
        <v>25</v>
      </c>
      <c r="BQ1397" s="1" t="s">
        <v>65</v>
      </c>
      <c r="GD1397" s="1" t="s">
        <v>193</v>
      </c>
      <c r="GE1397" s="1" t="s">
        <v>2159</v>
      </c>
    </row>
    <row r="1398" spans="1:187" ht="11.25" customHeight="1">
      <c r="A1398" s="1" t="s">
        <v>2160</v>
      </c>
      <c r="B1398" s="1" t="str">
        <f ca="1">IFERROR(__xludf.DUMMYFUNCTION("GOOGLETRANSLATE(A1398, ""en"", ""fr"")"),"CONSTRUCTEUR")</f>
        <v>CONSTRUCTEUR</v>
      </c>
      <c r="C1398" s="1" t="s">
        <v>185</v>
      </c>
      <c r="AA1398" s="1" t="s">
        <v>23</v>
      </c>
      <c r="AJ1398" s="1" t="s">
        <v>32</v>
      </c>
      <c r="AT1398" s="1" t="s">
        <v>42</v>
      </c>
      <c r="FK1398" s="1" t="s">
        <v>163</v>
      </c>
      <c r="FM1398" s="1" t="s">
        <v>418</v>
      </c>
      <c r="GD1398" s="1" t="s">
        <v>193</v>
      </c>
      <c r="GE1398" s="1" t="s">
        <v>190</v>
      </c>
    </row>
    <row r="1399" spans="1:187" ht="11.25" customHeight="1">
      <c r="A1399" s="1" t="s">
        <v>2161</v>
      </c>
      <c r="B1399" s="1" t="str">
        <f ca="1">IFERROR(__xludf.DUMMYFUNCTION("GOOGLETRANSLATE(A1399, ""en"", ""fr"")"),"Construit n ° 1")</f>
        <v>Construit n ° 1</v>
      </c>
      <c r="C1399" s="1" t="s">
        <v>192</v>
      </c>
      <c r="GD1399" s="1" t="s">
        <v>1085</v>
      </c>
      <c r="GE1399" s="1" t="s">
        <v>190</v>
      </c>
    </row>
    <row r="1400" spans="1:187" ht="11.25" customHeight="1">
      <c r="A1400" s="1" t="s">
        <v>2162</v>
      </c>
      <c r="B1400" s="1" t="str">
        <f ca="1">IFERROR(__xludf.DUMMYFUNCTION("GOOGLETRANSLATE(A1400, ""en"", ""fr"")"),"BULGARIE")</f>
        <v>BULGARIE</v>
      </c>
      <c r="C1400" s="1" t="s">
        <v>196</v>
      </c>
      <c r="FU1400" s="1" t="s">
        <v>173</v>
      </c>
      <c r="GD1400" s="1" t="s">
        <v>545</v>
      </c>
    </row>
    <row r="1401" spans="1:187" ht="11.25" customHeight="1">
      <c r="A1401" s="1" t="s">
        <v>2163</v>
      </c>
      <c r="B1401" s="1" t="str">
        <f ca="1">IFERROR(__xludf.DUMMYFUNCTION("GOOGLETRANSLATE(A1401, ""en"", ""fr"")"),"EN GROS")</f>
        <v>EN GROS</v>
      </c>
      <c r="C1401" s="1" t="s">
        <v>185</v>
      </c>
      <c r="J1401" s="1" t="s">
        <v>6</v>
      </c>
      <c r="W1401" s="1" t="s">
        <v>19</v>
      </c>
      <c r="CS1401" s="1" t="s">
        <v>93</v>
      </c>
      <c r="GD1401" s="1" t="s">
        <v>193</v>
      </c>
      <c r="GE1401" s="1" t="s">
        <v>190</v>
      </c>
    </row>
    <row r="1402" spans="1:187" ht="11.25" customHeight="1">
      <c r="A1402" s="1" t="s">
        <v>2164</v>
      </c>
      <c r="B1402" s="1" t="str">
        <f ca="1">IFERROR(__xludf.DUMMYFUNCTION("GOOGLETRANSLATE(A1402, ""en"", ""fr"")"),"TAUREAU")</f>
        <v>TAUREAU</v>
      </c>
      <c r="C1402" s="1" t="s">
        <v>185</v>
      </c>
      <c r="AQ1402" s="1" t="s">
        <v>39</v>
      </c>
      <c r="AU1402" s="1" t="s">
        <v>43</v>
      </c>
      <c r="GD1402" s="1" t="s">
        <v>193</v>
      </c>
      <c r="GE1402" s="1" t="s">
        <v>2165</v>
      </c>
    </row>
    <row r="1403" spans="1:187" ht="11.25" customHeight="1">
      <c r="A1403" s="1" t="s">
        <v>2166</v>
      </c>
      <c r="B1403" s="1" t="str">
        <f ca="1">IFERROR(__xludf.DUMMYFUNCTION("GOOGLETRANSLATE(A1403, ""en"", ""fr"")"),"BALLE")</f>
        <v>BALLE</v>
      </c>
      <c r="C1403" s="1" t="s">
        <v>185</v>
      </c>
      <c r="E1403" s="1" t="s">
        <v>16613</v>
      </c>
      <c r="H1403" s="1" t="s">
        <v>4</v>
      </c>
      <c r="I1403" s="1" t="s">
        <v>5</v>
      </c>
      <c r="J1403" s="1" t="s">
        <v>6</v>
      </c>
      <c r="BC1403" s="1" t="s">
        <v>51</v>
      </c>
      <c r="BD1403" s="1" t="s">
        <v>52</v>
      </c>
      <c r="DW1403" s="1" t="s">
        <v>123</v>
      </c>
      <c r="ED1403" s="1" t="s">
        <v>130</v>
      </c>
      <c r="GD1403" s="1" t="s">
        <v>193</v>
      </c>
      <c r="GE1403" s="1" t="s">
        <v>190</v>
      </c>
    </row>
    <row r="1404" spans="1:187" ht="11.25" customHeight="1">
      <c r="A1404" s="1" t="s">
        <v>2167</v>
      </c>
      <c r="B1404" s="1" t="str">
        <f ca="1">IFERROR(__xludf.DUMMYFUNCTION("GOOGLETRANSLATE(A1404, ""en"", ""fr"")"),"BULLETIN")</f>
        <v>BULLETIN</v>
      </c>
      <c r="C1404" s="1" t="s">
        <v>185</v>
      </c>
      <c r="BC1404" s="1" t="s">
        <v>51</v>
      </c>
      <c r="BH1404" s="1" t="s">
        <v>56</v>
      </c>
      <c r="BL1404" s="1" t="s">
        <v>60</v>
      </c>
      <c r="FD1404" s="1" t="s">
        <v>156</v>
      </c>
      <c r="FI1404" s="1" t="s">
        <v>161</v>
      </c>
      <c r="GD1404" s="1" t="s">
        <v>193</v>
      </c>
      <c r="GE1404" s="1" t="s">
        <v>190</v>
      </c>
    </row>
    <row r="1405" spans="1:187" ht="11.25" customHeight="1">
      <c r="A1405" s="1" t="s">
        <v>2168</v>
      </c>
      <c r="B1405" s="1" t="str">
        <f ca="1">IFERROR(__xludf.DUMMYFUNCTION("GOOGLETRANSLATE(A1405, ""en"", ""fr"")"),"CLOCHARD")</f>
        <v>CLOCHARD</v>
      </c>
      <c r="C1405" s="1" t="s">
        <v>192</v>
      </c>
      <c r="E1405" s="1" t="s">
        <v>16613</v>
      </c>
      <c r="L1405" s="1" t="s">
        <v>8</v>
      </c>
      <c r="AA1405" s="1" t="s">
        <v>23</v>
      </c>
      <c r="GD1405" s="1" t="s">
        <v>193</v>
      </c>
      <c r="GE1405" s="1" t="s">
        <v>190</v>
      </c>
    </row>
    <row r="1406" spans="1:187" ht="11.25" customHeight="1">
      <c r="A1406" s="1" t="s">
        <v>2169</v>
      </c>
      <c r="B1406" s="1" t="str">
        <f ca="1">IFERROR(__xludf.DUMMYFUNCTION("GOOGLETRANSLATE(A1406, ""en"", ""fr"")"),"BOUQUET")</f>
        <v>BOUQUET</v>
      </c>
      <c r="C1406" s="1" t="s">
        <v>185</v>
      </c>
      <c r="CS1406" s="1" t="s">
        <v>93</v>
      </c>
      <c r="GD1406" s="1" t="s">
        <v>193</v>
      </c>
      <c r="GE1406" s="1" t="s">
        <v>190</v>
      </c>
    </row>
    <row r="1407" spans="1:187" ht="11.25" customHeight="1">
      <c r="A1407" s="1" t="s">
        <v>2170</v>
      </c>
      <c r="B1407" s="1" t="str">
        <f ca="1">IFERROR(__xludf.DUMMYFUNCTION("GOOGLETRANSLATE(A1407, ""en"", ""fr"")"),"PAQUET")</f>
        <v>PAQUET</v>
      </c>
      <c r="C1407" s="1" t="s">
        <v>185</v>
      </c>
      <c r="CS1407" s="1" t="s">
        <v>93</v>
      </c>
      <c r="GD1407" s="1" t="s">
        <v>193</v>
      </c>
      <c r="GE1407" s="1" t="s">
        <v>190</v>
      </c>
    </row>
    <row r="1408" spans="1:187" ht="11.25" customHeight="1">
      <c r="A1408" s="1" t="s">
        <v>2171</v>
      </c>
      <c r="B1408" s="1" t="str">
        <f ca="1">IFERROR(__xludf.DUMMYFUNCTION("GOOGLETRANSLATE(A1408, ""en"", ""fr"")"),"Lancher")</f>
        <v>Lancher</v>
      </c>
      <c r="C1408" s="1" t="s">
        <v>192</v>
      </c>
      <c r="E1408" s="1" t="s">
        <v>16613</v>
      </c>
      <c r="L1408" s="1" t="s">
        <v>8</v>
      </c>
      <c r="X1408" s="1" t="s">
        <v>20</v>
      </c>
      <c r="DN1408" s="1" t="s">
        <v>114</v>
      </c>
      <c r="GD1408" s="1" t="s">
        <v>189</v>
      </c>
      <c r="GE1408" s="1" t="s">
        <v>190</v>
      </c>
    </row>
    <row r="1409" spans="1:187" ht="11.25" customHeight="1">
      <c r="A1409" s="1" t="s">
        <v>2172</v>
      </c>
      <c r="B1409" s="1" t="str">
        <f ca="1">IFERROR(__xludf.DUMMYFUNCTION("GOOGLETRANSLATE(A1409, ""en"", ""fr"")"),"COUCHETTE")</f>
        <v>COUCHETTE</v>
      </c>
      <c r="C1409" s="1" t="s">
        <v>185</v>
      </c>
      <c r="BC1409" s="1" t="s">
        <v>51</v>
      </c>
      <c r="BD1409" s="1" t="s">
        <v>52</v>
      </c>
      <c r="GD1409" s="1" t="s">
        <v>193</v>
      </c>
      <c r="GE1409" s="1" t="s">
        <v>190</v>
      </c>
    </row>
    <row r="1410" spans="1:187" ht="11.25" customHeight="1">
      <c r="A1410" s="1" t="s">
        <v>2173</v>
      </c>
      <c r="B1410" s="1" t="str">
        <f ca="1">IFERROR(__xludf.DUMMYFUNCTION("GOOGLETRANSLATE(A1410, ""en"", ""fr"")"),"FLOTTABLE")</f>
        <v>FLOTTABLE</v>
      </c>
      <c r="C1410" s="1" t="s">
        <v>192</v>
      </c>
      <c r="D1410" s="1" t="s">
        <v>16612</v>
      </c>
      <c r="G1410" s="1" t="s">
        <v>3</v>
      </c>
      <c r="J1410" s="1" t="s">
        <v>6</v>
      </c>
      <c r="DR1410" s="1" t="s">
        <v>118</v>
      </c>
      <c r="GD1410" s="1" t="s">
        <v>202</v>
      </c>
      <c r="GE1410" s="1" t="s">
        <v>190</v>
      </c>
    </row>
    <row r="1411" spans="1:187" ht="11.25" customHeight="1">
      <c r="A1411" s="1" t="s">
        <v>2174</v>
      </c>
      <c r="B1411" s="1" t="str">
        <f ca="1">IFERROR(__xludf.DUMMYFUNCTION("GOOGLETRANSLATE(A1411, ""en"", ""fr"")"),"Fardeau n ° 1")</f>
        <v>Fardeau n ° 1</v>
      </c>
      <c r="C1411" s="1" t="s">
        <v>185</v>
      </c>
      <c r="E1411" s="1" t="s">
        <v>16613</v>
      </c>
      <c r="H1411" s="1" t="s">
        <v>4</v>
      </c>
      <c r="L1411" s="1" t="s">
        <v>8</v>
      </c>
      <c r="V1411" s="1" t="s">
        <v>18</v>
      </c>
      <c r="GD1411" s="1" t="s">
        <v>193</v>
      </c>
      <c r="GE1411" s="1" t="s">
        <v>190</v>
      </c>
    </row>
    <row r="1412" spans="1:187" ht="11.25" customHeight="1">
      <c r="A1412" s="1" t="s">
        <v>2175</v>
      </c>
      <c r="B1412" s="1" t="str">
        <f ca="1">IFERROR(__xludf.DUMMYFUNCTION("GOOGLETRANSLATE(A1412, ""en"", ""fr"")"),"Fardeau n ° 2")</f>
        <v>Fardeau n ° 2</v>
      </c>
      <c r="C1412" s="1" t="s">
        <v>185</v>
      </c>
      <c r="E1412" s="1" t="s">
        <v>16613</v>
      </c>
      <c r="H1412" s="1" t="s">
        <v>4</v>
      </c>
      <c r="L1412" s="1" t="s">
        <v>8</v>
      </c>
      <c r="AL1412" s="1" t="s">
        <v>34</v>
      </c>
      <c r="DN1412" s="1" t="s">
        <v>114</v>
      </c>
      <c r="GD1412" s="1" t="s">
        <v>189</v>
      </c>
      <c r="GE1412" s="1" t="s">
        <v>190</v>
      </c>
    </row>
    <row r="1413" spans="1:187" ht="11.25" customHeight="1">
      <c r="A1413" s="1" t="s">
        <v>2176</v>
      </c>
      <c r="B1413" s="1" t="str">
        <f ca="1">IFERROR(__xludf.DUMMYFUNCTION("GOOGLETRANSLATE(A1413, ""en"", ""fr"")"),"PÉNIBLE")</f>
        <v>PÉNIBLE</v>
      </c>
      <c r="C1413" s="1" t="s">
        <v>192</v>
      </c>
      <c r="E1413" s="1" t="s">
        <v>16613</v>
      </c>
      <c r="Q1413" s="1" t="s">
        <v>13</v>
      </c>
      <c r="V1413" s="1" t="s">
        <v>18</v>
      </c>
      <c r="DQ1413" s="1" t="s">
        <v>117</v>
      </c>
      <c r="GD1413" s="1" t="s">
        <v>202</v>
      </c>
      <c r="GE1413" s="1" t="s">
        <v>190</v>
      </c>
    </row>
    <row r="1414" spans="1:187" ht="11.25" customHeight="1">
      <c r="A1414" s="1" t="s">
        <v>2177</v>
      </c>
      <c r="B1414" s="1" t="str">
        <f ca="1">IFERROR(__xludf.DUMMYFUNCTION("GOOGLETRANSLATE(A1414, ""en"", ""fr"")"),"BUREAU")</f>
        <v>BUREAU</v>
      </c>
      <c r="C1414" s="1" t="s">
        <v>185</v>
      </c>
      <c r="AC1414" s="1" t="s">
        <v>25</v>
      </c>
      <c r="AH1414" s="1" t="s">
        <v>30</v>
      </c>
      <c r="AV1414" s="1" t="s">
        <v>44</v>
      </c>
      <c r="AW1414" s="1" t="s">
        <v>45</v>
      </c>
      <c r="DY1414" s="1" t="s">
        <v>125</v>
      </c>
      <c r="ED1414" s="1" t="s">
        <v>130</v>
      </c>
      <c r="GD1414" s="1" t="s">
        <v>193</v>
      </c>
      <c r="GE1414" s="1" t="s">
        <v>190</v>
      </c>
    </row>
    <row r="1415" spans="1:187" ht="11.25" customHeight="1">
      <c r="A1415" s="1" t="s">
        <v>2178</v>
      </c>
      <c r="B1415" s="1" t="str">
        <f ca="1">IFERROR(__xludf.DUMMYFUNCTION("GOOGLETRANSLATE(A1415, ""en"", ""fr"")"),"BUREAUCRATIE")</f>
        <v>BUREAUCRATIE</v>
      </c>
      <c r="C1415" s="1" t="s">
        <v>196</v>
      </c>
      <c r="DY1415" s="1" t="s">
        <v>125</v>
      </c>
      <c r="ED1415" s="1" t="s">
        <v>130</v>
      </c>
      <c r="GD1415" s="1" t="s">
        <v>2179</v>
      </c>
    </row>
    <row r="1416" spans="1:187" ht="11.25" customHeight="1">
      <c r="A1416" s="1" t="s">
        <v>2180</v>
      </c>
      <c r="B1416" s="1" t="str">
        <f ca="1">IFERROR(__xludf.DUMMYFUNCTION("GOOGLETRANSLATE(A1416, ""en"", ""fr"")"),"BUREAUCRATIQUE")</f>
        <v>BUREAUCRATIQUE</v>
      </c>
      <c r="C1416" s="1" t="s">
        <v>196</v>
      </c>
      <c r="DY1416" s="1" t="s">
        <v>125</v>
      </c>
      <c r="ED1416" s="1" t="s">
        <v>130</v>
      </c>
      <c r="GD1416" s="1" t="s">
        <v>2181</v>
      </c>
    </row>
    <row r="1417" spans="1:187" ht="11.25" customHeight="1">
      <c r="A1417" s="1" t="s">
        <v>2182</v>
      </c>
      <c r="B1417" s="1" t="str">
        <f ca="1">IFERROR(__xludf.DUMMYFUNCTION("GOOGLETRANSLATE(A1417, ""en"", ""fr"")"),"CAMBRIOLEUR")</f>
        <v>CAMBRIOLEUR</v>
      </c>
      <c r="C1417" s="1" t="s">
        <v>192</v>
      </c>
      <c r="E1417" s="1" t="s">
        <v>16613</v>
      </c>
      <c r="I1417" s="1" t="s">
        <v>5</v>
      </c>
      <c r="V1417" s="1" t="s">
        <v>18</v>
      </c>
      <c r="AT1417" s="1" t="s">
        <v>42</v>
      </c>
      <c r="CD1417" s="1" t="s">
        <v>78</v>
      </c>
      <c r="GD1417" s="1" t="s">
        <v>193</v>
      </c>
      <c r="GE1417" s="1" t="s">
        <v>190</v>
      </c>
    </row>
    <row r="1418" spans="1:187" ht="11.25" customHeight="1">
      <c r="A1418" s="1" t="s">
        <v>2183</v>
      </c>
      <c r="B1418" s="1" t="str">
        <f ca="1">IFERROR(__xludf.DUMMYFUNCTION("GOOGLETRANSLATE(A1418, ""en"", ""fr"")"),"CAMBRIOLAGE")</f>
        <v>CAMBRIOLAGE</v>
      </c>
      <c r="C1418" s="1" t="s">
        <v>192</v>
      </c>
      <c r="E1418" s="1" t="s">
        <v>16613</v>
      </c>
      <c r="I1418" s="1" t="s">
        <v>5</v>
      </c>
      <c r="V1418" s="1" t="s">
        <v>18</v>
      </c>
      <c r="CD1418" s="1" t="s">
        <v>78</v>
      </c>
      <c r="GD1418" s="1" t="s">
        <v>193</v>
      </c>
      <c r="GE1418" s="1" t="s">
        <v>190</v>
      </c>
    </row>
    <row r="1419" spans="1:187" ht="11.25" customHeight="1">
      <c r="A1419" s="1" t="s">
        <v>2184</v>
      </c>
      <c r="B1419" s="1" t="str">
        <f ca="1">IFERROR(__xludf.DUMMYFUNCTION("GOOGLETRANSLATE(A1419, ""en"", ""fr"")"),"ENTERREMENT")</f>
        <v>ENTERREMENT</v>
      </c>
      <c r="C1419" s="1" t="s">
        <v>196</v>
      </c>
      <c r="EZ1419" s="1" t="s">
        <v>152</v>
      </c>
      <c r="FC1419" s="1" t="s">
        <v>155</v>
      </c>
      <c r="GD1419" s="1" t="s">
        <v>193</v>
      </c>
    </row>
    <row r="1420" spans="1:187" ht="11.25" customHeight="1">
      <c r="A1420" s="1" t="s">
        <v>2185</v>
      </c>
      <c r="B1420" s="1" t="str">
        <f ca="1">IFERROR(__xludf.DUMMYFUNCTION("GOOGLETRANSLATE(A1420, ""en"", ""fr"")"),"BIRMANIE")</f>
        <v>BIRMANIE</v>
      </c>
      <c r="C1420" s="1" t="s">
        <v>196</v>
      </c>
      <c r="FU1420" s="1" t="s">
        <v>173</v>
      </c>
      <c r="GD1420" s="1" t="s">
        <v>545</v>
      </c>
    </row>
    <row r="1421" spans="1:187" ht="11.25" customHeight="1">
      <c r="A1421" s="1" t="s">
        <v>2186</v>
      </c>
      <c r="B1421" s="1" t="str">
        <f ca="1">IFERROR(__xludf.DUMMYFUNCTION("GOOGLETRANSLATE(A1421, ""en"", ""fr"")"),"BIRMAN")</f>
        <v>BIRMAN</v>
      </c>
      <c r="C1421" s="1" t="s">
        <v>196</v>
      </c>
      <c r="FU1421" s="1" t="s">
        <v>173</v>
      </c>
      <c r="GD1421" s="1" t="s">
        <v>1049</v>
      </c>
    </row>
    <row r="1422" spans="1:187" ht="11.25" customHeight="1">
      <c r="A1422" s="1" t="s">
        <v>2187</v>
      </c>
      <c r="B1422" s="1" t="str">
        <f ca="1">IFERROR(__xludf.DUMMYFUNCTION("GOOGLETRANSLATE(A1422, ""en"", ""fr"")"),"Brûler # 1")</f>
        <v>Brûler # 1</v>
      </c>
      <c r="C1422" s="1" t="s">
        <v>185</v>
      </c>
      <c r="E1422" s="1" t="s">
        <v>16613</v>
      </c>
      <c r="H1422" s="1" t="s">
        <v>4</v>
      </c>
      <c r="V1422" s="1" t="s">
        <v>18</v>
      </c>
      <c r="EZ1422" s="1" t="s">
        <v>152</v>
      </c>
      <c r="FC1422" s="1" t="s">
        <v>155</v>
      </c>
      <c r="GD1422" s="1" t="s">
        <v>193</v>
      </c>
      <c r="GE1422" s="1" t="s">
        <v>2188</v>
      </c>
    </row>
    <row r="1423" spans="1:187" ht="11.25" customHeight="1">
      <c r="A1423" s="1" t="s">
        <v>2189</v>
      </c>
      <c r="B1423" s="1" t="str">
        <f ca="1">IFERROR(__xludf.DUMMYFUNCTION("GOOGLETRANSLATE(A1423, ""en"", ""fr"")"),"Brûler # 2")</f>
        <v>Brûler # 2</v>
      </c>
      <c r="C1423" s="1" t="s">
        <v>185</v>
      </c>
      <c r="E1423" s="1" t="s">
        <v>16613</v>
      </c>
      <c r="H1423" s="1" t="s">
        <v>4</v>
      </c>
      <c r="N1423" s="1" t="s">
        <v>10</v>
      </c>
      <c r="BU1423" s="1" t="s">
        <v>69</v>
      </c>
      <c r="DO1423" s="1" t="s">
        <v>115</v>
      </c>
      <c r="EY1423" s="1" t="s">
        <v>151</v>
      </c>
      <c r="FC1423" s="1" t="s">
        <v>155</v>
      </c>
      <c r="GD1423" s="1" t="s">
        <v>400</v>
      </c>
      <c r="GE1423" s="1" t="s">
        <v>2190</v>
      </c>
    </row>
    <row r="1424" spans="1:187" ht="11.25" customHeight="1">
      <c r="A1424" s="1" t="s">
        <v>2191</v>
      </c>
      <c r="B1424" s="1" t="str">
        <f ca="1">IFERROR(__xludf.DUMMYFUNCTION("GOOGLETRANSLATE(A1424, ""en"", ""fr"")"),"Brûler # 3")</f>
        <v>Brûler # 3</v>
      </c>
      <c r="C1424" s="1" t="s">
        <v>185</v>
      </c>
      <c r="E1424" s="1" t="s">
        <v>16613</v>
      </c>
      <c r="H1424" s="1" t="s">
        <v>4</v>
      </c>
      <c r="N1424" s="1" t="s">
        <v>10</v>
      </c>
      <c r="BU1424" s="1" t="s">
        <v>69</v>
      </c>
      <c r="EZ1424" s="1" t="s">
        <v>152</v>
      </c>
      <c r="FC1424" s="1" t="s">
        <v>155</v>
      </c>
      <c r="GD1424" s="1" t="s">
        <v>193</v>
      </c>
      <c r="GE1424" s="1" t="s">
        <v>2192</v>
      </c>
    </row>
    <row r="1425" spans="1:187" ht="11.25" customHeight="1">
      <c r="A1425" s="1" t="s">
        <v>2193</v>
      </c>
      <c r="B1425" s="1" t="str">
        <f ca="1">IFERROR(__xludf.DUMMYFUNCTION("GOOGLETRANSLATE(A1425, ""en"", ""fr"")"),"Brûler # 4")</f>
        <v>Brûler # 4</v>
      </c>
      <c r="C1425" s="1" t="s">
        <v>185</v>
      </c>
      <c r="E1425" s="1" t="s">
        <v>16613</v>
      </c>
      <c r="H1425" s="1" t="s">
        <v>4</v>
      </c>
      <c r="O1425" s="1" t="s">
        <v>11</v>
      </c>
      <c r="BZ1425" s="1" t="s">
        <v>74</v>
      </c>
      <c r="EY1425" s="1" t="s">
        <v>151</v>
      </c>
      <c r="FC1425" s="1" t="s">
        <v>155</v>
      </c>
      <c r="GD1425" s="1" t="s">
        <v>202</v>
      </c>
      <c r="GE1425" s="1" t="s">
        <v>2194</v>
      </c>
    </row>
    <row r="1426" spans="1:187" ht="11.25" customHeight="1">
      <c r="A1426" s="1" t="s">
        <v>2195</v>
      </c>
      <c r="B1426" s="1" t="str">
        <f ca="1">IFERROR(__xludf.DUMMYFUNCTION("GOOGLETRANSLATE(A1426, ""en"", ""fr"")"),"Brûlé # 1")</f>
        <v>Brûlé # 1</v>
      </c>
      <c r="C1426" s="1" t="s">
        <v>192</v>
      </c>
      <c r="GD1426" s="1" t="s">
        <v>1085</v>
      </c>
      <c r="GE1426" s="1" t="s">
        <v>190</v>
      </c>
    </row>
    <row r="1427" spans="1:187" ht="11.25" customHeight="1">
      <c r="A1427" s="1" t="s">
        <v>2196</v>
      </c>
      <c r="B1427" s="1" t="str">
        <f ca="1">IFERROR(__xludf.DUMMYFUNCTION("GOOGLETRANSLATE(A1427, ""en"", ""fr"")"),"Rafale n ° 1")</f>
        <v>Rafale n ° 1</v>
      </c>
      <c r="C1427" s="1" t="s">
        <v>185</v>
      </c>
      <c r="J1427" s="1" t="s">
        <v>6</v>
      </c>
      <c r="N1427" s="1" t="s">
        <v>10</v>
      </c>
      <c r="CS1427" s="1" t="s">
        <v>93</v>
      </c>
      <c r="GD1427" s="1" t="s">
        <v>193</v>
      </c>
      <c r="GE1427" s="1" t="s">
        <v>190</v>
      </c>
    </row>
    <row r="1428" spans="1:187" ht="11.25" customHeight="1">
      <c r="A1428" s="1" t="s">
        <v>2197</v>
      </c>
      <c r="B1428" s="1" t="str">
        <f ca="1">IFERROR(__xludf.DUMMYFUNCTION("GOOGLETRANSLATE(A1428, ""en"", ""fr"")"),"Rafale n ° 2")</f>
        <v>Rafale n ° 2</v>
      </c>
      <c r="C1428" s="1" t="s">
        <v>185</v>
      </c>
      <c r="J1428" s="1" t="s">
        <v>6</v>
      </c>
      <c r="N1428" s="1" t="s">
        <v>10</v>
      </c>
      <c r="CF1428" s="1" t="s">
        <v>80</v>
      </c>
      <c r="DN1428" s="1" t="s">
        <v>114</v>
      </c>
      <c r="GD1428" s="1" t="s">
        <v>189</v>
      </c>
      <c r="GE1428" s="1" t="s">
        <v>190</v>
      </c>
    </row>
    <row r="1429" spans="1:187" ht="11.25" customHeight="1">
      <c r="A1429" s="1" t="s">
        <v>2198</v>
      </c>
      <c r="B1429" s="1" t="str">
        <f ca="1">IFERROR(__xludf.DUMMYFUNCTION("GOOGLETRANSLATE(A1429, ""en"", ""fr"")"),"Burundi")</f>
        <v>Burundi</v>
      </c>
      <c r="C1429" s="1" t="s">
        <v>196</v>
      </c>
      <c r="FU1429" s="1" t="s">
        <v>173</v>
      </c>
      <c r="GD1429" s="1" t="s">
        <v>545</v>
      </c>
    </row>
    <row r="1430" spans="1:187" ht="11.25" customHeight="1">
      <c r="A1430" s="1" t="s">
        <v>2199</v>
      </c>
      <c r="B1430" s="1" t="str">
        <f ca="1">IFERROR(__xludf.DUMMYFUNCTION("GOOGLETRANSLATE(A1430, ""en"", ""fr"")"),"ENTERRER")</f>
        <v>ENTERRER</v>
      </c>
      <c r="C1430" s="1" t="s">
        <v>185</v>
      </c>
      <c r="E1430" s="1" t="s">
        <v>16613</v>
      </c>
      <c r="H1430" s="1" t="s">
        <v>4</v>
      </c>
      <c r="N1430" s="1" t="s">
        <v>10</v>
      </c>
      <c r="CF1430" s="1" t="s">
        <v>80</v>
      </c>
      <c r="DO1430" s="1" t="s">
        <v>115</v>
      </c>
      <c r="GD1430" s="1" t="s">
        <v>189</v>
      </c>
      <c r="GE1430" s="1" t="s">
        <v>2200</v>
      </c>
    </row>
    <row r="1431" spans="1:187" ht="11.25" customHeight="1">
      <c r="A1431" s="1" t="s">
        <v>2201</v>
      </c>
      <c r="B1431" s="1" t="str">
        <f ca="1">IFERROR(__xludf.DUMMYFUNCTION("GOOGLETRANSLATE(A1431, ""en"", ""fr"")"),"BUS")</f>
        <v>BUS</v>
      </c>
      <c r="C1431" s="1" t="s">
        <v>185</v>
      </c>
      <c r="BC1431" s="1" t="s">
        <v>51</v>
      </c>
      <c r="BF1431" s="1" t="s">
        <v>54</v>
      </c>
      <c r="GD1431" s="1" t="s">
        <v>193</v>
      </c>
      <c r="GE1431" s="1" t="s">
        <v>2202</v>
      </c>
    </row>
    <row r="1432" spans="1:187" ht="11.25" customHeight="1">
      <c r="A1432" s="1" t="s">
        <v>2203</v>
      </c>
      <c r="B1432" s="1" t="str">
        <f ca="1">IFERROR(__xludf.DUMMYFUNCTION("GOOGLETRANSLATE(A1432, ""en"", ""fr"")"),"BUISSON")</f>
        <v>BUISSON</v>
      </c>
      <c r="C1432" s="1" t="s">
        <v>185</v>
      </c>
      <c r="BC1432" s="1" t="s">
        <v>51</v>
      </c>
      <c r="BI1432" s="1" t="s">
        <v>57</v>
      </c>
      <c r="GD1432" s="1" t="s">
        <v>193</v>
      </c>
      <c r="GE1432" s="1" t="s">
        <v>2204</v>
      </c>
    </row>
    <row r="1433" spans="1:187" ht="11.25" customHeight="1">
      <c r="A1433" s="1" t="s">
        <v>2205</v>
      </c>
      <c r="B1433" s="1" t="str">
        <f ca="1">IFERROR(__xludf.DUMMYFUNCTION("GOOGLETRANSLATE(A1433, ""en"", ""fr"")"),"Entreprise n ° 1")</f>
        <v>Entreprise n ° 1</v>
      </c>
      <c r="C1433" s="1" t="s">
        <v>185</v>
      </c>
      <c r="Z1433" s="1" t="s">
        <v>22</v>
      </c>
      <c r="AA1433" s="1" t="s">
        <v>23</v>
      </c>
      <c r="AC1433" s="1" t="s">
        <v>25</v>
      </c>
      <c r="EV1433" s="1" t="s">
        <v>148</v>
      </c>
      <c r="EW1433" s="1" t="s">
        <v>149</v>
      </c>
      <c r="GD1433" s="1" t="s">
        <v>193</v>
      </c>
      <c r="GE1433" s="1" t="s">
        <v>2206</v>
      </c>
    </row>
    <row r="1434" spans="1:187" ht="11.25" customHeight="1">
      <c r="A1434" s="1" t="s">
        <v>2207</v>
      </c>
      <c r="B1434" s="1" t="str">
        <f ca="1">IFERROR(__xludf.DUMMYFUNCTION("GOOGLETRANSLATE(A1434, ""en"", ""fr"")"),"Business # 2")</f>
        <v>Business # 2</v>
      </c>
      <c r="C1434" s="1" t="s">
        <v>185</v>
      </c>
      <c r="Z1434" s="1" t="s">
        <v>22</v>
      </c>
      <c r="FR1434" s="1" t="s">
        <v>170</v>
      </c>
      <c r="GD1434" s="1" t="s">
        <v>193</v>
      </c>
      <c r="GE1434" s="1" t="s">
        <v>2208</v>
      </c>
    </row>
    <row r="1435" spans="1:187" ht="11.25" customHeight="1">
      <c r="A1435" s="1" t="s">
        <v>2209</v>
      </c>
      <c r="B1435" s="1" t="str">
        <f ca="1">IFERROR(__xludf.DUMMYFUNCTION("GOOGLETRANSLATE(A1435, ""en"", ""fr"")"),"Business # 3")</f>
        <v>Business # 3</v>
      </c>
      <c r="C1435" s="1" t="s">
        <v>185</v>
      </c>
      <c r="BP1435" s="1" t="s">
        <v>64</v>
      </c>
      <c r="DN1435" s="1" t="s">
        <v>114</v>
      </c>
      <c r="GD1435" s="1" t="s">
        <v>189</v>
      </c>
      <c r="GE1435" s="1" t="s">
        <v>2210</v>
      </c>
    </row>
    <row r="1436" spans="1:187" ht="11.25" customHeight="1">
      <c r="A1436" s="1" t="s">
        <v>2211</v>
      </c>
      <c r="B1436" s="1" t="str">
        <f ca="1">IFERROR(__xludf.DUMMYFUNCTION("GOOGLETRANSLATE(A1436, ""en"", ""fr"")"),"HOMME D'AFFAIRE")</f>
        <v>HOMME D'AFFAIRE</v>
      </c>
      <c r="C1436" s="1" t="s">
        <v>185</v>
      </c>
      <c r="AA1436" s="1" t="s">
        <v>23</v>
      </c>
      <c r="AC1436" s="1" t="s">
        <v>25</v>
      </c>
      <c r="AJ1436" s="1" t="s">
        <v>32</v>
      </c>
      <c r="AQ1436" s="1" t="s">
        <v>39</v>
      </c>
      <c r="AT1436" s="1" t="s">
        <v>42</v>
      </c>
      <c r="ET1436" s="1" t="s">
        <v>146</v>
      </c>
      <c r="EW1436" s="1" t="s">
        <v>149</v>
      </c>
      <c r="GD1436" s="1" t="s">
        <v>193</v>
      </c>
      <c r="GE1436" s="1" t="s">
        <v>190</v>
      </c>
    </row>
    <row r="1437" spans="1:187" ht="11.25" customHeight="1">
      <c r="A1437" s="1" t="s">
        <v>2212</v>
      </c>
      <c r="B1437" s="1" t="str">
        <f ca="1">IFERROR(__xludf.DUMMYFUNCTION("GOOGLETRANSLATE(A1437, ""en"", ""fr"")"),"LES HOMMES D'AFFAIRES")</f>
        <v>LES HOMMES D'AFFAIRES</v>
      </c>
      <c r="C1437" s="1" t="s">
        <v>185</v>
      </c>
      <c r="AA1437" s="1" t="s">
        <v>23</v>
      </c>
      <c r="AC1437" s="1" t="s">
        <v>25</v>
      </c>
      <c r="AJ1437" s="1" t="s">
        <v>32</v>
      </c>
      <c r="AQ1437" s="1" t="s">
        <v>39</v>
      </c>
      <c r="AT1437" s="1" t="s">
        <v>42</v>
      </c>
      <c r="ET1437" s="1" t="s">
        <v>146</v>
      </c>
      <c r="EW1437" s="1" t="s">
        <v>149</v>
      </c>
      <c r="GD1437" s="1" t="s">
        <v>576</v>
      </c>
      <c r="GE1437" s="1" t="s">
        <v>190</v>
      </c>
    </row>
    <row r="1438" spans="1:187" ht="11.25" customHeight="1">
      <c r="A1438" s="1" t="s">
        <v>2213</v>
      </c>
      <c r="B1438" s="1" t="str">
        <f ca="1">IFERROR(__xludf.DUMMYFUNCTION("GOOGLETRANSLATE(A1438, ""en"", ""fr"")"),"OCCUPÉ")</f>
        <v>OCCUPÉ</v>
      </c>
      <c r="C1438" s="1" t="s">
        <v>185</v>
      </c>
      <c r="J1438" s="1" t="s">
        <v>6</v>
      </c>
      <c r="N1438" s="1" t="s">
        <v>10</v>
      </c>
      <c r="U1438" s="1" t="s">
        <v>17</v>
      </c>
      <c r="GD1438" s="1" t="s">
        <v>202</v>
      </c>
      <c r="GE1438" s="1" t="s">
        <v>2214</v>
      </c>
    </row>
    <row r="1439" spans="1:187" ht="11.25" customHeight="1">
      <c r="A1439" s="1" t="s">
        <v>2215</v>
      </c>
      <c r="B1439" s="1" t="str">
        <f ca="1">IFERROR(__xludf.DUMMYFUNCTION("GOOGLETRANSLATE(A1439, ""en"", ""fr"")"),"MOUCHE DU COCHE")</f>
        <v>MOUCHE DU COCHE</v>
      </c>
      <c r="C1439" s="1" t="s">
        <v>192</v>
      </c>
      <c r="E1439" s="1" t="s">
        <v>16613</v>
      </c>
      <c r="V1439" s="1" t="s">
        <v>18</v>
      </c>
      <c r="AT1439" s="1" t="s">
        <v>42</v>
      </c>
      <c r="BK1439" s="1" t="s">
        <v>59</v>
      </c>
      <c r="GD1439" s="1" t="s">
        <v>193</v>
      </c>
      <c r="GE1439" s="1" t="s">
        <v>190</v>
      </c>
    </row>
    <row r="1440" spans="1:187" ht="11.25" customHeight="1">
      <c r="A1440" s="1" t="s">
        <v>2216</v>
      </c>
      <c r="B1440" s="1" t="str">
        <f ca="1">IFERROR(__xludf.DUMMYFUNCTION("GOOGLETRANSLATE(A1440, ""en"", ""fr"")"),"MAIS")</f>
        <v>MAIS</v>
      </c>
      <c r="C1440" s="1" t="s">
        <v>185</v>
      </c>
      <c r="X1440" s="1" t="s">
        <v>20</v>
      </c>
      <c r="GD1440" s="1" t="s">
        <v>842</v>
      </c>
      <c r="GE1440" s="1" t="s">
        <v>2217</v>
      </c>
    </row>
    <row r="1441" spans="1:187" ht="11.25" customHeight="1">
      <c r="A1441" s="1" t="s">
        <v>2218</v>
      </c>
      <c r="B1441" s="1" t="str">
        <f ca="1">IFERROR(__xludf.DUMMYFUNCTION("GOOGLETRANSLATE(A1441, ""en"", ""fr"")"),"BOUCHER")</f>
        <v>BOUCHER</v>
      </c>
      <c r="C1441" s="1" t="s">
        <v>185</v>
      </c>
      <c r="AA1441" s="1" t="s">
        <v>23</v>
      </c>
      <c r="AJ1441" s="1" t="s">
        <v>32</v>
      </c>
      <c r="AT1441" s="1" t="s">
        <v>42</v>
      </c>
      <c r="GD1441" s="1" t="s">
        <v>193</v>
      </c>
      <c r="GE1441" s="1" t="s">
        <v>190</v>
      </c>
    </row>
    <row r="1442" spans="1:187" ht="11.25" customHeight="1">
      <c r="A1442" s="1" t="s">
        <v>2219</v>
      </c>
      <c r="B1442" s="1" t="str">
        <f ca="1">IFERROR(__xludf.DUMMYFUNCTION("GOOGLETRANSLATE(A1442, ""en"", ""fr"")"),"BOUCHERIE")</f>
        <v>BOUCHERIE</v>
      </c>
      <c r="C1442" s="1" t="s">
        <v>185</v>
      </c>
      <c r="E1442" s="1" t="s">
        <v>16613</v>
      </c>
      <c r="H1442" s="1" t="s">
        <v>4</v>
      </c>
      <c r="I1442" s="1" t="s">
        <v>5</v>
      </c>
      <c r="J1442" s="1" t="s">
        <v>6</v>
      </c>
      <c r="N1442" s="1" t="s">
        <v>10</v>
      </c>
      <c r="V1442" s="1" t="s">
        <v>18</v>
      </c>
      <c r="GD1442" s="1" t="s">
        <v>193</v>
      </c>
      <c r="GE1442" s="1" t="s">
        <v>190</v>
      </c>
    </row>
    <row r="1443" spans="1:187" ht="11.25" customHeight="1">
      <c r="A1443" s="1" t="s">
        <v>2220</v>
      </c>
      <c r="B1443" s="1" t="str">
        <f ca="1">IFERROR(__xludf.DUMMYFUNCTION("GOOGLETRANSLATE(A1443, ""en"", ""fr"")"),"BEURRE")</f>
        <v>BEURRE</v>
      </c>
      <c r="C1443" s="1" t="s">
        <v>185</v>
      </c>
      <c r="BC1443" s="1" t="s">
        <v>51</v>
      </c>
      <c r="BE1443" s="1" t="s">
        <v>53</v>
      </c>
      <c r="GD1443" s="1" t="s">
        <v>193</v>
      </c>
      <c r="GE1443" s="1" t="s">
        <v>190</v>
      </c>
    </row>
    <row r="1444" spans="1:187" ht="11.25" customHeight="1">
      <c r="A1444" s="1" t="s">
        <v>2221</v>
      </c>
      <c r="B1444" s="1" t="str">
        <f ca="1">IFERROR(__xludf.DUMMYFUNCTION("GOOGLETRANSLATE(A1444, ""en"", ""fr"")"),"ACHETER 1")</f>
        <v>ACHETER 1</v>
      </c>
      <c r="C1444" s="1" t="s">
        <v>185</v>
      </c>
      <c r="N1444" s="1" t="s">
        <v>10</v>
      </c>
      <c r="AA1444" s="1" t="s">
        <v>23</v>
      </c>
      <c r="AB1444" s="1" t="s">
        <v>24</v>
      </c>
      <c r="DO1444" s="1" t="s">
        <v>115</v>
      </c>
      <c r="EU1444" s="1" t="s">
        <v>147</v>
      </c>
      <c r="EW1444" s="1" t="s">
        <v>149</v>
      </c>
      <c r="GD1444" s="1" t="s">
        <v>189</v>
      </c>
      <c r="GE1444" s="1" t="s">
        <v>2222</v>
      </c>
    </row>
    <row r="1445" spans="1:187" ht="11.25" customHeight="1">
      <c r="A1445" s="1" t="s">
        <v>2223</v>
      </c>
      <c r="B1445" s="1" t="str">
        <f ca="1">IFERROR(__xludf.DUMMYFUNCTION("GOOGLETRANSLATE(A1445, ""en"", ""fr"")"),"Acheter # 2")</f>
        <v>Acheter # 2</v>
      </c>
      <c r="C1445" s="1" t="s">
        <v>185</v>
      </c>
      <c r="D1445" s="1" t="s">
        <v>16612</v>
      </c>
      <c r="F1445" s="1" t="s">
        <v>2</v>
      </c>
      <c r="U1445" s="1" t="s">
        <v>17</v>
      </c>
      <c r="AA1445" s="1" t="s">
        <v>23</v>
      </c>
      <c r="AC1445" s="1" t="s">
        <v>25</v>
      </c>
      <c r="EV1445" s="1" t="s">
        <v>148</v>
      </c>
      <c r="EW1445" s="1" t="s">
        <v>149</v>
      </c>
      <c r="GD1445" s="1" t="s">
        <v>193</v>
      </c>
      <c r="GE1445" s="1" t="s">
        <v>2224</v>
      </c>
    </row>
    <row r="1446" spans="1:187" ht="11.25" customHeight="1">
      <c r="A1446" s="1" t="s">
        <v>2225</v>
      </c>
      <c r="B1446" s="1" t="str">
        <f ca="1">IFERROR(__xludf.DUMMYFUNCTION("GOOGLETRANSLATE(A1446, ""en"", ""fr"")"),"BUSE")</f>
        <v>BUSE</v>
      </c>
      <c r="C1446" s="1" t="s">
        <v>185</v>
      </c>
      <c r="AU1446" s="1" t="s">
        <v>43</v>
      </c>
      <c r="GD1446" s="1" t="s">
        <v>193</v>
      </c>
      <c r="GE1446" s="1" t="s">
        <v>2226</v>
      </c>
    </row>
    <row r="1447" spans="1:187" ht="11.25" customHeight="1">
      <c r="A1447" s="1" t="s">
        <v>2227</v>
      </c>
      <c r="B1447" s="1" t="str">
        <f ca="1">IFERROR(__xludf.DUMMYFUNCTION("GOOGLETRANSLATE(A1447, ""en"", ""fr"")"),"PAR")</f>
        <v>PAR</v>
      </c>
      <c r="C1447" s="1" t="s">
        <v>185</v>
      </c>
      <c r="BQ1447" s="1" t="s">
        <v>65</v>
      </c>
      <c r="GD1447" s="1" t="s">
        <v>207</v>
      </c>
      <c r="GE1447" s="1" t="s">
        <v>2228</v>
      </c>
    </row>
    <row r="1448" spans="1:187" ht="11.25" customHeight="1">
      <c r="A1448" s="1" t="s">
        <v>2229</v>
      </c>
      <c r="B1448" s="1" t="str">
        <f ca="1">IFERROR(__xludf.DUMMYFUNCTION("GOOGLETRANSLATE(A1448, ""en"", ""fr"")"),"CABINE")</f>
        <v>CABINE</v>
      </c>
      <c r="C1448" s="1" t="s">
        <v>185</v>
      </c>
      <c r="AV1448" s="1" t="s">
        <v>44</v>
      </c>
      <c r="AW1448" s="1" t="s">
        <v>45</v>
      </c>
      <c r="GD1448" s="1" t="s">
        <v>193</v>
      </c>
      <c r="GE1448" s="1" t="s">
        <v>190</v>
      </c>
    </row>
    <row r="1449" spans="1:187" ht="11.25" customHeight="1">
      <c r="A1449" s="1" t="s">
        <v>2230</v>
      </c>
      <c r="B1449" s="1" t="str">
        <f ca="1">IFERROR(__xludf.DUMMYFUNCTION("GOOGLETRANSLATE(A1449, ""en"", ""fr"")"),"ARMOIRE")</f>
        <v>ARMOIRE</v>
      </c>
      <c r="C1449" s="1" t="s">
        <v>185</v>
      </c>
      <c r="AG1449" s="1" t="s">
        <v>29</v>
      </c>
      <c r="AH1449" s="1" t="s">
        <v>30</v>
      </c>
      <c r="AK1449" s="1" t="s">
        <v>33</v>
      </c>
      <c r="AT1449" s="1" t="s">
        <v>42</v>
      </c>
      <c r="DY1449" s="1" t="s">
        <v>125</v>
      </c>
      <c r="ED1449" s="1" t="s">
        <v>130</v>
      </c>
      <c r="GD1449" s="1" t="s">
        <v>193</v>
      </c>
      <c r="GE1449" s="1" t="s">
        <v>190</v>
      </c>
    </row>
    <row r="1450" spans="1:187" ht="11.25" customHeight="1">
      <c r="A1450" s="1" t="s">
        <v>2231</v>
      </c>
      <c r="B1450" s="1" t="str">
        <f ca="1">IFERROR(__xludf.DUMMYFUNCTION("GOOGLETRANSLATE(A1450, ""en"", ""fr"")"),"Cadillac")</f>
        <v>Cadillac</v>
      </c>
      <c r="C1450" s="1" t="s">
        <v>185</v>
      </c>
      <c r="BC1450" s="1" t="s">
        <v>51</v>
      </c>
      <c r="BF1450" s="1" t="s">
        <v>54</v>
      </c>
      <c r="EM1450" s="1" t="s">
        <v>139</v>
      </c>
      <c r="EN1450" s="1" t="s">
        <v>140</v>
      </c>
      <c r="GD1450" s="1" t="s">
        <v>193</v>
      </c>
      <c r="GE1450" s="1" t="s">
        <v>190</v>
      </c>
    </row>
    <row r="1451" spans="1:187" ht="11.25" customHeight="1">
      <c r="A1451" s="1" t="s">
        <v>2232</v>
      </c>
      <c r="B1451" s="1" t="str">
        <f ca="1">IFERROR(__xludf.DUMMYFUNCTION("GOOGLETRANSLATE(A1451, ""en"", ""fr"")"),"CAFÉ")</f>
        <v>CAFÉ</v>
      </c>
      <c r="C1451" s="1" t="s">
        <v>185</v>
      </c>
      <c r="AA1451" s="1" t="s">
        <v>23</v>
      </c>
      <c r="AV1451" s="1" t="s">
        <v>44</v>
      </c>
      <c r="AW1451" s="1" t="s">
        <v>45</v>
      </c>
      <c r="GD1451" s="1" t="s">
        <v>193</v>
      </c>
      <c r="GE1451" s="1" t="s">
        <v>190</v>
      </c>
    </row>
    <row r="1452" spans="1:187" ht="11.25" customHeight="1">
      <c r="A1452" s="1" t="s">
        <v>2233</v>
      </c>
      <c r="B1452" s="1" t="str">
        <f ca="1">IFERROR(__xludf.DUMMYFUNCTION("GOOGLETRANSLATE(A1452, ""en"", ""fr"")"),"CAGE")</f>
        <v>CAGE</v>
      </c>
      <c r="C1452" s="1" t="s">
        <v>185</v>
      </c>
      <c r="BC1452" s="1" t="s">
        <v>51</v>
      </c>
      <c r="BD1452" s="1" t="s">
        <v>52</v>
      </c>
      <c r="EC1452" s="1" t="s">
        <v>129</v>
      </c>
      <c r="ED1452" s="1" t="s">
        <v>130</v>
      </c>
      <c r="GD1452" s="1" t="s">
        <v>193</v>
      </c>
      <c r="GE1452" s="1" t="s">
        <v>190</v>
      </c>
    </row>
    <row r="1453" spans="1:187" ht="11.25" customHeight="1">
      <c r="A1453" s="1" t="s">
        <v>2234</v>
      </c>
      <c r="B1453" s="1" t="str">
        <f ca="1">IFERROR(__xludf.DUMMYFUNCTION("GOOGLETRANSLATE(A1453, ""en"", ""fr"")"),"GÂTEAU")</f>
        <v>GÂTEAU</v>
      </c>
      <c r="C1453" s="1" t="s">
        <v>185</v>
      </c>
      <c r="BC1453" s="1" t="s">
        <v>51</v>
      </c>
      <c r="BE1453" s="1" t="s">
        <v>53</v>
      </c>
      <c r="GD1453" s="1" t="s">
        <v>193</v>
      </c>
      <c r="GE1453" s="1" t="s">
        <v>190</v>
      </c>
    </row>
    <row r="1454" spans="1:187" ht="11.25" customHeight="1">
      <c r="A1454" s="1" t="s">
        <v>2235</v>
      </c>
      <c r="B1454" s="1" t="str">
        <f ca="1">IFERROR(__xludf.DUMMYFUNCTION("GOOGLETRANSLATE(A1454, ""en"", ""fr"")"),"CALAMITÉ")</f>
        <v>CALAMITÉ</v>
      </c>
      <c r="C1454" s="1" t="s">
        <v>185</v>
      </c>
      <c r="E1454" s="1" t="s">
        <v>16613</v>
      </c>
      <c r="X1454" s="1" t="s">
        <v>20</v>
      </c>
      <c r="BT1454" s="1" t="s">
        <v>68</v>
      </c>
      <c r="EY1454" s="1" t="s">
        <v>151</v>
      </c>
      <c r="FC1454" s="1" t="s">
        <v>155</v>
      </c>
      <c r="GD1454" s="1" t="s">
        <v>193</v>
      </c>
      <c r="GE1454" s="1" t="s">
        <v>190</v>
      </c>
    </row>
    <row r="1455" spans="1:187" ht="11.25" customHeight="1">
      <c r="A1455" s="1" t="s">
        <v>2236</v>
      </c>
      <c r="B1455" s="1" t="str">
        <f ca="1">IFERROR(__xludf.DUMMYFUNCTION("GOOGLETRANSLATE(A1455, ""en"", ""fr"")"),"CALCIUM")</f>
        <v>CALCIUM</v>
      </c>
      <c r="C1455" s="1" t="s">
        <v>185</v>
      </c>
      <c r="BC1455" s="1" t="s">
        <v>51</v>
      </c>
      <c r="BI1455" s="1" t="s">
        <v>57</v>
      </c>
      <c r="GD1455" s="1" t="s">
        <v>193</v>
      </c>
      <c r="GE1455" s="1" t="s">
        <v>190</v>
      </c>
    </row>
    <row r="1456" spans="1:187" ht="11.25" customHeight="1">
      <c r="A1456" s="1" t="s">
        <v>2237</v>
      </c>
      <c r="B1456" s="1" t="str">
        <f ca="1">IFERROR(__xludf.DUMMYFUNCTION("GOOGLETRANSLATE(A1456, ""en"", ""fr"")"),"Calculer n ° 1")</f>
        <v>Calculer n ° 1</v>
      </c>
      <c r="C1456" s="1" t="s">
        <v>185</v>
      </c>
      <c r="N1456" s="1" t="s">
        <v>10</v>
      </c>
      <c r="BQ1456" s="1" t="s">
        <v>65</v>
      </c>
      <c r="FH1456" s="1" t="s">
        <v>160</v>
      </c>
      <c r="FI1456" s="1" t="s">
        <v>161</v>
      </c>
      <c r="GD1456" s="1" t="s">
        <v>202</v>
      </c>
      <c r="GE1456" s="1" t="s">
        <v>190</v>
      </c>
    </row>
    <row r="1457" spans="1:187" ht="11.25" customHeight="1">
      <c r="A1457" s="1" t="s">
        <v>2238</v>
      </c>
      <c r="B1457" s="1" t="str">
        <f ca="1">IFERROR(__xludf.DUMMYFUNCTION("GOOGLETRANSLATE(A1457, ""en"", ""fr"")"),"Calculer n ° 2")</f>
        <v>Calculer n ° 2</v>
      </c>
      <c r="C1457" s="1" t="s">
        <v>185</v>
      </c>
      <c r="N1457" s="1" t="s">
        <v>10</v>
      </c>
      <c r="CO1457" s="1" t="s">
        <v>89</v>
      </c>
      <c r="DO1457" s="1" t="s">
        <v>115</v>
      </c>
      <c r="FD1457" s="1" t="s">
        <v>156</v>
      </c>
      <c r="FI1457" s="1" t="s">
        <v>161</v>
      </c>
      <c r="GD1457" s="1" t="s">
        <v>189</v>
      </c>
      <c r="GE1457" s="1" t="s">
        <v>190</v>
      </c>
    </row>
    <row r="1458" spans="1:187" ht="11.25" customHeight="1">
      <c r="A1458" s="1" t="s">
        <v>2239</v>
      </c>
      <c r="B1458" s="1" t="str">
        <f ca="1">IFERROR(__xludf.DUMMYFUNCTION("GOOGLETRANSLATE(A1458, ""en"", ""fr"")"),"CALCUL")</f>
        <v>CALCUL</v>
      </c>
      <c r="C1458" s="1" t="s">
        <v>185</v>
      </c>
      <c r="N1458" s="1" t="s">
        <v>10</v>
      </c>
      <c r="CH1458" s="1" t="s">
        <v>82</v>
      </c>
      <c r="FH1458" s="1" t="s">
        <v>160</v>
      </c>
      <c r="FI1458" s="1" t="s">
        <v>161</v>
      </c>
      <c r="GD1458" s="1" t="s">
        <v>193</v>
      </c>
      <c r="GE1458" s="1" t="s">
        <v>190</v>
      </c>
    </row>
    <row r="1459" spans="1:187" ht="11.25" customHeight="1">
      <c r="A1459" s="1" t="s">
        <v>2240</v>
      </c>
      <c r="B1459" s="1" t="str">
        <f ca="1">IFERROR(__xludf.DUMMYFUNCTION("GOOGLETRANSLATE(A1459, ""en"", ""fr"")"),"CALENDRIER")</f>
        <v>CALENDRIER</v>
      </c>
      <c r="C1459" s="1" t="s">
        <v>185</v>
      </c>
      <c r="CY1459" s="1" t="s">
        <v>99</v>
      </c>
      <c r="GB1459" s="1" t="s">
        <v>180</v>
      </c>
      <c r="GD1459" s="1" t="s">
        <v>193</v>
      </c>
      <c r="GE1459" s="1" t="s">
        <v>190</v>
      </c>
    </row>
    <row r="1460" spans="1:187" ht="11.25" customHeight="1">
      <c r="A1460" s="1" t="s">
        <v>2241</v>
      </c>
      <c r="B1460" s="1" t="str">
        <f ca="1">IFERROR(__xludf.DUMMYFUNCTION("GOOGLETRANSLATE(A1460, ""en"", ""fr"")"),"CALIFORNIE")</f>
        <v>CALIFORNIE</v>
      </c>
      <c r="C1460" s="1" t="s">
        <v>185</v>
      </c>
      <c r="AC1460" s="1" t="s">
        <v>25</v>
      </c>
      <c r="AH1460" s="1" t="s">
        <v>30</v>
      </c>
      <c r="DI1460" s="1" t="s">
        <v>109</v>
      </c>
      <c r="GD1460" s="1" t="s">
        <v>193</v>
      </c>
      <c r="GE1460" s="1" t="s">
        <v>190</v>
      </c>
    </row>
    <row r="1461" spans="1:187" ht="11.25" customHeight="1">
      <c r="A1461" s="1" t="s">
        <v>2242</v>
      </c>
      <c r="B1461" s="1" t="str">
        <f ca="1">IFERROR(__xludf.DUMMYFUNCTION("GOOGLETRANSLATE(A1461, ""en"", ""fr"")"),"Appel n ° 1")</f>
        <v>Appel n ° 1</v>
      </c>
      <c r="C1461" s="1" t="s">
        <v>185</v>
      </c>
      <c r="BK1461" s="1" t="s">
        <v>59</v>
      </c>
      <c r="DO1461" s="1" t="s">
        <v>115</v>
      </c>
      <c r="GD1461" s="1" t="s">
        <v>189</v>
      </c>
      <c r="GE1461" s="1" t="s">
        <v>2243</v>
      </c>
    </row>
    <row r="1462" spans="1:187" ht="11.25" customHeight="1">
      <c r="A1462" s="1" t="s">
        <v>2244</v>
      </c>
      <c r="B1462" s="1" t="str">
        <f ca="1">IFERROR(__xludf.DUMMYFUNCTION("GOOGLETRANSLATE(A1462, ""en"", ""fr"")"),"Appel n ° 2")</f>
        <v>Appel n ° 2</v>
      </c>
      <c r="C1462" s="1" t="s">
        <v>185</v>
      </c>
      <c r="CO1462" s="1" t="s">
        <v>89</v>
      </c>
      <c r="DO1462" s="1" t="s">
        <v>115</v>
      </c>
      <c r="GD1462" s="1" t="s">
        <v>189</v>
      </c>
      <c r="GE1462" s="1" t="s">
        <v>2245</v>
      </c>
    </row>
    <row r="1463" spans="1:187" ht="11.25" customHeight="1">
      <c r="A1463" s="1" t="s">
        <v>2246</v>
      </c>
      <c r="B1463" s="1" t="str">
        <f ca="1">IFERROR(__xludf.DUMMYFUNCTION("GOOGLETRANSLATE(A1463, ""en"", ""fr"")"),"Appel n ° 3")</f>
        <v>Appel n ° 3</v>
      </c>
      <c r="C1463" s="1" t="s">
        <v>185</v>
      </c>
      <c r="BK1463" s="1" t="s">
        <v>59</v>
      </c>
      <c r="BL1463" s="1" t="s">
        <v>60</v>
      </c>
      <c r="GC1463" s="1" t="s">
        <v>181</v>
      </c>
      <c r="GD1463" s="1" t="s">
        <v>193</v>
      </c>
      <c r="GE1463" s="1" t="s">
        <v>2247</v>
      </c>
    </row>
    <row r="1464" spans="1:187" ht="11.25" customHeight="1">
      <c r="A1464" s="1" t="s">
        <v>2248</v>
      </c>
      <c r="B1464" s="1" t="str">
        <f ca="1">IFERROR(__xludf.DUMMYFUNCTION("GOOGLETRANSLATE(A1464, ""en"", ""fr"")"),"Appel n ° 4")</f>
        <v>Appel n ° 4</v>
      </c>
      <c r="C1464" s="1" t="s">
        <v>185</v>
      </c>
      <c r="D1464" s="1" t="s">
        <v>16612</v>
      </c>
      <c r="F1464" s="1" t="s">
        <v>2</v>
      </c>
      <c r="G1464" s="1" t="s">
        <v>3</v>
      </c>
      <c r="AN1464" s="1" t="s">
        <v>36</v>
      </c>
      <c r="DO1464" s="1" t="s">
        <v>115</v>
      </c>
      <c r="GD1464" s="1" t="s">
        <v>189</v>
      </c>
      <c r="GE1464" s="1" t="s">
        <v>2249</v>
      </c>
    </row>
    <row r="1465" spans="1:187" ht="11.25" customHeight="1">
      <c r="A1465" s="1" t="s">
        <v>2250</v>
      </c>
      <c r="B1465" s="1" t="str">
        <f ca="1">IFERROR(__xludf.DUMMYFUNCTION("GOOGLETRANSLATE(A1465, ""en"", ""fr"")"),"Appel n ° 5")</f>
        <v>Appel n ° 5</v>
      </c>
      <c r="C1465" s="1" t="s">
        <v>185</v>
      </c>
      <c r="Z1465" s="1" t="s">
        <v>22</v>
      </c>
      <c r="FL1465" s="1" t="s">
        <v>164</v>
      </c>
      <c r="FM1465" s="1" t="s">
        <v>418</v>
      </c>
      <c r="GD1465" s="1" t="s">
        <v>193</v>
      </c>
      <c r="GE1465" s="1" t="s">
        <v>2251</v>
      </c>
    </row>
    <row r="1466" spans="1:187" ht="11.25" customHeight="1">
      <c r="A1466" s="1" t="s">
        <v>2252</v>
      </c>
      <c r="B1466" s="1" t="str">
        <f ca="1">IFERROR(__xludf.DUMMYFUNCTION("GOOGLETRANSLATE(A1466, ""en"", ""fr"")"),"VOTRE INTERLOCUTEUR")</f>
        <v>VOTRE INTERLOCUTEUR</v>
      </c>
      <c r="C1466" s="1" t="s">
        <v>185</v>
      </c>
      <c r="AJ1466" s="1" t="s">
        <v>32</v>
      </c>
      <c r="AT1466" s="1" t="s">
        <v>42</v>
      </c>
      <c r="EQ1466" s="1" t="s">
        <v>143</v>
      </c>
      <c r="ES1466" s="1" t="s">
        <v>145</v>
      </c>
      <c r="GD1466" s="1" t="s">
        <v>193</v>
      </c>
      <c r="GE1466" s="1" t="s">
        <v>190</v>
      </c>
    </row>
    <row r="1467" spans="1:187" ht="11.25" customHeight="1">
      <c r="A1467" s="1" t="s">
        <v>2253</v>
      </c>
      <c r="B1467" s="1" t="str">
        <f ca="1">IFERROR(__xludf.DUMMYFUNCTION("GOOGLETRANSLATE(A1467, ""en"", ""fr"")"),"INSENSIBLE")</f>
        <v>INSENSIBLE</v>
      </c>
      <c r="C1467" s="1" t="s">
        <v>192</v>
      </c>
      <c r="E1467" s="1" t="s">
        <v>16613</v>
      </c>
      <c r="I1467" s="1" t="s">
        <v>5</v>
      </c>
      <c r="T1467" s="1" t="s">
        <v>16</v>
      </c>
      <c r="DQ1467" s="1" t="s">
        <v>117</v>
      </c>
      <c r="GD1467" s="1" t="s">
        <v>202</v>
      </c>
      <c r="GE1467" s="1" t="s">
        <v>190</v>
      </c>
    </row>
    <row r="1468" spans="1:187" ht="11.25" customHeight="1">
      <c r="A1468" s="1" t="s">
        <v>2254</v>
      </c>
      <c r="B1468" s="1" t="str">
        <f ca="1">IFERROR(__xludf.DUMMYFUNCTION("GOOGLETRANSLATE(A1468, ""en"", ""fr"")"),"Calme # 1")</f>
        <v>Calme # 1</v>
      </c>
      <c r="C1468" s="1" t="s">
        <v>185</v>
      </c>
      <c r="D1468" s="1" t="s">
        <v>16612</v>
      </c>
      <c r="F1468" s="1" t="s">
        <v>2</v>
      </c>
      <c r="O1468" s="1" t="s">
        <v>11</v>
      </c>
      <c r="P1468" s="1" t="s">
        <v>12</v>
      </c>
      <c r="T1468" s="1" t="s">
        <v>16</v>
      </c>
      <c r="FA1468" s="1" t="s">
        <v>153</v>
      </c>
      <c r="FC1468" s="1" t="s">
        <v>155</v>
      </c>
      <c r="GD1468" s="1" t="s">
        <v>193</v>
      </c>
      <c r="GE1468" s="1" t="s">
        <v>2255</v>
      </c>
    </row>
    <row r="1469" spans="1:187" ht="11.25" customHeight="1">
      <c r="A1469" s="1" t="s">
        <v>2256</v>
      </c>
      <c r="B1469" s="1" t="str">
        <f ca="1">IFERROR(__xludf.DUMMYFUNCTION("GOOGLETRANSLATE(A1469, ""en"", ""fr"")"),"Calm # 2")</f>
        <v>Calm # 2</v>
      </c>
      <c r="C1469" s="1" t="s">
        <v>185</v>
      </c>
      <c r="D1469" s="1" t="s">
        <v>16612</v>
      </c>
      <c r="F1469" s="1" t="s">
        <v>2</v>
      </c>
      <c r="O1469" s="1" t="s">
        <v>11</v>
      </c>
      <c r="P1469" s="1" t="s">
        <v>12</v>
      </c>
      <c r="DN1469" s="1" t="s">
        <v>114</v>
      </c>
      <c r="FA1469" s="1" t="s">
        <v>153</v>
      </c>
      <c r="FC1469" s="1" t="s">
        <v>155</v>
      </c>
      <c r="GD1469" s="1" t="s">
        <v>189</v>
      </c>
      <c r="GE1469" s="1" t="s">
        <v>2257</v>
      </c>
    </row>
    <row r="1470" spans="1:187" ht="11.25" customHeight="1">
      <c r="A1470" s="1" t="s">
        <v>2258</v>
      </c>
      <c r="B1470" s="1" t="str">
        <f ca="1">IFERROR(__xludf.DUMMYFUNCTION("GOOGLETRANSLATE(A1470, ""en"", ""fr"")"),"Calme # 3")</f>
        <v>Calme # 3</v>
      </c>
      <c r="C1470" s="1" t="s">
        <v>185</v>
      </c>
      <c r="D1470" s="1" t="s">
        <v>16612</v>
      </c>
      <c r="F1470" s="1" t="s">
        <v>2</v>
      </c>
      <c r="O1470" s="1" t="s">
        <v>11</v>
      </c>
      <c r="P1470" s="1" t="s">
        <v>12</v>
      </c>
      <c r="FA1470" s="1" t="s">
        <v>153</v>
      </c>
      <c r="FC1470" s="1" t="s">
        <v>155</v>
      </c>
      <c r="GD1470" s="1" t="s">
        <v>202</v>
      </c>
      <c r="GE1470" s="1" t="s">
        <v>2259</v>
      </c>
    </row>
    <row r="1471" spans="1:187" ht="11.25" customHeight="1">
      <c r="A1471" s="1" t="s">
        <v>2260</v>
      </c>
      <c r="B1471" s="1" t="str">
        <f ca="1">IFERROR(__xludf.DUMMYFUNCTION("GOOGLETRANSLATE(A1471, ""en"", ""fr"")"),"CALME")</f>
        <v>CALME</v>
      </c>
      <c r="C1471" s="1" t="s">
        <v>192</v>
      </c>
      <c r="D1471" s="1" t="s">
        <v>16612</v>
      </c>
      <c r="P1471" s="1" t="s">
        <v>12</v>
      </c>
      <c r="T1471" s="1" t="s">
        <v>16</v>
      </c>
      <c r="X1471" s="1" t="s">
        <v>20</v>
      </c>
      <c r="GD1471" s="1" t="s">
        <v>193</v>
      </c>
      <c r="GE1471" s="1" t="s">
        <v>190</v>
      </c>
    </row>
    <row r="1472" spans="1:187" ht="11.25" customHeight="1">
      <c r="A1472" s="1" t="s">
        <v>2261</v>
      </c>
      <c r="B1472" s="1" t="str">
        <f ca="1">IFERROR(__xludf.DUMMYFUNCTION("GOOGLETRANSLATE(A1472, ""en"", ""fr"")"),"CAMBODGE")</f>
        <v>CAMBODGE</v>
      </c>
      <c r="C1472" s="1" t="s">
        <v>196</v>
      </c>
      <c r="FU1472" s="1" t="s">
        <v>173</v>
      </c>
      <c r="GD1472" s="1" t="s">
        <v>416</v>
      </c>
    </row>
    <row r="1473" spans="1:187" ht="11.25" customHeight="1">
      <c r="A1473" s="1" t="s">
        <v>2262</v>
      </c>
      <c r="B1473" s="1" t="str">
        <f ca="1">IFERROR(__xludf.DUMMYFUNCTION("GOOGLETRANSLATE(A1473, ""en"", ""fr"")"),"Est venu n ° 1")</f>
        <v>Est venu n ° 1</v>
      </c>
      <c r="C1473" s="1" t="s">
        <v>192</v>
      </c>
      <c r="GD1473" s="1" t="s">
        <v>1085</v>
      </c>
      <c r="GE1473" s="1" t="s">
        <v>190</v>
      </c>
    </row>
    <row r="1474" spans="1:187" ht="11.25" customHeight="1">
      <c r="A1474" s="1" t="s">
        <v>2263</v>
      </c>
      <c r="B1474" s="1" t="str">
        <f ca="1">IFERROR(__xludf.DUMMYFUNCTION("GOOGLETRANSLATE(A1474, ""en"", ""fr"")"),"CHAMEAU")</f>
        <v>CHAMEAU</v>
      </c>
      <c r="C1474" s="1" t="s">
        <v>185</v>
      </c>
      <c r="AU1474" s="1" t="s">
        <v>43</v>
      </c>
      <c r="GD1474" s="1" t="s">
        <v>193</v>
      </c>
      <c r="GE1474" s="1" t="s">
        <v>2264</v>
      </c>
    </row>
    <row r="1475" spans="1:187" ht="11.25" customHeight="1">
      <c r="A1475" s="1" t="s">
        <v>2265</v>
      </c>
      <c r="B1475" s="1" t="str">
        <f ca="1">IFERROR(__xludf.DUMMYFUNCTION("GOOGLETRANSLATE(A1475, ""en"", ""fr"")"),"CAMÉRA")</f>
        <v>CAMÉRA</v>
      </c>
      <c r="C1475" s="1" t="s">
        <v>185</v>
      </c>
      <c r="AD1475" s="1" t="s">
        <v>26</v>
      </c>
      <c r="BC1475" s="1" t="s">
        <v>51</v>
      </c>
      <c r="BD1475" s="1" t="s">
        <v>52</v>
      </c>
      <c r="GD1475" s="1" t="s">
        <v>193</v>
      </c>
      <c r="GE1475" s="1" t="s">
        <v>190</v>
      </c>
    </row>
    <row r="1476" spans="1:187" ht="11.25" customHeight="1">
      <c r="A1476" s="1" t="s">
        <v>2266</v>
      </c>
      <c r="B1476" s="1" t="str">
        <f ca="1">IFERROR(__xludf.DUMMYFUNCTION("GOOGLETRANSLATE(A1476, ""en"", ""fr"")"),"CAMEROUN")</f>
        <v>CAMEROUN</v>
      </c>
      <c r="C1476" s="1" t="s">
        <v>196</v>
      </c>
      <c r="FU1476" s="1" t="s">
        <v>173</v>
      </c>
      <c r="GD1476" s="1" t="s">
        <v>545</v>
      </c>
    </row>
    <row r="1477" spans="1:187" ht="11.25" customHeight="1">
      <c r="A1477" s="1" t="s">
        <v>2267</v>
      </c>
      <c r="B1477" s="1" t="str">
        <f ca="1">IFERROR(__xludf.DUMMYFUNCTION("GOOGLETRANSLATE(A1477, ""en"", ""fr"")"),"Cameroun")</f>
        <v>Cameroun</v>
      </c>
      <c r="C1477" s="1" t="s">
        <v>196</v>
      </c>
      <c r="FU1477" s="1" t="s">
        <v>173</v>
      </c>
      <c r="GD1477" s="1" t="s">
        <v>545</v>
      </c>
    </row>
    <row r="1478" spans="1:187" ht="11.25" customHeight="1">
      <c r="A1478" s="1" t="s">
        <v>2268</v>
      </c>
      <c r="B1478" s="1" t="str">
        <f ca="1">IFERROR(__xludf.DUMMYFUNCTION("GOOGLETRANSLATE(A1478, ""en"", ""fr"")"),"Camp n ° 1")</f>
        <v>Camp n ° 1</v>
      </c>
      <c r="C1478" s="1" t="s">
        <v>185</v>
      </c>
      <c r="AV1478" s="1" t="s">
        <v>44</v>
      </c>
      <c r="AW1478" s="1" t="s">
        <v>45</v>
      </c>
      <c r="DV1478" s="1" t="s">
        <v>122</v>
      </c>
      <c r="ED1478" s="1" t="s">
        <v>130</v>
      </c>
      <c r="GD1478" s="1" t="s">
        <v>193</v>
      </c>
      <c r="GE1478" s="1" t="s">
        <v>2269</v>
      </c>
    </row>
    <row r="1479" spans="1:187" ht="11.25" customHeight="1">
      <c r="A1479" s="1" t="s">
        <v>2270</v>
      </c>
      <c r="B1479" s="1" t="str">
        <f ca="1">IFERROR(__xludf.DUMMYFUNCTION("GOOGLETRANSLATE(A1479, ""en"", ""fr"")"),"Camp n ° 2")</f>
        <v>Camp n ° 2</v>
      </c>
      <c r="C1479" s="1" t="s">
        <v>185</v>
      </c>
      <c r="N1479" s="1" t="s">
        <v>10</v>
      </c>
      <c r="CA1479" s="1" t="s">
        <v>75</v>
      </c>
      <c r="DO1479" s="1" t="s">
        <v>115</v>
      </c>
      <c r="EZ1479" s="1" t="s">
        <v>152</v>
      </c>
      <c r="FC1479" s="1" t="s">
        <v>155</v>
      </c>
      <c r="GD1479" s="1" t="s">
        <v>189</v>
      </c>
      <c r="GE1479" s="1" t="s">
        <v>2271</v>
      </c>
    </row>
    <row r="1480" spans="1:187" ht="11.25" customHeight="1">
      <c r="A1480" s="1" t="s">
        <v>2272</v>
      </c>
      <c r="B1480" s="1" t="str">
        <f ca="1">IFERROR(__xludf.DUMMYFUNCTION("GOOGLETRANSLATE(A1480, ""en"", ""fr"")"),"Camp n ° 3")</f>
        <v>Camp n ° 3</v>
      </c>
      <c r="C1480" s="1" t="s">
        <v>185</v>
      </c>
      <c r="AD1480" s="1" t="s">
        <v>26</v>
      </c>
      <c r="AM1480" s="1" t="s">
        <v>35</v>
      </c>
      <c r="EZ1480" s="1" t="s">
        <v>152</v>
      </c>
      <c r="FC1480" s="1" t="s">
        <v>155</v>
      </c>
      <c r="GD1480" s="1" t="s">
        <v>193</v>
      </c>
      <c r="GE1480" s="1" t="s">
        <v>2273</v>
      </c>
    </row>
    <row r="1481" spans="1:187" ht="11.25" customHeight="1">
      <c r="A1481" s="1" t="s">
        <v>2274</v>
      </c>
      <c r="B1481" s="1" t="str">
        <f ca="1">IFERROR(__xludf.DUMMYFUNCTION("GOOGLETRANSLATE(A1481, ""en"", ""fr"")"),"Camp n ° 4")</f>
        <v>Camp n ° 4</v>
      </c>
      <c r="C1481" s="1" t="s">
        <v>185</v>
      </c>
      <c r="GD1481" s="1" t="s">
        <v>225</v>
      </c>
      <c r="GE1481" s="1" t="s">
        <v>2275</v>
      </c>
    </row>
    <row r="1482" spans="1:187" ht="11.25" customHeight="1">
      <c r="A1482" s="1" t="s">
        <v>2276</v>
      </c>
      <c r="B1482" s="1" t="str">
        <f ca="1">IFERROR(__xludf.DUMMYFUNCTION("GOOGLETRANSLATE(A1482, ""en"", ""fr"")"),"Campagne n ° 1")</f>
        <v>Campagne n ° 1</v>
      </c>
      <c r="C1482" s="1" t="s">
        <v>185</v>
      </c>
      <c r="K1482" s="1" t="s">
        <v>7</v>
      </c>
      <c r="N1482" s="1" t="s">
        <v>10</v>
      </c>
      <c r="AG1482" s="1" t="s">
        <v>29</v>
      </c>
      <c r="AH1482" s="1" t="s">
        <v>30</v>
      </c>
      <c r="BQ1482" s="1" t="s">
        <v>65</v>
      </c>
      <c r="DW1482" s="1" t="s">
        <v>123</v>
      </c>
      <c r="ED1482" s="1" t="s">
        <v>130</v>
      </c>
      <c r="GD1482" s="1" t="s">
        <v>849</v>
      </c>
      <c r="GE1482" s="1" t="s">
        <v>2277</v>
      </c>
    </row>
    <row r="1483" spans="1:187" ht="11.25" customHeight="1">
      <c r="A1483" s="1" t="s">
        <v>2278</v>
      </c>
      <c r="B1483" s="1" t="str">
        <f ca="1">IFERROR(__xludf.DUMMYFUNCTION("GOOGLETRANSLATE(A1483, ""en"", ""fr"")"),"Campagne n ° 2")</f>
        <v>Campagne n ° 2</v>
      </c>
      <c r="C1483" s="1" t="s">
        <v>185</v>
      </c>
      <c r="N1483" s="1" t="s">
        <v>10</v>
      </c>
      <c r="BP1483" s="1" t="s">
        <v>64</v>
      </c>
      <c r="DN1483" s="1" t="s">
        <v>114</v>
      </c>
      <c r="DW1483" s="1" t="s">
        <v>123</v>
      </c>
      <c r="ED1483" s="1" t="s">
        <v>130</v>
      </c>
      <c r="GD1483" s="1" t="s">
        <v>189</v>
      </c>
      <c r="GE1483" s="1" t="s">
        <v>2279</v>
      </c>
    </row>
    <row r="1484" spans="1:187" ht="11.25" customHeight="1">
      <c r="A1484" s="1" t="s">
        <v>2280</v>
      </c>
      <c r="B1484" s="1" t="str">
        <f ca="1">IFERROR(__xludf.DUMMYFUNCTION("GOOGLETRANSLATE(A1484, ""en"", ""fr"")"),"Militant")</f>
        <v>Militant</v>
      </c>
      <c r="C1484" s="1" t="s">
        <v>185</v>
      </c>
      <c r="N1484" s="1" t="s">
        <v>10</v>
      </c>
      <c r="AG1484" s="1" t="s">
        <v>29</v>
      </c>
      <c r="AJ1484" s="1" t="s">
        <v>32</v>
      </c>
      <c r="AT1484" s="1" t="s">
        <v>42</v>
      </c>
      <c r="DZ1484" s="1" t="s">
        <v>126</v>
      </c>
      <c r="ED1484" s="1" t="s">
        <v>130</v>
      </c>
      <c r="GD1484" s="1" t="s">
        <v>193</v>
      </c>
      <c r="GE1484" s="1" t="s">
        <v>190</v>
      </c>
    </row>
    <row r="1485" spans="1:187" ht="11.25" customHeight="1">
      <c r="A1485" s="1" t="s">
        <v>2281</v>
      </c>
      <c r="B1485" s="1" t="str">
        <f ca="1">IFERROR(__xludf.DUMMYFUNCTION("GOOGLETRANSLATE(A1485, ""en"", ""fr"")"),"CAMPUS")</f>
        <v>CAMPUS</v>
      </c>
      <c r="C1485" s="1" t="s">
        <v>185</v>
      </c>
      <c r="Y1485" s="1" t="s">
        <v>21</v>
      </c>
      <c r="AV1485" s="1" t="s">
        <v>44</v>
      </c>
      <c r="AW1485" s="1" t="s">
        <v>45</v>
      </c>
      <c r="FH1485" s="1" t="s">
        <v>160</v>
      </c>
      <c r="FI1485" s="1" t="s">
        <v>161</v>
      </c>
      <c r="GD1485" s="1" t="s">
        <v>193</v>
      </c>
      <c r="GE1485" s="1" t="s">
        <v>190</v>
      </c>
    </row>
    <row r="1486" spans="1:187" ht="11.25" customHeight="1">
      <c r="A1486" s="1" t="s">
        <v>2282</v>
      </c>
      <c r="B1486" s="1" t="str">
        <f ca="1">IFERROR(__xludf.DUMMYFUNCTION("GOOGLETRANSLATE(A1486, ""en"", ""fr"")"),"PEUT")</f>
        <v>PEUT</v>
      </c>
      <c r="C1486" s="1" t="s">
        <v>185</v>
      </c>
      <c r="J1486" s="1" t="s">
        <v>6</v>
      </c>
      <c r="DP1486" s="1" t="s">
        <v>116</v>
      </c>
      <c r="GD1486" s="1" t="s">
        <v>222</v>
      </c>
      <c r="GE1486" s="1" t="s">
        <v>2283</v>
      </c>
    </row>
    <row r="1487" spans="1:187" ht="11.25" customHeight="1">
      <c r="A1487" s="1" t="s">
        <v>2284</v>
      </c>
      <c r="B1487" s="1" t="str">
        <f ca="1">IFERROR(__xludf.DUMMYFUNCTION("GOOGLETRANSLATE(A1487, ""en"", ""fr"")"),"NE PEUT PAS")</f>
        <v>NE PEUT PAS</v>
      </c>
      <c r="C1487" s="1" t="s">
        <v>185</v>
      </c>
      <c r="L1487" s="1" t="s">
        <v>8</v>
      </c>
      <c r="DL1487" s="1" t="s">
        <v>112</v>
      </c>
      <c r="DP1487" s="1" t="s">
        <v>116</v>
      </c>
      <c r="GA1487" s="1" t="s">
        <v>179</v>
      </c>
      <c r="GD1487" s="1" t="s">
        <v>2285</v>
      </c>
      <c r="GE1487" s="1" t="s">
        <v>2286</v>
      </c>
    </row>
    <row r="1488" spans="1:187" ht="11.25" customHeight="1">
      <c r="A1488" s="1" t="s">
        <v>2287</v>
      </c>
      <c r="B1488" s="1" t="str">
        <f ca="1">IFERROR(__xludf.DUMMYFUNCTION("GOOGLETRANSLATE(A1488, ""en"", ""fr"")"),"CANADA")</f>
        <v>CANADA</v>
      </c>
      <c r="C1488" s="1" t="s">
        <v>185</v>
      </c>
      <c r="AC1488" s="1" t="s">
        <v>25</v>
      </c>
      <c r="AH1488" s="1" t="s">
        <v>30</v>
      </c>
      <c r="DI1488" s="1" t="s">
        <v>109</v>
      </c>
      <c r="FU1488" s="1" t="s">
        <v>173</v>
      </c>
      <c r="GD1488" s="1" t="s">
        <v>193</v>
      </c>
      <c r="GE1488" s="1" t="s">
        <v>190</v>
      </c>
    </row>
    <row r="1489" spans="1:187" ht="11.25" customHeight="1">
      <c r="A1489" s="1" t="s">
        <v>2288</v>
      </c>
      <c r="B1489" s="1" t="str">
        <f ca="1">IFERROR(__xludf.DUMMYFUNCTION("GOOGLETRANSLATE(A1489, ""en"", ""fr"")"),"ANNULER")</f>
        <v>ANNULER</v>
      </c>
      <c r="C1489" s="1" t="s">
        <v>192</v>
      </c>
      <c r="E1489" s="1" t="s">
        <v>16613</v>
      </c>
      <c r="BZ1489" s="1" t="s">
        <v>74</v>
      </c>
      <c r="DO1489" s="1" t="s">
        <v>115</v>
      </c>
      <c r="GD1489" s="1" t="s">
        <v>189</v>
      </c>
      <c r="GE1489" s="1" t="s">
        <v>190</v>
      </c>
    </row>
    <row r="1490" spans="1:187" ht="11.25" customHeight="1">
      <c r="A1490" s="1" t="s">
        <v>2289</v>
      </c>
      <c r="B1490" s="1" t="str">
        <f ca="1">IFERROR(__xludf.DUMMYFUNCTION("GOOGLETRANSLATE(A1490, ""en"", ""fr"")"),"ANNULATION")</f>
        <v>ANNULATION</v>
      </c>
      <c r="C1490" s="1" t="s">
        <v>192</v>
      </c>
      <c r="E1490" s="1" t="s">
        <v>16613</v>
      </c>
      <c r="BZ1490" s="1" t="s">
        <v>74</v>
      </c>
      <c r="GD1490" s="1" t="s">
        <v>193</v>
      </c>
      <c r="GE1490" s="1" t="s">
        <v>190</v>
      </c>
    </row>
    <row r="1491" spans="1:187" ht="11.25" customHeight="1">
      <c r="A1491" s="1" t="s">
        <v>2290</v>
      </c>
      <c r="B1491" s="1" t="str">
        <f ca="1">IFERROR(__xludf.DUMMYFUNCTION("GOOGLETRANSLATE(A1491, ""en"", ""fr"")"),"CANCER")</f>
        <v>CANCER</v>
      </c>
      <c r="C1491" s="1" t="s">
        <v>185</v>
      </c>
      <c r="E1491" s="1" t="s">
        <v>16613</v>
      </c>
      <c r="H1491" s="1" t="s">
        <v>4</v>
      </c>
      <c r="V1491" s="1" t="s">
        <v>18</v>
      </c>
      <c r="EZ1491" s="1" t="s">
        <v>152</v>
      </c>
      <c r="FC1491" s="1" t="s">
        <v>155</v>
      </c>
      <c r="GD1491" s="1" t="s">
        <v>193</v>
      </c>
      <c r="GE1491" s="1" t="s">
        <v>190</v>
      </c>
    </row>
    <row r="1492" spans="1:187" ht="11.25" customHeight="1">
      <c r="A1492" s="1" t="s">
        <v>2291</v>
      </c>
      <c r="B1492" s="1" t="str">
        <f ca="1">IFERROR(__xludf.DUMMYFUNCTION("GOOGLETRANSLATE(A1492, ""en"", ""fr"")"),"CANDIDE")</f>
        <v>CANDIDE</v>
      </c>
      <c r="C1492" s="1" t="s">
        <v>185</v>
      </c>
      <c r="D1492" s="1" t="s">
        <v>16612</v>
      </c>
      <c r="J1492" s="1" t="s">
        <v>6</v>
      </c>
      <c r="BK1492" s="1" t="s">
        <v>59</v>
      </c>
      <c r="DQ1492" s="1" t="s">
        <v>117</v>
      </c>
      <c r="FH1492" s="1" t="s">
        <v>160</v>
      </c>
      <c r="FI1492" s="1" t="s">
        <v>161</v>
      </c>
      <c r="GD1492" s="1" t="s">
        <v>202</v>
      </c>
      <c r="GE1492" s="1" t="s">
        <v>190</v>
      </c>
    </row>
    <row r="1493" spans="1:187" ht="11.25" customHeight="1">
      <c r="A1493" s="1" t="s">
        <v>2292</v>
      </c>
      <c r="B1493" s="1" t="str">
        <f ca="1">IFERROR(__xludf.DUMMYFUNCTION("GOOGLETRANSLATE(A1493, ""en"", ""fr"")"),"CANDIDAT")</f>
        <v>CANDIDAT</v>
      </c>
      <c r="C1493" s="1" t="s">
        <v>185</v>
      </c>
      <c r="AG1493" s="1" t="s">
        <v>29</v>
      </c>
      <c r="AH1493" s="1" t="s">
        <v>30</v>
      </c>
      <c r="AJ1493" s="1" t="s">
        <v>32</v>
      </c>
      <c r="AT1493" s="1" t="s">
        <v>42</v>
      </c>
      <c r="DZ1493" s="1" t="s">
        <v>126</v>
      </c>
      <c r="ED1493" s="1" t="s">
        <v>130</v>
      </c>
      <c r="GD1493" s="1" t="s">
        <v>193</v>
      </c>
      <c r="GE1493" s="1" t="s">
        <v>2293</v>
      </c>
    </row>
    <row r="1494" spans="1:187" ht="11.25" customHeight="1">
      <c r="A1494" s="1" t="s">
        <v>2294</v>
      </c>
      <c r="B1494" s="1" t="str">
        <f ca="1">IFERROR(__xludf.DUMMYFUNCTION("GOOGLETRANSLATE(A1494, ""en"", ""fr"")"),"BOUGIE")</f>
        <v>BOUGIE</v>
      </c>
      <c r="C1494" s="1" t="s">
        <v>185</v>
      </c>
      <c r="BC1494" s="1" t="s">
        <v>51</v>
      </c>
      <c r="BD1494" s="1" t="s">
        <v>52</v>
      </c>
      <c r="GD1494" s="1" t="s">
        <v>193</v>
      </c>
      <c r="GE1494" s="1" t="s">
        <v>2295</v>
      </c>
    </row>
    <row r="1495" spans="1:187" ht="11.25" customHeight="1">
      <c r="A1495" s="1" t="s">
        <v>2296</v>
      </c>
      <c r="B1495" s="1" t="str">
        <f ca="1">IFERROR(__xludf.DUMMYFUNCTION("GOOGLETRANSLATE(A1495, ""en"", ""fr"")"),"CANDEUR")</f>
        <v>CANDEUR</v>
      </c>
      <c r="C1495" s="1" t="s">
        <v>192</v>
      </c>
      <c r="D1495" s="1" t="s">
        <v>16612</v>
      </c>
      <c r="J1495" s="1" t="s">
        <v>6</v>
      </c>
      <c r="BK1495" s="1" t="s">
        <v>59</v>
      </c>
      <c r="GD1495" s="1" t="s">
        <v>193</v>
      </c>
      <c r="GE1495" s="1" t="s">
        <v>190</v>
      </c>
    </row>
    <row r="1496" spans="1:187" ht="11.25" customHeight="1">
      <c r="A1496" s="1" t="s">
        <v>2297</v>
      </c>
      <c r="B1496" s="1" t="str">
        <f ca="1">IFERROR(__xludf.DUMMYFUNCTION("GOOGLETRANSLATE(A1496, ""en"", ""fr"")"),"BONBONS")</f>
        <v>BONBONS</v>
      </c>
      <c r="C1496" s="1" t="s">
        <v>185</v>
      </c>
      <c r="BC1496" s="1" t="s">
        <v>51</v>
      </c>
      <c r="BE1496" s="1" t="s">
        <v>53</v>
      </c>
      <c r="GD1496" s="1" t="s">
        <v>193</v>
      </c>
      <c r="GE1496" s="1" t="s">
        <v>190</v>
      </c>
    </row>
    <row r="1497" spans="1:187" ht="11.25" customHeight="1">
      <c r="A1497" s="1" t="s">
        <v>2298</v>
      </c>
      <c r="B1497" s="1" t="str">
        <f ca="1">IFERROR(__xludf.DUMMYFUNCTION("GOOGLETRANSLATE(A1497, ""en"", ""fr"")"),"CONSERVERIE")</f>
        <v>CONSERVERIE</v>
      </c>
      <c r="C1497" s="1" t="s">
        <v>185</v>
      </c>
      <c r="AA1497" s="1" t="s">
        <v>23</v>
      </c>
      <c r="AC1497" s="1" t="s">
        <v>25</v>
      </c>
      <c r="AK1497" s="1" t="s">
        <v>33</v>
      </c>
      <c r="AT1497" s="1" t="s">
        <v>42</v>
      </c>
      <c r="GD1497" s="1" t="s">
        <v>193</v>
      </c>
      <c r="GE1497" s="1" t="s">
        <v>190</v>
      </c>
    </row>
    <row r="1498" spans="1:187" ht="11.25" customHeight="1">
      <c r="A1498" s="1" t="s">
        <v>2299</v>
      </c>
      <c r="B1498" s="1" t="str">
        <f ca="1">IFERROR(__xludf.DUMMYFUNCTION("GOOGLETRANSLATE(A1498, ""en"", ""fr"")"),"CANNIBALE")</f>
        <v>CANNIBALE</v>
      </c>
      <c r="C1498" s="1" t="s">
        <v>192</v>
      </c>
      <c r="E1498" s="1" t="s">
        <v>16613</v>
      </c>
      <c r="I1498" s="1" t="s">
        <v>5</v>
      </c>
      <c r="V1498" s="1" t="s">
        <v>18</v>
      </c>
      <c r="AT1498" s="1" t="s">
        <v>42</v>
      </c>
      <c r="CC1498" s="1" t="s">
        <v>77</v>
      </c>
      <c r="GD1498" s="1" t="s">
        <v>193</v>
      </c>
      <c r="GE1498" s="1" t="s">
        <v>190</v>
      </c>
    </row>
    <row r="1499" spans="1:187" ht="11.25" customHeight="1">
      <c r="A1499" s="1" t="s">
        <v>2300</v>
      </c>
      <c r="B1499" s="1" t="str">
        <f ca="1">IFERROR(__xludf.DUMMYFUNCTION("GOOGLETRANSLATE(A1499, ""en"", ""fr"")"),"CANON")</f>
        <v>CANON</v>
      </c>
      <c r="C1499" s="1" t="s">
        <v>185</v>
      </c>
      <c r="E1499" s="1" t="s">
        <v>16613</v>
      </c>
      <c r="H1499" s="1" t="s">
        <v>4</v>
      </c>
      <c r="I1499" s="1" t="s">
        <v>5</v>
      </c>
      <c r="J1499" s="1" t="s">
        <v>6</v>
      </c>
      <c r="AF1499" s="1" t="s">
        <v>28</v>
      </c>
      <c r="BC1499" s="1" t="s">
        <v>51</v>
      </c>
      <c r="BD1499" s="1" t="s">
        <v>52</v>
      </c>
      <c r="DW1499" s="1" t="s">
        <v>123</v>
      </c>
      <c r="ED1499" s="1" t="s">
        <v>130</v>
      </c>
      <c r="GD1499" s="1" t="s">
        <v>193</v>
      </c>
      <c r="GE1499" s="1" t="s">
        <v>190</v>
      </c>
    </row>
    <row r="1500" spans="1:187" ht="11.25" customHeight="1">
      <c r="A1500" s="1" t="s">
        <v>2301</v>
      </c>
      <c r="B1500" s="1" t="str">
        <f ca="1">IFERROR(__xludf.DUMMYFUNCTION("GOOGLETRANSLATE(A1500, ""en"", ""fr"")"),"NE PEUT PAS")</f>
        <v>NE PEUT PAS</v>
      </c>
      <c r="C1500" s="1" t="s">
        <v>185</v>
      </c>
      <c r="L1500" s="1" t="s">
        <v>8</v>
      </c>
      <c r="DL1500" s="1" t="s">
        <v>112</v>
      </c>
      <c r="DP1500" s="1" t="s">
        <v>116</v>
      </c>
      <c r="GA1500" s="1" t="s">
        <v>179</v>
      </c>
      <c r="GD1500" s="1" t="s">
        <v>2285</v>
      </c>
      <c r="GE1500" s="1" t="s">
        <v>2302</v>
      </c>
    </row>
    <row r="1501" spans="1:187" ht="11.25" customHeight="1">
      <c r="A1501" s="1" t="s">
        <v>2303</v>
      </c>
      <c r="B1501" s="1" t="str">
        <f ca="1">IFERROR(__xludf.DUMMYFUNCTION("GOOGLETRANSLATE(A1501, ""en"", ""fr"")"),"CANOË")</f>
        <v>CANOË</v>
      </c>
      <c r="C1501" s="1" t="s">
        <v>185</v>
      </c>
      <c r="BC1501" s="1" t="s">
        <v>51</v>
      </c>
      <c r="BF1501" s="1" t="s">
        <v>54</v>
      </c>
      <c r="GD1501" s="1" t="s">
        <v>193</v>
      </c>
      <c r="GE1501" s="1" t="s">
        <v>2304</v>
      </c>
    </row>
    <row r="1502" spans="1:187" ht="11.25" customHeight="1">
      <c r="A1502" s="1" t="s">
        <v>2305</v>
      </c>
      <c r="B1502" s="1" t="str">
        <f ca="1">IFERROR(__xludf.DUMMYFUNCTION("GOOGLETRANSLATE(A1502, ""en"", ""fr"")"),"Toile # 1")</f>
        <v>Toile # 1</v>
      </c>
      <c r="C1502" s="1" t="s">
        <v>185</v>
      </c>
      <c r="BC1502" s="1" t="s">
        <v>51</v>
      </c>
      <c r="BD1502" s="1" t="s">
        <v>52</v>
      </c>
      <c r="GD1502" s="1" t="s">
        <v>193</v>
      </c>
      <c r="GE1502" s="1" t="s">
        <v>190</v>
      </c>
    </row>
    <row r="1503" spans="1:187" ht="11.25" customHeight="1">
      <c r="A1503" s="1" t="s">
        <v>2306</v>
      </c>
      <c r="B1503" s="1" t="str">
        <f ca="1">IFERROR(__xludf.DUMMYFUNCTION("GOOGLETRANSLATE(A1503, ""en"", ""fr"")"),"Toile # 2")</f>
        <v>Toile # 2</v>
      </c>
      <c r="C1503" s="1" t="s">
        <v>185</v>
      </c>
      <c r="N1503" s="1" t="s">
        <v>10</v>
      </c>
      <c r="AL1503" s="1" t="s">
        <v>34</v>
      </c>
      <c r="DN1503" s="1" t="s">
        <v>114</v>
      </c>
      <c r="FH1503" s="1" t="s">
        <v>160</v>
      </c>
      <c r="FI1503" s="1" t="s">
        <v>161</v>
      </c>
      <c r="GD1503" s="1" t="s">
        <v>189</v>
      </c>
      <c r="GE1503" s="1" t="s">
        <v>190</v>
      </c>
    </row>
    <row r="1504" spans="1:187" ht="11.25" customHeight="1">
      <c r="A1504" s="1" t="s">
        <v>2307</v>
      </c>
      <c r="B1504" s="1" t="str">
        <f ca="1">IFERROR(__xludf.DUMMYFUNCTION("GOOGLETRANSLATE(A1504, ""en"", ""fr"")"),"CANYON")</f>
        <v>CANYON</v>
      </c>
      <c r="C1504" s="1" t="s">
        <v>185</v>
      </c>
      <c r="AV1504" s="1" t="s">
        <v>44</v>
      </c>
      <c r="BA1504" s="1" t="s">
        <v>49</v>
      </c>
      <c r="GD1504" s="1" t="s">
        <v>193</v>
      </c>
      <c r="GE1504" s="1" t="s">
        <v>190</v>
      </c>
    </row>
    <row r="1505" spans="1:187" ht="11.25" customHeight="1">
      <c r="A1505" s="1" t="s">
        <v>2308</v>
      </c>
      <c r="B1505" s="1" t="str">
        <f ca="1">IFERROR(__xludf.DUMMYFUNCTION("GOOGLETRANSLATE(A1505, ""en"", ""fr"")"),"CASQUETTE")</f>
        <v>CASQUETTE</v>
      </c>
      <c r="C1505" s="1" t="s">
        <v>185</v>
      </c>
      <c r="BC1505" s="1" t="s">
        <v>51</v>
      </c>
      <c r="BD1505" s="1" t="s">
        <v>52</v>
      </c>
      <c r="GD1505" s="1" t="s">
        <v>193</v>
      </c>
      <c r="GE1505" s="1" t="s">
        <v>190</v>
      </c>
    </row>
    <row r="1506" spans="1:187" ht="11.25" customHeight="1">
      <c r="A1506" s="1" t="s">
        <v>2309</v>
      </c>
      <c r="B1506" s="1" t="str">
        <f ca="1">IFERROR(__xludf.DUMMYFUNCTION("GOOGLETRANSLATE(A1506, ""en"", ""fr"")"),"APTITUDE")</f>
        <v>APTITUDE</v>
      </c>
      <c r="C1506" s="1" t="s">
        <v>185</v>
      </c>
      <c r="D1506" s="1" t="s">
        <v>16612</v>
      </c>
      <c r="F1506" s="1" t="s">
        <v>2</v>
      </c>
      <c r="J1506" s="1" t="s">
        <v>6</v>
      </c>
      <c r="K1506" s="1" t="s">
        <v>7</v>
      </c>
      <c r="BQ1506" s="1" t="s">
        <v>65</v>
      </c>
      <c r="FQ1506" s="1" t="s">
        <v>169</v>
      </c>
      <c r="GD1506" s="1" t="s">
        <v>193</v>
      </c>
      <c r="GE1506" s="1" t="s">
        <v>2310</v>
      </c>
    </row>
    <row r="1507" spans="1:187" ht="11.25" customHeight="1">
      <c r="A1507" s="1" t="s">
        <v>2311</v>
      </c>
      <c r="B1507" s="1" t="str">
        <f ca="1">IFERROR(__xludf.DUMMYFUNCTION("GOOGLETRANSLATE(A1507, ""en"", ""fr"")"),"CAPABLE")</f>
        <v>CAPABLE</v>
      </c>
      <c r="C1507" s="1" t="s">
        <v>185</v>
      </c>
      <c r="D1507" s="1" t="s">
        <v>16612</v>
      </c>
      <c r="F1507" s="1" t="s">
        <v>2</v>
      </c>
      <c r="J1507" s="1" t="s">
        <v>6</v>
      </c>
      <c r="K1507" s="1" t="s">
        <v>7</v>
      </c>
      <c r="U1507" s="1" t="s">
        <v>17</v>
      </c>
      <c r="FQ1507" s="1" t="s">
        <v>169</v>
      </c>
      <c r="GD1507" s="1" t="s">
        <v>202</v>
      </c>
      <c r="GE1507" s="1" t="s">
        <v>2312</v>
      </c>
    </row>
    <row r="1508" spans="1:187" ht="11.25" customHeight="1">
      <c r="A1508" s="1" t="s">
        <v>2313</v>
      </c>
      <c r="B1508" s="1" t="str">
        <f ca="1">IFERROR(__xludf.DUMMYFUNCTION("GOOGLETRANSLATE(A1508, ""en"", ""fr"")"),"Capacité n ° 1")</f>
        <v>Capacité n ° 1</v>
      </c>
      <c r="C1508" s="1" t="s">
        <v>185</v>
      </c>
      <c r="J1508" s="1" t="s">
        <v>6</v>
      </c>
      <c r="K1508" s="1" t="s">
        <v>7</v>
      </c>
      <c r="BQ1508" s="1" t="s">
        <v>65</v>
      </c>
      <c r="FQ1508" s="1" t="s">
        <v>169</v>
      </c>
      <c r="GD1508" s="1" t="s">
        <v>193</v>
      </c>
      <c r="GE1508" s="1" t="s">
        <v>2314</v>
      </c>
    </row>
    <row r="1509" spans="1:187" ht="11.25" customHeight="1">
      <c r="A1509" s="1" t="s">
        <v>2315</v>
      </c>
      <c r="B1509" s="1" t="str">
        <f ca="1">IFERROR(__xludf.DUMMYFUNCTION("GOOGLETRANSLATE(A1509, ""en"", ""fr"")"),"Capacité n ° 2")</f>
        <v>Capacité n ° 2</v>
      </c>
      <c r="C1509" s="1" t="s">
        <v>185</v>
      </c>
      <c r="BQ1509" s="1" t="s">
        <v>65</v>
      </c>
      <c r="GD1509" s="1" t="s">
        <v>193</v>
      </c>
      <c r="GE1509" s="1" t="s">
        <v>2316</v>
      </c>
    </row>
    <row r="1510" spans="1:187" ht="11.25" customHeight="1">
      <c r="A1510" s="1" t="s">
        <v>2317</v>
      </c>
      <c r="B1510" s="1" t="str">
        <f ca="1">IFERROR(__xludf.DUMMYFUNCTION("GOOGLETRANSLATE(A1510, ""en"", ""fr"")"),"Capital n ° 1")</f>
        <v>Capital n ° 1</v>
      </c>
      <c r="C1510" s="1" t="s">
        <v>185</v>
      </c>
      <c r="J1510" s="1" t="s">
        <v>6</v>
      </c>
      <c r="U1510" s="1" t="s">
        <v>17</v>
      </c>
      <c r="AA1510" s="1" t="s">
        <v>23</v>
      </c>
      <c r="AC1510" s="1" t="s">
        <v>25</v>
      </c>
      <c r="AG1510" s="1" t="s">
        <v>29</v>
      </c>
      <c r="AH1510" s="1" t="s">
        <v>30</v>
      </c>
      <c r="EV1510" s="1" t="s">
        <v>148</v>
      </c>
      <c r="EW1510" s="1" t="s">
        <v>149</v>
      </c>
      <c r="GD1510" s="1" t="s">
        <v>849</v>
      </c>
      <c r="GE1510" s="1" t="s">
        <v>2318</v>
      </c>
    </row>
    <row r="1511" spans="1:187" ht="11.25" customHeight="1">
      <c r="A1511" s="1" t="s">
        <v>2319</v>
      </c>
      <c r="B1511" s="1" t="str">
        <f ca="1">IFERROR(__xludf.DUMMYFUNCTION("GOOGLETRANSLATE(A1511, ""en"", ""fr"")"),"Capital n ° 2")</f>
        <v>Capital n ° 2</v>
      </c>
      <c r="C1511" s="1" t="s">
        <v>185</v>
      </c>
      <c r="E1511" s="1" t="s">
        <v>16613</v>
      </c>
      <c r="H1511" s="1" t="s">
        <v>4</v>
      </c>
      <c r="V1511" s="1" t="s">
        <v>18</v>
      </c>
      <c r="AE1511" s="1" t="s">
        <v>27</v>
      </c>
      <c r="EB1511" s="1" t="s">
        <v>128</v>
      </c>
      <c r="ED1511" s="1" t="s">
        <v>130</v>
      </c>
      <c r="GD1511" s="1" t="s">
        <v>202</v>
      </c>
      <c r="GE1511" s="1" t="s">
        <v>2320</v>
      </c>
    </row>
    <row r="1512" spans="1:187" ht="11.25" customHeight="1">
      <c r="A1512" s="1" t="s">
        <v>2321</v>
      </c>
      <c r="B1512" s="1" t="str">
        <f ca="1">IFERROR(__xludf.DUMMYFUNCTION("GOOGLETRANSLATE(A1512, ""en"", ""fr"")"),"Capital n ° 3")</f>
        <v>Capital n ° 3</v>
      </c>
      <c r="C1512" s="1" t="s">
        <v>185</v>
      </c>
      <c r="GD1512" s="1" t="s">
        <v>236</v>
      </c>
      <c r="GE1512" s="1" t="s">
        <v>2322</v>
      </c>
    </row>
    <row r="1513" spans="1:187" ht="11.25" customHeight="1">
      <c r="A1513" s="1" t="s">
        <v>2323</v>
      </c>
      <c r="B1513" s="1" t="str">
        <f ca="1">IFERROR(__xludf.DUMMYFUNCTION("GOOGLETRANSLATE(A1513, ""en"", ""fr"")"),"Capital n ° 4")</f>
        <v>Capital n ° 4</v>
      </c>
      <c r="C1513" s="1" t="s">
        <v>185</v>
      </c>
      <c r="W1513" s="1" t="s">
        <v>19</v>
      </c>
      <c r="BL1513" s="1" t="s">
        <v>60</v>
      </c>
      <c r="GD1513" s="1" t="s">
        <v>193</v>
      </c>
      <c r="GE1513" s="1" t="s">
        <v>2324</v>
      </c>
    </row>
    <row r="1514" spans="1:187" ht="11.25" customHeight="1">
      <c r="A1514" s="1" t="s">
        <v>2325</v>
      </c>
      <c r="B1514" s="1" t="str">
        <f ca="1">IFERROR(__xludf.DUMMYFUNCTION("GOOGLETRANSLATE(A1514, ""en"", ""fr"")"),"CAPITALISME")</f>
        <v>CAPITALISME</v>
      </c>
      <c r="C1514" s="1" t="s">
        <v>185</v>
      </c>
      <c r="Z1514" s="1" t="s">
        <v>22</v>
      </c>
      <c r="AA1514" s="1" t="s">
        <v>23</v>
      </c>
      <c r="AC1514" s="1" t="s">
        <v>25</v>
      </c>
      <c r="AG1514" s="1" t="s">
        <v>29</v>
      </c>
      <c r="AH1514" s="1" t="s">
        <v>30</v>
      </c>
      <c r="CP1514" s="1" t="s">
        <v>90</v>
      </c>
      <c r="CQ1514" s="1" t="s">
        <v>91</v>
      </c>
      <c r="EA1514" s="1" t="s">
        <v>127</v>
      </c>
      <c r="ED1514" s="1" t="s">
        <v>130</v>
      </c>
      <c r="GD1514" s="1" t="s">
        <v>193</v>
      </c>
      <c r="GE1514" s="1" t="s">
        <v>190</v>
      </c>
    </row>
    <row r="1515" spans="1:187" ht="11.25" customHeight="1">
      <c r="A1515" s="1" t="s">
        <v>2326</v>
      </c>
      <c r="B1515" s="1" t="str">
        <f ca="1">IFERROR(__xludf.DUMMYFUNCTION("GOOGLETRANSLATE(A1515, ""en"", ""fr"")"),"CAPITALISER")</f>
        <v>CAPITALISER</v>
      </c>
      <c r="C1515" s="1" t="s">
        <v>192</v>
      </c>
      <c r="D1515" s="1" t="s">
        <v>16612</v>
      </c>
      <c r="J1515" s="1" t="s">
        <v>6</v>
      </c>
      <c r="K1515" s="1" t="s">
        <v>7</v>
      </c>
      <c r="N1515" s="1" t="s">
        <v>10</v>
      </c>
      <c r="AA1515" s="1" t="s">
        <v>23</v>
      </c>
      <c r="BX1515" s="1" t="s">
        <v>72</v>
      </c>
      <c r="DN1515" s="1" t="s">
        <v>114</v>
      </c>
      <c r="GD1515" s="1" t="s">
        <v>189</v>
      </c>
      <c r="GE1515" s="1" t="s">
        <v>190</v>
      </c>
    </row>
    <row r="1516" spans="1:187" ht="11.25" customHeight="1">
      <c r="A1516" s="1" t="s">
        <v>2327</v>
      </c>
      <c r="B1516" s="1" t="str">
        <f ca="1">IFERROR(__xludf.DUMMYFUNCTION("GOOGLETRANSLATE(A1516, ""en"", ""fr"")"),"CAPITOLE")</f>
        <v>CAPITOLE</v>
      </c>
      <c r="C1516" s="1" t="s">
        <v>185</v>
      </c>
      <c r="AG1516" s="1" t="s">
        <v>29</v>
      </c>
      <c r="AH1516" s="1" t="s">
        <v>30</v>
      </c>
      <c r="AV1516" s="1" t="s">
        <v>44</v>
      </c>
      <c r="AW1516" s="1" t="s">
        <v>45</v>
      </c>
      <c r="DV1516" s="1" t="s">
        <v>122</v>
      </c>
      <c r="ED1516" s="1" t="s">
        <v>130</v>
      </c>
      <c r="GD1516" s="1" t="s">
        <v>193</v>
      </c>
      <c r="GE1516" s="1" t="s">
        <v>190</v>
      </c>
    </row>
    <row r="1517" spans="1:187" ht="11.25" customHeight="1">
      <c r="A1517" s="1" t="s">
        <v>2328</v>
      </c>
      <c r="B1517" s="1" t="str">
        <f ca="1">IFERROR(__xludf.DUMMYFUNCTION("GOOGLETRANSLATE(A1517, ""en"", ""fr"")"),"CAPITULER")</f>
        <v>CAPITULER</v>
      </c>
      <c r="C1517" s="1" t="s">
        <v>192</v>
      </c>
      <c r="E1517" s="1" t="s">
        <v>16613</v>
      </c>
      <c r="L1517" s="1" t="s">
        <v>8</v>
      </c>
      <c r="M1517" s="1" t="s">
        <v>9</v>
      </c>
      <c r="O1517" s="1" t="s">
        <v>11</v>
      </c>
      <c r="BT1517" s="1" t="s">
        <v>68</v>
      </c>
      <c r="DN1517" s="1" t="s">
        <v>114</v>
      </c>
      <c r="GD1517" s="1" t="s">
        <v>189</v>
      </c>
      <c r="GE1517" s="1" t="s">
        <v>190</v>
      </c>
    </row>
    <row r="1518" spans="1:187" ht="11.25" customHeight="1">
      <c r="A1518" s="1" t="s">
        <v>2329</v>
      </c>
      <c r="B1518" s="1" t="str">
        <f ca="1">IFERROR(__xludf.DUMMYFUNCTION("GOOGLETRANSLATE(A1518, ""en"", ""fr"")"),"CAPRICIEUX")</f>
        <v>CAPRICIEUX</v>
      </c>
      <c r="C1518" s="1" t="s">
        <v>192</v>
      </c>
      <c r="E1518" s="1" t="s">
        <v>16613</v>
      </c>
      <c r="V1518" s="1" t="s">
        <v>18</v>
      </c>
      <c r="DQ1518" s="1" t="s">
        <v>117</v>
      </c>
      <c r="GD1518" s="1" t="s">
        <v>202</v>
      </c>
      <c r="GE1518" s="1" t="s">
        <v>190</v>
      </c>
    </row>
    <row r="1519" spans="1:187" ht="11.25" customHeight="1">
      <c r="A1519" s="1" t="s">
        <v>2330</v>
      </c>
      <c r="B1519" s="1" t="str">
        <f ca="1">IFERROR(__xludf.DUMMYFUNCTION("GOOGLETRANSLATE(A1519, ""en"", ""fr"")"),"CHAVIRER")</f>
        <v>CHAVIRER</v>
      </c>
      <c r="C1519" s="1" t="s">
        <v>192</v>
      </c>
      <c r="E1519" s="1" t="s">
        <v>16613</v>
      </c>
      <c r="BT1519" s="1" t="s">
        <v>68</v>
      </c>
      <c r="DN1519" s="1" t="s">
        <v>114</v>
      </c>
      <c r="GD1519" s="1" t="s">
        <v>189</v>
      </c>
      <c r="GE1519" s="1" t="s">
        <v>190</v>
      </c>
    </row>
    <row r="1520" spans="1:187" ht="11.25" customHeight="1">
      <c r="A1520" s="1" t="s">
        <v>2331</v>
      </c>
      <c r="B1520" s="1" t="str">
        <f ca="1">IFERROR(__xludf.DUMMYFUNCTION("GOOGLETRANSLATE(A1520, ""en"", ""fr"")"),"CAPITAINE")</f>
        <v>CAPITAINE</v>
      </c>
      <c r="C1520" s="1" t="s">
        <v>185</v>
      </c>
      <c r="J1520" s="1" t="s">
        <v>6</v>
      </c>
      <c r="K1520" s="1" t="s">
        <v>7</v>
      </c>
      <c r="AJ1520" s="1" t="s">
        <v>32</v>
      </c>
      <c r="AT1520" s="1" t="s">
        <v>42</v>
      </c>
      <c r="DY1520" s="1" t="s">
        <v>125</v>
      </c>
      <c r="ED1520" s="1" t="s">
        <v>130</v>
      </c>
      <c r="GD1520" s="1" t="s">
        <v>193</v>
      </c>
      <c r="GE1520" s="1" t="s">
        <v>190</v>
      </c>
    </row>
    <row r="1521" spans="1:187" ht="11.25" customHeight="1">
      <c r="A1521" s="1" t="s">
        <v>2332</v>
      </c>
      <c r="B1521" s="1" t="str">
        <f ca="1">IFERROR(__xludf.DUMMYFUNCTION("GOOGLETRANSLATE(A1521, ""en"", ""fr"")"),"CAPTIVATION")</f>
        <v>CAPTIVATION</v>
      </c>
      <c r="C1521" s="1" t="s">
        <v>192</v>
      </c>
      <c r="D1521" s="1" t="s">
        <v>16612</v>
      </c>
      <c r="W1521" s="1" t="s">
        <v>19</v>
      </c>
      <c r="CG1521" s="1" t="s">
        <v>81</v>
      </c>
      <c r="CK1521" s="1" t="s">
        <v>85</v>
      </c>
      <c r="GD1521" s="1" t="s">
        <v>193</v>
      </c>
      <c r="GE1521" s="1" t="s">
        <v>190</v>
      </c>
    </row>
    <row r="1522" spans="1:187" ht="11.25" customHeight="1">
      <c r="A1522" s="1" t="s">
        <v>2333</v>
      </c>
      <c r="B1522" s="1" t="str">
        <f ca="1">IFERROR(__xludf.DUMMYFUNCTION("GOOGLETRANSLATE(A1522, ""en"", ""fr"")"),"CAPTIF")</f>
        <v>CAPTIF</v>
      </c>
      <c r="C1522" s="1" t="s">
        <v>192</v>
      </c>
      <c r="E1522" s="1" t="s">
        <v>16613</v>
      </c>
      <c r="L1522" s="1" t="s">
        <v>8</v>
      </c>
      <c r="M1522" s="1" t="s">
        <v>9</v>
      </c>
      <c r="O1522" s="1" t="s">
        <v>11</v>
      </c>
      <c r="DQ1522" s="1" t="s">
        <v>117</v>
      </c>
      <c r="GD1522" s="1" t="s">
        <v>202</v>
      </c>
      <c r="GE1522" s="1" t="s">
        <v>190</v>
      </c>
    </row>
    <row r="1523" spans="1:187" ht="11.25" customHeight="1">
      <c r="A1523" s="1" t="s">
        <v>2334</v>
      </c>
      <c r="B1523" s="1" t="str">
        <f ca="1">IFERROR(__xludf.DUMMYFUNCTION("GOOGLETRANSLATE(A1523, ""en"", ""fr"")"),"Capture # 1")</f>
        <v>Capture # 1</v>
      </c>
      <c r="C1523" s="1" t="s">
        <v>185</v>
      </c>
      <c r="E1523" s="1" t="s">
        <v>16613</v>
      </c>
      <c r="H1523" s="1" t="s">
        <v>4</v>
      </c>
      <c r="M1523" s="1" t="s">
        <v>9</v>
      </c>
      <c r="AN1523" s="1" t="s">
        <v>36</v>
      </c>
      <c r="DT1523" s="1" t="s">
        <v>120</v>
      </c>
      <c r="ED1523" s="1" t="s">
        <v>130</v>
      </c>
      <c r="GD1523" s="1" t="s">
        <v>202</v>
      </c>
      <c r="GE1523" s="1" t="s">
        <v>190</v>
      </c>
    </row>
    <row r="1524" spans="1:187" ht="11.25" customHeight="1">
      <c r="A1524" s="1" t="s">
        <v>2335</v>
      </c>
      <c r="B1524" s="1" t="str">
        <f ca="1">IFERROR(__xludf.DUMMYFUNCTION("GOOGLETRANSLATE(A1524, ""en"", ""fr"")"),"Capture # 2")</f>
        <v>Capture # 2</v>
      </c>
      <c r="C1524" s="1" t="s">
        <v>185</v>
      </c>
      <c r="E1524" s="1" t="s">
        <v>16613</v>
      </c>
      <c r="H1524" s="1" t="s">
        <v>4</v>
      </c>
      <c r="I1524" s="1" t="s">
        <v>5</v>
      </c>
      <c r="J1524" s="1" t="s">
        <v>6</v>
      </c>
      <c r="K1524" s="1" t="s">
        <v>7</v>
      </c>
      <c r="N1524" s="1" t="s">
        <v>10</v>
      </c>
      <c r="AN1524" s="1" t="s">
        <v>36</v>
      </c>
      <c r="DN1524" s="1" t="s">
        <v>114</v>
      </c>
      <c r="DT1524" s="1" t="s">
        <v>120</v>
      </c>
      <c r="ED1524" s="1" t="s">
        <v>130</v>
      </c>
      <c r="GD1524" s="1" t="s">
        <v>189</v>
      </c>
      <c r="GE1524" s="1" t="s">
        <v>190</v>
      </c>
    </row>
    <row r="1525" spans="1:187" ht="11.25" customHeight="1">
      <c r="A1525" s="1" t="s">
        <v>2336</v>
      </c>
      <c r="B1525" s="1" t="str">
        <f ca="1">IFERROR(__xludf.DUMMYFUNCTION("GOOGLETRANSLATE(A1525, ""en"", ""fr"")"),"VOITURE")</f>
        <v>VOITURE</v>
      </c>
      <c r="C1525" s="1" t="s">
        <v>185</v>
      </c>
      <c r="BC1525" s="1" t="s">
        <v>51</v>
      </c>
      <c r="BF1525" s="1" t="s">
        <v>54</v>
      </c>
      <c r="EV1525" s="1" t="s">
        <v>148</v>
      </c>
      <c r="EW1525" s="1" t="s">
        <v>149</v>
      </c>
      <c r="GD1525" s="1" t="s">
        <v>193</v>
      </c>
      <c r="GE1525" s="1" t="s">
        <v>2337</v>
      </c>
    </row>
    <row r="1526" spans="1:187" ht="11.25" customHeight="1">
      <c r="A1526" s="1" t="s">
        <v>96</v>
      </c>
      <c r="B1526" s="1" t="str">
        <f ca="1">IFERROR(__xludf.DUMMYFUNCTION("GOOGLETRANSLATE(A1526, ""en"", ""fr"")"),"CARTE")</f>
        <v>CARTE</v>
      </c>
      <c r="C1526" s="1" t="s">
        <v>185</v>
      </c>
      <c r="BC1526" s="1" t="s">
        <v>51</v>
      </c>
      <c r="BD1526" s="1" t="s">
        <v>52</v>
      </c>
      <c r="GD1526" s="1" t="s">
        <v>193</v>
      </c>
      <c r="GE1526" s="1" t="s">
        <v>2338</v>
      </c>
    </row>
    <row r="1527" spans="1:187" ht="11.25" customHeight="1">
      <c r="A1527" s="1" t="s">
        <v>2339</v>
      </c>
      <c r="B1527" s="1" t="str">
        <f ca="1">IFERROR(__xludf.DUMMYFUNCTION("GOOGLETRANSLATE(A1527, ""en"", ""fr"")"),"CARDINAL")</f>
        <v>CARDINAL</v>
      </c>
      <c r="C1527" s="1" t="s">
        <v>196</v>
      </c>
      <c r="GD1527" s="1" t="s">
        <v>193</v>
      </c>
    </row>
    <row r="1528" spans="1:187" ht="11.25" customHeight="1">
      <c r="A1528" s="1" t="s">
        <v>2340</v>
      </c>
      <c r="B1528" s="1" t="str">
        <f ca="1">IFERROR(__xludf.DUMMYFUNCTION("GOOGLETRANSLATE(A1528, ""en"", ""fr"")"),"CARE # 1")</f>
        <v>CARE # 1</v>
      </c>
      <c r="C1528" s="1" t="s">
        <v>185</v>
      </c>
      <c r="D1528" s="1" t="s">
        <v>16612</v>
      </c>
      <c r="F1528" s="1" t="s">
        <v>2</v>
      </c>
      <c r="G1528" s="1" t="s">
        <v>3</v>
      </c>
      <c r="N1528" s="1" t="s">
        <v>10</v>
      </c>
      <c r="S1528" s="1" t="s">
        <v>15</v>
      </c>
      <c r="X1528" s="1" t="s">
        <v>20</v>
      </c>
      <c r="ER1528" s="1" t="s">
        <v>144</v>
      </c>
      <c r="ES1528" s="1" t="s">
        <v>145</v>
      </c>
      <c r="GD1528" s="1" t="s">
        <v>193</v>
      </c>
      <c r="GE1528" s="1" t="s">
        <v>2341</v>
      </c>
    </row>
    <row r="1529" spans="1:187" ht="11.25" customHeight="1">
      <c r="A1529" s="1" t="s">
        <v>2342</v>
      </c>
      <c r="B1529" s="1" t="str">
        <f ca="1">IFERROR(__xludf.DUMMYFUNCTION("GOOGLETRANSLATE(A1529, ""en"", ""fr"")"),"CARE # 2")</f>
        <v>CARE # 2</v>
      </c>
      <c r="C1529" s="1" t="s">
        <v>185</v>
      </c>
      <c r="D1529" s="1" t="s">
        <v>16612</v>
      </c>
      <c r="F1529" s="1" t="s">
        <v>2</v>
      </c>
      <c r="G1529" s="1" t="s">
        <v>3</v>
      </c>
      <c r="N1529" s="1" t="s">
        <v>10</v>
      </c>
      <c r="AN1529" s="1" t="s">
        <v>36</v>
      </c>
      <c r="DP1529" s="1" t="s">
        <v>116</v>
      </c>
      <c r="EO1529" s="1" t="s">
        <v>141</v>
      </c>
      <c r="ES1529" s="1" t="s">
        <v>145</v>
      </c>
      <c r="GD1529" s="1" t="s">
        <v>189</v>
      </c>
      <c r="GE1529" s="1" t="s">
        <v>2343</v>
      </c>
    </row>
    <row r="1530" spans="1:187" ht="11.25" customHeight="1">
      <c r="A1530" s="1" t="s">
        <v>2344</v>
      </c>
      <c r="B1530" s="1" t="str">
        <f ca="1">IFERROR(__xludf.DUMMYFUNCTION("GOOGLETRANSLATE(A1530, ""en"", ""fr"")"),"CARE # 3")</f>
        <v>CARE # 3</v>
      </c>
      <c r="C1530" s="1" t="s">
        <v>185</v>
      </c>
      <c r="GD1530" s="1" t="s">
        <v>225</v>
      </c>
      <c r="GE1530" s="1" t="s">
        <v>2345</v>
      </c>
    </row>
    <row r="1531" spans="1:187" ht="11.25" customHeight="1">
      <c r="A1531" s="1" t="s">
        <v>2346</v>
      </c>
      <c r="B1531" s="1" t="str">
        <f ca="1">IFERROR(__xludf.DUMMYFUNCTION("GOOGLETRANSLATE(A1531, ""en"", ""fr"")"),"CARÉNER")</f>
        <v>CARÉNER</v>
      </c>
      <c r="C1531" s="1" t="s">
        <v>192</v>
      </c>
      <c r="E1531" s="1" t="s">
        <v>16613</v>
      </c>
      <c r="L1531" s="1" t="s">
        <v>8</v>
      </c>
      <c r="O1531" s="1" t="s">
        <v>11</v>
      </c>
      <c r="CE1531" s="1" t="s">
        <v>79</v>
      </c>
      <c r="DN1531" s="1" t="s">
        <v>114</v>
      </c>
      <c r="GD1531" s="1" t="s">
        <v>189</v>
      </c>
      <c r="GE1531" s="1" t="s">
        <v>190</v>
      </c>
    </row>
    <row r="1532" spans="1:187" ht="11.25" customHeight="1">
      <c r="A1532" s="1" t="s">
        <v>2347</v>
      </c>
      <c r="B1532" s="1" t="str">
        <f ca="1">IFERROR(__xludf.DUMMYFUNCTION("GOOGLETRANSLATE(A1532, ""en"", ""fr"")"),"CARRIÈRE")</f>
        <v>CARRIÈRE</v>
      </c>
      <c r="C1532" s="1" t="s">
        <v>185</v>
      </c>
      <c r="AA1532" s="1" t="s">
        <v>23</v>
      </c>
      <c r="BQ1532" s="1" t="s">
        <v>65</v>
      </c>
      <c r="FL1532" s="1" t="s">
        <v>164</v>
      </c>
      <c r="FM1532" s="1" t="s">
        <v>418</v>
      </c>
      <c r="GD1532" s="1" t="s">
        <v>193</v>
      </c>
      <c r="GE1532" s="1" t="s">
        <v>2348</v>
      </c>
    </row>
    <row r="1533" spans="1:187" ht="11.25" customHeight="1">
      <c r="A1533" s="1" t="s">
        <v>2349</v>
      </c>
      <c r="B1533" s="1" t="str">
        <f ca="1">IFERROR(__xludf.DUMMYFUNCTION("GOOGLETRANSLATE(A1533, ""en"", ""fr"")"),"INSOUCIANT")</f>
        <v>INSOUCIANT</v>
      </c>
      <c r="C1533" s="1" t="s">
        <v>192</v>
      </c>
      <c r="D1533" s="1" t="s">
        <v>16612</v>
      </c>
      <c r="P1533" s="1" t="s">
        <v>12</v>
      </c>
      <c r="T1533" s="1" t="s">
        <v>16</v>
      </c>
      <c r="DR1533" s="1" t="s">
        <v>118</v>
      </c>
      <c r="GD1533" s="1" t="s">
        <v>202</v>
      </c>
      <c r="GE1533" s="1" t="s">
        <v>190</v>
      </c>
    </row>
    <row r="1534" spans="1:187" ht="11.25" customHeight="1">
      <c r="A1534" s="1" t="s">
        <v>2350</v>
      </c>
      <c r="B1534" s="1" t="str">
        <f ca="1">IFERROR(__xludf.DUMMYFUNCTION("GOOGLETRANSLATE(A1534, ""en"", ""fr"")"),"PRUDENT")</f>
        <v>PRUDENT</v>
      </c>
      <c r="C1534" s="1" t="s">
        <v>185</v>
      </c>
      <c r="D1534" s="1" t="s">
        <v>16612</v>
      </c>
      <c r="F1534" s="1" t="s">
        <v>2</v>
      </c>
      <c r="U1534" s="1" t="s">
        <v>17</v>
      </c>
      <c r="X1534" s="1" t="s">
        <v>20</v>
      </c>
      <c r="FZ1534" s="1" t="s">
        <v>178</v>
      </c>
      <c r="GD1534" s="1" t="s">
        <v>202</v>
      </c>
      <c r="GE1534" s="1" t="s">
        <v>2351</v>
      </c>
    </row>
    <row r="1535" spans="1:187" ht="11.25" customHeight="1">
      <c r="A1535" s="1" t="s">
        <v>2352</v>
      </c>
      <c r="B1535" s="1" t="str">
        <f ca="1">IFERROR(__xludf.DUMMYFUNCTION("GOOGLETRANSLATE(A1535, ""en"", ""fr"")"),"IMPRUDENT")</f>
        <v>IMPRUDENT</v>
      </c>
      <c r="C1535" s="1" t="s">
        <v>185</v>
      </c>
      <c r="E1535" s="1" t="s">
        <v>16613</v>
      </c>
      <c r="H1535" s="1" t="s">
        <v>4</v>
      </c>
      <c r="V1535" s="1" t="s">
        <v>18</v>
      </c>
      <c r="GD1535" s="1" t="s">
        <v>202</v>
      </c>
      <c r="GE1535" s="1" t="s">
        <v>190</v>
      </c>
    </row>
    <row r="1536" spans="1:187" ht="11.25" customHeight="1">
      <c r="A1536" s="1" t="s">
        <v>2353</v>
      </c>
      <c r="B1536" s="1" t="str">
        <f ca="1">IFERROR(__xludf.DUMMYFUNCTION("GOOGLETRANSLATE(A1536, ""en"", ""fr"")"),"NÉGLIGENCE")</f>
        <v>NÉGLIGENCE</v>
      </c>
      <c r="C1536" s="1" t="s">
        <v>192</v>
      </c>
      <c r="E1536" s="1" t="s">
        <v>16613</v>
      </c>
      <c r="V1536" s="1" t="s">
        <v>18</v>
      </c>
      <c r="GD1536" s="1" t="s">
        <v>193</v>
      </c>
      <c r="GE1536" s="1" t="s">
        <v>190</v>
      </c>
    </row>
    <row r="1537" spans="1:187" ht="11.25" customHeight="1">
      <c r="A1537" s="1" t="s">
        <v>2354</v>
      </c>
      <c r="B1537" s="1" t="str">
        <f ca="1">IFERROR(__xludf.DUMMYFUNCTION("GOOGLETRANSLATE(A1537, ""en"", ""fr"")"),"Caresse # 1")</f>
        <v>Caresse # 1</v>
      </c>
      <c r="C1537" s="1" t="s">
        <v>185</v>
      </c>
      <c r="D1537" s="1" t="s">
        <v>16612</v>
      </c>
      <c r="F1537" s="1" t="s">
        <v>2</v>
      </c>
      <c r="G1537" s="1" t="s">
        <v>3</v>
      </c>
      <c r="BK1537" s="1" t="s">
        <v>59</v>
      </c>
      <c r="EO1537" s="1" t="s">
        <v>141</v>
      </c>
      <c r="ES1537" s="1" t="s">
        <v>145</v>
      </c>
      <c r="GC1537" s="1" t="s">
        <v>181</v>
      </c>
      <c r="GD1537" s="1" t="s">
        <v>193</v>
      </c>
      <c r="GE1537" s="1" t="s">
        <v>190</v>
      </c>
    </row>
    <row r="1538" spans="1:187" ht="11.25" customHeight="1">
      <c r="A1538" s="1" t="s">
        <v>2355</v>
      </c>
      <c r="B1538" s="1" t="str">
        <f ca="1">IFERROR(__xludf.DUMMYFUNCTION("GOOGLETRANSLATE(A1538, ""en"", ""fr"")"),"Caresse # 2")</f>
        <v>Caresse # 2</v>
      </c>
      <c r="C1538" s="1" t="s">
        <v>185</v>
      </c>
      <c r="D1538" s="1" t="s">
        <v>16612</v>
      </c>
      <c r="F1538" s="1" t="s">
        <v>2</v>
      </c>
      <c r="G1538" s="1" t="s">
        <v>3</v>
      </c>
      <c r="AN1538" s="1" t="s">
        <v>36</v>
      </c>
      <c r="DN1538" s="1" t="s">
        <v>114</v>
      </c>
      <c r="EO1538" s="1" t="s">
        <v>141</v>
      </c>
      <c r="ES1538" s="1" t="s">
        <v>145</v>
      </c>
      <c r="GD1538" s="1" t="s">
        <v>189</v>
      </c>
      <c r="GE1538" s="1" t="s">
        <v>190</v>
      </c>
    </row>
    <row r="1539" spans="1:187" ht="11.25" customHeight="1">
      <c r="A1539" s="1" t="s">
        <v>2356</v>
      </c>
      <c r="B1539" s="1" t="str">
        <f ca="1">IFERROR(__xludf.DUMMYFUNCTION("GOOGLETRANSLATE(A1539, ""en"", ""fr"")"),"Caroline")</f>
        <v>Caroline</v>
      </c>
      <c r="C1539" s="1" t="s">
        <v>196</v>
      </c>
      <c r="GD1539" s="1" t="s">
        <v>653</v>
      </c>
    </row>
    <row r="1540" spans="1:187" ht="11.25" customHeight="1">
      <c r="A1540" s="1" t="s">
        <v>2357</v>
      </c>
      <c r="B1540" s="1" t="str">
        <f ca="1">IFERROR(__xludf.DUMMYFUNCTION("GOOGLETRANSLATE(A1540, ""en"", ""fr"")"),"MENUISIER")</f>
        <v>MENUISIER</v>
      </c>
      <c r="C1540" s="1" t="s">
        <v>185</v>
      </c>
      <c r="AA1540" s="1" t="s">
        <v>23</v>
      </c>
      <c r="AJ1540" s="1" t="s">
        <v>32</v>
      </c>
      <c r="AT1540" s="1" t="s">
        <v>42</v>
      </c>
      <c r="FK1540" s="1" t="s">
        <v>163</v>
      </c>
      <c r="FM1540" s="1" t="s">
        <v>418</v>
      </c>
      <c r="GD1540" s="1" t="s">
        <v>193</v>
      </c>
      <c r="GE1540" s="1" t="s">
        <v>190</v>
      </c>
    </row>
    <row r="1541" spans="1:187" ht="11.25" customHeight="1">
      <c r="A1541" s="1" t="s">
        <v>2358</v>
      </c>
      <c r="B1541" s="1" t="str">
        <f ca="1">IFERROR(__xludf.DUMMYFUNCTION("GOOGLETRANSLATE(A1541, ""en"", ""fr"")"),"LE CHARIOT")</f>
        <v>LE CHARIOT</v>
      </c>
      <c r="C1541" s="1" t="s">
        <v>185</v>
      </c>
      <c r="BC1541" s="1" t="s">
        <v>51</v>
      </c>
      <c r="BF1541" s="1" t="s">
        <v>54</v>
      </c>
      <c r="GD1541" s="1" t="s">
        <v>193</v>
      </c>
      <c r="GE1541" s="1" t="s">
        <v>190</v>
      </c>
    </row>
    <row r="1542" spans="1:187" ht="11.25" customHeight="1">
      <c r="A1542" s="1" t="s">
        <v>2359</v>
      </c>
      <c r="B1542" s="1" t="str">
        <f ca="1">IFERROR(__xludf.DUMMYFUNCTION("GOOGLETRANSLATE(A1542, ""en"", ""fr"")"),"TRANSPORTEUR")</f>
        <v>TRANSPORTEUR</v>
      </c>
      <c r="C1542" s="1" t="s">
        <v>185</v>
      </c>
      <c r="AJ1542" s="1" t="s">
        <v>32</v>
      </c>
      <c r="AT1542" s="1" t="s">
        <v>42</v>
      </c>
      <c r="GD1542" s="1" t="s">
        <v>193</v>
      </c>
      <c r="GE1542" s="1" t="s">
        <v>190</v>
      </c>
    </row>
    <row r="1543" spans="1:187" ht="11.25" customHeight="1">
      <c r="A1543" s="1" t="s">
        <v>2360</v>
      </c>
      <c r="B1543" s="1" t="str">
        <f ca="1">IFERROR(__xludf.DUMMYFUNCTION("GOOGLETRANSLATE(A1543, ""en"", ""fr"")"),"Transporter n ° 1")</f>
        <v>Transporter n ° 1</v>
      </c>
      <c r="C1543" s="1" t="s">
        <v>185</v>
      </c>
      <c r="J1543" s="1" t="s">
        <v>6</v>
      </c>
      <c r="N1543" s="1" t="s">
        <v>10</v>
      </c>
      <c r="CD1543" s="1" t="s">
        <v>78</v>
      </c>
      <c r="DO1543" s="1" t="s">
        <v>115</v>
      </c>
      <c r="GD1543" s="1" t="s">
        <v>189</v>
      </c>
      <c r="GE1543" s="1" t="s">
        <v>2361</v>
      </c>
    </row>
    <row r="1544" spans="1:187" ht="11.25" customHeight="1">
      <c r="A1544" s="1" t="s">
        <v>2362</v>
      </c>
      <c r="B1544" s="1" t="str">
        <f ca="1">IFERROR(__xludf.DUMMYFUNCTION("GOOGLETRANSLATE(A1544, ""en"", ""fr"")"),"Transporter n ° 2")</f>
        <v>Transporter n ° 2</v>
      </c>
      <c r="C1544" s="1" t="s">
        <v>185</v>
      </c>
      <c r="J1544" s="1" t="s">
        <v>6</v>
      </c>
      <c r="N1544" s="1" t="s">
        <v>10</v>
      </c>
      <c r="BS1544" s="1" t="s">
        <v>67</v>
      </c>
      <c r="DN1544" s="1" t="s">
        <v>114</v>
      </c>
      <c r="FR1544" s="1" t="s">
        <v>170</v>
      </c>
      <c r="GD1544" s="1" t="s">
        <v>189</v>
      </c>
      <c r="GE1544" s="1" t="s">
        <v>2363</v>
      </c>
    </row>
    <row r="1545" spans="1:187" ht="11.25" customHeight="1">
      <c r="A1545" s="1" t="s">
        <v>2364</v>
      </c>
      <c r="B1545" s="1" t="str">
        <f ca="1">IFERROR(__xludf.DUMMYFUNCTION("GOOGLETRANSLATE(A1545, ""en"", ""fr"")"),"Transporter # 3")</f>
        <v>Transporter # 3</v>
      </c>
      <c r="C1545" s="1" t="s">
        <v>185</v>
      </c>
      <c r="N1545" s="1" t="s">
        <v>10</v>
      </c>
      <c r="BP1545" s="1" t="s">
        <v>64</v>
      </c>
      <c r="DN1545" s="1" t="s">
        <v>114</v>
      </c>
      <c r="FA1545" s="1" t="s">
        <v>153</v>
      </c>
      <c r="FC1545" s="1" t="s">
        <v>155</v>
      </c>
      <c r="GD1545" s="1" t="s">
        <v>189</v>
      </c>
      <c r="GE1545" s="1" t="s">
        <v>2365</v>
      </c>
    </row>
    <row r="1546" spans="1:187" ht="11.25" customHeight="1">
      <c r="A1546" s="1" t="s">
        <v>2366</v>
      </c>
      <c r="B1546" s="1" t="str">
        <f ca="1">IFERROR(__xludf.DUMMYFUNCTION("GOOGLETRANSLATE(A1546, ""en"", ""fr"")"),"Transporter n ° 4")</f>
        <v>Transporter n ° 4</v>
      </c>
      <c r="C1546" s="1" t="s">
        <v>185</v>
      </c>
      <c r="N1546" s="1" t="s">
        <v>10</v>
      </c>
      <c r="AL1546" s="1" t="s">
        <v>34</v>
      </c>
      <c r="DN1546" s="1" t="s">
        <v>114</v>
      </c>
      <c r="FP1546" s="1" t="s">
        <v>168</v>
      </c>
      <c r="GD1546" s="1" t="s">
        <v>189</v>
      </c>
      <c r="GE1546" s="1" t="s">
        <v>2367</v>
      </c>
    </row>
    <row r="1547" spans="1:187" ht="11.25" customHeight="1">
      <c r="A1547" s="1" t="s">
        <v>2368</v>
      </c>
      <c r="B1547" s="1" t="str">
        <f ca="1">IFERROR(__xludf.DUMMYFUNCTION("GOOGLETRANSLATE(A1547, ""en"", ""fr"")"),"Transporter # 5")</f>
        <v>Transporter # 5</v>
      </c>
      <c r="C1547" s="1" t="s">
        <v>185</v>
      </c>
      <c r="V1547" s="1" t="s">
        <v>18</v>
      </c>
      <c r="FA1547" s="1" t="s">
        <v>153</v>
      </c>
      <c r="FC1547" s="1" t="s">
        <v>155</v>
      </c>
      <c r="GD1547" s="1" t="s">
        <v>202</v>
      </c>
      <c r="GE1547" s="1" t="s">
        <v>2369</v>
      </c>
    </row>
    <row r="1548" spans="1:187" ht="11.25" customHeight="1">
      <c r="A1548" s="1" t="s">
        <v>2370</v>
      </c>
      <c r="B1548" s="1" t="str">
        <f ca="1">IFERROR(__xludf.DUMMYFUNCTION("GOOGLETRANSLATE(A1548, ""en"", ""fr"")"),"CARTEL")</f>
        <v>CARTEL</v>
      </c>
      <c r="C1548" s="1" t="s">
        <v>196</v>
      </c>
      <c r="EV1548" s="1" t="s">
        <v>148</v>
      </c>
      <c r="EW1548" s="1" t="s">
        <v>149</v>
      </c>
      <c r="GD1548" s="1" t="s">
        <v>193</v>
      </c>
    </row>
    <row r="1549" spans="1:187" ht="11.25" customHeight="1">
      <c r="A1549" s="1" t="s">
        <v>2371</v>
      </c>
      <c r="B1549" s="1" t="str">
        <f ca="1">IFERROR(__xludf.DUMMYFUNCTION("GOOGLETRANSLATE(A1549, ""en"", ""fr"")"),"CAS 1")</f>
        <v>CAS 1</v>
      </c>
      <c r="C1549" s="1" t="s">
        <v>185</v>
      </c>
      <c r="CH1549" s="1" t="s">
        <v>82</v>
      </c>
      <c r="FH1549" s="1" t="s">
        <v>160</v>
      </c>
      <c r="FI1549" s="1" t="s">
        <v>161</v>
      </c>
      <c r="GD1549" s="1" t="s">
        <v>849</v>
      </c>
      <c r="GE1549" s="1" t="s">
        <v>2372</v>
      </c>
    </row>
    <row r="1550" spans="1:187" ht="11.25" customHeight="1">
      <c r="A1550" s="1" t="s">
        <v>2373</v>
      </c>
      <c r="B1550" s="1" t="str">
        <f ca="1">IFERROR(__xludf.DUMMYFUNCTION("GOOGLETRANSLATE(A1550, ""en"", ""fr"")"),"Cas n ° 2")</f>
        <v>Cas n ° 2</v>
      </c>
      <c r="C1550" s="1" t="s">
        <v>185</v>
      </c>
      <c r="AE1550" s="1" t="s">
        <v>27</v>
      </c>
      <c r="CK1550" s="1" t="s">
        <v>85</v>
      </c>
      <c r="DN1550" s="1" t="s">
        <v>114</v>
      </c>
      <c r="FD1550" s="1" t="s">
        <v>156</v>
      </c>
      <c r="FI1550" s="1" t="s">
        <v>161</v>
      </c>
      <c r="GD1550" s="1" t="s">
        <v>189</v>
      </c>
      <c r="GE1550" s="1" t="s">
        <v>2374</v>
      </c>
    </row>
    <row r="1551" spans="1:187" ht="11.25" customHeight="1">
      <c r="A1551" s="1" t="s">
        <v>2375</v>
      </c>
      <c r="B1551" s="1" t="str">
        <f ca="1">IFERROR(__xludf.DUMMYFUNCTION("GOOGLETRANSLATE(A1551, ""en"", ""fr"")"),"Cas n ° 3")</f>
        <v>Cas n ° 3</v>
      </c>
      <c r="C1551" s="1" t="s">
        <v>185</v>
      </c>
      <c r="FY1551" s="1" t="s">
        <v>177</v>
      </c>
      <c r="GD1551" s="1" t="s">
        <v>236</v>
      </c>
      <c r="GE1551" s="1" t="s">
        <v>2376</v>
      </c>
    </row>
    <row r="1552" spans="1:187" ht="11.25" customHeight="1">
      <c r="A1552" s="1" t="s">
        <v>2377</v>
      </c>
      <c r="B1552" s="1" t="str">
        <f ca="1">IFERROR(__xludf.DUMMYFUNCTION("GOOGLETRANSLATE(A1552, ""en"", ""fr"")"),"Cas n ° 4")</f>
        <v>Cas n ° 4</v>
      </c>
      <c r="C1552" s="1" t="s">
        <v>185</v>
      </c>
      <c r="CY1552" s="1" t="s">
        <v>99</v>
      </c>
      <c r="FZ1552" s="1" t="s">
        <v>178</v>
      </c>
      <c r="GD1552" s="1" t="s">
        <v>763</v>
      </c>
      <c r="GE1552" s="1" t="s">
        <v>2378</v>
      </c>
    </row>
    <row r="1553" spans="1:187" ht="11.25" customHeight="1">
      <c r="A1553" s="1" t="s">
        <v>2379</v>
      </c>
      <c r="B1553" s="1" t="str">
        <f ca="1">IFERROR(__xludf.DUMMYFUNCTION("GOOGLETRANSLATE(A1553, ""en"", ""fr"")"),"Travail de cas")</f>
        <v>Travail de cas</v>
      </c>
      <c r="C1553" s="1" t="s">
        <v>185</v>
      </c>
      <c r="AC1553" s="1" t="s">
        <v>25</v>
      </c>
      <c r="BQ1553" s="1" t="s">
        <v>65</v>
      </c>
      <c r="EX1553" s="1" t="s">
        <v>150</v>
      </c>
      <c r="FC1553" s="1" t="s">
        <v>155</v>
      </c>
      <c r="GD1553" s="1" t="s">
        <v>193</v>
      </c>
      <c r="GE1553" s="1" t="s">
        <v>190</v>
      </c>
    </row>
    <row r="1554" spans="1:187" ht="11.25" customHeight="1">
      <c r="A1554" s="1" t="s">
        <v>2380</v>
      </c>
      <c r="B1554" s="1" t="str">
        <f ca="1">IFERROR(__xludf.DUMMYFUNCTION("GOOGLETRANSLATE(A1554, ""en"", ""fr"")"),"Cash # 1")</f>
        <v>Cash # 1</v>
      </c>
      <c r="C1554" s="1" t="s">
        <v>185</v>
      </c>
      <c r="AA1554" s="1" t="s">
        <v>23</v>
      </c>
      <c r="AC1554" s="1" t="s">
        <v>25</v>
      </c>
      <c r="BC1554" s="1" t="s">
        <v>51</v>
      </c>
      <c r="BH1554" s="1" t="s">
        <v>56</v>
      </c>
      <c r="BL1554" s="1" t="s">
        <v>60</v>
      </c>
      <c r="EV1554" s="1" t="s">
        <v>148</v>
      </c>
      <c r="EW1554" s="1" t="s">
        <v>149</v>
      </c>
      <c r="GD1554" s="1" t="s">
        <v>193</v>
      </c>
      <c r="GE1554" s="1" t="s">
        <v>190</v>
      </c>
    </row>
    <row r="1555" spans="1:187" ht="11.25" customHeight="1">
      <c r="A1555" s="1" t="s">
        <v>2381</v>
      </c>
      <c r="B1555" s="1" t="str">
        <f ca="1">IFERROR(__xludf.DUMMYFUNCTION("GOOGLETRANSLATE(A1555, ""en"", ""fr"")"),"Cash # 2")</f>
        <v>Cash # 2</v>
      </c>
      <c r="C1555" s="1" t="s">
        <v>185</v>
      </c>
      <c r="AA1555" s="1" t="s">
        <v>23</v>
      </c>
      <c r="AB1555" s="1" t="s">
        <v>24</v>
      </c>
      <c r="DN1555" s="1" t="s">
        <v>114</v>
      </c>
      <c r="EU1555" s="1" t="s">
        <v>147</v>
      </c>
      <c r="EW1555" s="1" t="s">
        <v>149</v>
      </c>
      <c r="GD1555" s="1" t="s">
        <v>189</v>
      </c>
      <c r="GE1555" s="1" t="s">
        <v>190</v>
      </c>
    </row>
    <row r="1556" spans="1:187" ht="11.25" customHeight="1">
      <c r="A1556" s="1" t="s">
        <v>2382</v>
      </c>
      <c r="B1556" s="1" t="str">
        <f ca="1">IFERROR(__xludf.DUMMYFUNCTION("GOOGLETRANSLATE(A1556, ""en"", ""fr"")"),"Casting n ° 1")</f>
        <v>Casting n ° 1</v>
      </c>
      <c r="C1556" s="1" t="s">
        <v>185</v>
      </c>
      <c r="I1556" s="1" t="s">
        <v>5</v>
      </c>
      <c r="N1556" s="1" t="s">
        <v>10</v>
      </c>
      <c r="CC1556" s="1" t="s">
        <v>77</v>
      </c>
      <c r="DN1556" s="1" t="s">
        <v>114</v>
      </c>
      <c r="FP1556" s="1" t="s">
        <v>168</v>
      </c>
      <c r="GD1556" s="1" t="s">
        <v>189</v>
      </c>
      <c r="GE1556" s="1" t="s">
        <v>2383</v>
      </c>
    </row>
    <row r="1557" spans="1:187" ht="11.25" customHeight="1">
      <c r="A1557" s="1" t="s">
        <v>2384</v>
      </c>
      <c r="B1557" s="1" t="str">
        <f ca="1">IFERROR(__xludf.DUMMYFUNCTION("GOOGLETRANSLATE(A1557, ""en"", ""fr"")"),"Casting n ° 2")</f>
        <v>Casting n ° 2</v>
      </c>
      <c r="C1557" s="1" t="s">
        <v>185</v>
      </c>
      <c r="J1557" s="1" t="s">
        <v>6</v>
      </c>
      <c r="K1557" s="1" t="s">
        <v>7</v>
      </c>
      <c r="AN1557" s="1" t="s">
        <v>36</v>
      </c>
      <c r="DN1557" s="1" t="s">
        <v>114</v>
      </c>
      <c r="FP1557" s="1" t="s">
        <v>168</v>
      </c>
      <c r="GD1557" s="1" t="s">
        <v>189</v>
      </c>
      <c r="GE1557" s="1" t="s">
        <v>2385</v>
      </c>
    </row>
    <row r="1558" spans="1:187" ht="11.25" customHeight="1">
      <c r="A1558" s="1" t="s">
        <v>2386</v>
      </c>
      <c r="B1558" s="1" t="str">
        <f ca="1">IFERROR(__xludf.DUMMYFUNCTION("GOOGLETRANSLATE(A1558, ""en"", ""fr"")"),"Casting # 3")</f>
        <v>Casting # 3</v>
      </c>
      <c r="C1558" s="1" t="s">
        <v>185</v>
      </c>
      <c r="J1558" s="1" t="s">
        <v>6</v>
      </c>
      <c r="BC1558" s="1" t="s">
        <v>51</v>
      </c>
      <c r="BD1558" s="1" t="s">
        <v>52</v>
      </c>
      <c r="EZ1558" s="1" t="s">
        <v>152</v>
      </c>
      <c r="FC1558" s="1" t="s">
        <v>155</v>
      </c>
      <c r="GD1558" s="1" t="s">
        <v>193</v>
      </c>
      <c r="GE1558" s="1" t="s">
        <v>2387</v>
      </c>
    </row>
    <row r="1559" spans="1:187" ht="11.25" customHeight="1">
      <c r="A1559" s="1" t="s">
        <v>2388</v>
      </c>
      <c r="B1559" s="1" t="str">
        <f ca="1">IFERROR(__xludf.DUMMYFUNCTION("GOOGLETRANSLATE(A1559, ""en"", ""fr"")"),"Casting # 4")</f>
        <v>Casting # 4</v>
      </c>
      <c r="C1559" s="1" t="s">
        <v>185</v>
      </c>
      <c r="CK1559" s="1" t="s">
        <v>85</v>
      </c>
      <c r="GD1559" s="1" t="s">
        <v>193</v>
      </c>
      <c r="GE1559" s="1" t="s">
        <v>2389</v>
      </c>
    </row>
    <row r="1560" spans="1:187" ht="11.25" customHeight="1">
      <c r="A1560" s="1" t="s">
        <v>2390</v>
      </c>
      <c r="B1560" s="1" t="str">
        <f ca="1">IFERROR(__xludf.DUMMYFUNCTION("GOOGLETRANSLATE(A1560, ""en"", ""fr"")"),"CHÂTEAU")</f>
        <v>CHÂTEAU</v>
      </c>
      <c r="C1560" s="1" t="s">
        <v>185</v>
      </c>
      <c r="AF1560" s="1" t="s">
        <v>28</v>
      </c>
      <c r="AV1560" s="1" t="s">
        <v>44</v>
      </c>
      <c r="AW1560" s="1" t="s">
        <v>45</v>
      </c>
      <c r="EC1560" s="1" t="s">
        <v>129</v>
      </c>
      <c r="ED1560" s="1" t="s">
        <v>130</v>
      </c>
      <c r="GD1560" s="1" t="s">
        <v>193</v>
      </c>
      <c r="GE1560" s="1" t="s">
        <v>190</v>
      </c>
    </row>
    <row r="1561" spans="1:187" ht="11.25" customHeight="1">
      <c r="A1561" s="1" t="s">
        <v>2391</v>
      </c>
      <c r="B1561" s="1" t="str">
        <f ca="1">IFERROR(__xludf.DUMMYFUNCTION("GOOGLETRANSLATE(A1561, ""en"", ""fr"")"),"CASTRER")</f>
        <v>CASTRER</v>
      </c>
      <c r="C1561" s="1" t="s">
        <v>196</v>
      </c>
      <c r="FO1561" s="1" t="s">
        <v>167</v>
      </c>
      <c r="GD1561" s="1" t="s">
        <v>189</v>
      </c>
    </row>
    <row r="1562" spans="1:187" ht="11.25" customHeight="1">
      <c r="A1562" s="1" t="s">
        <v>2392</v>
      </c>
      <c r="B1562" s="1" t="str">
        <f ca="1">IFERROR(__xludf.DUMMYFUNCTION("GOOGLETRANSLATE(A1562, ""en"", ""fr"")"),"OCCASIONNEL")</f>
        <v>OCCASIONNEL</v>
      </c>
      <c r="C1562" s="1" t="s">
        <v>185</v>
      </c>
      <c r="D1562" s="1" t="s">
        <v>16612</v>
      </c>
      <c r="F1562" s="1" t="s">
        <v>2</v>
      </c>
      <c r="O1562" s="1" t="s">
        <v>11</v>
      </c>
      <c r="U1562" s="1" t="s">
        <v>17</v>
      </c>
      <c r="X1562" s="1" t="s">
        <v>20</v>
      </c>
      <c r="GD1562" s="1" t="s">
        <v>202</v>
      </c>
      <c r="GE1562" s="1" t="s">
        <v>190</v>
      </c>
    </row>
    <row r="1563" spans="1:187" ht="11.25" customHeight="1">
      <c r="A1563" s="1" t="s">
        <v>2393</v>
      </c>
      <c r="B1563" s="1" t="str">
        <f ca="1">IFERROR(__xludf.DUMMYFUNCTION("GOOGLETRANSLATE(A1563, ""en"", ""fr"")"),"VICTIME")</f>
        <v>VICTIME</v>
      </c>
      <c r="C1563" s="1" t="s">
        <v>192</v>
      </c>
      <c r="E1563" s="1" t="s">
        <v>16613</v>
      </c>
      <c r="AT1563" s="1" t="s">
        <v>42</v>
      </c>
      <c r="BU1563" s="1" t="s">
        <v>69</v>
      </c>
      <c r="BZ1563" s="1" t="s">
        <v>74</v>
      </c>
      <c r="GD1563" s="1" t="s">
        <v>193</v>
      </c>
      <c r="GE1563" s="1" t="s">
        <v>190</v>
      </c>
    </row>
    <row r="1564" spans="1:187" ht="11.25" customHeight="1">
      <c r="A1564" s="1" t="s">
        <v>2394</v>
      </c>
      <c r="B1564" s="1" t="str">
        <f ca="1">IFERROR(__xludf.DUMMYFUNCTION("GOOGLETRANSLATE(A1564, ""en"", ""fr"")"),"CHAT")</f>
        <v>CHAT</v>
      </c>
      <c r="C1564" s="1" t="s">
        <v>185</v>
      </c>
      <c r="AU1564" s="1" t="s">
        <v>43</v>
      </c>
      <c r="GD1564" s="1" t="s">
        <v>193</v>
      </c>
      <c r="GE1564" s="1" t="s">
        <v>2395</v>
      </c>
    </row>
    <row r="1565" spans="1:187" ht="11.25" customHeight="1">
      <c r="A1565" s="1" t="s">
        <v>2396</v>
      </c>
      <c r="B1565" s="1" t="str">
        <f ca="1">IFERROR(__xludf.DUMMYFUNCTION("GOOGLETRANSLATE(A1565, ""en"", ""fr"")"),"CATACLYSME")</f>
        <v>CATACLYSME</v>
      </c>
      <c r="C1565" s="1" t="s">
        <v>192</v>
      </c>
      <c r="E1565" s="1" t="s">
        <v>16613</v>
      </c>
      <c r="I1565" s="1" t="s">
        <v>5</v>
      </c>
      <c r="BZ1565" s="1" t="s">
        <v>74</v>
      </c>
      <c r="GD1565" s="1" t="s">
        <v>193</v>
      </c>
      <c r="GE1565" s="1" t="s">
        <v>190</v>
      </c>
    </row>
    <row r="1566" spans="1:187" ht="11.25" customHeight="1">
      <c r="A1566" s="1" t="s">
        <v>2397</v>
      </c>
      <c r="B1566" s="1" t="str">
        <f ca="1">IFERROR(__xludf.DUMMYFUNCTION("GOOGLETRANSLATE(A1566, ""en"", ""fr"")"),"CATASTROPHE")</f>
        <v>CATASTROPHE</v>
      </c>
      <c r="C1566" s="1" t="s">
        <v>185</v>
      </c>
      <c r="E1566" s="1" t="s">
        <v>16613</v>
      </c>
      <c r="H1566" s="1" t="s">
        <v>4</v>
      </c>
      <c r="V1566" s="1" t="s">
        <v>18</v>
      </c>
      <c r="W1566" s="1" t="s">
        <v>19</v>
      </c>
      <c r="GD1566" s="1" t="s">
        <v>193</v>
      </c>
      <c r="GE1566" s="1" t="s">
        <v>190</v>
      </c>
    </row>
    <row r="1567" spans="1:187" ht="11.25" customHeight="1">
      <c r="A1567" s="1" t="s">
        <v>2398</v>
      </c>
      <c r="B1567" s="1" t="str">
        <f ca="1">IFERROR(__xludf.DUMMYFUNCTION("GOOGLETRANSLATE(A1567, ""en"", ""fr"")"),"Catch # 1")</f>
        <v>Catch # 1</v>
      </c>
      <c r="C1567" s="1" t="s">
        <v>185</v>
      </c>
      <c r="J1567" s="1" t="s">
        <v>6</v>
      </c>
      <c r="N1567" s="1" t="s">
        <v>10</v>
      </c>
      <c r="CD1567" s="1" t="s">
        <v>78</v>
      </c>
      <c r="DN1567" s="1" t="s">
        <v>114</v>
      </c>
      <c r="DT1567" s="1" t="s">
        <v>120</v>
      </c>
      <c r="ED1567" s="1" t="s">
        <v>130</v>
      </c>
      <c r="GD1567" s="1" t="s">
        <v>400</v>
      </c>
      <c r="GE1567" s="1" t="s">
        <v>2399</v>
      </c>
    </row>
    <row r="1568" spans="1:187" ht="11.25" customHeight="1">
      <c r="A1568" s="1" t="s">
        <v>2400</v>
      </c>
      <c r="B1568" s="1" t="str">
        <f ca="1">IFERROR(__xludf.DUMMYFUNCTION("GOOGLETRANSLATE(A1568, ""en"", ""fr"")"),"Catch # 2")</f>
        <v>Catch # 2</v>
      </c>
      <c r="C1568" s="1" t="s">
        <v>185</v>
      </c>
      <c r="O1568" s="1" t="s">
        <v>11</v>
      </c>
      <c r="BC1568" s="1" t="s">
        <v>51</v>
      </c>
      <c r="BI1568" s="1" t="s">
        <v>57</v>
      </c>
      <c r="GD1568" s="1" t="s">
        <v>193</v>
      </c>
      <c r="GE1568" s="1" t="s">
        <v>2401</v>
      </c>
    </row>
    <row r="1569" spans="1:187" ht="11.25" customHeight="1">
      <c r="A1569" s="1" t="s">
        <v>2402</v>
      </c>
      <c r="B1569" s="1" t="str">
        <f ca="1">IFERROR(__xludf.DUMMYFUNCTION("GOOGLETRANSLATE(A1569, ""en"", ""fr"")"),"Catch # 3")</f>
        <v>Catch # 3</v>
      </c>
      <c r="C1569" s="1" t="s">
        <v>185</v>
      </c>
      <c r="E1569" s="1" t="s">
        <v>16613</v>
      </c>
      <c r="H1569" s="1" t="s">
        <v>4</v>
      </c>
      <c r="V1569" s="1" t="s">
        <v>18</v>
      </c>
      <c r="FZ1569" s="1" t="s">
        <v>178</v>
      </c>
      <c r="GD1569" s="1" t="s">
        <v>193</v>
      </c>
      <c r="GE1569" s="1" t="s">
        <v>2403</v>
      </c>
    </row>
    <row r="1570" spans="1:187" ht="11.25" customHeight="1">
      <c r="A1570" s="1" t="s">
        <v>2404</v>
      </c>
      <c r="B1570" s="1" t="str">
        <f ca="1">IFERROR(__xludf.DUMMYFUNCTION("GOOGLETRANSLATE(A1570, ""en"", ""fr"")"),"Catch # 4")</f>
        <v>Catch # 4</v>
      </c>
      <c r="C1570" s="1" t="s">
        <v>185</v>
      </c>
      <c r="J1570" s="1" t="s">
        <v>6</v>
      </c>
      <c r="N1570" s="1" t="s">
        <v>10</v>
      </c>
      <c r="BS1570" s="1" t="s">
        <v>67</v>
      </c>
      <c r="DN1570" s="1" t="s">
        <v>114</v>
      </c>
      <c r="FN1570" s="1" t="s">
        <v>166</v>
      </c>
      <c r="GD1570" s="1" t="s">
        <v>189</v>
      </c>
      <c r="GE1570" s="1" t="s">
        <v>2405</v>
      </c>
    </row>
    <row r="1571" spans="1:187" ht="11.25" customHeight="1">
      <c r="A1571" s="1" t="s">
        <v>2406</v>
      </c>
      <c r="B1571" s="1" t="str">
        <f ca="1">IFERROR(__xludf.DUMMYFUNCTION("GOOGLETRANSLATE(A1571, ""en"", ""fr"")"),"Capteur")</f>
        <v>Capteur</v>
      </c>
      <c r="C1571" s="1" t="s">
        <v>185</v>
      </c>
      <c r="AD1571" s="1" t="s">
        <v>26</v>
      </c>
      <c r="AJ1571" s="1" t="s">
        <v>32</v>
      </c>
      <c r="AT1571" s="1" t="s">
        <v>42</v>
      </c>
      <c r="FK1571" s="1" t="s">
        <v>163</v>
      </c>
      <c r="FM1571" s="1" t="s">
        <v>418</v>
      </c>
      <c r="GD1571" s="1" t="s">
        <v>193</v>
      </c>
      <c r="GE1571" s="1" t="s">
        <v>190</v>
      </c>
    </row>
    <row r="1572" spans="1:187" ht="11.25" customHeight="1">
      <c r="A1572" s="1" t="s">
        <v>2407</v>
      </c>
      <c r="B1572" s="1" t="str">
        <f ca="1">IFERROR(__xludf.DUMMYFUNCTION("GOOGLETRANSLATE(A1572, ""en"", ""fr"")"),"CATÉGORIE")</f>
        <v>CATÉGORIE</v>
      </c>
      <c r="C1572" s="1" t="s">
        <v>185</v>
      </c>
      <c r="CH1572" s="1" t="s">
        <v>82</v>
      </c>
      <c r="CP1572" s="1" t="s">
        <v>90</v>
      </c>
      <c r="CQ1572" s="1" t="s">
        <v>91</v>
      </c>
      <c r="FH1572" s="1" t="s">
        <v>160</v>
      </c>
      <c r="FI1572" s="1" t="s">
        <v>161</v>
      </c>
      <c r="GD1572" s="1" t="s">
        <v>193</v>
      </c>
      <c r="GE1572" s="1" t="s">
        <v>190</v>
      </c>
    </row>
    <row r="1573" spans="1:187" ht="11.25" customHeight="1">
      <c r="A1573" s="1" t="s">
        <v>2408</v>
      </c>
      <c r="B1573" s="1" t="str">
        <f ca="1">IFERROR(__xludf.DUMMYFUNCTION("GOOGLETRANSLATE(A1573, ""en"", ""fr"")"),"CATHÉDRALE")</f>
        <v>CATHÉDRALE</v>
      </c>
      <c r="C1573" s="1" t="s">
        <v>185</v>
      </c>
      <c r="AI1573" s="1" t="s">
        <v>31</v>
      </c>
      <c r="AV1573" s="1" t="s">
        <v>44</v>
      </c>
      <c r="AW1573" s="1" t="s">
        <v>45</v>
      </c>
      <c r="EF1573" s="1" t="s">
        <v>132</v>
      </c>
      <c r="EJ1573" s="1" t="s">
        <v>136</v>
      </c>
      <c r="GD1573" s="1" t="s">
        <v>193</v>
      </c>
      <c r="GE1573" s="1" t="s">
        <v>190</v>
      </c>
    </row>
    <row r="1574" spans="1:187" ht="11.25" customHeight="1">
      <c r="A1574" s="1" t="s">
        <v>2409</v>
      </c>
      <c r="B1574" s="1" t="str">
        <f ca="1">IFERROR(__xludf.DUMMYFUNCTION("GOOGLETRANSLATE(A1574, ""en"", ""fr"")"),"CATHOLIQUE")</f>
        <v>CATHOLIQUE</v>
      </c>
      <c r="C1574" s="1" t="s">
        <v>185</v>
      </c>
      <c r="AI1574" s="1" t="s">
        <v>31</v>
      </c>
      <c r="AK1574" s="1" t="s">
        <v>33</v>
      </c>
      <c r="AT1574" s="1" t="s">
        <v>42</v>
      </c>
      <c r="EF1574" s="1" t="s">
        <v>132</v>
      </c>
      <c r="EJ1574" s="1" t="s">
        <v>136</v>
      </c>
      <c r="GD1574" s="1" t="s">
        <v>193</v>
      </c>
      <c r="GE1574" s="1" t="s">
        <v>190</v>
      </c>
    </row>
    <row r="1575" spans="1:187" ht="11.25" customHeight="1">
      <c r="A1575" s="1" t="s">
        <v>2410</v>
      </c>
      <c r="B1575" s="1" t="str">
        <f ca="1">IFERROR(__xludf.DUMMYFUNCTION("GOOGLETRANSLATE(A1575, ""en"", ""fr"")"),"BÉTAIL")</f>
        <v>BÉTAIL</v>
      </c>
      <c r="C1575" s="1" t="s">
        <v>185</v>
      </c>
      <c r="AU1575" s="1" t="s">
        <v>43</v>
      </c>
      <c r="EV1575" s="1" t="s">
        <v>148</v>
      </c>
      <c r="EW1575" s="1" t="s">
        <v>149</v>
      </c>
      <c r="GD1575" s="1" t="s">
        <v>576</v>
      </c>
      <c r="GE1575" s="1" t="s">
        <v>2411</v>
      </c>
    </row>
    <row r="1576" spans="1:187" ht="11.25" customHeight="1">
      <c r="A1576" s="1" t="s">
        <v>2412</v>
      </c>
      <c r="B1576" s="1" t="str">
        <f ca="1">IFERROR(__xludf.DUMMYFUNCTION("GOOGLETRANSLATE(A1576, ""en"", ""fr"")"),"Pris n ° 1")</f>
        <v>Pris n ° 1</v>
      </c>
      <c r="C1576" s="1" t="s">
        <v>185</v>
      </c>
      <c r="I1576" s="1" t="s">
        <v>5</v>
      </c>
      <c r="J1576" s="1" t="s">
        <v>6</v>
      </c>
      <c r="N1576" s="1" t="s">
        <v>10</v>
      </c>
      <c r="AN1576" s="1" t="s">
        <v>36</v>
      </c>
      <c r="DN1576" s="1" t="s">
        <v>114</v>
      </c>
      <c r="DT1576" s="1" t="s">
        <v>120</v>
      </c>
      <c r="ED1576" s="1" t="s">
        <v>130</v>
      </c>
      <c r="GD1576" s="1" t="s">
        <v>2413</v>
      </c>
      <c r="GE1576" s="1" t="s">
        <v>2414</v>
      </c>
    </row>
    <row r="1577" spans="1:187" ht="11.25" customHeight="1">
      <c r="A1577" s="1" t="s">
        <v>2415</v>
      </c>
      <c r="B1577" s="1" t="str">
        <f ca="1">IFERROR(__xludf.DUMMYFUNCTION("GOOGLETRANSLATE(A1577, ""en"", ""fr"")"),"Pris n ° 2")</f>
        <v>Pris n ° 2</v>
      </c>
      <c r="C1577" s="1" t="s">
        <v>185</v>
      </c>
      <c r="J1577" s="1" t="s">
        <v>6</v>
      </c>
      <c r="N1577" s="1" t="s">
        <v>10</v>
      </c>
      <c r="BS1577" s="1" t="s">
        <v>67</v>
      </c>
      <c r="DN1577" s="1" t="s">
        <v>114</v>
      </c>
      <c r="FN1577" s="1" t="s">
        <v>166</v>
      </c>
      <c r="GD1577" s="1" t="s">
        <v>1076</v>
      </c>
      <c r="GE1577" s="1" t="s">
        <v>2416</v>
      </c>
    </row>
    <row r="1578" spans="1:187" ht="11.25" customHeight="1">
      <c r="A1578" s="1" t="s">
        <v>2417</v>
      </c>
      <c r="B1578" s="1" t="str">
        <f ca="1">IFERROR(__xludf.DUMMYFUNCTION("GOOGLETRANSLATE(A1578, ""en"", ""fr"")"),"CAUSAL")</f>
        <v>CAUSAL</v>
      </c>
      <c r="C1578" s="1" t="s">
        <v>185</v>
      </c>
      <c r="J1578" s="1" t="s">
        <v>6</v>
      </c>
      <c r="N1578" s="1" t="s">
        <v>10</v>
      </c>
      <c r="CI1578" s="1" t="s">
        <v>83</v>
      </c>
      <c r="FH1578" s="1" t="s">
        <v>160</v>
      </c>
      <c r="FI1578" s="1" t="s">
        <v>161</v>
      </c>
      <c r="GD1578" s="1" t="s">
        <v>202</v>
      </c>
      <c r="GE1578" s="1" t="s">
        <v>190</v>
      </c>
    </row>
    <row r="1579" spans="1:187" ht="11.25" customHeight="1">
      <c r="A1579" s="1" t="s">
        <v>2418</v>
      </c>
      <c r="B1579" s="1" t="str">
        <f ca="1">IFERROR(__xludf.DUMMYFUNCTION("GOOGLETRANSLATE(A1579, ""en"", ""fr"")"),"Cause n ° 1")</f>
        <v>Cause n ° 1</v>
      </c>
      <c r="C1579" s="1" t="s">
        <v>185</v>
      </c>
      <c r="J1579" s="1" t="s">
        <v>6</v>
      </c>
      <c r="N1579" s="1" t="s">
        <v>10</v>
      </c>
      <c r="CI1579" s="1" t="s">
        <v>83</v>
      </c>
      <c r="DN1579" s="1" t="s">
        <v>114</v>
      </c>
      <c r="EC1579" s="1" t="s">
        <v>129</v>
      </c>
      <c r="ED1579" s="1" t="s">
        <v>130</v>
      </c>
      <c r="GD1579" s="1" t="s">
        <v>189</v>
      </c>
      <c r="GE1579" s="1" t="s">
        <v>2419</v>
      </c>
    </row>
    <row r="1580" spans="1:187" ht="11.25" customHeight="1">
      <c r="A1580" s="1" t="s">
        <v>2420</v>
      </c>
      <c r="B1580" s="1" t="str">
        <f ca="1">IFERROR(__xludf.DUMMYFUNCTION("GOOGLETRANSLATE(A1580, ""en"", ""fr"")"),"Cause n ° 2")</f>
        <v>Cause n ° 2</v>
      </c>
      <c r="C1580" s="1" t="s">
        <v>185</v>
      </c>
      <c r="BO1580" s="1" t="s">
        <v>63</v>
      </c>
      <c r="CP1580" s="1" t="s">
        <v>90</v>
      </c>
      <c r="CQ1580" s="1" t="s">
        <v>91</v>
      </c>
      <c r="EE1580" s="1" t="s">
        <v>131</v>
      </c>
      <c r="EJ1580" s="1" t="s">
        <v>136</v>
      </c>
      <c r="GD1580" s="1" t="s">
        <v>193</v>
      </c>
      <c r="GE1580" s="1" t="s">
        <v>2421</v>
      </c>
    </row>
    <row r="1581" spans="1:187" ht="11.25" customHeight="1">
      <c r="A1581" s="1" t="s">
        <v>2422</v>
      </c>
      <c r="B1581" s="1" t="str">
        <f ca="1">IFERROR(__xludf.DUMMYFUNCTION("GOOGLETRANSLATE(A1581, ""en"", ""fr"")"),"Cause # 3")</f>
        <v>Cause # 3</v>
      </c>
      <c r="C1581" s="1" t="s">
        <v>185</v>
      </c>
      <c r="J1581" s="1" t="s">
        <v>6</v>
      </c>
      <c r="N1581" s="1" t="s">
        <v>10</v>
      </c>
      <c r="CI1581" s="1" t="s">
        <v>83</v>
      </c>
      <c r="CP1581" s="1" t="s">
        <v>90</v>
      </c>
      <c r="CQ1581" s="1" t="s">
        <v>91</v>
      </c>
      <c r="FH1581" s="1" t="s">
        <v>160</v>
      </c>
      <c r="FI1581" s="1" t="s">
        <v>161</v>
      </c>
      <c r="GD1581" s="1" t="s">
        <v>193</v>
      </c>
      <c r="GE1581" s="1" t="s">
        <v>2423</v>
      </c>
    </row>
    <row r="1582" spans="1:187" ht="11.25" customHeight="1">
      <c r="A1582" s="1" t="s">
        <v>2424</v>
      </c>
      <c r="B1582" s="1" t="str">
        <f ca="1">IFERROR(__xludf.DUMMYFUNCTION("GOOGLETRANSLATE(A1582, ""en"", ""fr"")"),"Cause n ° 4")</f>
        <v>Cause n ° 4</v>
      </c>
      <c r="C1582" s="1" t="s">
        <v>185</v>
      </c>
      <c r="CI1582" s="1" t="s">
        <v>83</v>
      </c>
      <c r="GD1582" s="1" t="s">
        <v>763</v>
      </c>
      <c r="GE1582" s="1" t="s">
        <v>2425</v>
      </c>
    </row>
    <row r="1583" spans="1:187" ht="11.25" customHeight="1">
      <c r="A1583" s="1" t="s">
        <v>2426</v>
      </c>
      <c r="B1583" s="1" t="str">
        <f ca="1">IFERROR(__xludf.DUMMYFUNCTION("GOOGLETRANSLATE(A1583, ""en"", ""fr"")"),"ATTENTION # 1")</f>
        <v>ATTENTION # 1</v>
      </c>
      <c r="C1583" s="1" t="s">
        <v>185</v>
      </c>
      <c r="X1583" s="1" t="s">
        <v>20</v>
      </c>
      <c r="BK1583" s="1" t="s">
        <v>59</v>
      </c>
      <c r="BL1583" s="1" t="s">
        <v>60</v>
      </c>
      <c r="FZ1583" s="1" t="s">
        <v>178</v>
      </c>
      <c r="GC1583" s="1" t="s">
        <v>181</v>
      </c>
      <c r="GD1583" s="1" t="s">
        <v>193</v>
      </c>
      <c r="GE1583" s="1" t="s">
        <v>190</v>
      </c>
    </row>
    <row r="1584" spans="1:187" ht="11.25" customHeight="1">
      <c r="A1584" s="1" t="s">
        <v>2427</v>
      </c>
      <c r="B1584" s="1" t="str">
        <f ca="1">IFERROR(__xludf.DUMMYFUNCTION("GOOGLETRANSLATE(A1584, ""en"", ""fr"")"),"ATTENTION # 2")</f>
        <v>ATTENTION # 2</v>
      </c>
      <c r="C1584" s="1" t="s">
        <v>185</v>
      </c>
      <c r="X1584" s="1" t="s">
        <v>20</v>
      </c>
      <c r="BK1584" s="1" t="s">
        <v>59</v>
      </c>
      <c r="DN1584" s="1" t="s">
        <v>114</v>
      </c>
      <c r="FZ1584" s="1" t="s">
        <v>178</v>
      </c>
      <c r="GD1584" s="1" t="s">
        <v>189</v>
      </c>
      <c r="GE1584" s="1" t="s">
        <v>190</v>
      </c>
    </row>
    <row r="1585" spans="1:187" ht="11.25" customHeight="1">
      <c r="A1585" s="1" t="s">
        <v>2428</v>
      </c>
      <c r="B1585" s="1" t="str">
        <f ca="1">IFERROR(__xludf.DUMMYFUNCTION("GOOGLETRANSLATE(A1585, ""en"", ""fr"")"),"PRUDENT")</f>
        <v>PRUDENT</v>
      </c>
      <c r="C1585" s="1" t="s">
        <v>185</v>
      </c>
      <c r="U1585" s="1" t="s">
        <v>17</v>
      </c>
      <c r="X1585" s="1" t="s">
        <v>20</v>
      </c>
      <c r="GD1585" s="1" t="s">
        <v>202</v>
      </c>
      <c r="GE1585" s="1" t="s">
        <v>190</v>
      </c>
    </row>
    <row r="1586" spans="1:187" ht="11.25" customHeight="1">
      <c r="A1586" s="1" t="s">
        <v>2429</v>
      </c>
      <c r="B1586" s="1" t="str">
        <f ca="1">IFERROR(__xludf.DUMMYFUNCTION("GOOGLETRANSLATE(A1586, ""en"", ""fr"")"),"CAVALERIE")</f>
        <v>CAVALERIE</v>
      </c>
      <c r="C1586" s="1" t="s">
        <v>185</v>
      </c>
      <c r="J1586" s="1" t="s">
        <v>6</v>
      </c>
      <c r="AF1586" s="1" t="s">
        <v>28</v>
      </c>
      <c r="AH1586" s="1" t="s">
        <v>30</v>
      </c>
      <c r="AK1586" s="1" t="s">
        <v>33</v>
      </c>
      <c r="AT1586" s="1" t="s">
        <v>42</v>
      </c>
      <c r="DY1586" s="1" t="s">
        <v>125</v>
      </c>
      <c r="ED1586" s="1" t="s">
        <v>130</v>
      </c>
      <c r="GD1586" s="1" t="s">
        <v>193</v>
      </c>
      <c r="GE1586" s="1" t="s">
        <v>190</v>
      </c>
    </row>
    <row r="1587" spans="1:187" ht="11.25" customHeight="1">
      <c r="A1587" s="1" t="s">
        <v>2430</v>
      </c>
      <c r="B1587" s="1" t="str">
        <f ca="1">IFERROR(__xludf.DUMMYFUNCTION("GOOGLETRANSLATE(A1587, ""en"", ""fr"")"),"Grotte n ° 1")</f>
        <v>Grotte n ° 1</v>
      </c>
      <c r="C1587" s="1" t="s">
        <v>185</v>
      </c>
      <c r="AV1587" s="1" t="s">
        <v>44</v>
      </c>
      <c r="BA1587" s="1" t="s">
        <v>49</v>
      </c>
      <c r="GD1587" s="1" t="s">
        <v>849</v>
      </c>
      <c r="GE1587" s="1" t="s">
        <v>2431</v>
      </c>
    </row>
    <row r="1588" spans="1:187" ht="11.25" customHeight="1">
      <c r="A1588" s="1" t="s">
        <v>2432</v>
      </c>
      <c r="B1588" s="1" t="str">
        <f ca="1">IFERROR(__xludf.DUMMYFUNCTION("GOOGLETRANSLATE(A1588, ""en"", ""fr"")"),"Grotte n ° 2")</f>
        <v>Grotte n ° 2</v>
      </c>
      <c r="C1588" s="1" t="s">
        <v>185</v>
      </c>
      <c r="E1588" s="1" t="s">
        <v>16613</v>
      </c>
      <c r="H1588" s="1" t="s">
        <v>4</v>
      </c>
      <c r="L1588" s="1" t="s">
        <v>8</v>
      </c>
      <c r="O1588" s="1" t="s">
        <v>11</v>
      </c>
      <c r="CF1588" s="1" t="s">
        <v>80</v>
      </c>
      <c r="DN1588" s="1" t="s">
        <v>114</v>
      </c>
      <c r="DT1588" s="1" t="s">
        <v>120</v>
      </c>
      <c r="ED1588" s="1" t="s">
        <v>130</v>
      </c>
      <c r="GD1588" s="1" t="s">
        <v>189</v>
      </c>
      <c r="GE1588" s="1" t="s">
        <v>2433</v>
      </c>
    </row>
    <row r="1589" spans="1:187" ht="11.25" customHeight="1">
      <c r="A1589" s="1" t="s">
        <v>2434</v>
      </c>
      <c r="B1589" s="1" t="str">
        <f ca="1">IFERROR(__xludf.DUMMYFUNCTION("GOOGLETRANSLATE(A1589, ""en"", ""fr"")"),"CESSER")</f>
        <v>CESSER</v>
      </c>
      <c r="C1589" s="1" t="s">
        <v>185</v>
      </c>
      <c r="L1589" s="1" t="s">
        <v>8</v>
      </c>
      <c r="O1589" s="1" t="s">
        <v>11</v>
      </c>
      <c r="BZ1589" s="1" t="s">
        <v>74</v>
      </c>
      <c r="DO1589" s="1" t="s">
        <v>115</v>
      </c>
      <c r="GD1589" s="1" t="s">
        <v>189</v>
      </c>
      <c r="GE1589" s="1" t="s">
        <v>190</v>
      </c>
    </row>
    <row r="1590" spans="1:187" ht="11.25" customHeight="1">
      <c r="A1590" s="1" t="s">
        <v>2435</v>
      </c>
      <c r="B1590" s="1" t="str">
        <f ca="1">IFERROR(__xludf.DUMMYFUNCTION("GOOGLETRANSLATE(A1590, ""en"", ""fr"")"),"INCESSANT")</f>
        <v>INCESSANT</v>
      </c>
      <c r="C1590" s="1" t="s">
        <v>185</v>
      </c>
      <c r="D1590" s="1" t="s">
        <v>16612</v>
      </c>
      <c r="CW1590" s="1" t="s">
        <v>97</v>
      </c>
      <c r="DL1590" s="1" t="s">
        <v>112</v>
      </c>
      <c r="DR1590" s="1" t="s">
        <v>118</v>
      </c>
      <c r="GD1590" s="1" t="s">
        <v>202</v>
      </c>
      <c r="GE1590" s="1" t="s">
        <v>190</v>
      </c>
    </row>
    <row r="1591" spans="1:187" ht="11.25" customHeight="1">
      <c r="A1591" s="1" t="s">
        <v>2436</v>
      </c>
      <c r="B1591" s="1" t="str">
        <f ca="1">IFERROR(__xludf.DUMMYFUNCTION("GOOGLETRANSLATE(A1591, ""en"", ""fr"")"),"PLAFOND")</f>
        <v>PLAFOND</v>
      </c>
      <c r="C1591" s="1" t="s">
        <v>185</v>
      </c>
      <c r="BC1591" s="1" t="s">
        <v>51</v>
      </c>
      <c r="BG1591" s="1" t="s">
        <v>55</v>
      </c>
      <c r="GD1591" s="1" t="s">
        <v>193</v>
      </c>
      <c r="GE1591" s="1" t="s">
        <v>190</v>
      </c>
    </row>
    <row r="1592" spans="1:187" ht="11.25" customHeight="1">
      <c r="A1592" s="1" t="s">
        <v>2437</v>
      </c>
      <c r="B1592" s="1" t="str">
        <f ca="1">IFERROR(__xludf.DUMMYFUNCTION("GOOGLETRANSLATE(A1592, ""en"", ""fr"")"),"CÉLÉBRER")</f>
        <v>CÉLÉBRER</v>
      </c>
      <c r="C1592" s="1" t="s">
        <v>185</v>
      </c>
      <c r="D1592" s="1" t="s">
        <v>16612</v>
      </c>
      <c r="N1592" s="1" t="s">
        <v>10</v>
      </c>
      <c r="P1592" s="1" t="s">
        <v>12</v>
      </c>
      <c r="DN1592" s="1" t="s">
        <v>114</v>
      </c>
      <c r="EM1592" s="1" t="s">
        <v>139</v>
      </c>
      <c r="EN1592" s="1" t="s">
        <v>140</v>
      </c>
      <c r="GD1592" s="1" t="s">
        <v>189</v>
      </c>
      <c r="GE1592" s="1" t="s">
        <v>190</v>
      </c>
    </row>
    <row r="1593" spans="1:187" ht="11.25" customHeight="1">
      <c r="A1593" s="1" t="s">
        <v>2438</v>
      </c>
      <c r="B1593" s="1" t="str">
        <f ca="1">IFERROR(__xludf.DUMMYFUNCTION("GOOGLETRANSLATE(A1593, ""en"", ""fr"")"),"FÊTE")</f>
        <v>FÊTE</v>
      </c>
      <c r="C1593" s="1" t="s">
        <v>185</v>
      </c>
      <c r="D1593" s="1" t="s">
        <v>16612</v>
      </c>
      <c r="F1593" s="1" t="s">
        <v>2</v>
      </c>
      <c r="G1593" s="1" t="s">
        <v>3</v>
      </c>
      <c r="N1593" s="1" t="s">
        <v>10</v>
      </c>
      <c r="AM1593" s="1" t="s">
        <v>35</v>
      </c>
      <c r="EM1593" s="1" t="s">
        <v>139</v>
      </c>
      <c r="EN1593" s="1" t="s">
        <v>140</v>
      </c>
      <c r="GD1593" s="1" t="s">
        <v>193</v>
      </c>
      <c r="GE1593" s="1" t="s">
        <v>190</v>
      </c>
    </row>
    <row r="1594" spans="1:187" ht="11.25" customHeight="1">
      <c r="A1594" s="1" t="s">
        <v>2439</v>
      </c>
      <c r="B1594" s="1" t="str">
        <f ca="1">IFERROR(__xludf.DUMMYFUNCTION("GOOGLETRANSLATE(A1594, ""en"", ""fr"")"),"CÉLÉBRITÉ")</f>
        <v>CÉLÉBRITÉ</v>
      </c>
      <c r="C1594" s="1" t="s">
        <v>192</v>
      </c>
      <c r="D1594" s="1" t="s">
        <v>16612</v>
      </c>
      <c r="K1594" s="1" t="s">
        <v>7</v>
      </c>
      <c r="W1594" s="1" t="s">
        <v>19</v>
      </c>
      <c r="AJ1594" s="1" t="s">
        <v>32</v>
      </c>
      <c r="AT1594" s="1" t="s">
        <v>42</v>
      </c>
      <c r="GD1594" s="1" t="s">
        <v>193</v>
      </c>
      <c r="GE1594" s="1" t="s">
        <v>190</v>
      </c>
    </row>
    <row r="1595" spans="1:187" ht="11.25" customHeight="1">
      <c r="A1595" s="1" t="s">
        <v>2440</v>
      </c>
      <c r="B1595" s="1" t="str">
        <f ca="1">IFERROR(__xludf.DUMMYFUNCTION("GOOGLETRANSLATE(A1595, ""en"", ""fr"")"),"CELLULE")</f>
        <v>CELLULE</v>
      </c>
      <c r="C1595" s="1" t="s">
        <v>185</v>
      </c>
      <c r="BC1595" s="1" t="s">
        <v>51</v>
      </c>
      <c r="BG1595" s="1" t="s">
        <v>55</v>
      </c>
      <c r="GD1595" s="1" t="s">
        <v>193</v>
      </c>
      <c r="GE1595" s="1" t="s">
        <v>190</v>
      </c>
    </row>
    <row r="1596" spans="1:187" ht="11.25" customHeight="1">
      <c r="A1596" s="1" t="s">
        <v>2441</v>
      </c>
      <c r="B1596" s="1" t="str">
        <f ca="1">IFERROR(__xludf.DUMMYFUNCTION("GOOGLETRANSLATE(A1596, ""en"", ""fr"")"),"CAVE")</f>
        <v>CAVE</v>
      </c>
      <c r="C1596" s="1" t="s">
        <v>185</v>
      </c>
      <c r="BC1596" s="1" t="s">
        <v>51</v>
      </c>
      <c r="BG1596" s="1" t="s">
        <v>55</v>
      </c>
      <c r="GD1596" s="1" t="s">
        <v>193</v>
      </c>
      <c r="GE1596" s="1" t="s">
        <v>190</v>
      </c>
    </row>
    <row r="1597" spans="1:187" ht="11.25" customHeight="1">
      <c r="A1597" s="1" t="s">
        <v>2442</v>
      </c>
      <c r="B1597" s="1" t="str">
        <f ca="1">IFERROR(__xludf.DUMMYFUNCTION("GOOGLETRANSLATE(A1597, ""en"", ""fr"")"),"Ciment # 1")</f>
        <v>Ciment # 1</v>
      </c>
      <c r="C1597" s="1" t="s">
        <v>185</v>
      </c>
      <c r="J1597" s="1" t="s">
        <v>6</v>
      </c>
      <c r="BC1597" s="1" t="s">
        <v>51</v>
      </c>
      <c r="BD1597" s="1" t="s">
        <v>52</v>
      </c>
      <c r="FL1597" s="1" t="s">
        <v>164</v>
      </c>
      <c r="FM1597" s="1" t="s">
        <v>418</v>
      </c>
      <c r="GD1597" s="1" t="s">
        <v>193</v>
      </c>
      <c r="GE1597" s="1" t="s">
        <v>190</v>
      </c>
    </row>
    <row r="1598" spans="1:187" ht="11.25" customHeight="1">
      <c r="A1598" s="1" t="s">
        <v>2443</v>
      </c>
      <c r="B1598" s="1" t="str">
        <f ca="1">IFERROR(__xludf.DUMMYFUNCTION("GOOGLETRANSLATE(A1598, ""en"", ""fr"")"),"Ciment # 2")</f>
        <v>Ciment # 2</v>
      </c>
      <c r="C1598" s="1" t="s">
        <v>185</v>
      </c>
      <c r="J1598" s="1" t="s">
        <v>6</v>
      </c>
      <c r="DD1598" s="1" t="s">
        <v>104</v>
      </c>
      <c r="DN1598" s="1" t="s">
        <v>114</v>
      </c>
      <c r="DX1598" s="1" t="s">
        <v>124</v>
      </c>
      <c r="ED1598" s="1" t="s">
        <v>130</v>
      </c>
      <c r="GD1598" s="1" t="s">
        <v>189</v>
      </c>
      <c r="GE1598" s="1" t="s">
        <v>190</v>
      </c>
    </row>
    <row r="1599" spans="1:187" ht="11.25" customHeight="1">
      <c r="A1599" s="1" t="s">
        <v>2444</v>
      </c>
      <c r="B1599" s="1" t="str">
        <f ca="1">IFERROR(__xludf.DUMMYFUNCTION("GOOGLETRANSLATE(A1599, ""en"", ""fr"")"),"CENSURER")</f>
        <v>CENSURER</v>
      </c>
      <c r="C1599" s="1" t="s">
        <v>192</v>
      </c>
      <c r="E1599" s="1" t="s">
        <v>16613</v>
      </c>
      <c r="K1599" s="1" t="s">
        <v>7</v>
      </c>
      <c r="N1599" s="1" t="s">
        <v>10</v>
      </c>
      <c r="W1599" s="1" t="s">
        <v>19</v>
      </c>
      <c r="BK1599" s="1" t="s">
        <v>59</v>
      </c>
      <c r="DN1599" s="1" t="s">
        <v>114</v>
      </c>
      <c r="GD1599" s="1" t="s">
        <v>189</v>
      </c>
      <c r="GE1599" s="1" t="s">
        <v>190</v>
      </c>
    </row>
    <row r="1600" spans="1:187" ht="11.25" customHeight="1">
      <c r="A1600" s="1" t="s">
        <v>2445</v>
      </c>
      <c r="B1600" s="1" t="str">
        <f ca="1">IFERROR(__xludf.DUMMYFUNCTION("GOOGLETRANSLATE(A1600, ""en"", ""fr"")"),"LA CENSURE")</f>
        <v>LA CENSURE</v>
      </c>
      <c r="C1600" s="1" t="s">
        <v>185</v>
      </c>
      <c r="E1600" s="1" t="s">
        <v>16613</v>
      </c>
      <c r="K1600" s="1" t="s">
        <v>7</v>
      </c>
      <c r="W1600" s="1" t="s">
        <v>19</v>
      </c>
      <c r="BK1600" s="1" t="s">
        <v>59</v>
      </c>
      <c r="EE1600" s="1" t="s">
        <v>131</v>
      </c>
      <c r="EJ1600" s="1" t="s">
        <v>136</v>
      </c>
      <c r="GD1600" s="1" t="s">
        <v>193</v>
      </c>
      <c r="GE1600" s="1" t="s">
        <v>190</v>
      </c>
    </row>
    <row r="1601" spans="1:187" ht="11.25" customHeight="1">
      <c r="A1601" s="1" t="s">
        <v>2446</v>
      </c>
      <c r="B1601" s="1" t="str">
        <f ca="1">IFERROR(__xludf.DUMMYFUNCTION("GOOGLETRANSLATE(A1601, ""en"", ""fr"")"),"CENSURER")</f>
        <v>CENSURER</v>
      </c>
      <c r="C1601" s="1" t="s">
        <v>192</v>
      </c>
      <c r="E1601" s="1" t="s">
        <v>16613</v>
      </c>
      <c r="I1601" s="1" t="s">
        <v>5</v>
      </c>
      <c r="K1601" s="1" t="s">
        <v>7</v>
      </c>
      <c r="N1601" s="1" t="s">
        <v>10</v>
      </c>
      <c r="BK1601" s="1" t="s">
        <v>59</v>
      </c>
      <c r="DN1601" s="1" t="s">
        <v>114</v>
      </c>
      <c r="GD1601" s="1" t="s">
        <v>670</v>
      </c>
      <c r="GE1601" s="1" t="s">
        <v>190</v>
      </c>
    </row>
    <row r="1602" spans="1:187" ht="11.25" customHeight="1">
      <c r="A1602" s="1" t="s">
        <v>2447</v>
      </c>
      <c r="B1602" s="1" t="str">
        <f ca="1">IFERROR(__xludf.DUMMYFUNCTION("GOOGLETRANSLATE(A1602, ""en"", ""fr"")"),"RECENSEMENT")</f>
        <v>RECENSEMENT</v>
      </c>
      <c r="C1602" s="1" t="s">
        <v>185</v>
      </c>
      <c r="AG1602" s="1" t="s">
        <v>29</v>
      </c>
      <c r="AH1602" s="1" t="s">
        <v>30</v>
      </c>
      <c r="AM1602" s="1" t="s">
        <v>35</v>
      </c>
      <c r="GD1602" s="1" t="s">
        <v>193</v>
      </c>
      <c r="GE1602" s="1" t="s">
        <v>190</v>
      </c>
    </row>
    <row r="1603" spans="1:187" ht="11.25" customHeight="1">
      <c r="A1603" s="1" t="s">
        <v>2448</v>
      </c>
      <c r="B1603" s="1" t="str">
        <f ca="1">IFERROR(__xludf.DUMMYFUNCTION("GOOGLETRANSLATE(A1603, ""en"", ""fr"")"),"CENT")</f>
        <v>CENT</v>
      </c>
      <c r="C1603" s="1" t="s">
        <v>185</v>
      </c>
      <c r="AA1603" s="1" t="s">
        <v>23</v>
      </c>
      <c r="AC1603" s="1" t="s">
        <v>25</v>
      </c>
      <c r="BC1603" s="1" t="s">
        <v>51</v>
      </c>
      <c r="BH1603" s="1" t="s">
        <v>56</v>
      </c>
      <c r="BL1603" s="1" t="s">
        <v>60</v>
      </c>
      <c r="EV1603" s="1" t="s">
        <v>148</v>
      </c>
      <c r="EW1603" s="1" t="s">
        <v>149</v>
      </c>
      <c r="GD1603" s="1" t="s">
        <v>193</v>
      </c>
      <c r="GE1603" s="1" t="s">
        <v>190</v>
      </c>
    </row>
    <row r="1604" spans="1:187" ht="11.25" customHeight="1">
      <c r="A1604" s="1" t="s">
        <v>2449</v>
      </c>
      <c r="B1604" s="1" t="str">
        <f ca="1">IFERROR(__xludf.DUMMYFUNCTION("GOOGLETRANSLATE(A1604, ""en"", ""fr"")"),"Centre n ° 1")</f>
        <v>Centre n ° 1</v>
      </c>
      <c r="C1604" s="1" t="s">
        <v>185</v>
      </c>
      <c r="J1604" s="1" t="s">
        <v>6</v>
      </c>
      <c r="AV1604" s="1" t="s">
        <v>44</v>
      </c>
      <c r="AW1604" s="1" t="s">
        <v>45</v>
      </c>
      <c r="DB1604" s="1" t="s">
        <v>102</v>
      </c>
      <c r="GB1604" s="1" t="s">
        <v>180</v>
      </c>
      <c r="GD1604" s="1" t="s">
        <v>193</v>
      </c>
      <c r="GE1604" s="1" t="s">
        <v>2450</v>
      </c>
    </row>
    <row r="1605" spans="1:187" ht="11.25" customHeight="1">
      <c r="A1605" s="1" t="s">
        <v>2451</v>
      </c>
      <c r="B1605" s="1" t="str">
        <f ca="1">IFERROR(__xludf.DUMMYFUNCTION("GOOGLETRANSLATE(A1605, ""en"", ""fr"")"),"Centre n ° 2")</f>
        <v>Centre n ° 2</v>
      </c>
      <c r="C1605" s="1" t="s">
        <v>185</v>
      </c>
      <c r="J1605" s="1" t="s">
        <v>6</v>
      </c>
      <c r="DA1605" s="1" t="s">
        <v>101</v>
      </c>
      <c r="DN1605" s="1" t="s">
        <v>114</v>
      </c>
      <c r="FX1605" s="1" t="s">
        <v>176</v>
      </c>
      <c r="GD1605" s="1" t="s">
        <v>189</v>
      </c>
      <c r="GE1605" s="1" t="s">
        <v>2452</v>
      </c>
    </row>
    <row r="1606" spans="1:187" ht="11.25" customHeight="1">
      <c r="A1606" s="1" t="s">
        <v>2453</v>
      </c>
      <c r="B1606" s="1" t="str">
        <f ca="1">IFERROR(__xludf.DUMMYFUNCTION("GOOGLETRANSLATE(A1606, ""en"", ""fr"")"),"CENTIMÈTRE")</f>
        <v>CENTIMÈTRE</v>
      </c>
      <c r="C1606" s="1" t="s">
        <v>185</v>
      </c>
      <c r="CQ1606" s="1" t="s">
        <v>91</v>
      </c>
      <c r="CX1606" s="1" t="s">
        <v>98</v>
      </c>
      <c r="DA1606" s="1" t="s">
        <v>101</v>
      </c>
      <c r="GB1606" s="1" t="s">
        <v>180</v>
      </c>
      <c r="GD1606" s="1" t="s">
        <v>193</v>
      </c>
      <c r="GE1606" s="1" t="s">
        <v>190</v>
      </c>
    </row>
    <row r="1607" spans="1:187" ht="11.25" customHeight="1">
      <c r="A1607" s="1" t="s">
        <v>2454</v>
      </c>
      <c r="B1607" s="1" t="str">
        <f ca="1">IFERROR(__xludf.DUMMYFUNCTION("GOOGLETRANSLATE(A1607, ""en"", ""fr"")"),"Centimètre n ° 1")</f>
        <v>Centimètre n ° 1</v>
      </c>
      <c r="C1607" s="1" t="s">
        <v>192</v>
      </c>
      <c r="GE1607" s="1" t="s">
        <v>190</v>
      </c>
    </row>
    <row r="1608" spans="1:187" ht="11.25" customHeight="1">
      <c r="A1608" s="1" t="s">
        <v>2455</v>
      </c>
      <c r="B1608" s="1" t="str">
        <f ca="1">IFERROR(__xludf.DUMMYFUNCTION("GOOGLETRANSLATE(A1608, ""en"", ""fr"")"),"CENTRAL")</f>
        <v>CENTRAL</v>
      </c>
      <c r="C1608" s="1" t="s">
        <v>185</v>
      </c>
      <c r="J1608" s="1" t="s">
        <v>6</v>
      </c>
      <c r="DA1608" s="1" t="s">
        <v>101</v>
      </c>
      <c r="DB1608" s="1" t="s">
        <v>102</v>
      </c>
      <c r="GB1608" s="1" t="s">
        <v>180</v>
      </c>
      <c r="GD1608" s="1" t="s">
        <v>202</v>
      </c>
      <c r="GE1608" s="1" t="s">
        <v>190</v>
      </c>
    </row>
    <row r="1609" spans="1:187" ht="11.25" customHeight="1">
      <c r="A1609" s="1" t="s">
        <v>2456</v>
      </c>
      <c r="B1609" s="1" t="str">
        <f ca="1">IFERROR(__xludf.DUMMYFUNCTION("GOOGLETRANSLATE(A1609, ""en"", ""fr"")"),"AMÉRIQUE CENTRALE")</f>
        <v>AMÉRIQUE CENTRALE</v>
      </c>
      <c r="C1609" s="1" t="s">
        <v>196</v>
      </c>
      <c r="FU1609" s="1" t="s">
        <v>173</v>
      </c>
      <c r="GD1609" s="1" t="s">
        <v>545</v>
      </c>
    </row>
    <row r="1610" spans="1:187" ht="11.25" customHeight="1">
      <c r="A1610" s="1" t="s">
        <v>2457</v>
      </c>
      <c r="B1610" s="1" t="str">
        <f ca="1">IFERROR(__xludf.DUMMYFUNCTION("GOOGLETRANSLATE(A1610, ""en"", ""fr"")"),"Centre n ° 1")</f>
        <v>Centre n ° 1</v>
      </c>
      <c r="C1610" s="1" t="s">
        <v>192</v>
      </c>
      <c r="GE1610" s="1" t="s">
        <v>190</v>
      </c>
    </row>
    <row r="1611" spans="1:187" ht="11.25" customHeight="1">
      <c r="A1611" s="1" t="s">
        <v>2458</v>
      </c>
      <c r="B1611" s="1" t="str">
        <f ca="1">IFERROR(__xludf.DUMMYFUNCTION("GOOGLETRANSLATE(A1611, ""en"", ""fr"")"),"SIÈCLE")</f>
        <v>SIÈCLE</v>
      </c>
      <c r="C1611" s="1" t="s">
        <v>185</v>
      </c>
      <c r="CQ1611" s="1" t="s">
        <v>91</v>
      </c>
      <c r="CY1611" s="1" t="s">
        <v>99</v>
      </c>
      <c r="CZ1611" s="1" t="s">
        <v>100</v>
      </c>
      <c r="GB1611" s="1" t="s">
        <v>180</v>
      </c>
      <c r="GD1611" s="1" t="s">
        <v>193</v>
      </c>
      <c r="GE1611" s="1" t="s">
        <v>2459</v>
      </c>
    </row>
    <row r="1612" spans="1:187" ht="11.25" customHeight="1">
      <c r="A1612" s="1" t="s">
        <v>2460</v>
      </c>
      <c r="B1612" s="1" t="str">
        <f ca="1">IFERROR(__xludf.DUMMYFUNCTION("GOOGLETRANSLATE(A1612, ""en"", ""fr"")"),"CÉRÉALE")</f>
        <v>CÉRÉALE</v>
      </c>
      <c r="C1612" s="1" t="s">
        <v>185</v>
      </c>
      <c r="BC1612" s="1" t="s">
        <v>51</v>
      </c>
      <c r="BE1612" s="1" t="s">
        <v>53</v>
      </c>
      <c r="GD1612" s="1" t="s">
        <v>193</v>
      </c>
      <c r="GE1612" s="1" t="s">
        <v>190</v>
      </c>
    </row>
    <row r="1613" spans="1:187" ht="11.25" customHeight="1">
      <c r="A1613" s="1" t="s">
        <v>2461</v>
      </c>
      <c r="B1613" s="1" t="str">
        <f ca="1">IFERROR(__xludf.DUMMYFUNCTION("GOOGLETRANSLATE(A1613, ""en"", ""fr"")"),"CÉRÉMONIAL")</f>
        <v>CÉRÉMONIAL</v>
      </c>
      <c r="C1613" s="1" t="s">
        <v>192</v>
      </c>
      <c r="D1613" s="1" t="s">
        <v>16612</v>
      </c>
      <c r="Z1613" s="1" t="s">
        <v>22</v>
      </c>
      <c r="DR1613" s="1" t="s">
        <v>118</v>
      </c>
      <c r="GD1613" s="1" t="s">
        <v>202</v>
      </c>
      <c r="GE1613" s="1" t="s">
        <v>190</v>
      </c>
    </row>
    <row r="1614" spans="1:187" ht="11.25" customHeight="1">
      <c r="A1614" s="1" t="s">
        <v>2462</v>
      </c>
      <c r="B1614" s="1" t="str">
        <f ca="1">IFERROR(__xludf.DUMMYFUNCTION("GOOGLETRANSLATE(A1614, ""en"", ""fr"")"),"CÉRÉMONIE")</f>
        <v>CÉRÉMONIE</v>
      </c>
      <c r="C1614" s="1" t="s">
        <v>185</v>
      </c>
      <c r="AM1614" s="1" t="s">
        <v>35</v>
      </c>
      <c r="EM1614" s="1" t="s">
        <v>139</v>
      </c>
      <c r="EN1614" s="1" t="s">
        <v>140</v>
      </c>
      <c r="GD1614" s="1" t="s">
        <v>193</v>
      </c>
      <c r="GE1614" s="1" t="s">
        <v>190</v>
      </c>
    </row>
    <row r="1615" spans="1:187" ht="11.25" customHeight="1">
      <c r="A1615" s="1" t="s">
        <v>2463</v>
      </c>
      <c r="B1615" s="1" t="str">
        <f ca="1">IFERROR(__xludf.DUMMYFUNCTION("GOOGLETRANSLATE(A1615, ""en"", ""fr"")"),"Certain # 1")</f>
        <v>Certain # 1</v>
      </c>
      <c r="C1615" s="1" t="s">
        <v>185</v>
      </c>
      <c r="J1615" s="1" t="s">
        <v>6</v>
      </c>
      <c r="CH1615" s="1" t="s">
        <v>82</v>
      </c>
      <c r="FY1615" s="1" t="s">
        <v>177</v>
      </c>
      <c r="GD1615" s="1" t="s">
        <v>2464</v>
      </c>
      <c r="GE1615" s="1" t="s">
        <v>2465</v>
      </c>
    </row>
    <row r="1616" spans="1:187" ht="11.25" customHeight="1">
      <c r="A1616" s="1" t="s">
        <v>2466</v>
      </c>
      <c r="B1616" s="1" t="str">
        <f ca="1">IFERROR(__xludf.DUMMYFUNCTION("GOOGLETRANSLATE(A1616, ""en"", ""fr"")"),"Certains # 2")</f>
        <v>Certains # 2</v>
      </c>
      <c r="C1616" s="1" t="s">
        <v>185</v>
      </c>
      <c r="J1616" s="1" t="s">
        <v>6</v>
      </c>
      <c r="T1616" s="1" t="s">
        <v>16</v>
      </c>
      <c r="U1616" s="1" t="s">
        <v>17</v>
      </c>
      <c r="W1616" s="1" t="s">
        <v>19</v>
      </c>
      <c r="CN1616" s="1" t="s">
        <v>88</v>
      </c>
      <c r="FY1616" s="1" t="s">
        <v>177</v>
      </c>
      <c r="GD1616" s="1" t="s">
        <v>202</v>
      </c>
      <c r="GE1616" s="1" t="s">
        <v>2467</v>
      </c>
    </row>
    <row r="1617" spans="1:187" ht="11.25" customHeight="1">
      <c r="A1617" s="1" t="s">
        <v>2468</v>
      </c>
      <c r="B1617" s="1" t="str">
        <f ca="1">IFERROR(__xludf.DUMMYFUNCTION("GOOGLETRANSLATE(A1617, ""en"", ""fr"")"),"Certains # 3")</f>
        <v>Certains # 3</v>
      </c>
      <c r="C1617" s="1" t="s">
        <v>185</v>
      </c>
      <c r="J1617" s="1" t="s">
        <v>6</v>
      </c>
      <c r="U1617" s="1" t="s">
        <v>17</v>
      </c>
      <c r="W1617" s="1" t="s">
        <v>19</v>
      </c>
      <c r="FY1617" s="1" t="s">
        <v>177</v>
      </c>
      <c r="GD1617" s="1" t="s">
        <v>202</v>
      </c>
      <c r="GE1617" s="1" t="s">
        <v>2469</v>
      </c>
    </row>
    <row r="1618" spans="1:187" ht="11.25" customHeight="1">
      <c r="A1618" s="1" t="s">
        <v>2470</v>
      </c>
      <c r="B1618" s="1" t="str">
        <f ca="1">IFERROR(__xludf.DUMMYFUNCTION("GOOGLETRANSLATE(A1618, ""en"", ""fr"")"),"Certain # 4")</f>
        <v>Certain # 4</v>
      </c>
      <c r="C1618" s="1" t="s">
        <v>185</v>
      </c>
      <c r="J1618" s="1" t="s">
        <v>6</v>
      </c>
      <c r="W1618" s="1" t="s">
        <v>19</v>
      </c>
      <c r="FY1618" s="1" t="s">
        <v>177</v>
      </c>
      <c r="GD1618" s="1" t="s">
        <v>236</v>
      </c>
      <c r="GE1618" s="1" t="s">
        <v>2471</v>
      </c>
    </row>
    <row r="1619" spans="1:187" ht="11.25" customHeight="1">
      <c r="A1619" s="1" t="s">
        <v>2472</v>
      </c>
      <c r="B1619" s="1" t="str">
        <f ca="1">IFERROR(__xludf.DUMMYFUNCTION("GOOGLETRANSLATE(A1619, ""en"", ""fr"")"),"CERTITUDE")</f>
        <v>CERTITUDE</v>
      </c>
      <c r="C1619" s="1" t="s">
        <v>185</v>
      </c>
      <c r="J1619" s="1" t="s">
        <v>6</v>
      </c>
      <c r="W1619" s="1" t="s">
        <v>19</v>
      </c>
      <c r="CH1619" s="1" t="s">
        <v>82</v>
      </c>
      <c r="CP1619" s="1" t="s">
        <v>90</v>
      </c>
      <c r="CQ1619" s="1" t="s">
        <v>91</v>
      </c>
      <c r="FY1619" s="1" t="s">
        <v>177</v>
      </c>
      <c r="GD1619" s="1" t="s">
        <v>193</v>
      </c>
      <c r="GE1619" s="1" t="s">
        <v>190</v>
      </c>
    </row>
    <row r="1620" spans="1:187" ht="11.25" customHeight="1">
      <c r="A1620" s="1" t="s">
        <v>2473</v>
      </c>
      <c r="B1620" s="1" t="str">
        <f ca="1">IFERROR(__xludf.DUMMYFUNCTION("GOOGLETRANSLATE(A1620, ""en"", ""fr"")"),"CERTIFICAT")</f>
        <v>CERTIFICAT</v>
      </c>
      <c r="C1620" s="1" t="s">
        <v>185</v>
      </c>
      <c r="K1620" s="1" t="s">
        <v>7</v>
      </c>
      <c r="AE1620" s="1" t="s">
        <v>27</v>
      </c>
      <c r="BC1620" s="1" t="s">
        <v>51</v>
      </c>
      <c r="BH1620" s="1" t="s">
        <v>56</v>
      </c>
      <c r="GD1620" s="1" t="s">
        <v>193</v>
      </c>
      <c r="GE1620" s="1" t="s">
        <v>190</v>
      </c>
    </row>
    <row r="1621" spans="1:187" ht="11.25" customHeight="1">
      <c r="A1621" s="1" t="s">
        <v>2474</v>
      </c>
      <c r="B1621" s="1" t="str">
        <f ca="1">IFERROR(__xludf.DUMMYFUNCTION("GOOGLETRANSLATE(A1621, ""en"", ""fr"")"),"Certification")</f>
        <v>Certification</v>
      </c>
      <c r="C1621" s="1" t="s">
        <v>185</v>
      </c>
      <c r="K1621" s="1" t="s">
        <v>7</v>
      </c>
      <c r="W1621" s="1" t="s">
        <v>19</v>
      </c>
      <c r="AE1621" s="1" t="s">
        <v>27</v>
      </c>
      <c r="BK1621" s="1" t="s">
        <v>59</v>
      </c>
      <c r="GC1621" s="1" t="s">
        <v>181</v>
      </c>
      <c r="GD1621" s="1" t="s">
        <v>193</v>
      </c>
      <c r="GE1621" s="1" t="s">
        <v>190</v>
      </c>
    </row>
    <row r="1622" spans="1:187" ht="11.25" customHeight="1">
      <c r="A1622" s="1" t="s">
        <v>2475</v>
      </c>
      <c r="B1622" s="1" t="str">
        <f ca="1">IFERROR(__xludf.DUMMYFUNCTION("GOOGLETRANSLATE(A1622, ""en"", ""fr"")"),"CERTIFIER")</f>
        <v>CERTIFIER</v>
      </c>
      <c r="C1622" s="1" t="s">
        <v>185</v>
      </c>
      <c r="K1622" s="1" t="s">
        <v>7</v>
      </c>
      <c r="W1622" s="1" t="s">
        <v>19</v>
      </c>
      <c r="AE1622" s="1" t="s">
        <v>27</v>
      </c>
      <c r="BK1622" s="1" t="s">
        <v>59</v>
      </c>
      <c r="DN1622" s="1" t="s">
        <v>114</v>
      </c>
      <c r="GD1622" s="1" t="s">
        <v>189</v>
      </c>
      <c r="GE1622" s="1" t="s">
        <v>190</v>
      </c>
    </row>
    <row r="1623" spans="1:187" ht="11.25" customHeight="1">
      <c r="A1623" s="1" t="s">
        <v>2476</v>
      </c>
      <c r="B1623" s="1" t="str">
        <f ca="1">IFERROR(__xludf.DUMMYFUNCTION("GOOGLETRANSLATE(A1623, ""en"", ""fr"")"),"CESSATION")</f>
        <v>CESSATION</v>
      </c>
      <c r="C1623" s="1" t="s">
        <v>196</v>
      </c>
      <c r="DT1623" s="1" t="s">
        <v>120</v>
      </c>
      <c r="ED1623" s="1" t="s">
        <v>130</v>
      </c>
      <c r="GD1623" s="1" t="s">
        <v>193</v>
      </c>
    </row>
    <row r="1624" spans="1:187" ht="11.25" customHeight="1">
      <c r="A1624" s="1" t="s">
        <v>2477</v>
      </c>
      <c r="B1624" s="1" t="str">
        <f ca="1">IFERROR(__xludf.DUMMYFUNCTION("GOOGLETRANSLATE(A1624, ""en"", ""fr"")"),"Ceylan")</f>
        <v>Ceylan</v>
      </c>
      <c r="C1624" s="1" t="s">
        <v>196</v>
      </c>
      <c r="FU1624" s="1" t="s">
        <v>173</v>
      </c>
      <c r="GD1624" s="1" t="s">
        <v>545</v>
      </c>
    </row>
    <row r="1625" spans="1:187" ht="11.25" customHeight="1">
      <c r="A1625" s="1" t="s">
        <v>2478</v>
      </c>
      <c r="B1625" s="1" t="str">
        <f ca="1">IFERROR(__xludf.DUMMYFUNCTION("GOOGLETRANSLATE(A1625, ""en"", ""fr"")"),"Tchad")</f>
        <v>Tchad</v>
      </c>
      <c r="C1625" s="1" t="s">
        <v>196</v>
      </c>
      <c r="FU1625" s="1" t="s">
        <v>173</v>
      </c>
      <c r="GD1625" s="1" t="s">
        <v>545</v>
      </c>
    </row>
    <row r="1626" spans="1:187" ht="11.25" customHeight="1">
      <c r="A1626" s="1" t="s">
        <v>2479</v>
      </c>
      <c r="B1626" s="1" t="str">
        <f ca="1">IFERROR(__xludf.DUMMYFUNCTION("GOOGLETRANSLATE(A1626, ""en"", ""fr"")"),"IRRITER")</f>
        <v>IRRITER</v>
      </c>
      <c r="C1626" s="1" t="s">
        <v>192</v>
      </c>
      <c r="E1626" s="1" t="s">
        <v>16613</v>
      </c>
      <c r="Q1626" s="1" t="s">
        <v>13</v>
      </c>
      <c r="DR1626" s="1" t="s">
        <v>118</v>
      </c>
      <c r="GD1626" s="1" t="s">
        <v>202</v>
      </c>
      <c r="GE1626" s="1" t="s">
        <v>190</v>
      </c>
    </row>
    <row r="1627" spans="1:187" ht="11.25" customHeight="1">
      <c r="A1627" s="1" t="s">
        <v>2480</v>
      </c>
      <c r="B1627" s="1" t="str">
        <f ca="1">IFERROR(__xludf.DUMMYFUNCTION("GOOGLETRANSLATE(A1627, ""en"", ""fr"")"),"Chaîne n ° 1")</f>
        <v>Chaîne n ° 1</v>
      </c>
      <c r="C1627" s="1" t="s">
        <v>185</v>
      </c>
      <c r="M1627" s="1" t="s">
        <v>9</v>
      </c>
      <c r="BC1627" s="1" t="s">
        <v>51</v>
      </c>
      <c r="BD1627" s="1" t="s">
        <v>52</v>
      </c>
      <c r="GD1627" s="1" t="s">
        <v>193</v>
      </c>
      <c r="GE1627" s="1" t="s">
        <v>190</v>
      </c>
    </row>
    <row r="1628" spans="1:187" ht="11.25" customHeight="1">
      <c r="A1628" s="1" t="s">
        <v>2481</v>
      </c>
      <c r="B1628" s="1" t="str">
        <f ca="1">IFERROR(__xludf.DUMMYFUNCTION("GOOGLETRANSLATE(A1628, ""en"", ""fr"")"),"Chaîne n ° 2")</f>
        <v>Chaîne n ° 2</v>
      </c>
      <c r="C1628" s="1" t="s">
        <v>185</v>
      </c>
      <c r="M1628" s="1" t="s">
        <v>9</v>
      </c>
      <c r="DD1628" s="1" t="s">
        <v>104</v>
      </c>
      <c r="DN1628" s="1" t="s">
        <v>114</v>
      </c>
      <c r="GD1628" s="1" t="s">
        <v>189</v>
      </c>
      <c r="GE1628" s="1" t="s">
        <v>190</v>
      </c>
    </row>
    <row r="1629" spans="1:187" ht="11.25" customHeight="1">
      <c r="A1629" s="1" t="s">
        <v>2482</v>
      </c>
      <c r="B1629" s="1" t="str">
        <f ca="1">IFERROR(__xludf.DUMMYFUNCTION("GOOGLETRANSLATE(A1629, ""en"", ""fr"")"),"CHAISE")</f>
        <v>CHAISE</v>
      </c>
      <c r="C1629" s="1" t="s">
        <v>185</v>
      </c>
      <c r="BC1629" s="1" t="s">
        <v>51</v>
      </c>
      <c r="BD1629" s="1" t="s">
        <v>52</v>
      </c>
      <c r="GD1629" s="1" t="s">
        <v>193</v>
      </c>
      <c r="GE1629" s="1" t="s">
        <v>2483</v>
      </c>
    </row>
    <row r="1630" spans="1:187" ht="11.25" customHeight="1">
      <c r="A1630" s="1" t="s">
        <v>2484</v>
      </c>
      <c r="B1630" s="1" t="str">
        <f ca="1">IFERROR(__xludf.DUMMYFUNCTION("GOOGLETRANSLATE(A1630, ""en"", ""fr"")"),"PRÉSIDENT")</f>
        <v>PRÉSIDENT</v>
      </c>
      <c r="C1630" s="1" t="s">
        <v>185</v>
      </c>
      <c r="J1630" s="1" t="s">
        <v>6</v>
      </c>
      <c r="K1630" s="1" t="s">
        <v>7</v>
      </c>
      <c r="AC1630" s="1" t="s">
        <v>25</v>
      </c>
      <c r="AH1630" s="1" t="s">
        <v>30</v>
      </c>
      <c r="AJ1630" s="1" t="s">
        <v>32</v>
      </c>
      <c r="AT1630" s="1" t="s">
        <v>42</v>
      </c>
      <c r="DY1630" s="1" t="s">
        <v>125</v>
      </c>
      <c r="ED1630" s="1" t="s">
        <v>130</v>
      </c>
      <c r="GD1630" s="1" t="s">
        <v>193</v>
      </c>
      <c r="GE1630" s="1" t="s">
        <v>2485</v>
      </c>
    </row>
    <row r="1631" spans="1:187" ht="11.25" customHeight="1">
      <c r="A1631" s="1" t="s">
        <v>2486</v>
      </c>
      <c r="B1631" s="1" t="str">
        <f ca="1">IFERROR(__xludf.DUMMYFUNCTION("GOOGLETRANSLATE(A1631, ""en"", ""fr"")"),"Présidents")</f>
        <v>Présidents</v>
      </c>
      <c r="C1631" s="1" t="s">
        <v>185</v>
      </c>
      <c r="J1631" s="1" t="s">
        <v>6</v>
      </c>
      <c r="K1631" s="1" t="s">
        <v>7</v>
      </c>
      <c r="AC1631" s="1" t="s">
        <v>25</v>
      </c>
      <c r="AH1631" s="1" t="s">
        <v>30</v>
      </c>
      <c r="AJ1631" s="1" t="s">
        <v>32</v>
      </c>
      <c r="AT1631" s="1" t="s">
        <v>42</v>
      </c>
      <c r="DY1631" s="1" t="s">
        <v>125</v>
      </c>
      <c r="ED1631" s="1" t="s">
        <v>130</v>
      </c>
      <c r="GD1631" s="1" t="s">
        <v>576</v>
      </c>
      <c r="GE1631" s="1" t="s">
        <v>190</v>
      </c>
    </row>
    <row r="1632" spans="1:187" ht="11.25" customHeight="1">
      <c r="A1632" s="1" t="s">
        <v>2487</v>
      </c>
      <c r="B1632" s="1" t="str">
        <f ca="1">IFERROR(__xludf.DUMMYFUNCTION("GOOGLETRANSLATE(A1632, ""en"", ""fr"")"),"Défi n ° 1")</f>
        <v>Défi n ° 1</v>
      </c>
      <c r="C1632" s="1" t="s">
        <v>185</v>
      </c>
      <c r="E1632" s="1" t="s">
        <v>16613</v>
      </c>
      <c r="H1632" s="1" t="s">
        <v>4</v>
      </c>
      <c r="J1632" s="1" t="s">
        <v>6</v>
      </c>
      <c r="N1632" s="1" t="s">
        <v>10</v>
      </c>
      <c r="BQ1632" s="1" t="s">
        <v>65</v>
      </c>
      <c r="DU1632" s="1" t="s">
        <v>121</v>
      </c>
      <c r="ED1632" s="1" t="s">
        <v>130</v>
      </c>
      <c r="GD1632" s="1" t="s">
        <v>193</v>
      </c>
      <c r="GE1632" s="1" t="s">
        <v>2488</v>
      </c>
    </row>
    <row r="1633" spans="1:187" ht="11.25" customHeight="1">
      <c r="A1633" s="1" t="s">
        <v>2489</v>
      </c>
      <c r="B1633" s="1" t="str">
        <f ca="1">IFERROR(__xludf.DUMMYFUNCTION("GOOGLETRANSLATE(A1633, ""en"", ""fr"")"),"Défi n ° 2")</f>
        <v>Défi n ° 2</v>
      </c>
      <c r="C1633" s="1" t="s">
        <v>185</v>
      </c>
      <c r="E1633" s="1" t="s">
        <v>16613</v>
      </c>
      <c r="H1633" s="1" t="s">
        <v>4</v>
      </c>
      <c r="I1633" s="1" t="s">
        <v>5</v>
      </c>
      <c r="J1633" s="1" t="s">
        <v>6</v>
      </c>
      <c r="N1633" s="1" t="s">
        <v>10</v>
      </c>
      <c r="AN1633" s="1" t="s">
        <v>36</v>
      </c>
      <c r="DN1633" s="1" t="s">
        <v>114</v>
      </c>
      <c r="DW1633" s="1" t="s">
        <v>123</v>
      </c>
      <c r="ED1633" s="1" t="s">
        <v>130</v>
      </c>
      <c r="GD1633" s="1" t="s">
        <v>189</v>
      </c>
      <c r="GE1633" s="1" t="s">
        <v>2490</v>
      </c>
    </row>
    <row r="1634" spans="1:187" ht="11.25" customHeight="1">
      <c r="A1634" s="1" t="s">
        <v>2491</v>
      </c>
      <c r="B1634" s="1" t="str">
        <f ca="1">IFERROR(__xludf.DUMMYFUNCTION("GOOGLETRANSLATE(A1634, ""en"", ""fr"")"),"Défi n ° 3")</f>
        <v>Défi n ° 3</v>
      </c>
      <c r="C1634" s="1" t="s">
        <v>185</v>
      </c>
      <c r="S1634" s="1" t="s">
        <v>15</v>
      </c>
      <c r="FR1634" s="1" t="s">
        <v>170</v>
      </c>
      <c r="GD1634" s="1" t="s">
        <v>202</v>
      </c>
      <c r="GE1634" s="1" t="s">
        <v>2492</v>
      </c>
    </row>
    <row r="1635" spans="1:187" ht="11.25" customHeight="1">
      <c r="A1635" s="1" t="s">
        <v>2493</v>
      </c>
      <c r="B1635" s="1" t="str">
        <f ca="1">IFERROR(__xludf.DUMMYFUNCTION("GOOGLETRANSLATE(A1635, ""en"", ""fr"")"),"CHAMBRE")</f>
        <v>CHAMBRE</v>
      </c>
      <c r="C1635" s="1" t="s">
        <v>185</v>
      </c>
      <c r="BC1635" s="1" t="s">
        <v>51</v>
      </c>
      <c r="BG1635" s="1" t="s">
        <v>55</v>
      </c>
      <c r="DV1635" s="1" t="s">
        <v>122</v>
      </c>
      <c r="ED1635" s="1" t="s">
        <v>130</v>
      </c>
      <c r="GD1635" s="1" t="s">
        <v>193</v>
      </c>
      <c r="GE1635" s="1" t="s">
        <v>190</v>
      </c>
    </row>
    <row r="1636" spans="1:187" ht="11.25" customHeight="1">
      <c r="A1636" s="1" t="s">
        <v>2494</v>
      </c>
      <c r="B1636" s="1" t="str">
        <f ca="1">IFERROR(__xludf.DUMMYFUNCTION("GOOGLETRANSLATE(A1636, ""en"", ""fr"")"),"Champion")</f>
        <v>Champion</v>
      </c>
      <c r="C1636" s="1" t="s">
        <v>192</v>
      </c>
      <c r="D1636" s="1" t="s">
        <v>16612</v>
      </c>
      <c r="J1636" s="1" t="s">
        <v>6</v>
      </c>
      <c r="K1636" s="1" t="s">
        <v>7</v>
      </c>
      <c r="AJ1636" s="1" t="s">
        <v>32</v>
      </c>
      <c r="AT1636" s="1" t="s">
        <v>42</v>
      </c>
      <c r="GD1636" s="1" t="s">
        <v>193</v>
      </c>
      <c r="GE1636" s="1" t="s">
        <v>190</v>
      </c>
    </row>
    <row r="1637" spans="1:187" ht="11.25" customHeight="1">
      <c r="A1637" s="1" t="s">
        <v>2495</v>
      </c>
      <c r="B1637" s="1" t="str">
        <f ca="1">IFERROR(__xludf.DUMMYFUNCTION("GOOGLETRANSLATE(A1637, ""en"", ""fr"")"),"CHAMPION")</f>
        <v>CHAMPION</v>
      </c>
      <c r="C1637" s="1" t="s">
        <v>185</v>
      </c>
      <c r="D1637" s="1" t="s">
        <v>16612</v>
      </c>
      <c r="F1637" s="1" t="s">
        <v>2</v>
      </c>
      <c r="J1637" s="1" t="s">
        <v>6</v>
      </c>
      <c r="K1637" s="1" t="s">
        <v>7</v>
      </c>
      <c r="N1637" s="1" t="s">
        <v>10</v>
      </c>
      <c r="AJ1637" s="1" t="s">
        <v>32</v>
      </c>
      <c r="AT1637" s="1" t="s">
        <v>42</v>
      </c>
      <c r="FK1637" s="1" t="s">
        <v>163</v>
      </c>
      <c r="FM1637" s="1" t="s">
        <v>418</v>
      </c>
      <c r="GD1637" s="1" t="s">
        <v>193</v>
      </c>
      <c r="GE1637" s="1" t="s">
        <v>190</v>
      </c>
    </row>
    <row r="1638" spans="1:187" ht="11.25" customHeight="1">
      <c r="A1638" s="1" t="s">
        <v>2496</v>
      </c>
      <c r="B1638" s="1" t="str">
        <f ca="1">IFERROR(__xludf.DUMMYFUNCTION("GOOGLETRANSLATE(A1638, ""en"", ""fr"")"),"CHAMPIONNAT")</f>
        <v>CHAMPIONNAT</v>
      </c>
      <c r="C1638" s="1" t="s">
        <v>192</v>
      </c>
      <c r="D1638" s="1" t="s">
        <v>16612</v>
      </c>
      <c r="J1638" s="1" t="s">
        <v>6</v>
      </c>
      <c r="K1638" s="1" t="s">
        <v>7</v>
      </c>
      <c r="GD1638" s="1" t="s">
        <v>193</v>
      </c>
      <c r="GE1638" s="1" t="s">
        <v>190</v>
      </c>
    </row>
    <row r="1639" spans="1:187" ht="11.25" customHeight="1">
      <c r="A1639" s="1" t="s">
        <v>2497</v>
      </c>
      <c r="B1639" s="1" t="str">
        <f ca="1">IFERROR(__xludf.DUMMYFUNCTION("GOOGLETRANSLATE(A1639, ""en"", ""fr"")"),"Chance # 1")</f>
        <v>Chance # 1</v>
      </c>
      <c r="C1639" s="1" t="s">
        <v>185</v>
      </c>
      <c r="BO1639" s="1" t="s">
        <v>63</v>
      </c>
      <c r="FR1639" s="1" t="s">
        <v>170</v>
      </c>
      <c r="GD1639" s="1" t="s">
        <v>193</v>
      </c>
      <c r="GE1639" s="1" t="s">
        <v>2498</v>
      </c>
    </row>
    <row r="1640" spans="1:187" ht="11.25" customHeight="1">
      <c r="A1640" s="1" t="s">
        <v>2499</v>
      </c>
      <c r="B1640" s="1" t="str">
        <f ca="1">IFERROR(__xludf.DUMMYFUNCTION("GOOGLETRANSLATE(A1640, ""en"", ""fr"")"),"Chance # 2")</f>
        <v>Chance # 2</v>
      </c>
      <c r="C1640" s="1" t="s">
        <v>185</v>
      </c>
      <c r="X1640" s="1" t="s">
        <v>20</v>
      </c>
      <c r="CI1640" s="1" t="s">
        <v>83</v>
      </c>
      <c r="FZ1640" s="1" t="s">
        <v>178</v>
      </c>
      <c r="GD1640" s="1" t="s">
        <v>193</v>
      </c>
      <c r="GE1640" s="1" t="s">
        <v>2500</v>
      </c>
    </row>
    <row r="1641" spans="1:187" ht="11.25" customHeight="1">
      <c r="A1641" s="1" t="s">
        <v>2501</v>
      </c>
      <c r="B1641" s="1" t="str">
        <f ca="1">IFERROR(__xludf.DUMMYFUNCTION("GOOGLETRANSLATE(A1641, ""en"", ""fr"")"),"Chance # 3")</f>
        <v>Chance # 3</v>
      </c>
      <c r="C1641" s="1" t="s">
        <v>185</v>
      </c>
      <c r="O1641" s="1" t="s">
        <v>11</v>
      </c>
      <c r="BW1641" s="1" t="s">
        <v>71</v>
      </c>
      <c r="DN1641" s="1" t="s">
        <v>114</v>
      </c>
      <c r="FP1641" s="1" t="s">
        <v>168</v>
      </c>
      <c r="GD1641" s="1" t="s">
        <v>189</v>
      </c>
      <c r="GE1641" s="1" t="s">
        <v>2502</v>
      </c>
    </row>
    <row r="1642" spans="1:187" ht="11.25" customHeight="1">
      <c r="A1642" s="1" t="s">
        <v>2503</v>
      </c>
      <c r="B1642" s="1" t="str">
        <f ca="1">IFERROR(__xludf.DUMMYFUNCTION("GOOGLETRANSLATE(A1642, ""en"", ""fr"")"),"Chance # 4")</f>
        <v>Chance # 4</v>
      </c>
      <c r="C1642" s="1" t="s">
        <v>185</v>
      </c>
      <c r="O1642" s="1" t="s">
        <v>11</v>
      </c>
      <c r="X1642" s="1" t="s">
        <v>20</v>
      </c>
      <c r="CI1642" s="1" t="s">
        <v>83</v>
      </c>
      <c r="FR1642" s="1" t="s">
        <v>170</v>
      </c>
      <c r="GD1642" s="1" t="s">
        <v>236</v>
      </c>
      <c r="GE1642" s="1" t="s">
        <v>2504</v>
      </c>
    </row>
    <row r="1643" spans="1:187" ht="11.25" customHeight="1">
      <c r="A1643" s="1" t="s">
        <v>2505</v>
      </c>
      <c r="B1643" s="1" t="str">
        <f ca="1">IFERROR(__xludf.DUMMYFUNCTION("GOOGLETRANSLATE(A1643, ""en"", ""fr"")"),"Chance # 5")</f>
        <v>Chance # 5</v>
      </c>
      <c r="C1643" s="1" t="s">
        <v>185</v>
      </c>
      <c r="O1643" s="1" t="s">
        <v>11</v>
      </c>
      <c r="X1643" s="1" t="s">
        <v>20</v>
      </c>
      <c r="CI1643" s="1" t="s">
        <v>83</v>
      </c>
      <c r="CP1643" s="1" t="s">
        <v>90</v>
      </c>
      <c r="CQ1643" s="1" t="s">
        <v>91</v>
      </c>
      <c r="FR1643" s="1" t="s">
        <v>170</v>
      </c>
      <c r="GD1643" s="1" t="s">
        <v>193</v>
      </c>
      <c r="GE1643" s="1" t="s">
        <v>2506</v>
      </c>
    </row>
    <row r="1644" spans="1:187" ht="11.25" customHeight="1">
      <c r="A1644" s="1" t="s">
        <v>2507</v>
      </c>
      <c r="B1644" s="1" t="str">
        <f ca="1">IFERROR(__xludf.DUMMYFUNCTION("GOOGLETRANSLATE(A1644, ""en"", ""fr"")"),"CHANCELIER")</f>
        <v>CHANCELIER</v>
      </c>
      <c r="C1644" s="1" t="s">
        <v>185</v>
      </c>
      <c r="J1644" s="1" t="s">
        <v>6</v>
      </c>
      <c r="K1644" s="1" t="s">
        <v>7</v>
      </c>
      <c r="AG1644" s="1" t="s">
        <v>29</v>
      </c>
      <c r="AH1644" s="1" t="s">
        <v>30</v>
      </c>
      <c r="AJ1644" s="1" t="s">
        <v>32</v>
      </c>
      <c r="AT1644" s="1" t="s">
        <v>42</v>
      </c>
      <c r="DY1644" s="1" t="s">
        <v>125</v>
      </c>
      <c r="ED1644" s="1" t="s">
        <v>130</v>
      </c>
      <c r="GD1644" s="1" t="s">
        <v>193</v>
      </c>
      <c r="GE1644" s="1" t="s">
        <v>2508</v>
      </c>
    </row>
    <row r="1645" spans="1:187" ht="11.25" customHeight="1">
      <c r="A1645" s="1" t="s">
        <v>2509</v>
      </c>
      <c r="B1645" s="1" t="str">
        <f ca="1">IFERROR(__xludf.DUMMYFUNCTION("GOOGLETRANSLATE(A1645, ""en"", ""fr"")"),"Modifier # 1")</f>
        <v>Modifier # 1</v>
      </c>
      <c r="C1645" s="1" t="s">
        <v>185</v>
      </c>
      <c r="N1645" s="1" t="s">
        <v>10</v>
      </c>
      <c r="BW1645" s="1" t="s">
        <v>71</v>
      </c>
      <c r="DN1645" s="1" t="s">
        <v>114</v>
      </c>
      <c r="FP1645" s="1" t="s">
        <v>168</v>
      </c>
      <c r="GD1645" s="1" t="s">
        <v>189</v>
      </c>
      <c r="GE1645" s="1" t="s">
        <v>2510</v>
      </c>
    </row>
    <row r="1646" spans="1:187" ht="11.25" customHeight="1">
      <c r="A1646" s="1" t="s">
        <v>2511</v>
      </c>
      <c r="B1646" s="1" t="str">
        <f ca="1">IFERROR(__xludf.DUMMYFUNCTION("GOOGLETRANSLATE(A1646, ""en"", ""fr"")"),"Modifier # 2")</f>
        <v>Modifier # 2</v>
      </c>
      <c r="C1646" s="1" t="s">
        <v>185</v>
      </c>
      <c r="N1646" s="1" t="s">
        <v>10</v>
      </c>
      <c r="BW1646" s="1" t="s">
        <v>71</v>
      </c>
      <c r="GD1646" s="1" t="s">
        <v>193</v>
      </c>
      <c r="GE1646" s="1" t="s">
        <v>2512</v>
      </c>
    </row>
    <row r="1647" spans="1:187" ht="11.25" customHeight="1">
      <c r="A1647" s="1" t="s">
        <v>2513</v>
      </c>
      <c r="B1647" s="1" t="str">
        <f ca="1">IFERROR(__xludf.DUMMYFUNCTION("GOOGLETRANSLATE(A1647, ""en"", ""fr"")"),"Modifier # 3")</f>
        <v>Modifier # 3</v>
      </c>
      <c r="C1647" s="1" t="s">
        <v>185</v>
      </c>
      <c r="N1647" s="1" t="s">
        <v>10</v>
      </c>
      <c r="BW1647" s="1" t="s">
        <v>71</v>
      </c>
      <c r="GD1647" s="1" t="s">
        <v>202</v>
      </c>
      <c r="GE1647" s="1" t="s">
        <v>2514</v>
      </c>
    </row>
    <row r="1648" spans="1:187" ht="11.25" customHeight="1">
      <c r="A1648" s="1" t="s">
        <v>2515</v>
      </c>
      <c r="B1648" s="1" t="str">
        <f ca="1">IFERROR(__xludf.DUMMYFUNCTION("GOOGLETRANSLATE(A1648, ""en"", ""fr"")"),"Modifier # 4")</f>
        <v>Modifier # 4</v>
      </c>
      <c r="C1648" s="1" t="s">
        <v>185</v>
      </c>
      <c r="O1648" s="1" t="s">
        <v>11</v>
      </c>
      <c r="BW1648" s="1" t="s">
        <v>71</v>
      </c>
      <c r="GD1648" s="1" t="s">
        <v>202</v>
      </c>
      <c r="GE1648" s="1" t="s">
        <v>2516</v>
      </c>
    </row>
    <row r="1649" spans="1:187" ht="11.25" customHeight="1">
      <c r="A1649" s="1" t="s">
        <v>2517</v>
      </c>
      <c r="B1649" s="1" t="str">
        <f ca="1">IFERROR(__xludf.DUMMYFUNCTION("GOOGLETRANSLATE(A1649, ""en"", ""fr"")"),"CHANGEABLE")</f>
        <v>CHANGEABLE</v>
      </c>
      <c r="C1649" s="1" t="s">
        <v>185</v>
      </c>
      <c r="O1649" s="1" t="s">
        <v>11</v>
      </c>
      <c r="X1649" s="1" t="s">
        <v>20</v>
      </c>
      <c r="BW1649" s="1" t="s">
        <v>71</v>
      </c>
      <c r="GD1649" s="1" t="s">
        <v>202</v>
      </c>
      <c r="GE1649" s="1" t="s">
        <v>190</v>
      </c>
    </row>
    <row r="1650" spans="1:187" ht="11.25" customHeight="1">
      <c r="A1650" s="1" t="s">
        <v>2518</v>
      </c>
      <c r="B1650" s="1" t="str">
        <f ca="1">IFERROR(__xludf.DUMMYFUNCTION("GOOGLETRANSLATE(A1650, ""en"", ""fr"")"),"Canal n ° 1")</f>
        <v>Canal n ° 1</v>
      </c>
      <c r="C1650" s="1" t="s">
        <v>185</v>
      </c>
      <c r="AV1650" s="1" t="s">
        <v>44</v>
      </c>
      <c r="AZ1650" s="1" t="s">
        <v>48</v>
      </c>
      <c r="GD1650" s="1" t="s">
        <v>193</v>
      </c>
      <c r="GE1650" s="1" t="s">
        <v>190</v>
      </c>
    </row>
    <row r="1651" spans="1:187" ht="11.25" customHeight="1">
      <c r="A1651" s="1" t="s">
        <v>2519</v>
      </c>
      <c r="B1651" s="1" t="str">
        <f ca="1">IFERROR(__xludf.DUMMYFUNCTION("GOOGLETRANSLATE(A1651, ""en"", ""fr"")"),"Canal n ° 2")</f>
        <v>Canal n ° 2</v>
      </c>
      <c r="C1651" s="1" t="s">
        <v>185</v>
      </c>
      <c r="K1651" s="1" t="s">
        <v>7</v>
      </c>
      <c r="AL1651" s="1" t="s">
        <v>34</v>
      </c>
      <c r="DN1651" s="1" t="s">
        <v>114</v>
      </c>
      <c r="GD1651" s="1" t="s">
        <v>189</v>
      </c>
      <c r="GE1651" s="1" t="s">
        <v>190</v>
      </c>
    </row>
    <row r="1652" spans="1:187" ht="11.25" customHeight="1">
      <c r="A1652" s="1" t="s">
        <v>2520</v>
      </c>
      <c r="B1652" s="1" t="str">
        <f ca="1">IFERROR(__xludf.DUMMYFUNCTION("GOOGLETRANSLATE(A1652, ""en"", ""fr"")"),"CHAOS")</f>
        <v>CHAOS</v>
      </c>
      <c r="C1652" s="1" t="s">
        <v>185</v>
      </c>
      <c r="E1652" s="1" t="s">
        <v>16613</v>
      </c>
      <c r="H1652" s="1" t="s">
        <v>4</v>
      </c>
      <c r="V1652" s="1" t="s">
        <v>18</v>
      </c>
      <c r="W1652" s="1" t="s">
        <v>19</v>
      </c>
      <c r="DW1652" s="1" t="s">
        <v>123</v>
      </c>
      <c r="ED1652" s="1" t="s">
        <v>130</v>
      </c>
      <c r="FV1652" s="1" t="s">
        <v>174</v>
      </c>
      <c r="GD1652" s="1" t="s">
        <v>193</v>
      </c>
      <c r="GE1652" s="1" t="s">
        <v>190</v>
      </c>
    </row>
    <row r="1653" spans="1:187" ht="11.25" customHeight="1">
      <c r="A1653" s="1" t="s">
        <v>2521</v>
      </c>
      <c r="B1653" s="1" t="str">
        <f ca="1">IFERROR(__xludf.DUMMYFUNCTION("GOOGLETRANSLATE(A1653, ""en"", ""fr"")"),"CHAOTIQUE")</f>
        <v>CHAOTIQUE</v>
      </c>
      <c r="C1653" s="1" t="s">
        <v>185</v>
      </c>
      <c r="E1653" s="1" t="s">
        <v>16613</v>
      </c>
      <c r="H1653" s="1" t="s">
        <v>4</v>
      </c>
      <c r="V1653" s="1" t="s">
        <v>18</v>
      </c>
      <c r="W1653" s="1" t="s">
        <v>19</v>
      </c>
      <c r="CN1653" s="1" t="s">
        <v>88</v>
      </c>
      <c r="DR1653" s="1" t="s">
        <v>118</v>
      </c>
      <c r="DW1653" s="1" t="s">
        <v>123</v>
      </c>
      <c r="ED1653" s="1" t="s">
        <v>130</v>
      </c>
      <c r="FV1653" s="1" t="s">
        <v>174</v>
      </c>
      <c r="GD1653" s="1" t="s">
        <v>202</v>
      </c>
      <c r="GE1653" s="1" t="s">
        <v>190</v>
      </c>
    </row>
    <row r="1654" spans="1:187" ht="11.25" customHeight="1">
      <c r="A1654" s="1" t="s">
        <v>2522</v>
      </c>
      <c r="B1654" s="1" t="str">
        <f ca="1">IFERROR(__xludf.DUMMYFUNCTION("GOOGLETRANSLATE(A1654, ""en"", ""fr"")"),"CHAPELLE")</f>
        <v>CHAPELLE</v>
      </c>
      <c r="C1654" s="1" t="s">
        <v>185</v>
      </c>
      <c r="AI1654" s="1" t="s">
        <v>31</v>
      </c>
      <c r="AV1654" s="1" t="s">
        <v>44</v>
      </c>
      <c r="AW1654" s="1" t="s">
        <v>45</v>
      </c>
      <c r="EF1654" s="1" t="s">
        <v>132</v>
      </c>
      <c r="EJ1654" s="1" t="s">
        <v>136</v>
      </c>
      <c r="GD1654" s="1" t="s">
        <v>193</v>
      </c>
      <c r="GE1654" s="1" t="s">
        <v>190</v>
      </c>
    </row>
    <row r="1655" spans="1:187" ht="11.25" customHeight="1">
      <c r="A1655" s="1" t="s">
        <v>2523</v>
      </c>
      <c r="B1655" s="1" t="str">
        <f ca="1">IFERROR(__xludf.DUMMYFUNCTION("GOOGLETRANSLATE(A1655, ""en"", ""fr"")"),"CHAPITRE")</f>
        <v>CHAPITRE</v>
      </c>
      <c r="C1655" s="1" t="s">
        <v>185</v>
      </c>
      <c r="BK1655" s="1" t="s">
        <v>59</v>
      </c>
      <c r="BL1655" s="1" t="s">
        <v>60</v>
      </c>
      <c r="GC1655" s="1" t="s">
        <v>181</v>
      </c>
      <c r="GD1655" s="1" t="s">
        <v>193</v>
      </c>
      <c r="GE1655" s="1" t="s">
        <v>2524</v>
      </c>
    </row>
    <row r="1656" spans="1:187" ht="11.25" customHeight="1">
      <c r="A1656" s="1" t="s">
        <v>2525</v>
      </c>
      <c r="B1656" s="1" t="str">
        <f ca="1">IFERROR(__xludf.DUMMYFUNCTION("GOOGLETRANSLATE(A1656, ""en"", ""fr"")"),"Personnage n ° 1")</f>
        <v>Personnage n ° 1</v>
      </c>
      <c r="C1656" s="1" t="s">
        <v>185</v>
      </c>
      <c r="U1656" s="1" t="s">
        <v>17</v>
      </c>
      <c r="EE1656" s="1" t="s">
        <v>131</v>
      </c>
      <c r="EJ1656" s="1" t="s">
        <v>136</v>
      </c>
      <c r="GD1656" s="1" t="s">
        <v>193</v>
      </c>
      <c r="GE1656" s="1" t="s">
        <v>2526</v>
      </c>
    </row>
    <row r="1657" spans="1:187" ht="11.25" customHeight="1">
      <c r="A1657" s="1" t="s">
        <v>2527</v>
      </c>
      <c r="B1657" s="1" t="str">
        <f ca="1">IFERROR(__xludf.DUMMYFUNCTION("GOOGLETRANSLATE(A1657, ""en"", ""fr"")"),"Personnage n ° 2")</f>
        <v>Personnage n ° 2</v>
      </c>
      <c r="C1657" s="1" t="s">
        <v>185</v>
      </c>
      <c r="CH1657" s="1" t="s">
        <v>82</v>
      </c>
      <c r="GD1657" s="1" t="s">
        <v>193</v>
      </c>
      <c r="GE1657" s="1" t="s">
        <v>2528</v>
      </c>
    </row>
    <row r="1658" spans="1:187" ht="11.25" customHeight="1">
      <c r="A1658" s="1" t="s">
        <v>2529</v>
      </c>
      <c r="B1658" s="1" t="str">
        <f ca="1">IFERROR(__xludf.DUMMYFUNCTION("GOOGLETRANSLATE(A1658, ""en"", ""fr"")"),"Personnage n ° 3")</f>
        <v>Personnage n ° 3</v>
      </c>
      <c r="C1658" s="1" t="s">
        <v>185</v>
      </c>
      <c r="AD1658" s="1" t="s">
        <v>26</v>
      </c>
      <c r="AJ1658" s="1" t="s">
        <v>32</v>
      </c>
      <c r="AT1658" s="1" t="s">
        <v>42</v>
      </c>
      <c r="FT1658" s="1" t="s">
        <v>172</v>
      </c>
      <c r="GD1658" s="1" t="s">
        <v>193</v>
      </c>
      <c r="GE1658" s="1" t="s">
        <v>2530</v>
      </c>
    </row>
    <row r="1659" spans="1:187" ht="11.25" customHeight="1">
      <c r="A1659" s="1" t="s">
        <v>2531</v>
      </c>
      <c r="B1659" s="1" t="str">
        <f ca="1">IFERROR(__xludf.DUMMYFUNCTION("GOOGLETRANSLATE(A1659, ""en"", ""fr"")"),"Caractérisé # 1")</f>
        <v>Caractérisé # 1</v>
      </c>
      <c r="C1659" s="1" t="s">
        <v>192</v>
      </c>
      <c r="GE1659" s="1" t="s">
        <v>190</v>
      </c>
    </row>
    <row r="1660" spans="1:187" ht="11.25" customHeight="1">
      <c r="A1660" s="1" t="s">
        <v>2532</v>
      </c>
      <c r="B1660" s="1" t="str">
        <f ca="1">IFERROR(__xludf.DUMMYFUNCTION("GOOGLETRANSLATE(A1660, ""en"", ""fr"")"),"CARACTÉRISTIQUE")</f>
        <v>CARACTÉRISTIQUE</v>
      </c>
      <c r="C1660" s="1" t="s">
        <v>185</v>
      </c>
      <c r="CH1660" s="1" t="s">
        <v>82</v>
      </c>
      <c r="FH1660" s="1" t="s">
        <v>160</v>
      </c>
      <c r="FI1660" s="1" t="s">
        <v>161</v>
      </c>
      <c r="GD1660" s="1" t="s">
        <v>193</v>
      </c>
      <c r="GE1660" s="1" t="s">
        <v>190</v>
      </c>
    </row>
    <row r="1661" spans="1:187" ht="11.25" customHeight="1">
      <c r="A1661" s="1" t="s">
        <v>2533</v>
      </c>
      <c r="B1661" s="1" t="str">
        <f ca="1">IFERROR(__xludf.DUMMYFUNCTION("GOOGLETRANSLATE(A1661, ""en"", ""fr"")"),"CARACTÉRISER")</f>
        <v>CARACTÉRISER</v>
      </c>
      <c r="C1661" s="1" t="s">
        <v>185</v>
      </c>
      <c r="CO1661" s="1" t="s">
        <v>89</v>
      </c>
      <c r="DN1661" s="1" t="s">
        <v>114</v>
      </c>
      <c r="FH1661" s="1" t="s">
        <v>160</v>
      </c>
      <c r="FI1661" s="1" t="s">
        <v>161</v>
      </c>
      <c r="GD1661" s="1" t="s">
        <v>189</v>
      </c>
      <c r="GE1661" s="1" t="s">
        <v>190</v>
      </c>
    </row>
    <row r="1662" spans="1:187" ht="11.25" customHeight="1">
      <c r="A1662" s="1" t="s">
        <v>2534</v>
      </c>
      <c r="B1662" s="1" t="str">
        <f ca="1">IFERROR(__xludf.DUMMYFUNCTION("GOOGLETRANSLATE(A1662, ""en"", ""fr"")"),"Charge n ° 1")</f>
        <v>Charge n ° 1</v>
      </c>
      <c r="C1662" s="1" t="s">
        <v>185</v>
      </c>
      <c r="J1662" s="1" t="s">
        <v>6</v>
      </c>
      <c r="K1662" s="1" t="s">
        <v>7</v>
      </c>
      <c r="BQ1662" s="1" t="s">
        <v>65</v>
      </c>
      <c r="EB1662" s="1" t="s">
        <v>128</v>
      </c>
      <c r="ED1662" s="1" t="s">
        <v>130</v>
      </c>
      <c r="GD1662" s="1" t="s">
        <v>193</v>
      </c>
      <c r="GE1662" s="1" t="s">
        <v>2535</v>
      </c>
    </row>
    <row r="1663" spans="1:187" ht="11.25" customHeight="1">
      <c r="A1663" s="1" t="s">
        <v>2536</v>
      </c>
      <c r="B1663" s="1" t="str">
        <f ca="1">IFERROR(__xludf.DUMMYFUNCTION("GOOGLETRANSLATE(A1663, ""en"", ""fr"")"),"CHARGE # 2")</f>
        <v>CHARGE # 2</v>
      </c>
      <c r="C1663" s="1" t="s">
        <v>185</v>
      </c>
      <c r="E1663" s="1" t="s">
        <v>16613</v>
      </c>
      <c r="H1663" s="1" t="s">
        <v>4</v>
      </c>
      <c r="I1663" s="1" t="s">
        <v>5</v>
      </c>
      <c r="BK1663" s="1" t="s">
        <v>59</v>
      </c>
      <c r="BL1663" s="1" t="s">
        <v>60</v>
      </c>
      <c r="GC1663" s="1" t="s">
        <v>181</v>
      </c>
      <c r="GD1663" s="1" t="s">
        <v>193</v>
      </c>
      <c r="GE1663" s="1" t="s">
        <v>2537</v>
      </c>
    </row>
    <row r="1664" spans="1:187" ht="11.25" customHeight="1">
      <c r="A1664" s="1" t="s">
        <v>2538</v>
      </c>
      <c r="B1664" s="1" t="str">
        <f ca="1">IFERROR(__xludf.DUMMYFUNCTION("GOOGLETRANSLATE(A1664, ""en"", ""fr"")"),"Charge n ° 3")</f>
        <v>Charge n ° 3</v>
      </c>
      <c r="C1664" s="1" t="s">
        <v>192</v>
      </c>
      <c r="E1664" s="1" t="s">
        <v>16613</v>
      </c>
      <c r="H1664" s="1" t="s">
        <v>4</v>
      </c>
      <c r="I1664" s="1" t="s">
        <v>5</v>
      </c>
      <c r="J1664" s="1" t="s">
        <v>6</v>
      </c>
      <c r="N1664" s="1" t="s">
        <v>10</v>
      </c>
      <c r="BK1664" s="1" t="s">
        <v>59</v>
      </c>
      <c r="DN1664" s="1" t="s">
        <v>114</v>
      </c>
      <c r="GD1664" s="1" t="s">
        <v>189</v>
      </c>
      <c r="GE1664" s="1" t="s">
        <v>2539</v>
      </c>
    </row>
    <row r="1665" spans="1:187" ht="11.25" customHeight="1">
      <c r="A1665" s="1" t="s">
        <v>2540</v>
      </c>
      <c r="B1665" s="1" t="str">
        <f ca="1">IFERROR(__xludf.DUMMYFUNCTION("GOOGLETRANSLATE(A1665, ""en"", ""fr"")"),"Charge n ° 4")</f>
        <v>Charge n ° 4</v>
      </c>
      <c r="C1665" s="1" t="s">
        <v>192</v>
      </c>
      <c r="AA1665" s="1" t="s">
        <v>23</v>
      </c>
      <c r="AC1665" s="1" t="s">
        <v>25</v>
      </c>
      <c r="BK1665" s="1" t="s">
        <v>59</v>
      </c>
      <c r="BL1665" s="1" t="s">
        <v>60</v>
      </c>
      <c r="GD1665" s="1" t="s">
        <v>193</v>
      </c>
      <c r="GE1665" s="1" t="s">
        <v>2541</v>
      </c>
    </row>
    <row r="1666" spans="1:187" ht="11.25" customHeight="1">
      <c r="A1666" s="1" t="s">
        <v>2542</v>
      </c>
      <c r="B1666" s="1" t="str">
        <f ca="1">IFERROR(__xludf.DUMMYFUNCTION("GOOGLETRANSLATE(A1666, ""en"", ""fr"")"),"Charge n ° 5")</f>
        <v>Charge n ° 5</v>
      </c>
      <c r="C1666" s="1" t="s">
        <v>192</v>
      </c>
      <c r="N1666" s="1" t="s">
        <v>10</v>
      </c>
      <c r="AA1666" s="1" t="s">
        <v>23</v>
      </c>
      <c r="AB1666" s="1" t="s">
        <v>24</v>
      </c>
      <c r="DO1666" s="1" t="s">
        <v>115</v>
      </c>
      <c r="GD1666" s="1" t="s">
        <v>189</v>
      </c>
      <c r="GE1666" s="1" t="s">
        <v>2543</v>
      </c>
    </row>
    <row r="1667" spans="1:187" ht="11.25" customHeight="1">
      <c r="A1667" s="1" t="s">
        <v>2544</v>
      </c>
      <c r="B1667" s="1" t="str">
        <f ca="1">IFERROR(__xludf.DUMMYFUNCTION("GOOGLETRANSLATE(A1667, ""en"", ""fr"")"),"CHARGE # 6")</f>
        <v>CHARGE # 6</v>
      </c>
      <c r="C1667" s="1" t="s">
        <v>192</v>
      </c>
      <c r="E1667" s="1" t="s">
        <v>16613</v>
      </c>
      <c r="H1667" s="1" t="s">
        <v>4</v>
      </c>
      <c r="I1667" s="1" t="s">
        <v>5</v>
      </c>
      <c r="J1667" s="1" t="s">
        <v>6</v>
      </c>
      <c r="N1667" s="1" t="s">
        <v>10</v>
      </c>
      <c r="CC1667" s="1" t="s">
        <v>77</v>
      </c>
      <c r="GD1667" s="1" t="s">
        <v>193</v>
      </c>
      <c r="GE1667" s="1" t="s">
        <v>2545</v>
      </c>
    </row>
    <row r="1668" spans="1:187" ht="11.25" customHeight="1">
      <c r="A1668" s="1" t="s">
        <v>2546</v>
      </c>
      <c r="B1668" s="1" t="str">
        <f ca="1">IFERROR(__xludf.DUMMYFUNCTION("GOOGLETRANSLATE(A1668, ""en"", ""fr"")"),"Frais n ° 7")</f>
        <v>Frais n ° 7</v>
      </c>
      <c r="C1668" s="1" t="s">
        <v>192</v>
      </c>
      <c r="E1668" s="1" t="s">
        <v>16613</v>
      </c>
      <c r="H1668" s="1" t="s">
        <v>4</v>
      </c>
      <c r="I1668" s="1" t="s">
        <v>5</v>
      </c>
      <c r="J1668" s="1" t="s">
        <v>6</v>
      </c>
      <c r="N1668" s="1" t="s">
        <v>10</v>
      </c>
      <c r="CE1668" s="1" t="s">
        <v>79</v>
      </c>
      <c r="DN1668" s="1" t="s">
        <v>114</v>
      </c>
      <c r="GD1668" s="1" t="s">
        <v>189</v>
      </c>
      <c r="GE1668" s="1" t="s">
        <v>2547</v>
      </c>
    </row>
    <row r="1669" spans="1:187" ht="11.25" customHeight="1">
      <c r="A1669" s="1" t="s">
        <v>2548</v>
      </c>
      <c r="B1669" s="1" t="str">
        <f ca="1">IFERROR(__xludf.DUMMYFUNCTION("GOOGLETRANSLATE(A1669, ""en"", ""fr"")"),"CHARGE # 8")</f>
        <v>CHARGE # 8</v>
      </c>
      <c r="C1669" s="1" t="s">
        <v>192</v>
      </c>
      <c r="J1669" s="1" t="s">
        <v>6</v>
      </c>
      <c r="BC1669" s="1" t="s">
        <v>51</v>
      </c>
      <c r="BD1669" s="1" t="s">
        <v>52</v>
      </c>
      <c r="GD1669" s="1" t="s">
        <v>193</v>
      </c>
      <c r="GE1669" s="1" t="s">
        <v>2549</v>
      </c>
    </row>
    <row r="1670" spans="1:187" ht="11.25" customHeight="1">
      <c r="A1670" s="1" t="s">
        <v>2550</v>
      </c>
      <c r="B1670" s="1" t="str">
        <f ca="1">IFERROR(__xludf.DUMMYFUNCTION("GOOGLETRANSLATE(A1670, ""en"", ""fr"")"),"Frais n ° 9")</f>
        <v>Frais n ° 9</v>
      </c>
      <c r="C1670" s="1" t="s">
        <v>192</v>
      </c>
      <c r="J1670" s="1" t="s">
        <v>6</v>
      </c>
      <c r="CR1670" s="1" t="s">
        <v>92</v>
      </c>
      <c r="GD1670" s="1" t="s">
        <v>202</v>
      </c>
      <c r="GE1670" s="1" t="s">
        <v>2551</v>
      </c>
    </row>
    <row r="1671" spans="1:187" ht="11.25" customHeight="1">
      <c r="A1671" s="1" t="s">
        <v>2552</v>
      </c>
      <c r="B1671" s="1" t="str">
        <f ca="1">IFERROR(__xludf.DUMMYFUNCTION("GOOGLETRANSLATE(A1671, ""en"", ""fr"")"),"CHARISME")</f>
        <v>CHARISME</v>
      </c>
      <c r="C1671" s="1" t="s">
        <v>192</v>
      </c>
      <c r="D1671" s="1" t="s">
        <v>16612</v>
      </c>
      <c r="J1671" s="1" t="s">
        <v>6</v>
      </c>
      <c r="U1671" s="1" t="s">
        <v>17</v>
      </c>
      <c r="GD1671" s="1" t="s">
        <v>193</v>
      </c>
      <c r="GE1671" s="1" t="s">
        <v>190</v>
      </c>
    </row>
    <row r="1672" spans="1:187" ht="11.25" customHeight="1">
      <c r="A1672" s="1" t="s">
        <v>2553</v>
      </c>
      <c r="B1672" s="1" t="str">
        <f ca="1">IFERROR(__xludf.DUMMYFUNCTION("GOOGLETRANSLATE(A1672, ""en"", ""fr"")"),"CHARITABLE")</f>
        <v>CHARITABLE</v>
      </c>
      <c r="C1672" s="1" t="s">
        <v>185</v>
      </c>
      <c r="D1672" s="1" t="s">
        <v>16612</v>
      </c>
      <c r="U1672" s="1" t="s">
        <v>17</v>
      </c>
      <c r="AA1672" s="1" t="s">
        <v>23</v>
      </c>
      <c r="AB1672" s="1" t="s">
        <v>24</v>
      </c>
      <c r="DQ1672" s="1" t="s">
        <v>117</v>
      </c>
      <c r="ER1672" s="1" t="s">
        <v>144</v>
      </c>
      <c r="ES1672" s="1" t="s">
        <v>145</v>
      </c>
      <c r="GD1672" s="1" t="s">
        <v>202</v>
      </c>
      <c r="GE1672" s="1" t="s">
        <v>190</v>
      </c>
    </row>
    <row r="1673" spans="1:187" ht="11.25" customHeight="1">
      <c r="A1673" s="1" t="s">
        <v>2554</v>
      </c>
      <c r="B1673" s="1" t="str">
        <f ca="1">IFERROR(__xludf.DUMMYFUNCTION("GOOGLETRANSLATE(A1673, ""en"", ""fr"")"),"CHARITÉ")</f>
        <v>CHARITÉ</v>
      </c>
      <c r="C1673" s="1" t="s">
        <v>185</v>
      </c>
      <c r="D1673" s="1" t="s">
        <v>16612</v>
      </c>
      <c r="F1673" s="1" t="s">
        <v>2</v>
      </c>
      <c r="U1673" s="1" t="s">
        <v>17</v>
      </c>
      <c r="AA1673" s="1" t="s">
        <v>23</v>
      </c>
      <c r="AC1673" s="1" t="s">
        <v>25</v>
      </c>
      <c r="GD1673" s="1" t="s">
        <v>193</v>
      </c>
      <c r="GE1673" s="1" t="s">
        <v>190</v>
      </c>
    </row>
    <row r="1674" spans="1:187" ht="11.25" customHeight="1">
      <c r="A1674" s="1" t="s">
        <v>2555</v>
      </c>
      <c r="B1674" s="1" t="str">
        <f ca="1">IFERROR(__xludf.DUMMYFUNCTION("GOOGLETRANSLATE(A1674, ""en"", ""fr"")"),"Charme n ° 1")</f>
        <v>Charme n ° 1</v>
      </c>
      <c r="C1674" s="1" t="s">
        <v>185</v>
      </c>
      <c r="D1674" s="1" t="s">
        <v>16612</v>
      </c>
      <c r="F1674" s="1" t="s">
        <v>2</v>
      </c>
      <c r="G1674" s="1" t="s">
        <v>3</v>
      </c>
      <c r="U1674" s="1" t="s">
        <v>17</v>
      </c>
      <c r="FL1674" s="1" t="s">
        <v>164</v>
      </c>
      <c r="FM1674" s="1" t="s">
        <v>418</v>
      </c>
      <c r="GD1674" s="1" t="s">
        <v>193</v>
      </c>
      <c r="GE1674" s="1" t="s">
        <v>190</v>
      </c>
    </row>
    <row r="1675" spans="1:187" ht="11.25" customHeight="1">
      <c r="A1675" s="1" t="s">
        <v>2556</v>
      </c>
      <c r="B1675" s="1" t="str">
        <f ca="1">IFERROR(__xludf.DUMMYFUNCTION("GOOGLETRANSLATE(A1675, ""en"", ""fr"")"),"Charme n ° 2")</f>
        <v>Charme n ° 2</v>
      </c>
      <c r="C1675" s="1" t="s">
        <v>185</v>
      </c>
      <c r="D1675" s="1" t="s">
        <v>16612</v>
      </c>
      <c r="F1675" s="1" t="s">
        <v>2</v>
      </c>
      <c r="G1675" s="1" t="s">
        <v>3</v>
      </c>
      <c r="AN1675" s="1" t="s">
        <v>36</v>
      </c>
      <c r="DN1675" s="1" t="s">
        <v>114</v>
      </c>
      <c r="FL1675" s="1" t="s">
        <v>164</v>
      </c>
      <c r="FM1675" s="1" t="s">
        <v>418</v>
      </c>
      <c r="GD1675" s="1" t="s">
        <v>189</v>
      </c>
      <c r="GE1675" s="1" t="s">
        <v>190</v>
      </c>
    </row>
    <row r="1676" spans="1:187" ht="11.25" customHeight="1">
      <c r="A1676" s="1" t="s">
        <v>2557</v>
      </c>
      <c r="B1676" s="1" t="str">
        <f ca="1">IFERROR(__xludf.DUMMYFUNCTION("GOOGLETRANSLATE(A1676, ""en"", ""fr"")"),"Graphique n ° 1")</f>
        <v>Graphique n ° 1</v>
      </c>
      <c r="C1676" s="1" t="s">
        <v>185</v>
      </c>
      <c r="BC1676" s="1" t="s">
        <v>51</v>
      </c>
      <c r="BH1676" s="1" t="s">
        <v>56</v>
      </c>
      <c r="BL1676" s="1" t="s">
        <v>60</v>
      </c>
      <c r="GD1676" s="1" t="s">
        <v>193</v>
      </c>
      <c r="GE1676" s="1" t="s">
        <v>190</v>
      </c>
    </row>
    <row r="1677" spans="1:187" ht="11.25" customHeight="1">
      <c r="A1677" s="1" t="s">
        <v>2558</v>
      </c>
      <c r="B1677" s="1" t="str">
        <f ca="1">IFERROR(__xludf.DUMMYFUNCTION("GOOGLETRANSLATE(A1677, ""en"", ""fr"")"),"Graphique n ° 2")</f>
        <v>Graphique n ° 2</v>
      </c>
      <c r="C1677" s="1" t="s">
        <v>185</v>
      </c>
      <c r="N1677" s="1" t="s">
        <v>10</v>
      </c>
      <c r="CO1677" s="1" t="s">
        <v>89</v>
      </c>
      <c r="DN1677" s="1" t="s">
        <v>114</v>
      </c>
      <c r="GD1677" s="1" t="s">
        <v>189</v>
      </c>
      <c r="GE1677" s="1" t="s">
        <v>190</v>
      </c>
    </row>
    <row r="1678" spans="1:187" ht="11.25" customHeight="1">
      <c r="A1678" s="1" t="s">
        <v>2559</v>
      </c>
      <c r="B1678" s="1" t="str">
        <f ca="1">IFERROR(__xludf.DUMMYFUNCTION("GOOGLETRANSLATE(A1678, ""en"", ""fr"")"),"Charte n ° 1")</f>
        <v>Charte n ° 1</v>
      </c>
      <c r="C1678" s="1" t="s">
        <v>185</v>
      </c>
      <c r="BC1678" s="1" t="s">
        <v>51</v>
      </c>
      <c r="BH1678" s="1" t="s">
        <v>56</v>
      </c>
      <c r="BL1678" s="1" t="s">
        <v>60</v>
      </c>
      <c r="EB1678" s="1" t="s">
        <v>128</v>
      </c>
      <c r="ED1678" s="1" t="s">
        <v>130</v>
      </c>
      <c r="GD1678" s="1" t="s">
        <v>193</v>
      </c>
      <c r="GE1678" s="1" t="s">
        <v>190</v>
      </c>
    </row>
    <row r="1679" spans="1:187" ht="11.25" customHeight="1">
      <c r="A1679" s="1" t="s">
        <v>2560</v>
      </c>
      <c r="B1679" s="1" t="str">
        <f ca="1">IFERROR(__xludf.DUMMYFUNCTION("GOOGLETRANSLATE(A1679, ""en"", ""fr"")"),"Charte n ° 2")</f>
        <v>Charte n ° 2</v>
      </c>
      <c r="C1679" s="1" t="s">
        <v>185</v>
      </c>
      <c r="AA1679" s="1" t="s">
        <v>23</v>
      </c>
      <c r="AL1679" s="1" t="s">
        <v>34</v>
      </c>
      <c r="DN1679" s="1" t="s">
        <v>114</v>
      </c>
      <c r="EB1679" s="1" t="s">
        <v>128</v>
      </c>
      <c r="ED1679" s="1" t="s">
        <v>130</v>
      </c>
      <c r="GD1679" s="1" t="s">
        <v>189</v>
      </c>
      <c r="GE1679" s="1" t="s">
        <v>190</v>
      </c>
    </row>
    <row r="1680" spans="1:187" ht="11.25" customHeight="1">
      <c r="A1680" s="1" t="s">
        <v>2561</v>
      </c>
      <c r="B1680" s="1" t="str">
        <f ca="1">IFERROR(__xludf.DUMMYFUNCTION("GOOGLETRANSLATE(A1680, ""en"", ""fr"")"),"Chase n ° 1")</f>
        <v>Chase n ° 1</v>
      </c>
      <c r="C1680" s="1" t="s">
        <v>185</v>
      </c>
      <c r="E1680" s="1" t="s">
        <v>16613</v>
      </c>
      <c r="H1680" s="1" t="s">
        <v>4</v>
      </c>
      <c r="I1680" s="1" t="s">
        <v>5</v>
      </c>
      <c r="N1680" s="1" t="s">
        <v>10</v>
      </c>
      <c r="CE1680" s="1" t="s">
        <v>79</v>
      </c>
      <c r="GD1680" s="1" t="s">
        <v>193</v>
      </c>
      <c r="GE1680" s="1" t="s">
        <v>2562</v>
      </c>
    </row>
    <row r="1681" spans="1:187" ht="11.25" customHeight="1">
      <c r="A1681" s="1" t="s">
        <v>2563</v>
      </c>
      <c r="B1681" s="1" t="str">
        <f ca="1">IFERROR(__xludf.DUMMYFUNCTION("GOOGLETRANSLATE(A1681, ""en"", ""fr"")"),"Chase n ° 2")</f>
        <v>Chase n ° 2</v>
      </c>
      <c r="C1681" s="1" t="s">
        <v>185</v>
      </c>
      <c r="E1681" s="1" t="s">
        <v>16613</v>
      </c>
      <c r="H1681" s="1" t="s">
        <v>4</v>
      </c>
      <c r="I1681" s="1" t="s">
        <v>5</v>
      </c>
      <c r="N1681" s="1" t="s">
        <v>10</v>
      </c>
      <c r="CE1681" s="1" t="s">
        <v>79</v>
      </c>
      <c r="DO1681" s="1" t="s">
        <v>115</v>
      </c>
      <c r="GD1681" s="1" t="s">
        <v>400</v>
      </c>
      <c r="GE1681" s="1" t="s">
        <v>2564</v>
      </c>
    </row>
    <row r="1682" spans="1:187" ht="11.25" customHeight="1">
      <c r="A1682" s="1" t="s">
        <v>2565</v>
      </c>
      <c r="B1682" s="1" t="str">
        <f ca="1">IFERROR(__xludf.DUMMYFUNCTION("GOOGLETRANSLATE(A1682, ""en"", ""fr"")"),"CHASTE")</f>
        <v>CHASTE</v>
      </c>
      <c r="C1682" s="1" t="s">
        <v>192</v>
      </c>
      <c r="D1682" s="1" t="s">
        <v>16612</v>
      </c>
      <c r="U1682" s="1" t="s">
        <v>17</v>
      </c>
      <c r="DR1682" s="1" t="s">
        <v>118</v>
      </c>
      <c r="GD1682" s="1" t="s">
        <v>202</v>
      </c>
      <c r="GE1682" s="1" t="s">
        <v>190</v>
      </c>
    </row>
    <row r="1683" spans="1:187" ht="11.25" customHeight="1">
      <c r="A1683" s="1" t="s">
        <v>2566</v>
      </c>
      <c r="B1683" s="1" t="str">
        <f ca="1">IFERROR(__xludf.DUMMYFUNCTION("GOOGLETRANSLATE(A1683, ""en"", ""fr"")"),"PUNIR")</f>
        <v>PUNIR</v>
      </c>
      <c r="C1683" s="1" t="s">
        <v>192</v>
      </c>
      <c r="E1683" s="1" t="s">
        <v>16613</v>
      </c>
      <c r="I1683" s="1" t="s">
        <v>5</v>
      </c>
      <c r="K1683" s="1" t="s">
        <v>7</v>
      </c>
      <c r="N1683" s="1" t="s">
        <v>10</v>
      </c>
      <c r="BK1683" s="1" t="s">
        <v>59</v>
      </c>
      <c r="DN1683" s="1" t="s">
        <v>114</v>
      </c>
      <c r="GD1683" s="1" t="s">
        <v>670</v>
      </c>
      <c r="GE1683" s="1" t="s">
        <v>190</v>
      </c>
    </row>
    <row r="1684" spans="1:187" ht="11.25" customHeight="1">
      <c r="A1684" s="1" t="s">
        <v>2567</v>
      </c>
      <c r="B1684" s="1" t="str">
        <f ca="1">IFERROR(__xludf.DUMMYFUNCTION("GOOGLETRANSLATE(A1684, ""en"", ""fr"")"),"Chat n ° 1")</f>
        <v>Chat n ° 1</v>
      </c>
      <c r="C1684" s="1" t="s">
        <v>192</v>
      </c>
      <c r="GE1684" s="1" t="s">
        <v>190</v>
      </c>
    </row>
    <row r="1685" spans="1:187" ht="11.25" customHeight="1">
      <c r="A1685" s="1" t="s">
        <v>2568</v>
      </c>
      <c r="B1685" s="1" t="str">
        <f ca="1">IFERROR(__xludf.DUMMYFUNCTION("GOOGLETRANSLATE(A1685, ""en"", ""fr"")"),"Bavardage n ° 1")</f>
        <v>Bavardage n ° 1</v>
      </c>
      <c r="C1685" s="1" t="s">
        <v>185</v>
      </c>
      <c r="BK1685" s="1" t="s">
        <v>59</v>
      </c>
      <c r="BL1685" s="1" t="s">
        <v>60</v>
      </c>
      <c r="GC1685" s="1" t="s">
        <v>181</v>
      </c>
      <c r="GD1685" s="1" t="s">
        <v>193</v>
      </c>
      <c r="GE1685" s="1" t="s">
        <v>190</v>
      </c>
    </row>
    <row r="1686" spans="1:187" ht="11.25" customHeight="1">
      <c r="A1686" s="1" t="s">
        <v>2569</v>
      </c>
      <c r="B1686" s="1" t="str">
        <f ca="1">IFERROR(__xludf.DUMMYFUNCTION("GOOGLETRANSLATE(A1686, ""en"", ""fr"")"),"Chatter # 2")</f>
        <v>Chatter # 2</v>
      </c>
      <c r="C1686" s="1" t="s">
        <v>185</v>
      </c>
      <c r="BK1686" s="1" t="s">
        <v>59</v>
      </c>
      <c r="DO1686" s="1" t="s">
        <v>115</v>
      </c>
      <c r="GD1686" s="1" t="s">
        <v>189</v>
      </c>
      <c r="GE1686" s="1" t="s">
        <v>190</v>
      </c>
    </row>
    <row r="1687" spans="1:187" ht="11.25" customHeight="1">
      <c r="A1687" s="1" t="s">
        <v>2570</v>
      </c>
      <c r="B1687" s="1" t="str">
        <f ca="1">IFERROR(__xludf.DUMMYFUNCTION("GOOGLETRANSLATE(A1687, ""en"", ""fr"")"),"BON MARCHÉ")</f>
        <v>BON MARCHÉ</v>
      </c>
      <c r="C1687" s="1" t="s">
        <v>185</v>
      </c>
      <c r="E1687" s="1" t="s">
        <v>16613</v>
      </c>
      <c r="H1687" s="1" t="s">
        <v>4</v>
      </c>
      <c r="L1687" s="1" t="s">
        <v>8</v>
      </c>
      <c r="V1687" s="1" t="s">
        <v>18</v>
      </c>
      <c r="AA1687" s="1" t="s">
        <v>23</v>
      </c>
      <c r="AC1687" s="1" t="s">
        <v>25</v>
      </c>
      <c r="CN1687" s="1" t="s">
        <v>88</v>
      </c>
      <c r="EV1687" s="1" t="s">
        <v>148</v>
      </c>
      <c r="EW1687" s="1" t="s">
        <v>149</v>
      </c>
      <c r="GD1687" s="1" t="s">
        <v>202</v>
      </c>
      <c r="GE1687" s="1" t="s">
        <v>190</v>
      </c>
    </row>
    <row r="1688" spans="1:187" ht="11.25" customHeight="1">
      <c r="A1688" s="1" t="s">
        <v>2571</v>
      </c>
      <c r="B1688" s="1" t="str">
        <f ca="1">IFERROR(__xludf.DUMMYFUNCTION("GOOGLETRANSLATE(A1688, ""en"", ""fr"")"),"BAISSER LE PRIX")</f>
        <v>BAISSER LE PRIX</v>
      </c>
      <c r="C1688" s="1" t="s">
        <v>192</v>
      </c>
      <c r="E1688" s="1" t="s">
        <v>16613</v>
      </c>
      <c r="L1688" s="1" t="s">
        <v>8</v>
      </c>
      <c r="N1688" s="1" t="s">
        <v>10</v>
      </c>
      <c r="BY1688" s="1" t="s">
        <v>73</v>
      </c>
      <c r="DN1688" s="1" t="s">
        <v>114</v>
      </c>
      <c r="GD1688" s="1" t="s">
        <v>189</v>
      </c>
      <c r="GE1688" s="1" t="s">
        <v>190</v>
      </c>
    </row>
    <row r="1689" spans="1:187" ht="11.25" customHeight="1">
      <c r="A1689" s="1" t="s">
        <v>2572</v>
      </c>
      <c r="B1689" s="1" t="str">
        <f ca="1">IFERROR(__xludf.DUMMYFUNCTION("GOOGLETRANSLATE(A1689, ""en"", ""fr"")"),"Quanque")</f>
        <v>Quanque</v>
      </c>
      <c r="C1689" s="1" t="s">
        <v>196</v>
      </c>
      <c r="FA1689" s="1" t="s">
        <v>153</v>
      </c>
      <c r="FC1689" s="1" t="s">
        <v>155</v>
      </c>
      <c r="GD1689" s="1" t="s">
        <v>2573</v>
      </c>
    </row>
    <row r="1690" spans="1:187" ht="11.25" customHeight="1">
      <c r="A1690" s="1" t="s">
        <v>2574</v>
      </c>
      <c r="B1690" s="1" t="str">
        <f ca="1">IFERROR(__xludf.DUMMYFUNCTION("GOOGLETRANSLATE(A1690, ""en"", ""fr"")"),"Triche # 1")</f>
        <v>Triche # 1</v>
      </c>
      <c r="C1690" s="1" t="s">
        <v>185</v>
      </c>
      <c r="AA1690" s="1" t="s">
        <v>23</v>
      </c>
      <c r="AJ1690" s="1" t="s">
        <v>32</v>
      </c>
      <c r="AT1690" s="1" t="s">
        <v>42</v>
      </c>
      <c r="EE1690" s="1" t="s">
        <v>131</v>
      </c>
      <c r="EJ1690" s="1" t="s">
        <v>136</v>
      </c>
      <c r="GD1690" s="1" t="s">
        <v>193</v>
      </c>
      <c r="GE1690" s="1" t="s">
        <v>190</v>
      </c>
    </row>
    <row r="1691" spans="1:187" ht="11.25" customHeight="1">
      <c r="A1691" s="1" t="s">
        <v>2575</v>
      </c>
      <c r="B1691" s="1" t="str">
        <f ca="1">IFERROR(__xludf.DUMMYFUNCTION("GOOGLETRANSLATE(A1691, ""en"", ""fr"")"),"Triche # 2")</f>
        <v>Triche # 2</v>
      </c>
      <c r="C1691" s="1" t="s">
        <v>185</v>
      </c>
      <c r="I1691" s="1" t="s">
        <v>5</v>
      </c>
      <c r="AN1691" s="1" t="s">
        <v>36</v>
      </c>
      <c r="DN1691" s="1" t="s">
        <v>114</v>
      </c>
      <c r="EE1691" s="1" t="s">
        <v>131</v>
      </c>
      <c r="EJ1691" s="1" t="s">
        <v>136</v>
      </c>
      <c r="GD1691" s="1" t="s">
        <v>189</v>
      </c>
      <c r="GE1691" s="1" t="s">
        <v>190</v>
      </c>
    </row>
    <row r="1692" spans="1:187" ht="11.25" customHeight="1">
      <c r="A1692" s="1" t="s">
        <v>2576</v>
      </c>
      <c r="B1692" s="1" t="str">
        <f ca="1">IFERROR(__xludf.DUMMYFUNCTION("GOOGLETRANSLATE(A1692, ""en"", ""fr"")"),"TRICHEUR")</f>
        <v>TRICHEUR</v>
      </c>
      <c r="C1692" s="1" t="s">
        <v>192</v>
      </c>
      <c r="E1692" s="1" t="s">
        <v>16613</v>
      </c>
      <c r="V1692" s="1" t="s">
        <v>18</v>
      </c>
      <c r="AT1692" s="1" t="s">
        <v>42</v>
      </c>
      <c r="GD1692" s="1" t="s">
        <v>193</v>
      </c>
      <c r="GE1692" s="1" t="s">
        <v>190</v>
      </c>
    </row>
    <row r="1693" spans="1:187" ht="11.25" customHeight="1">
      <c r="A1693" s="1" t="s">
        <v>2577</v>
      </c>
      <c r="B1693" s="1" t="str">
        <f ca="1">IFERROR(__xludf.DUMMYFUNCTION("GOOGLETRANSLATE(A1693, ""en"", ""fr"")"),"Vérifier n ° 1")</f>
        <v>Vérifier n ° 1</v>
      </c>
      <c r="C1693" s="1" t="s">
        <v>185</v>
      </c>
      <c r="AA1693" s="1" t="s">
        <v>23</v>
      </c>
      <c r="AC1693" s="1" t="s">
        <v>25</v>
      </c>
      <c r="BC1693" s="1" t="s">
        <v>51</v>
      </c>
      <c r="BH1693" s="1" t="s">
        <v>56</v>
      </c>
      <c r="BL1693" s="1" t="s">
        <v>60</v>
      </c>
      <c r="EV1693" s="1" t="s">
        <v>148</v>
      </c>
      <c r="EW1693" s="1" t="s">
        <v>149</v>
      </c>
      <c r="GD1693" s="1" t="s">
        <v>193</v>
      </c>
      <c r="GE1693" s="1" t="s">
        <v>2578</v>
      </c>
    </row>
    <row r="1694" spans="1:187" ht="11.25" customHeight="1">
      <c r="A1694" s="1" t="s">
        <v>2579</v>
      </c>
      <c r="B1694" s="1" t="str">
        <f ca="1">IFERROR(__xludf.DUMMYFUNCTION("GOOGLETRANSLATE(A1694, ""en"", ""fr"")"),"Vérifier n ° 2")</f>
        <v>Vérifier n ° 2</v>
      </c>
      <c r="C1694" s="1" t="s">
        <v>185</v>
      </c>
      <c r="N1694" s="1" t="s">
        <v>10</v>
      </c>
      <c r="CO1694" s="1" t="s">
        <v>89</v>
      </c>
      <c r="DN1694" s="1" t="s">
        <v>114</v>
      </c>
      <c r="DT1694" s="1" t="s">
        <v>120</v>
      </c>
      <c r="ED1694" s="1" t="s">
        <v>130</v>
      </c>
      <c r="GD1694" s="1" t="s">
        <v>189</v>
      </c>
      <c r="GE1694" s="1" t="s">
        <v>2580</v>
      </c>
    </row>
    <row r="1695" spans="1:187" ht="11.25" customHeight="1">
      <c r="A1695" s="1" t="s">
        <v>2581</v>
      </c>
      <c r="B1695" s="1" t="str">
        <f ca="1">IFERROR(__xludf.DUMMYFUNCTION("GOOGLETRANSLATE(A1695, ""en"", ""fr"")"),"Vérifier n ° 3")</f>
        <v>Vérifier n ° 3</v>
      </c>
      <c r="C1695" s="1" t="s">
        <v>185</v>
      </c>
      <c r="N1695" s="1" t="s">
        <v>10</v>
      </c>
      <c r="BQ1695" s="1" t="s">
        <v>65</v>
      </c>
      <c r="GD1695" s="1" t="s">
        <v>193</v>
      </c>
      <c r="GE1695" s="1" t="s">
        <v>2582</v>
      </c>
    </row>
    <row r="1696" spans="1:187" ht="11.25" customHeight="1">
      <c r="A1696" s="1" t="s">
        <v>2583</v>
      </c>
      <c r="B1696" s="1" t="str">
        <f ca="1">IFERROR(__xludf.DUMMYFUNCTION("GOOGLETRANSLATE(A1696, ""en"", ""fr"")"),"VÉRIFICATEUR")</f>
        <v>VÉRIFICATEUR</v>
      </c>
      <c r="C1696" s="1" t="s">
        <v>185</v>
      </c>
      <c r="BC1696" s="1" t="s">
        <v>51</v>
      </c>
      <c r="BD1696" s="1" t="s">
        <v>52</v>
      </c>
      <c r="GD1696" s="1" t="s">
        <v>193</v>
      </c>
      <c r="GE1696" s="1" t="s">
        <v>190</v>
      </c>
    </row>
    <row r="1697" spans="1:187" ht="11.25" customHeight="1">
      <c r="A1697" s="1" t="s">
        <v>2584</v>
      </c>
      <c r="B1697" s="1" t="str">
        <f ca="1">IFERROR(__xludf.DUMMYFUNCTION("GOOGLETRANSLATE(A1697, ""en"", ""fr"")"),"JOUE")</f>
        <v>JOUE</v>
      </c>
      <c r="C1697" s="1" t="s">
        <v>185</v>
      </c>
      <c r="BJ1697" s="1" t="s">
        <v>58</v>
      </c>
      <c r="GD1697" s="1" t="s">
        <v>193</v>
      </c>
      <c r="GE1697" s="1" t="s">
        <v>190</v>
      </c>
    </row>
    <row r="1698" spans="1:187" ht="11.25" customHeight="1">
      <c r="A1698" s="1" t="s">
        <v>2585</v>
      </c>
      <c r="B1698" s="1" t="str">
        <f ca="1">IFERROR(__xludf.DUMMYFUNCTION("GOOGLETRANSLATE(A1698, ""en"", ""fr"")"),"ACCLAMATION")</f>
        <v>ACCLAMATION</v>
      </c>
      <c r="C1698" s="1" t="s">
        <v>185</v>
      </c>
      <c r="D1698" s="1" t="s">
        <v>16612</v>
      </c>
      <c r="G1698" s="1" t="s">
        <v>3</v>
      </c>
      <c r="N1698" s="1" t="s">
        <v>10</v>
      </c>
      <c r="BK1698" s="1" t="s">
        <v>59</v>
      </c>
      <c r="DN1698" s="1" t="s">
        <v>114</v>
      </c>
      <c r="EX1698" s="1" t="s">
        <v>150</v>
      </c>
      <c r="FC1698" s="1" t="s">
        <v>155</v>
      </c>
      <c r="GD1698" s="1" t="s">
        <v>189</v>
      </c>
      <c r="GE1698" s="1" t="s">
        <v>190</v>
      </c>
    </row>
    <row r="1699" spans="1:187" ht="11.25" customHeight="1">
      <c r="A1699" s="1" t="s">
        <v>2586</v>
      </c>
      <c r="B1699" s="1" t="str">
        <f ca="1">IFERROR(__xludf.DUMMYFUNCTION("GOOGLETRANSLATE(A1699, ""en"", ""fr"")"),"JOYEUX")</f>
        <v>JOYEUX</v>
      </c>
      <c r="C1699" s="1" t="s">
        <v>185</v>
      </c>
      <c r="D1699" s="1" t="s">
        <v>16612</v>
      </c>
      <c r="F1699" s="1" t="s">
        <v>2</v>
      </c>
      <c r="P1699" s="1" t="s">
        <v>12</v>
      </c>
      <c r="T1699" s="1" t="s">
        <v>16</v>
      </c>
      <c r="FA1699" s="1" t="s">
        <v>153</v>
      </c>
      <c r="FC1699" s="1" t="s">
        <v>155</v>
      </c>
      <c r="GD1699" s="1" t="s">
        <v>202</v>
      </c>
      <c r="GE1699" s="1" t="s">
        <v>190</v>
      </c>
    </row>
    <row r="1700" spans="1:187" ht="11.25" customHeight="1">
      <c r="A1700" s="1" t="s">
        <v>2587</v>
      </c>
      <c r="B1700" s="1" t="str">
        <f ca="1">IFERROR(__xludf.DUMMYFUNCTION("GOOGLETRANSLATE(A1700, ""en"", ""fr"")"),"GAIETÉ")</f>
        <v>GAIETÉ</v>
      </c>
      <c r="C1700" s="1" t="s">
        <v>196</v>
      </c>
      <c r="FA1700" s="1" t="s">
        <v>153</v>
      </c>
      <c r="FC1700" s="1" t="s">
        <v>155</v>
      </c>
      <c r="GD1700" s="1" t="s">
        <v>1034</v>
      </c>
    </row>
    <row r="1701" spans="1:187" ht="11.25" customHeight="1">
      <c r="A1701" s="1" t="s">
        <v>2588</v>
      </c>
      <c r="B1701" s="1" t="str">
        <f ca="1">IFERROR(__xludf.DUMMYFUNCTION("GOOGLETRANSLATE(A1701, ""en"", ""fr"")"),"GAI")</f>
        <v>GAI</v>
      </c>
      <c r="C1701" s="1" t="s">
        <v>185</v>
      </c>
      <c r="D1701" s="1" t="s">
        <v>16612</v>
      </c>
      <c r="F1701" s="1" t="s">
        <v>2</v>
      </c>
      <c r="P1701" s="1" t="s">
        <v>12</v>
      </c>
      <c r="T1701" s="1" t="s">
        <v>16</v>
      </c>
      <c r="GD1701" s="1" t="s">
        <v>202</v>
      </c>
      <c r="GE1701" s="1" t="s">
        <v>190</v>
      </c>
    </row>
    <row r="1702" spans="1:187" ht="11.25" customHeight="1">
      <c r="A1702" s="1" t="s">
        <v>2589</v>
      </c>
      <c r="B1702" s="1" t="str">
        <f ca="1">IFERROR(__xludf.DUMMYFUNCTION("GOOGLETRANSLATE(A1702, ""en"", ""fr"")"),"CHIMIQUE")</f>
        <v>CHIMIQUE</v>
      </c>
      <c r="C1702" s="1" t="s">
        <v>185</v>
      </c>
      <c r="BC1702" s="1" t="s">
        <v>51</v>
      </c>
      <c r="BD1702" s="1" t="s">
        <v>52</v>
      </c>
      <c r="GD1702" s="1" t="s">
        <v>202</v>
      </c>
      <c r="GE1702" s="1" t="s">
        <v>190</v>
      </c>
    </row>
    <row r="1703" spans="1:187" ht="11.25" customHeight="1">
      <c r="A1703" s="1" t="s">
        <v>2590</v>
      </c>
      <c r="B1703" s="1" t="str">
        <f ca="1">IFERROR(__xludf.DUMMYFUNCTION("GOOGLETRANSLATE(A1703, ""en"", ""fr"")"),"CHIMIE")</f>
        <v>CHIMIE</v>
      </c>
      <c r="C1703" s="1" t="s">
        <v>185</v>
      </c>
      <c r="Y1703" s="1" t="s">
        <v>21</v>
      </c>
      <c r="Z1703" s="1" t="s">
        <v>22</v>
      </c>
      <c r="GD1703" s="1" t="s">
        <v>193</v>
      </c>
      <c r="GE1703" s="1" t="s">
        <v>190</v>
      </c>
    </row>
    <row r="1704" spans="1:187" ht="11.25" customHeight="1">
      <c r="A1704" s="1" t="s">
        <v>2591</v>
      </c>
      <c r="B1704" s="1" t="str">
        <f ca="1">IFERROR(__xludf.DUMMYFUNCTION("GOOGLETRANSLATE(A1704, ""en"", ""fr"")"),"VÉRIFIER")</f>
        <v>VÉRIFIER</v>
      </c>
      <c r="C1704" s="1" t="s">
        <v>185</v>
      </c>
      <c r="AA1704" s="1" t="s">
        <v>23</v>
      </c>
      <c r="AC1704" s="1" t="s">
        <v>25</v>
      </c>
      <c r="BC1704" s="1" t="s">
        <v>51</v>
      </c>
      <c r="BH1704" s="1" t="s">
        <v>56</v>
      </c>
      <c r="BL1704" s="1" t="s">
        <v>60</v>
      </c>
      <c r="EV1704" s="1" t="s">
        <v>148</v>
      </c>
      <c r="EW1704" s="1" t="s">
        <v>149</v>
      </c>
      <c r="GD1704" s="1" t="s">
        <v>193</v>
      </c>
      <c r="GE1704" s="1" t="s">
        <v>190</v>
      </c>
    </row>
    <row r="1705" spans="1:187" ht="11.25" customHeight="1">
      <c r="A1705" s="1" t="s">
        <v>2592</v>
      </c>
      <c r="B1705" s="1" t="str">
        <f ca="1">IFERROR(__xludf.DUMMYFUNCTION("GOOGLETRANSLATE(A1705, ""en"", ""fr"")"),"Chérir # 1")</f>
        <v>Chérir # 1</v>
      </c>
      <c r="C1705" s="1" t="s">
        <v>185</v>
      </c>
      <c r="D1705" s="1" t="s">
        <v>16612</v>
      </c>
      <c r="F1705" s="1" t="s">
        <v>2</v>
      </c>
      <c r="O1705" s="1" t="s">
        <v>11</v>
      </c>
      <c r="U1705" s="1" t="s">
        <v>17</v>
      </c>
      <c r="FR1705" s="1" t="s">
        <v>170</v>
      </c>
      <c r="GD1705" s="1" t="s">
        <v>202</v>
      </c>
      <c r="GE1705" s="1" t="s">
        <v>190</v>
      </c>
    </row>
    <row r="1706" spans="1:187" ht="11.25" customHeight="1">
      <c r="A1706" s="1" t="s">
        <v>2593</v>
      </c>
      <c r="B1706" s="1" t="str">
        <f ca="1">IFERROR(__xludf.DUMMYFUNCTION("GOOGLETRANSLATE(A1706, ""en"", ""fr"")"),"Chérir # 2")</f>
        <v>Chérir # 2</v>
      </c>
      <c r="C1706" s="1" t="s">
        <v>185</v>
      </c>
      <c r="D1706" s="1" t="s">
        <v>16612</v>
      </c>
      <c r="F1706" s="1" t="s">
        <v>2</v>
      </c>
      <c r="G1706" s="1" t="s">
        <v>3</v>
      </c>
      <c r="O1706" s="1" t="s">
        <v>11</v>
      </c>
      <c r="AN1706" s="1" t="s">
        <v>36</v>
      </c>
      <c r="DN1706" s="1" t="s">
        <v>114</v>
      </c>
      <c r="FR1706" s="1" t="s">
        <v>170</v>
      </c>
      <c r="GD1706" s="1" t="s">
        <v>189</v>
      </c>
      <c r="GE1706" s="1" t="s">
        <v>190</v>
      </c>
    </row>
    <row r="1707" spans="1:187" ht="11.25" customHeight="1">
      <c r="A1707" s="1" t="s">
        <v>2594</v>
      </c>
      <c r="B1707" s="1" t="str">
        <f ca="1">IFERROR(__xludf.DUMMYFUNCTION("GOOGLETRANSLATE(A1707, ""en"", ""fr"")"),"CHÉRUBIN")</f>
        <v>CHÉRUBIN</v>
      </c>
      <c r="C1707" s="1" t="s">
        <v>192</v>
      </c>
      <c r="D1707" s="1" t="s">
        <v>16612</v>
      </c>
      <c r="U1707" s="1" t="s">
        <v>17</v>
      </c>
      <c r="AJ1707" s="1" t="s">
        <v>32</v>
      </c>
      <c r="AT1707" s="1" t="s">
        <v>42</v>
      </c>
      <c r="GD1707" s="1" t="s">
        <v>193</v>
      </c>
      <c r="GE1707" s="1" t="s">
        <v>190</v>
      </c>
    </row>
    <row r="1708" spans="1:187" ht="11.25" customHeight="1">
      <c r="A1708" s="1" t="s">
        <v>2595</v>
      </c>
      <c r="B1708" s="1" t="str">
        <f ca="1">IFERROR(__xludf.DUMMYFUNCTION("GOOGLETRANSLATE(A1708, ""en"", ""fr"")"),"POITRINE")</f>
        <v>POITRINE</v>
      </c>
      <c r="C1708" s="1" t="s">
        <v>185</v>
      </c>
      <c r="BJ1708" s="1" t="s">
        <v>58</v>
      </c>
      <c r="GD1708" s="1" t="s">
        <v>193</v>
      </c>
      <c r="GE1708" s="1" t="s">
        <v>190</v>
      </c>
    </row>
    <row r="1709" spans="1:187" ht="11.25" customHeight="1">
      <c r="A1709" s="1" t="s">
        <v>2596</v>
      </c>
      <c r="B1709" s="1" t="str">
        <f ca="1">IFERROR(__xludf.DUMMYFUNCTION("GOOGLETRANSLATE(A1709, ""en"", ""fr"")"),"ÉLÉGANT")</f>
        <v>ÉLÉGANT</v>
      </c>
      <c r="C1709" s="1" t="s">
        <v>192</v>
      </c>
      <c r="D1709" s="1" t="s">
        <v>16612</v>
      </c>
      <c r="CM1709" s="1" t="s">
        <v>87</v>
      </c>
      <c r="CR1709" s="1" t="s">
        <v>92</v>
      </c>
      <c r="DR1709" s="1" t="s">
        <v>118</v>
      </c>
      <c r="GD1709" s="1" t="s">
        <v>202</v>
      </c>
      <c r="GE1709" s="1" t="s">
        <v>190</v>
      </c>
    </row>
    <row r="1710" spans="1:187" ht="11.25" customHeight="1">
      <c r="A1710" s="1" t="s">
        <v>2597</v>
      </c>
      <c r="B1710" s="1" t="str">
        <f ca="1">IFERROR(__xludf.DUMMYFUNCTION("GOOGLETRANSLATE(A1710, ""en"", ""fr"")"),"CHICAGO")</f>
        <v>CHICAGO</v>
      </c>
      <c r="C1710" s="1" t="s">
        <v>185</v>
      </c>
      <c r="AC1710" s="1" t="s">
        <v>25</v>
      </c>
      <c r="AH1710" s="1" t="s">
        <v>30</v>
      </c>
      <c r="DI1710" s="1" t="s">
        <v>109</v>
      </c>
      <c r="GD1710" s="1" t="s">
        <v>193</v>
      </c>
      <c r="GE1710" s="1" t="s">
        <v>190</v>
      </c>
    </row>
    <row r="1711" spans="1:187" ht="11.25" customHeight="1">
      <c r="A1711" s="1" t="s">
        <v>2598</v>
      </c>
      <c r="B1711" s="1" t="str">
        <f ca="1">IFERROR(__xludf.DUMMYFUNCTION("GOOGLETRANSLATE(A1711, ""en"", ""fr"")"),"POULET")</f>
        <v>POULET</v>
      </c>
      <c r="C1711" s="1" t="s">
        <v>185</v>
      </c>
      <c r="AU1711" s="1" t="s">
        <v>43</v>
      </c>
      <c r="GD1711" s="1" t="s">
        <v>193</v>
      </c>
      <c r="GE1711" s="1" t="s">
        <v>2599</v>
      </c>
    </row>
    <row r="1712" spans="1:187" ht="11.25" customHeight="1">
      <c r="A1712" s="1" t="s">
        <v>2600</v>
      </c>
      <c r="B1712" s="1" t="str">
        <f ca="1">IFERROR(__xludf.DUMMYFUNCTION("GOOGLETRANSLATE(A1712, ""en"", ""fr"")"),"GRONDER")</f>
        <v>GRONDER</v>
      </c>
      <c r="C1712" s="1" t="s">
        <v>192</v>
      </c>
      <c r="E1712" s="1" t="s">
        <v>16613</v>
      </c>
      <c r="I1712" s="1" t="s">
        <v>5</v>
      </c>
      <c r="K1712" s="1" t="s">
        <v>7</v>
      </c>
      <c r="N1712" s="1" t="s">
        <v>10</v>
      </c>
      <c r="BK1712" s="1" t="s">
        <v>59</v>
      </c>
      <c r="DN1712" s="1" t="s">
        <v>114</v>
      </c>
      <c r="GD1712" s="1" t="s">
        <v>670</v>
      </c>
      <c r="GE1712" s="1" t="s">
        <v>190</v>
      </c>
    </row>
    <row r="1713" spans="1:187" ht="11.25" customHeight="1">
      <c r="A1713" s="1" t="s">
        <v>2601</v>
      </c>
      <c r="B1713" s="1" t="str">
        <f ca="1">IFERROR(__xludf.DUMMYFUNCTION("GOOGLETRANSLATE(A1713, ""en"", ""fr"")"),"Chef n ° 1")</f>
        <v>Chef n ° 1</v>
      </c>
      <c r="C1713" s="1" t="s">
        <v>185</v>
      </c>
      <c r="J1713" s="1" t="s">
        <v>6</v>
      </c>
      <c r="K1713" s="1" t="s">
        <v>7</v>
      </c>
      <c r="AJ1713" s="1" t="s">
        <v>32</v>
      </c>
      <c r="AT1713" s="1" t="s">
        <v>42</v>
      </c>
      <c r="FT1713" s="1" t="s">
        <v>172</v>
      </c>
      <c r="GD1713" s="1" t="s">
        <v>849</v>
      </c>
      <c r="GE1713" s="1" t="s">
        <v>2602</v>
      </c>
    </row>
    <row r="1714" spans="1:187" ht="11.25" customHeight="1">
      <c r="A1714" s="1" t="s">
        <v>2603</v>
      </c>
      <c r="B1714" s="1" t="str">
        <f ca="1">IFERROR(__xludf.DUMMYFUNCTION("GOOGLETRANSLATE(A1714, ""en"", ""fr"")"),"Chef n ° 2")</f>
        <v>Chef n ° 2</v>
      </c>
      <c r="C1714" s="1" t="s">
        <v>185</v>
      </c>
      <c r="J1714" s="1" t="s">
        <v>6</v>
      </c>
      <c r="W1714" s="1" t="s">
        <v>19</v>
      </c>
      <c r="CS1714" s="1" t="s">
        <v>93</v>
      </c>
      <c r="GD1714" s="1" t="s">
        <v>202</v>
      </c>
      <c r="GE1714" s="1" t="s">
        <v>2604</v>
      </c>
    </row>
    <row r="1715" spans="1:187" ht="11.25" customHeight="1">
      <c r="A1715" s="1" t="s">
        <v>2605</v>
      </c>
      <c r="B1715" s="1" t="str">
        <f ca="1">IFERROR(__xludf.DUMMYFUNCTION("GOOGLETRANSLATE(A1715, ""en"", ""fr"")"),"Chef # 3")</f>
        <v>Chef # 3</v>
      </c>
      <c r="C1715" s="1" t="s">
        <v>185</v>
      </c>
      <c r="J1715" s="1" t="s">
        <v>6</v>
      </c>
      <c r="W1715" s="1" t="s">
        <v>19</v>
      </c>
      <c r="CS1715" s="1" t="s">
        <v>93</v>
      </c>
      <c r="GD1715" s="1" t="s">
        <v>236</v>
      </c>
      <c r="GE1715" s="1" t="s">
        <v>2606</v>
      </c>
    </row>
    <row r="1716" spans="1:187" ht="11.25" customHeight="1">
      <c r="A1716" s="1" t="s">
        <v>2607</v>
      </c>
      <c r="B1716" s="1" t="str">
        <f ca="1">IFERROR(__xludf.DUMMYFUNCTION("GOOGLETRANSLATE(A1716, ""en"", ""fr"")"),"ENFANT")</f>
        <v>ENFANT</v>
      </c>
      <c r="C1716" s="1" t="s">
        <v>185</v>
      </c>
      <c r="AJ1716" s="1" t="s">
        <v>32</v>
      </c>
      <c r="AS1716" s="1" t="s">
        <v>41</v>
      </c>
      <c r="AT1716" s="1" t="s">
        <v>42</v>
      </c>
      <c r="FB1716" s="1" t="s">
        <v>154</v>
      </c>
      <c r="FC1716" s="1" t="s">
        <v>155</v>
      </c>
      <c r="GD1716" s="1" t="s">
        <v>193</v>
      </c>
      <c r="GE1716" s="1" t="s">
        <v>2608</v>
      </c>
    </row>
    <row r="1717" spans="1:187" ht="11.25" customHeight="1">
      <c r="A1717" s="1" t="s">
        <v>2609</v>
      </c>
      <c r="B1717" s="1" t="str">
        <f ca="1">IFERROR(__xludf.DUMMYFUNCTION("GOOGLETRANSLATE(A1717, ""en"", ""fr"")"),"ENFANCE")</f>
        <v>ENFANCE</v>
      </c>
      <c r="C1717" s="1" t="s">
        <v>185</v>
      </c>
      <c r="CQ1717" s="1" t="s">
        <v>91</v>
      </c>
      <c r="CY1717" s="1" t="s">
        <v>99</v>
      </c>
      <c r="CZ1717" s="1" t="s">
        <v>100</v>
      </c>
      <c r="EZ1717" s="1" t="s">
        <v>152</v>
      </c>
      <c r="FC1717" s="1" t="s">
        <v>155</v>
      </c>
      <c r="GD1717" s="1" t="s">
        <v>193</v>
      </c>
      <c r="GE1717" s="1" t="s">
        <v>190</v>
      </c>
    </row>
    <row r="1718" spans="1:187" ht="11.25" customHeight="1">
      <c r="A1718" s="1" t="s">
        <v>2610</v>
      </c>
      <c r="B1718" s="1" t="str">
        <f ca="1">IFERROR(__xludf.DUMMYFUNCTION("GOOGLETRANSLATE(A1718, ""en"", ""fr"")"),"PUÉRIL")</f>
        <v>PUÉRIL</v>
      </c>
      <c r="C1718" s="1" t="s">
        <v>185</v>
      </c>
      <c r="E1718" s="1" t="s">
        <v>16613</v>
      </c>
      <c r="V1718" s="1" t="s">
        <v>18</v>
      </c>
      <c r="AS1718" s="1" t="s">
        <v>41</v>
      </c>
      <c r="DR1718" s="1" t="s">
        <v>118</v>
      </c>
      <c r="EM1718" s="1" t="s">
        <v>139</v>
      </c>
      <c r="EN1718" s="1" t="s">
        <v>140</v>
      </c>
      <c r="GD1718" s="1" t="s">
        <v>202</v>
      </c>
      <c r="GE1718" s="1" t="s">
        <v>190</v>
      </c>
    </row>
    <row r="1719" spans="1:187" ht="11.25" customHeight="1">
      <c r="A1719" s="1" t="s">
        <v>2611</v>
      </c>
      <c r="B1719" s="1" t="str">
        <f ca="1">IFERROR(__xludf.DUMMYFUNCTION("GOOGLETRANSLATE(A1719, ""en"", ""fr"")"),"Enfantin")</f>
        <v>Enfantin</v>
      </c>
      <c r="C1719" s="1" t="s">
        <v>196</v>
      </c>
      <c r="GD1719" s="1" t="s">
        <v>202</v>
      </c>
    </row>
    <row r="1720" spans="1:187" ht="11.25" customHeight="1">
      <c r="A1720" s="1" t="s">
        <v>2612</v>
      </c>
      <c r="B1720" s="1" t="str">
        <f ca="1">IFERROR(__xludf.DUMMYFUNCTION("GOOGLETRANSLATE(A1720, ""en"", ""fr"")"),"ENFANTS")</f>
        <v>ENFANTS</v>
      </c>
      <c r="C1720" s="1" t="s">
        <v>185</v>
      </c>
      <c r="AJ1720" s="1" t="s">
        <v>32</v>
      </c>
      <c r="AS1720" s="1" t="s">
        <v>41</v>
      </c>
      <c r="AT1720" s="1" t="s">
        <v>42</v>
      </c>
      <c r="FB1720" s="1" t="s">
        <v>154</v>
      </c>
      <c r="FC1720" s="1" t="s">
        <v>155</v>
      </c>
      <c r="GD1720" s="1" t="s">
        <v>576</v>
      </c>
      <c r="GE1720" s="1" t="s">
        <v>2613</v>
      </c>
    </row>
    <row r="1721" spans="1:187" ht="11.25" customHeight="1">
      <c r="A1721" s="1" t="s">
        <v>2614</v>
      </c>
      <c r="B1721" s="1" t="str">
        <f ca="1">IFERROR(__xludf.DUMMYFUNCTION("GOOGLETRANSLATE(A1721, ""en"", ""fr"")"),"CHILI")</f>
        <v>CHILI</v>
      </c>
      <c r="C1721" s="1" t="s">
        <v>196</v>
      </c>
      <c r="FU1721" s="1" t="s">
        <v>173</v>
      </c>
      <c r="GD1721" s="1" t="s">
        <v>545</v>
      </c>
    </row>
    <row r="1722" spans="1:187" ht="11.25" customHeight="1">
      <c r="A1722" s="1" t="s">
        <v>2615</v>
      </c>
      <c r="B1722" s="1" t="str">
        <f ca="1">IFERROR(__xludf.DUMMYFUNCTION("GOOGLETRANSLATE(A1722, ""en"", ""fr"")"),"Chill # 1")</f>
        <v>Chill # 1</v>
      </c>
      <c r="C1722" s="1" t="s">
        <v>185</v>
      </c>
      <c r="CR1722" s="1" t="s">
        <v>92</v>
      </c>
      <c r="GD1722" s="1" t="s">
        <v>202</v>
      </c>
      <c r="GE1722" s="1" t="s">
        <v>190</v>
      </c>
    </row>
    <row r="1723" spans="1:187" ht="11.25" customHeight="1">
      <c r="A1723" s="1" t="s">
        <v>2616</v>
      </c>
      <c r="B1723" s="1" t="str">
        <f ca="1">IFERROR(__xludf.DUMMYFUNCTION("GOOGLETRANSLATE(A1723, ""en"", ""fr"")"),"Chill # 2")</f>
        <v>Chill # 2</v>
      </c>
      <c r="C1723" s="1" t="s">
        <v>185</v>
      </c>
      <c r="BU1723" s="1" t="s">
        <v>69</v>
      </c>
      <c r="DN1723" s="1" t="s">
        <v>114</v>
      </c>
      <c r="GD1723" s="1" t="s">
        <v>189</v>
      </c>
      <c r="GE1723" s="1" t="s">
        <v>190</v>
      </c>
    </row>
    <row r="1724" spans="1:187" ht="11.25" customHeight="1">
      <c r="A1724" s="1" t="s">
        <v>2617</v>
      </c>
      <c r="B1724" s="1" t="str">
        <f ca="1">IFERROR(__xludf.DUMMYFUNCTION("GOOGLETRANSLATE(A1724, ""en"", ""fr"")"),"FROID")</f>
        <v>FROID</v>
      </c>
      <c r="C1724" s="1" t="s">
        <v>185</v>
      </c>
      <c r="CR1724" s="1" t="s">
        <v>92</v>
      </c>
      <c r="GD1724" s="1" t="s">
        <v>202</v>
      </c>
      <c r="GE1724" s="1" t="s">
        <v>190</v>
      </c>
    </row>
    <row r="1725" spans="1:187" ht="11.25" customHeight="1">
      <c r="A1725" s="1" t="s">
        <v>2618</v>
      </c>
      <c r="B1725" s="1" t="str">
        <f ca="1">IFERROR(__xludf.DUMMYFUNCTION("GOOGLETRANSLATE(A1725, ""en"", ""fr"")"),"MENTON")</f>
        <v>MENTON</v>
      </c>
      <c r="C1725" s="1" t="s">
        <v>185</v>
      </c>
      <c r="BJ1725" s="1" t="s">
        <v>58</v>
      </c>
      <c r="GD1725" s="1" t="s">
        <v>193</v>
      </c>
      <c r="GE1725" s="1" t="s">
        <v>190</v>
      </c>
    </row>
    <row r="1726" spans="1:187" ht="11.25" customHeight="1">
      <c r="A1726" s="1" t="s">
        <v>2619</v>
      </c>
      <c r="B1726" s="1" t="str">
        <f ca="1">IFERROR(__xludf.DUMMYFUNCTION("GOOGLETRANSLATE(A1726, ""en"", ""fr"")"),"CHINE")</f>
        <v>CHINE</v>
      </c>
      <c r="C1726" s="1" t="s">
        <v>185</v>
      </c>
      <c r="AC1726" s="1" t="s">
        <v>25</v>
      </c>
      <c r="AH1726" s="1" t="s">
        <v>30</v>
      </c>
      <c r="DI1726" s="1" t="s">
        <v>109</v>
      </c>
      <c r="FU1726" s="1" t="s">
        <v>173</v>
      </c>
      <c r="GD1726" s="1" t="s">
        <v>193</v>
      </c>
      <c r="GE1726" s="1" t="s">
        <v>190</v>
      </c>
    </row>
    <row r="1727" spans="1:187" ht="11.25" customHeight="1">
      <c r="A1727" s="1" t="s">
        <v>2620</v>
      </c>
      <c r="B1727" s="1" t="str">
        <f ca="1">IFERROR(__xludf.DUMMYFUNCTION("GOOGLETRANSLATE(A1727, ""en"", ""fr"")"),"CHINOIS")</f>
        <v>CHINOIS</v>
      </c>
      <c r="C1727" s="1" t="s">
        <v>185</v>
      </c>
      <c r="AC1727" s="1" t="s">
        <v>25</v>
      </c>
      <c r="AH1727" s="1" t="s">
        <v>30</v>
      </c>
      <c r="DI1727" s="1" t="s">
        <v>109</v>
      </c>
      <c r="FU1727" s="1" t="s">
        <v>173</v>
      </c>
      <c r="GD1727" s="1" t="s">
        <v>193</v>
      </c>
      <c r="GE1727" s="1" t="s">
        <v>190</v>
      </c>
    </row>
    <row r="1728" spans="1:187" ht="11.25" customHeight="1">
      <c r="A1728" s="1" t="s">
        <v>2621</v>
      </c>
      <c r="B1728" s="1" t="str">
        <f ca="1">IFERROR(__xludf.DUMMYFUNCTION("GOOGLETRANSLATE(A1728, ""en"", ""fr"")"),"Puce n ° 1")</f>
        <v>Puce n ° 1</v>
      </c>
      <c r="C1728" s="1" t="s">
        <v>185</v>
      </c>
      <c r="BC1728" s="1" t="s">
        <v>51</v>
      </c>
      <c r="BI1728" s="1" t="s">
        <v>57</v>
      </c>
      <c r="GD1728" s="1" t="s">
        <v>193</v>
      </c>
      <c r="GE1728" s="1" t="s">
        <v>190</v>
      </c>
    </row>
    <row r="1729" spans="1:187" ht="11.25" customHeight="1">
      <c r="A1729" s="1" t="s">
        <v>2622</v>
      </c>
      <c r="B1729" s="1" t="str">
        <f ca="1">IFERROR(__xludf.DUMMYFUNCTION("GOOGLETRANSLATE(A1729, ""en"", ""fr"")"),"Puce n ° 2")</f>
        <v>Puce n ° 2</v>
      </c>
      <c r="C1729" s="1" t="s">
        <v>185</v>
      </c>
      <c r="I1729" s="1" t="s">
        <v>5</v>
      </c>
      <c r="CC1729" s="1" t="s">
        <v>77</v>
      </c>
      <c r="DN1729" s="1" t="s">
        <v>114</v>
      </c>
      <c r="GD1729" s="1" t="s">
        <v>189</v>
      </c>
      <c r="GE1729" s="1" t="s">
        <v>190</v>
      </c>
    </row>
    <row r="1730" spans="1:187" ht="11.25" customHeight="1">
      <c r="A1730" s="1" t="s">
        <v>2623</v>
      </c>
      <c r="B1730" s="1" t="str">
        <f ca="1">IFERROR(__xludf.DUMMYFUNCTION("GOOGLETRANSLATE(A1730, ""en"", ""fr"")"),"CHEVALERESQUE")</f>
        <v>CHEVALERESQUE</v>
      </c>
      <c r="C1730" s="1" t="s">
        <v>192</v>
      </c>
      <c r="D1730" s="1" t="s">
        <v>16612</v>
      </c>
      <c r="U1730" s="1" t="s">
        <v>17</v>
      </c>
      <c r="Z1730" s="1" t="s">
        <v>22</v>
      </c>
      <c r="DQ1730" s="1" t="s">
        <v>117</v>
      </c>
      <c r="GD1730" s="1" t="s">
        <v>202</v>
      </c>
      <c r="GE1730" s="1" t="s">
        <v>190</v>
      </c>
    </row>
    <row r="1731" spans="1:187" ht="11.25" customHeight="1">
      <c r="A1731" s="1" t="s">
        <v>2624</v>
      </c>
      <c r="B1731" s="1" t="str">
        <f ca="1">IFERROR(__xludf.DUMMYFUNCTION("GOOGLETRANSLATE(A1731, ""en"", ""fr"")"),"CHEVALERIE")</f>
        <v>CHEVALERIE</v>
      </c>
      <c r="C1731" s="1" t="s">
        <v>192</v>
      </c>
      <c r="D1731" s="1" t="s">
        <v>16612</v>
      </c>
      <c r="U1731" s="1" t="s">
        <v>17</v>
      </c>
      <c r="Z1731" s="1" t="s">
        <v>22</v>
      </c>
      <c r="GD1731" s="1" t="s">
        <v>193</v>
      </c>
      <c r="GE1731" s="1" t="s">
        <v>190</v>
      </c>
    </row>
    <row r="1732" spans="1:187" ht="11.25" customHeight="1">
      <c r="A1732" s="1" t="s">
        <v>2625</v>
      </c>
      <c r="B1732" s="1" t="str">
        <f ca="1">IFERROR(__xludf.DUMMYFUNCTION("GOOGLETRANSLATE(A1732, ""en"", ""fr"")"),"CHOIX")</f>
        <v>CHOIX</v>
      </c>
      <c r="C1732" s="1" t="s">
        <v>185</v>
      </c>
      <c r="O1732" s="1" t="s">
        <v>11</v>
      </c>
      <c r="BO1732" s="1" t="s">
        <v>63</v>
      </c>
      <c r="FR1732" s="1" t="s">
        <v>170</v>
      </c>
      <c r="GD1732" s="1" t="s">
        <v>193</v>
      </c>
      <c r="GE1732" s="1" t="s">
        <v>2626</v>
      </c>
    </row>
    <row r="1733" spans="1:187" ht="11.25" customHeight="1">
      <c r="A1733" s="1" t="s">
        <v>2627</v>
      </c>
      <c r="B1733" s="1" t="str">
        <f ca="1">IFERROR(__xludf.DUMMYFUNCTION("GOOGLETRANSLATE(A1733, ""en"", ""fr"")"),"Starter # 1")</f>
        <v>Starter # 1</v>
      </c>
      <c r="C1733" s="1" t="s">
        <v>185</v>
      </c>
      <c r="E1733" s="1" t="s">
        <v>16613</v>
      </c>
      <c r="H1733" s="1" t="s">
        <v>4</v>
      </c>
      <c r="L1733" s="1" t="s">
        <v>8</v>
      </c>
      <c r="BC1733" s="1" t="s">
        <v>51</v>
      </c>
      <c r="BD1733" s="1" t="s">
        <v>52</v>
      </c>
      <c r="GD1733" s="1" t="s">
        <v>193</v>
      </c>
      <c r="GE1733" s="1" t="s">
        <v>190</v>
      </c>
    </row>
    <row r="1734" spans="1:187" ht="11.25" customHeight="1">
      <c r="A1734" s="1" t="s">
        <v>2628</v>
      </c>
      <c r="B1734" s="1" t="str">
        <f ca="1">IFERROR(__xludf.DUMMYFUNCTION("GOOGLETRANSLATE(A1734, ""en"", ""fr"")"),"Starter # 2")</f>
        <v>Starter # 2</v>
      </c>
      <c r="C1734" s="1" t="s">
        <v>185</v>
      </c>
      <c r="E1734" s="1" t="s">
        <v>16613</v>
      </c>
      <c r="H1734" s="1" t="s">
        <v>4</v>
      </c>
      <c r="I1734" s="1" t="s">
        <v>5</v>
      </c>
      <c r="L1734" s="1" t="s">
        <v>8</v>
      </c>
      <c r="CC1734" s="1" t="s">
        <v>77</v>
      </c>
      <c r="DO1734" s="1" t="s">
        <v>115</v>
      </c>
      <c r="GD1734" s="1" t="s">
        <v>189</v>
      </c>
      <c r="GE1734" s="1" t="s">
        <v>190</v>
      </c>
    </row>
    <row r="1735" spans="1:187" ht="11.25" customHeight="1">
      <c r="A1735" s="1" t="s">
        <v>2629</v>
      </c>
      <c r="B1735" s="1" t="str">
        <f ca="1">IFERROR(__xludf.DUMMYFUNCTION("GOOGLETRANSLATE(A1735, ""en"", ""fr"")"),"CHOISIR")</f>
        <v>CHOISIR</v>
      </c>
      <c r="C1735" s="1" t="s">
        <v>185</v>
      </c>
      <c r="O1735" s="1" t="s">
        <v>11</v>
      </c>
      <c r="CO1735" s="1" t="s">
        <v>89</v>
      </c>
      <c r="DN1735" s="1" t="s">
        <v>114</v>
      </c>
      <c r="FR1735" s="1" t="s">
        <v>170</v>
      </c>
      <c r="GD1735" s="1" t="s">
        <v>189</v>
      </c>
      <c r="GE1735" s="1" t="s">
        <v>2630</v>
      </c>
    </row>
    <row r="1736" spans="1:187" ht="11.25" customHeight="1">
      <c r="A1736" s="1" t="s">
        <v>2631</v>
      </c>
      <c r="B1736" s="1" t="str">
        <f ca="1">IFERROR(__xludf.DUMMYFUNCTION("GOOGLETRANSLATE(A1736, ""en"", ""fr"")"),"Corvée")</f>
        <v>Corvée</v>
      </c>
      <c r="C1736" s="1" t="s">
        <v>185</v>
      </c>
      <c r="E1736" s="1" t="s">
        <v>16613</v>
      </c>
      <c r="H1736" s="1" t="s">
        <v>4</v>
      </c>
      <c r="BQ1736" s="1" t="s">
        <v>65</v>
      </c>
      <c r="GD1736" s="1" t="s">
        <v>193</v>
      </c>
      <c r="GE1736" s="1" t="s">
        <v>190</v>
      </c>
    </row>
    <row r="1737" spans="1:187" ht="11.25" customHeight="1">
      <c r="A1737" s="1" t="s">
        <v>2632</v>
      </c>
      <c r="B1737" s="1" t="str">
        <f ca="1">IFERROR(__xludf.DUMMYFUNCTION("GOOGLETRANSLATE(A1737, ""en"", ""fr"")"),"Choisi")</f>
        <v>Choisi</v>
      </c>
      <c r="C1737" s="1" t="s">
        <v>185</v>
      </c>
      <c r="O1737" s="1" t="s">
        <v>11</v>
      </c>
      <c r="CO1737" s="1" t="s">
        <v>89</v>
      </c>
      <c r="DN1737" s="1" t="s">
        <v>114</v>
      </c>
      <c r="FR1737" s="1" t="s">
        <v>170</v>
      </c>
      <c r="GD1737" s="1" t="s">
        <v>1076</v>
      </c>
      <c r="GE1737" s="1" t="s">
        <v>190</v>
      </c>
    </row>
    <row r="1738" spans="1:187" ht="11.25" customHeight="1">
      <c r="A1738" s="1" t="s">
        <v>2633</v>
      </c>
      <c r="B1738" s="1" t="str">
        <f ca="1">IFERROR(__xludf.DUMMYFUNCTION("GOOGLETRANSLATE(A1738, ""en"", ""fr"")"),"Choisi n ° 1")</f>
        <v>Choisi n ° 1</v>
      </c>
      <c r="C1738" s="1" t="s">
        <v>185</v>
      </c>
      <c r="O1738" s="1" t="s">
        <v>11</v>
      </c>
      <c r="CO1738" s="1" t="s">
        <v>89</v>
      </c>
      <c r="DN1738" s="1" t="s">
        <v>114</v>
      </c>
      <c r="FR1738" s="1" t="s">
        <v>170</v>
      </c>
      <c r="GD1738" s="1" t="s">
        <v>2413</v>
      </c>
      <c r="GE1738" s="1" t="s">
        <v>2634</v>
      </c>
    </row>
    <row r="1739" spans="1:187" ht="11.25" customHeight="1">
      <c r="A1739" s="1" t="s">
        <v>2635</v>
      </c>
      <c r="B1739" s="1" t="str">
        <f ca="1">IFERROR(__xludf.DUMMYFUNCTION("GOOGLETRANSLATE(A1739, ""en"", ""fr"")"),"Choisi # 2")</f>
        <v>Choisi # 2</v>
      </c>
      <c r="C1739" s="1" t="s">
        <v>185</v>
      </c>
      <c r="D1739" s="1" t="s">
        <v>16612</v>
      </c>
      <c r="F1739" s="1" t="s">
        <v>2</v>
      </c>
      <c r="O1739" s="1" t="s">
        <v>11</v>
      </c>
      <c r="U1739" s="1" t="s">
        <v>17</v>
      </c>
      <c r="GD1739" s="1" t="s">
        <v>202</v>
      </c>
      <c r="GE1739" s="1" t="s">
        <v>2636</v>
      </c>
    </row>
    <row r="1740" spans="1:187" ht="11.25" customHeight="1">
      <c r="A1740" s="1" t="s">
        <v>2637</v>
      </c>
      <c r="B1740" s="1" t="str">
        <f ca="1">IFERROR(__xludf.DUMMYFUNCTION("GOOGLETRANSLATE(A1740, ""en"", ""fr"")"),"CHRIST")</f>
        <v>CHRIST</v>
      </c>
      <c r="C1740" s="1" t="s">
        <v>185</v>
      </c>
      <c r="AI1740" s="1" t="s">
        <v>31</v>
      </c>
      <c r="AJ1740" s="1" t="s">
        <v>32</v>
      </c>
      <c r="AQ1740" s="1" t="s">
        <v>39</v>
      </c>
      <c r="AT1740" s="1" t="s">
        <v>42</v>
      </c>
      <c r="EF1740" s="1" t="s">
        <v>132</v>
      </c>
      <c r="EJ1740" s="1" t="s">
        <v>136</v>
      </c>
      <c r="GD1740" s="1" t="s">
        <v>193</v>
      </c>
      <c r="GE1740" s="1" t="s">
        <v>190</v>
      </c>
    </row>
    <row r="1741" spans="1:187" ht="11.25" customHeight="1">
      <c r="A1741" s="1" t="s">
        <v>2638</v>
      </c>
      <c r="B1741" s="1" t="str">
        <f ca="1">IFERROR(__xludf.DUMMYFUNCTION("GOOGLETRANSLATE(A1741, ""en"", ""fr"")"),"CHRÉTIENTÉ")</f>
        <v>CHRÉTIENTÉ</v>
      </c>
      <c r="C1741" s="1" t="s">
        <v>196</v>
      </c>
      <c r="DV1741" s="1" t="s">
        <v>122</v>
      </c>
      <c r="ED1741" s="1" t="s">
        <v>130</v>
      </c>
      <c r="GD1741" s="1" t="s">
        <v>193</v>
      </c>
    </row>
    <row r="1742" spans="1:187" ht="11.25" customHeight="1">
      <c r="A1742" s="1" t="s">
        <v>2639</v>
      </c>
      <c r="B1742" s="1" t="str">
        <f ca="1">IFERROR(__xludf.DUMMYFUNCTION("GOOGLETRANSLATE(A1742, ""en"", ""fr"")"),"CHRISTIAN")</f>
        <v>CHRISTIAN</v>
      </c>
      <c r="C1742" s="1" t="s">
        <v>185</v>
      </c>
      <c r="AI1742" s="1" t="s">
        <v>31</v>
      </c>
      <c r="EF1742" s="1" t="s">
        <v>132</v>
      </c>
      <c r="EJ1742" s="1" t="s">
        <v>136</v>
      </c>
      <c r="GD1742" s="1" t="s">
        <v>202</v>
      </c>
      <c r="GE1742" s="1" t="s">
        <v>190</v>
      </c>
    </row>
    <row r="1743" spans="1:187" ht="11.25" customHeight="1">
      <c r="A1743" s="1" t="s">
        <v>2640</v>
      </c>
      <c r="B1743" s="1" t="str">
        <f ca="1">IFERROR(__xludf.DUMMYFUNCTION("GOOGLETRANSLATE(A1743, ""en"", ""fr"")"),"Christianisme")</f>
        <v>Christianisme</v>
      </c>
      <c r="C1743" s="1" t="s">
        <v>185</v>
      </c>
      <c r="Z1743" s="1" t="s">
        <v>22</v>
      </c>
      <c r="AI1743" s="1" t="s">
        <v>31</v>
      </c>
      <c r="CP1743" s="1" t="s">
        <v>90</v>
      </c>
      <c r="CQ1743" s="1" t="s">
        <v>91</v>
      </c>
      <c r="EF1743" s="1" t="s">
        <v>132</v>
      </c>
      <c r="EJ1743" s="1" t="s">
        <v>136</v>
      </c>
      <c r="GD1743" s="1" t="s">
        <v>193</v>
      </c>
      <c r="GE1743" s="1" t="s">
        <v>190</v>
      </c>
    </row>
    <row r="1744" spans="1:187" ht="11.25" customHeight="1">
      <c r="A1744" s="1" t="s">
        <v>2641</v>
      </c>
      <c r="B1744" s="1" t="str">
        <f ca="1">IFERROR(__xludf.DUMMYFUNCTION("GOOGLETRANSLATE(A1744, ""en"", ""fr"")"),"NOËL")</f>
        <v>NOËL</v>
      </c>
      <c r="C1744" s="1" t="s">
        <v>185</v>
      </c>
      <c r="AI1744" s="1" t="s">
        <v>31</v>
      </c>
      <c r="CQ1744" s="1" t="s">
        <v>91</v>
      </c>
      <c r="CY1744" s="1" t="s">
        <v>99</v>
      </c>
      <c r="CZ1744" s="1" t="s">
        <v>100</v>
      </c>
      <c r="ER1744" s="1" t="s">
        <v>144</v>
      </c>
      <c r="ES1744" s="1" t="s">
        <v>145</v>
      </c>
      <c r="GD1744" s="1" t="s">
        <v>193</v>
      </c>
      <c r="GE1744" s="1" t="s">
        <v>190</v>
      </c>
    </row>
    <row r="1745" spans="1:187" ht="11.25" customHeight="1">
      <c r="A1745" s="1" t="s">
        <v>2642</v>
      </c>
      <c r="B1745" s="1" t="str">
        <f ca="1">IFERROR(__xludf.DUMMYFUNCTION("GOOGLETRANSLATE(A1745, ""en"", ""fr"")"),"CHRONIQUE")</f>
        <v>CHRONIQUE</v>
      </c>
      <c r="C1745" s="1" t="s">
        <v>185</v>
      </c>
      <c r="E1745" s="1" t="s">
        <v>16613</v>
      </c>
      <c r="H1745" s="1" t="s">
        <v>4</v>
      </c>
      <c r="L1745" s="1" t="s">
        <v>8</v>
      </c>
      <c r="O1745" s="1" t="s">
        <v>11</v>
      </c>
      <c r="V1745" s="1" t="s">
        <v>18</v>
      </c>
      <c r="W1745" s="1" t="s">
        <v>19</v>
      </c>
      <c r="GD1745" s="1" t="s">
        <v>202</v>
      </c>
      <c r="GE1745" s="1" t="s">
        <v>190</v>
      </c>
    </row>
    <row r="1746" spans="1:187" ht="11.25" customHeight="1">
      <c r="A1746" s="1" t="s">
        <v>2643</v>
      </c>
      <c r="B1746" s="1" t="str">
        <f ca="1">IFERROR(__xludf.DUMMYFUNCTION("GOOGLETRANSLATE(A1746, ""en"", ""fr"")"),"Rire n ° 1")</f>
        <v>Rire n ° 1</v>
      </c>
      <c r="C1746" s="1" t="s">
        <v>185</v>
      </c>
      <c r="O1746" s="1" t="s">
        <v>11</v>
      </c>
      <c r="BK1746" s="1" t="s">
        <v>59</v>
      </c>
      <c r="FX1746" s="1" t="s">
        <v>176</v>
      </c>
      <c r="GD1746" s="1" t="s">
        <v>193</v>
      </c>
      <c r="GE1746" s="1" t="s">
        <v>190</v>
      </c>
    </row>
    <row r="1747" spans="1:187" ht="11.25" customHeight="1">
      <c r="A1747" s="1" t="s">
        <v>2644</v>
      </c>
      <c r="B1747" s="1" t="str">
        <f ca="1">IFERROR(__xludf.DUMMYFUNCTION("GOOGLETRANSLATE(A1747, ""en"", ""fr"")"),"Rire n ° 2")</f>
        <v>Rire n ° 2</v>
      </c>
      <c r="C1747" s="1" t="s">
        <v>185</v>
      </c>
      <c r="O1747" s="1" t="s">
        <v>11</v>
      </c>
      <c r="BK1747" s="1" t="s">
        <v>59</v>
      </c>
      <c r="DO1747" s="1" t="s">
        <v>115</v>
      </c>
      <c r="FX1747" s="1" t="s">
        <v>176</v>
      </c>
      <c r="GD1747" s="1" t="s">
        <v>189</v>
      </c>
      <c r="GE1747" s="1" t="s">
        <v>190</v>
      </c>
    </row>
    <row r="1748" spans="1:187" ht="11.25" customHeight="1">
      <c r="A1748" s="1" t="s">
        <v>2645</v>
      </c>
      <c r="B1748" s="1" t="str">
        <f ca="1">IFERROR(__xludf.DUMMYFUNCTION("GOOGLETRANSLATE(A1748, ""en"", ""fr"")"),"AMI")</f>
        <v>AMI</v>
      </c>
      <c r="C1748" s="1" t="s">
        <v>192</v>
      </c>
      <c r="D1748" s="1" t="s">
        <v>16612</v>
      </c>
      <c r="AJ1748" s="1" t="s">
        <v>32</v>
      </c>
      <c r="AN1748" s="1" t="s">
        <v>36</v>
      </c>
      <c r="AT1748" s="1" t="s">
        <v>42</v>
      </c>
      <c r="GD1748" s="1" t="s">
        <v>193</v>
      </c>
      <c r="GE1748" s="1" t="s">
        <v>190</v>
      </c>
    </row>
    <row r="1749" spans="1:187" ht="11.25" customHeight="1">
      <c r="A1749" s="1" t="s">
        <v>2646</v>
      </c>
      <c r="B1749" s="1" t="str">
        <f ca="1">IFERROR(__xludf.DUMMYFUNCTION("GOOGLETRANSLATE(A1749, ""en"", ""fr"")"),"ÉGLISE")</f>
        <v>ÉGLISE</v>
      </c>
      <c r="C1749" s="1" t="s">
        <v>185</v>
      </c>
      <c r="AI1749" s="1" t="s">
        <v>31</v>
      </c>
      <c r="AV1749" s="1" t="s">
        <v>44</v>
      </c>
      <c r="AW1749" s="1" t="s">
        <v>45</v>
      </c>
      <c r="EF1749" s="1" t="s">
        <v>132</v>
      </c>
      <c r="EJ1749" s="1" t="s">
        <v>136</v>
      </c>
      <c r="GD1749" s="1" t="s">
        <v>193</v>
      </c>
      <c r="GE1749" s="1" t="s">
        <v>2647</v>
      </c>
    </row>
    <row r="1750" spans="1:187" ht="11.25" customHeight="1">
      <c r="A1750" s="1" t="s">
        <v>2648</v>
      </c>
      <c r="B1750" s="1" t="str">
        <f ca="1">IFERROR(__xludf.DUMMYFUNCTION("GOOGLETRANSLATE(A1750, ""en"", ""fr"")"),"CIGARETTE")</f>
        <v>CIGARETTE</v>
      </c>
      <c r="C1750" s="1" t="s">
        <v>185</v>
      </c>
      <c r="BC1750" s="1" t="s">
        <v>51</v>
      </c>
      <c r="BD1750" s="1" t="s">
        <v>52</v>
      </c>
      <c r="GD1750" s="1" t="s">
        <v>193</v>
      </c>
      <c r="GE1750" s="1" t="s">
        <v>190</v>
      </c>
    </row>
    <row r="1751" spans="1:187" ht="11.25" customHeight="1">
      <c r="A1751" s="1" t="s">
        <v>2649</v>
      </c>
      <c r="B1751" s="1" t="str">
        <f ca="1">IFERROR(__xludf.DUMMYFUNCTION("GOOGLETRANSLATE(A1751, ""en"", ""fr"")"),"Cercle n ° 1")</f>
        <v>Cercle n ° 1</v>
      </c>
      <c r="C1751" s="1" t="s">
        <v>185</v>
      </c>
      <c r="DA1751" s="1" t="s">
        <v>101</v>
      </c>
      <c r="GB1751" s="1" t="s">
        <v>180</v>
      </c>
      <c r="GD1751" s="1" t="s">
        <v>193</v>
      </c>
      <c r="GE1751" s="1" t="s">
        <v>2650</v>
      </c>
    </row>
    <row r="1752" spans="1:187" ht="11.25" customHeight="1">
      <c r="A1752" s="1" t="s">
        <v>2651</v>
      </c>
      <c r="B1752" s="1" t="str">
        <f ca="1">IFERROR(__xludf.DUMMYFUNCTION("GOOGLETRANSLATE(A1752, ""en"", ""fr"")"),"Cercle n ° 2")</f>
        <v>Cercle n ° 2</v>
      </c>
      <c r="C1752" s="1" t="s">
        <v>185</v>
      </c>
      <c r="J1752" s="1" t="s">
        <v>6</v>
      </c>
      <c r="N1752" s="1" t="s">
        <v>10</v>
      </c>
      <c r="CE1752" s="1" t="s">
        <v>79</v>
      </c>
      <c r="DO1752" s="1" t="s">
        <v>115</v>
      </c>
      <c r="GB1752" s="1" t="s">
        <v>180</v>
      </c>
      <c r="GD1752" s="1" t="s">
        <v>189</v>
      </c>
      <c r="GE1752" s="1" t="s">
        <v>2652</v>
      </c>
    </row>
    <row r="1753" spans="1:187" ht="11.25" customHeight="1">
      <c r="A1753" s="1" t="s">
        <v>2653</v>
      </c>
      <c r="B1753" s="1" t="str">
        <f ca="1">IFERROR(__xludf.DUMMYFUNCTION("GOOGLETRANSLATE(A1753, ""en"", ""fr"")"),"Cercle n ° 3")</f>
        <v>Cercle n ° 3</v>
      </c>
      <c r="C1753" s="1" t="s">
        <v>185</v>
      </c>
      <c r="E1753" s="1" t="s">
        <v>16613</v>
      </c>
      <c r="H1753" s="1" t="s">
        <v>4</v>
      </c>
      <c r="V1753" s="1" t="s">
        <v>18</v>
      </c>
      <c r="W1753" s="1" t="s">
        <v>19</v>
      </c>
      <c r="GD1753" s="1" t="s">
        <v>193</v>
      </c>
      <c r="GE1753" s="1" t="s">
        <v>2654</v>
      </c>
    </row>
    <row r="1754" spans="1:187" ht="11.25" customHeight="1">
      <c r="A1754" s="1" t="s">
        <v>2655</v>
      </c>
      <c r="B1754" s="1" t="str">
        <f ca="1">IFERROR(__xludf.DUMMYFUNCTION("GOOGLETRANSLATE(A1754, ""en"", ""fr"")"),"CIRCULAIRE")</f>
        <v>CIRCULAIRE</v>
      </c>
      <c r="C1754" s="1" t="s">
        <v>185</v>
      </c>
      <c r="DA1754" s="1" t="s">
        <v>101</v>
      </c>
      <c r="GD1754" s="1" t="s">
        <v>202</v>
      </c>
      <c r="GE1754" s="1" t="s">
        <v>190</v>
      </c>
    </row>
    <row r="1755" spans="1:187" ht="11.25" customHeight="1">
      <c r="A1755" s="1" t="s">
        <v>2656</v>
      </c>
      <c r="B1755" s="1" t="str">
        <f ca="1">IFERROR(__xludf.DUMMYFUNCTION("GOOGLETRANSLATE(A1755, ""en"", ""fr"")"),"CIRCULER")</f>
        <v>CIRCULER</v>
      </c>
      <c r="C1755" s="1" t="s">
        <v>196</v>
      </c>
      <c r="GD1755" s="1" t="s">
        <v>189</v>
      </c>
    </row>
    <row r="1756" spans="1:187" ht="11.25" customHeight="1">
      <c r="A1756" s="1" t="s">
        <v>2657</v>
      </c>
      <c r="B1756" s="1" t="str">
        <f ca="1">IFERROR(__xludf.DUMMYFUNCTION("GOOGLETRANSLATE(A1756, ""en"", ""fr"")"),"CIRCULATION")</f>
        <v>CIRCULATION</v>
      </c>
      <c r="C1756" s="1" t="s">
        <v>185</v>
      </c>
      <c r="N1756" s="1" t="s">
        <v>10</v>
      </c>
      <c r="CE1756" s="1" t="s">
        <v>79</v>
      </c>
      <c r="GD1756" s="1" t="s">
        <v>193</v>
      </c>
      <c r="GE1756" s="1" t="s">
        <v>190</v>
      </c>
    </row>
    <row r="1757" spans="1:187" ht="11.25" customHeight="1">
      <c r="A1757" s="1" t="s">
        <v>2658</v>
      </c>
      <c r="B1757" s="1" t="str">
        <f ca="1">IFERROR(__xludf.DUMMYFUNCTION("GOOGLETRANSLATE(A1757, ""en"", ""fr"")"),"CIRCONSTANCE")</f>
        <v>CIRCONSTANCE</v>
      </c>
      <c r="C1757" s="1" t="s">
        <v>185</v>
      </c>
      <c r="CH1757" s="1" t="s">
        <v>82</v>
      </c>
      <c r="FS1757" s="1" t="s">
        <v>171</v>
      </c>
      <c r="GD1757" s="1" t="s">
        <v>193</v>
      </c>
      <c r="GE1757" s="1" t="s">
        <v>2659</v>
      </c>
    </row>
    <row r="1758" spans="1:187" ht="11.25" customHeight="1">
      <c r="A1758" s="1" t="s">
        <v>2660</v>
      </c>
      <c r="B1758" s="1" t="str">
        <f ca="1">IFERROR(__xludf.DUMMYFUNCTION("GOOGLETRANSLATE(A1758, ""en"", ""fr"")"),"Citer # 1")</f>
        <v>Citer # 1</v>
      </c>
      <c r="C1758" s="1" t="s">
        <v>185</v>
      </c>
      <c r="BK1758" s="1" t="s">
        <v>59</v>
      </c>
      <c r="BL1758" s="1" t="s">
        <v>60</v>
      </c>
      <c r="GC1758" s="1" t="s">
        <v>181</v>
      </c>
      <c r="GD1758" s="1" t="s">
        <v>193</v>
      </c>
      <c r="GE1758" s="1" t="s">
        <v>190</v>
      </c>
    </row>
    <row r="1759" spans="1:187" ht="11.25" customHeight="1">
      <c r="A1759" s="1" t="s">
        <v>2661</v>
      </c>
      <c r="B1759" s="1" t="str">
        <f ca="1">IFERROR(__xludf.DUMMYFUNCTION("GOOGLETRANSLATE(A1759, ""en"", ""fr"")"),"Citer # 2")</f>
        <v>Citer # 2</v>
      </c>
      <c r="C1759" s="1" t="s">
        <v>185</v>
      </c>
      <c r="BK1759" s="1" t="s">
        <v>59</v>
      </c>
      <c r="DO1759" s="1" t="s">
        <v>115</v>
      </c>
      <c r="GD1759" s="1" t="s">
        <v>189</v>
      </c>
      <c r="GE1759" s="1" t="s">
        <v>190</v>
      </c>
    </row>
    <row r="1760" spans="1:187" ht="11.25" customHeight="1">
      <c r="A1760" s="1" t="s">
        <v>2662</v>
      </c>
      <c r="B1760" s="1" t="str">
        <f ca="1">IFERROR(__xludf.DUMMYFUNCTION("GOOGLETRANSLATE(A1760, ""en"", ""fr"")"),"CITOYEN")</f>
        <v>CITOYEN</v>
      </c>
      <c r="C1760" s="1" t="s">
        <v>185</v>
      </c>
      <c r="AG1760" s="1" t="s">
        <v>29</v>
      </c>
      <c r="AH1760" s="1" t="s">
        <v>30</v>
      </c>
      <c r="AJ1760" s="1" t="s">
        <v>32</v>
      </c>
      <c r="AT1760" s="1" t="s">
        <v>42</v>
      </c>
      <c r="DY1760" s="1" t="s">
        <v>125</v>
      </c>
      <c r="ED1760" s="1" t="s">
        <v>130</v>
      </c>
      <c r="GD1760" s="1" t="s">
        <v>193</v>
      </c>
      <c r="GE1760" s="1" t="s">
        <v>2663</v>
      </c>
    </row>
    <row r="1761" spans="1:187" ht="11.25" customHeight="1">
      <c r="A1761" s="1" t="s">
        <v>2664</v>
      </c>
      <c r="B1761" s="1" t="str">
        <f ca="1">IFERROR(__xludf.DUMMYFUNCTION("GOOGLETRANSLATE(A1761, ""en"", ""fr"")"),"CITOYENNETÉ")</f>
        <v>CITOYENNETÉ</v>
      </c>
      <c r="C1761" s="1" t="s">
        <v>196</v>
      </c>
      <c r="EB1761" s="1" t="s">
        <v>128</v>
      </c>
      <c r="ED1761" s="1" t="s">
        <v>130</v>
      </c>
      <c r="GD1761" s="1" t="s">
        <v>193</v>
      </c>
    </row>
    <row r="1762" spans="1:187" ht="11.25" customHeight="1">
      <c r="A1762" s="1" t="s">
        <v>2665</v>
      </c>
      <c r="B1762" s="1" t="str">
        <f ca="1">IFERROR(__xludf.DUMMYFUNCTION("GOOGLETRANSLATE(A1762, ""en"", ""fr"")"),"VILLE")</f>
        <v>VILLE</v>
      </c>
      <c r="C1762" s="1" t="s">
        <v>185</v>
      </c>
      <c r="AC1762" s="1" t="s">
        <v>25</v>
      </c>
      <c r="AH1762" s="1" t="s">
        <v>30</v>
      </c>
      <c r="AV1762" s="1" t="s">
        <v>44</v>
      </c>
      <c r="AX1762" s="1" t="s">
        <v>46</v>
      </c>
      <c r="FS1762" s="1" t="s">
        <v>171</v>
      </c>
      <c r="GD1762" s="1" t="s">
        <v>193</v>
      </c>
      <c r="GE1762" s="1" t="s">
        <v>2666</v>
      </c>
    </row>
    <row r="1763" spans="1:187" ht="11.25" customHeight="1">
      <c r="A1763" s="1" t="s">
        <v>2667</v>
      </c>
      <c r="B1763" s="1" t="str">
        <f ca="1">IFERROR(__xludf.DUMMYFUNCTION("GOOGLETRANSLATE(A1763, ""en"", ""fr"")"),"CIVIQUE")</f>
        <v>CIVIQUE</v>
      </c>
      <c r="C1763" s="1" t="s">
        <v>185</v>
      </c>
      <c r="AH1763" s="1" t="s">
        <v>30</v>
      </c>
      <c r="AK1763" s="1" t="s">
        <v>33</v>
      </c>
      <c r="AT1763" s="1" t="s">
        <v>42</v>
      </c>
      <c r="EC1763" s="1" t="s">
        <v>129</v>
      </c>
      <c r="ED1763" s="1" t="s">
        <v>130</v>
      </c>
      <c r="GD1763" s="1" t="s">
        <v>202</v>
      </c>
      <c r="GE1763" s="1" t="s">
        <v>190</v>
      </c>
    </row>
    <row r="1764" spans="1:187" ht="11.25" customHeight="1">
      <c r="A1764" s="1" t="s">
        <v>2668</v>
      </c>
      <c r="B1764" s="1" t="str">
        <f ca="1">IFERROR(__xludf.DUMMYFUNCTION("GOOGLETRANSLATE(A1764, ""en"", ""fr"")"),"Civil n ° 1")</f>
        <v>Civil n ° 1</v>
      </c>
      <c r="C1764" s="1" t="s">
        <v>185</v>
      </c>
      <c r="D1764" s="1" t="s">
        <v>16612</v>
      </c>
      <c r="F1764" s="1" t="s">
        <v>2</v>
      </c>
      <c r="Z1764" s="1" t="s">
        <v>22</v>
      </c>
      <c r="AG1764" s="1" t="s">
        <v>29</v>
      </c>
      <c r="AH1764" s="1" t="s">
        <v>30</v>
      </c>
      <c r="EB1764" s="1" t="s">
        <v>128</v>
      </c>
      <c r="ED1764" s="1" t="s">
        <v>130</v>
      </c>
      <c r="GD1764" s="1" t="s">
        <v>202</v>
      </c>
      <c r="GE1764" s="1" t="s">
        <v>2669</v>
      </c>
    </row>
    <row r="1765" spans="1:187" ht="11.25" customHeight="1">
      <c r="A1765" s="1" t="s">
        <v>2670</v>
      </c>
      <c r="B1765" s="1" t="str">
        <f ca="1">IFERROR(__xludf.DUMMYFUNCTION("GOOGLETRANSLATE(A1765, ""en"", ""fr"")"),"Civil n ° 2")</f>
        <v>Civil n ° 2</v>
      </c>
      <c r="C1765" s="1" t="s">
        <v>185</v>
      </c>
      <c r="AG1765" s="1" t="s">
        <v>29</v>
      </c>
      <c r="AH1765" s="1" t="s">
        <v>30</v>
      </c>
      <c r="AK1765" s="1" t="s">
        <v>33</v>
      </c>
      <c r="AT1765" s="1" t="s">
        <v>42</v>
      </c>
      <c r="EA1765" s="1" t="s">
        <v>127</v>
      </c>
      <c r="ED1765" s="1" t="s">
        <v>130</v>
      </c>
      <c r="GD1765" s="1" t="s">
        <v>421</v>
      </c>
      <c r="GE1765" s="1" t="s">
        <v>2671</v>
      </c>
    </row>
    <row r="1766" spans="1:187" ht="11.25" customHeight="1">
      <c r="A1766" s="1" t="s">
        <v>2672</v>
      </c>
      <c r="B1766" s="1" t="str">
        <f ca="1">IFERROR(__xludf.DUMMYFUNCTION("GOOGLETRANSLATE(A1766, ""en"", ""fr"")"),"Civil n ° 3")</f>
        <v>Civil n ° 3</v>
      </c>
      <c r="C1766" s="1" t="s">
        <v>185</v>
      </c>
      <c r="AF1766" s="1" t="s">
        <v>28</v>
      </c>
      <c r="AH1766" s="1" t="s">
        <v>30</v>
      </c>
      <c r="AM1766" s="1" t="s">
        <v>35</v>
      </c>
      <c r="DW1766" s="1" t="s">
        <v>123</v>
      </c>
      <c r="ED1766" s="1" t="s">
        <v>130</v>
      </c>
      <c r="GD1766" s="1" t="s">
        <v>193</v>
      </c>
      <c r="GE1766" s="1" t="s">
        <v>2673</v>
      </c>
    </row>
    <row r="1767" spans="1:187" ht="11.25" customHeight="1">
      <c r="A1767" s="1" t="s">
        <v>2674</v>
      </c>
      <c r="B1767" s="1" t="str">
        <f ca="1">IFERROR(__xludf.DUMMYFUNCTION("GOOGLETRANSLATE(A1767, ""en"", ""fr"")"),"Civil n ° 4")</f>
        <v>Civil n ° 4</v>
      </c>
      <c r="C1767" s="1" t="s">
        <v>185</v>
      </c>
      <c r="AG1767" s="1" t="s">
        <v>29</v>
      </c>
      <c r="AH1767" s="1" t="s">
        <v>30</v>
      </c>
      <c r="AK1767" s="1" t="s">
        <v>33</v>
      </c>
      <c r="AT1767" s="1" t="s">
        <v>42</v>
      </c>
      <c r="DY1767" s="1" t="s">
        <v>125</v>
      </c>
      <c r="ED1767" s="1" t="s">
        <v>130</v>
      </c>
      <c r="GD1767" s="1" t="s">
        <v>193</v>
      </c>
      <c r="GE1767" s="1" t="s">
        <v>2675</v>
      </c>
    </row>
    <row r="1768" spans="1:187" ht="11.25" customHeight="1">
      <c r="A1768" s="1" t="s">
        <v>2676</v>
      </c>
      <c r="B1768" s="1" t="str">
        <f ca="1">IFERROR(__xludf.DUMMYFUNCTION("GOOGLETRANSLATE(A1768, ""en"", ""fr"")"),"Civil n ° 5")</f>
        <v>Civil n ° 5</v>
      </c>
      <c r="C1768" s="1" t="s">
        <v>185</v>
      </c>
      <c r="AG1768" s="1" t="s">
        <v>29</v>
      </c>
      <c r="AH1768" s="1" t="s">
        <v>30</v>
      </c>
      <c r="AJ1768" s="1" t="s">
        <v>32</v>
      </c>
      <c r="AT1768" s="1" t="s">
        <v>42</v>
      </c>
      <c r="DY1768" s="1" t="s">
        <v>125</v>
      </c>
      <c r="ED1768" s="1" t="s">
        <v>130</v>
      </c>
      <c r="GD1768" s="1" t="s">
        <v>193</v>
      </c>
      <c r="GE1768" s="1" t="s">
        <v>2677</v>
      </c>
    </row>
    <row r="1769" spans="1:187" ht="11.25" customHeight="1">
      <c r="A1769" s="1" t="s">
        <v>2678</v>
      </c>
      <c r="B1769" s="1" t="str">
        <f ca="1">IFERROR(__xludf.DUMMYFUNCTION("GOOGLETRANSLATE(A1769, ""en"", ""fr"")"),"CIVIL")</f>
        <v>CIVIL</v>
      </c>
      <c r="C1769" s="1" t="s">
        <v>185</v>
      </c>
      <c r="AH1769" s="1" t="s">
        <v>30</v>
      </c>
      <c r="AJ1769" s="1" t="s">
        <v>32</v>
      </c>
      <c r="AT1769" s="1" t="s">
        <v>42</v>
      </c>
      <c r="DZ1769" s="1" t="s">
        <v>126</v>
      </c>
      <c r="ED1769" s="1" t="s">
        <v>130</v>
      </c>
      <c r="GD1769" s="1" t="s">
        <v>193</v>
      </c>
      <c r="GE1769" s="1" t="s">
        <v>190</v>
      </c>
    </row>
    <row r="1770" spans="1:187" ht="11.25" customHeight="1">
      <c r="A1770" s="1" t="s">
        <v>2679</v>
      </c>
      <c r="B1770" s="1" t="str">
        <f ca="1">IFERROR(__xludf.DUMMYFUNCTION("GOOGLETRANSLATE(A1770, ""en"", ""fr"")"),"Civilisation n ° 1")</f>
        <v>Civilisation n ° 1</v>
      </c>
      <c r="C1770" s="1" t="s">
        <v>192</v>
      </c>
      <c r="GE1770" s="1" t="s">
        <v>190</v>
      </c>
    </row>
    <row r="1771" spans="1:187" ht="11.25" customHeight="1">
      <c r="A1771" s="1" t="s">
        <v>2680</v>
      </c>
      <c r="B1771" s="1" t="str">
        <f ca="1">IFERROR(__xludf.DUMMYFUNCTION("GOOGLETRANSLATE(A1771, ""en"", ""fr"")"),"Civiliser n ° 1")</f>
        <v>Civiliser n ° 1</v>
      </c>
      <c r="C1771" s="1" t="s">
        <v>192</v>
      </c>
      <c r="GE1771" s="1" t="s">
        <v>190</v>
      </c>
    </row>
    <row r="1772" spans="1:187" ht="11.25" customHeight="1">
      <c r="A1772" s="1" t="s">
        <v>2681</v>
      </c>
      <c r="B1772" s="1" t="str">
        <f ca="1">IFERROR(__xludf.DUMMYFUNCTION("GOOGLETRANSLATE(A1772, ""en"", ""fr"")"),"CIVILITÉ")</f>
        <v>CIVILITÉ</v>
      </c>
      <c r="C1772" s="1" t="s">
        <v>192</v>
      </c>
      <c r="D1772" s="1" t="s">
        <v>16612</v>
      </c>
      <c r="N1772" s="1" t="s">
        <v>10</v>
      </c>
      <c r="U1772" s="1" t="s">
        <v>17</v>
      </c>
      <c r="GD1772" s="1" t="s">
        <v>193</v>
      </c>
      <c r="GE1772" s="1" t="s">
        <v>190</v>
      </c>
    </row>
    <row r="1773" spans="1:187" ht="11.25" customHeight="1">
      <c r="A1773" s="1" t="s">
        <v>2682</v>
      </c>
      <c r="B1773" s="1" t="str">
        <f ca="1">IFERROR(__xludf.DUMMYFUNCTION("GOOGLETRANSLATE(A1773, ""en"", ""fr"")"),"CIVILISATION")</f>
        <v>CIVILISATION</v>
      </c>
      <c r="C1773" s="1" t="s">
        <v>185</v>
      </c>
      <c r="D1773" s="1" t="s">
        <v>16612</v>
      </c>
      <c r="F1773" s="1" t="s">
        <v>2</v>
      </c>
      <c r="Z1773" s="1" t="s">
        <v>22</v>
      </c>
      <c r="CP1773" s="1" t="s">
        <v>90</v>
      </c>
      <c r="CQ1773" s="1" t="s">
        <v>91</v>
      </c>
      <c r="FS1773" s="1" t="s">
        <v>171</v>
      </c>
      <c r="GD1773" s="1" t="s">
        <v>193</v>
      </c>
      <c r="GE1773" s="1" t="s">
        <v>190</v>
      </c>
    </row>
    <row r="1774" spans="1:187" ht="11.25" customHeight="1">
      <c r="A1774" s="1" t="s">
        <v>2683</v>
      </c>
      <c r="B1774" s="1" t="str">
        <f ca="1">IFERROR(__xludf.DUMMYFUNCTION("GOOGLETRANSLATE(A1774, ""en"", ""fr"")"),"Civiliser # 1")</f>
        <v>Civiliser # 1</v>
      </c>
      <c r="C1774" s="1" t="s">
        <v>185</v>
      </c>
      <c r="D1774" s="1" t="s">
        <v>16612</v>
      </c>
      <c r="F1774" s="1" t="s">
        <v>2</v>
      </c>
      <c r="Z1774" s="1" t="s">
        <v>22</v>
      </c>
      <c r="FD1774" s="1" t="s">
        <v>156</v>
      </c>
      <c r="FI1774" s="1" t="s">
        <v>161</v>
      </c>
      <c r="GD1774" s="1" t="s">
        <v>202</v>
      </c>
      <c r="GE1774" s="1" t="s">
        <v>190</v>
      </c>
    </row>
    <row r="1775" spans="1:187" ht="11.25" customHeight="1">
      <c r="A1775" s="1" t="s">
        <v>2684</v>
      </c>
      <c r="B1775" s="1" t="str">
        <f ca="1">IFERROR(__xludf.DUMMYFUNCTION("GOOGLETRANSLATE(A1775, ""en"", ""fr"")"),"Civiliser # 2")</f>
        <v>Civiliser # 2</v>
      </c>
      <c r="C1775" s="1" t="s">
        <v>185</v>
      </c>
      <c r="D1775" s="1" t="s">
        <v>16612</v>
      </c>
      <c r="F1775" s="1" t="s">
        <v>2</v>
      </c>
      <c r="K1775" s="1" t="s">
        <v>7</v>
      </c>
      <c r="AL1775" s="1" t="s">
        <v>34</v>
      </c>
      <c r="DN1775" s="1" t="s">
        <v>114</v>
      </c>
      <c r="FD1775" s="1" t="s">
        <v>156</v>
      </c>
      <c r="FI1775" s="1" t="s">
        <v>161</v>
      </c>
      <c r="GD1775" s="1" t="s">
        <v>189</v>
      </c>
      <c r="GE1775" s="1" t="s">
        <v>190</v>
      </c>
    </row>
    <row r="1776" spans="1:187" ht="11.25" customHeight="1">
      <c r="A1776" s="1" t="s">
        <v>2685</v>
      </c>
      <c r="B1776" s="1" t="str">
        <f ca="1">IFERROR(__xludf.DUMMYFUNCTION("GOOGLETRANSLATE(A1776, ""en"", ""fr"")"),"Réclamation n ° 1")</f>
        <v>Réclamation n ° 1</v>
      </c>
      <c r="C1776" s="1" t="s">
        <v>185</v>
      </c>
      <c r="AC1776" s="1" t="s">
        <v>25</v>
      </c>
      <c r="BK1776" s="1" t="s">
        <v>59</v>
      </c>
      <c r="DU1776" s="1" t="s">
        <v>121</v>
      </c>
      <c r="ED1776" s="1" t="s">
        <v>130</v>
      </c>
      <c r="GC1776" s="1" t="s">
        <v>181</v>
      </c>
      <c r="GD1776" s="1" t="s">
        <v>193</v>
      </c>
      <c r="GE1776" s="1" t="s">
        <v>190</v>
      </c>
    </row>
    <row r="1777" spans="1:187" ht="11.25" customHeight="1">
      <c r="A1777" s="1" t="s">
        <v>2686</v>
      </c>
      <c r="B1777" s="1" t="str">
        <f ca="1">IFERROR(__xludf.DUMMYFUNCTION("GOOGLETRANSLATE(A1777, ""en"", ""fr"")"),"Réclamation n ° 2")</f>
        <v>Réclamation n ° 2</v>
      </c>
      <c r="C1777" s="1" t="s">
        <v>185</v>
      </c>
      <c r="BK1777" s="1" t="s">
        <v>59</v>
      </c>
      <c r="DN1777" s="1" t="s">
        <v>114</v>
      </c>
      <c r="DU1777" s="1" t="s">
        <v>121</v>
      </c>
      <c r="ED1777" s="1" t="s">
        <v>130</v>
      </c>
      <c r="GD1777" s="1" t="s">
        <v>189</v>
      </c>
      <c r="GE1777" s="1" t="s">
        <v>190</v>
      </c>
    </row>
    <row r="1778" spans="1:187" ht="11.25" customHeight="1">
      <c r="A1778" s="1" t="s">
        <v>2687</v>
      </c>
      <c r="B1778" s="1" t="str">
        <f ca="1">IFERROR(__xludf.DUMMYFUNCTION("GOOGLETRANSLATE(A1778, ""en"", ""fr"")"),"CLAMEUR")</f>
        <v>CLAMEUR</v>
      </c>
      <c r="C1778" s="1" t="s">
        <v>192</v>
      </c>
      <c r="E1778" s="1" t="s">
        <v>16613</v>
      </c>
      <c r="Q1778" s="1" t="s">
        <v>13</v>
      </c>
      <c r="V1778" s="1" t="s">
        <v>18</v>
      </c>
      <c r="BK1778" s="1" t="s">
        <v>59</v>
      </c>
      <c r="GD1778" s="1" t="s">
        <v>193</v>
      </c>
      <c r="GE1778" s="1" t="s">
        <v>190</v>
      </c>
    </row>
    <row r="1779" spans="1:187" ht="11.25" customHeight="1">
      <c r="A1779" s="1" t="s">
        <v>2688</v>
      </c>
      <c r="B1779" s="1" t="str">
        <f ca="1">IFERROR(__xludf.DUMMYFUNCTION("GOOGLETRANSLATE(A1779, ""en"", ""fr"")"),"Affliquant")</f>
        <v>Affliquant</v>
      </c>
      <c r="C1779" s="1" t="s">
        <v>192</v>
      </c>
      <c r="E1779" s="1" t="s">
        <v>16613</v>
      </c>
      <c r="Q1779" s="1" t="s">
        <v>13</v>
      </c>
      <c r="BK1779" s="1" t="s">
        <v>59</v>
      </c>
      <c r="DR1779" s="1" t="s">
        <v>118</v>
      </c>
      <c r="GD1779" s="1" t="s">
        <v>202</v>
      </c>
      <c r="GE1779" s="1" t="s">
        <v>190</v>
      </c>
    </row>
    <row r="1780" spans="1:187" ht="11.25" customHeight="1">
      <c r="A1780" s="1" t="s">
        <v>2689</v>
      </c>
      <c r="B1780" s="1" t="str">
        <f ca="1">IFERROR(__xludf.DUMMYFUNCTION("GOOGLETRANSLATE(A1780, ""en"", ""fr"")"),"CLANDESTIN")</f>
        <v>CLANDESTIN</v>
      </c>
      <c r="C1780" s="1" t="s">
        <v>196</v>
      </c>
      <c r="FH1780" s="1" t="s">
        <v>160</v>
      </c>
      <c r="FI1780" s="1" t="s">
        <v>161</v>
      </c>
      <c r="GD1780" s="1" t="s">
        <v>202</v>
      </c>
    </row>
    <row r="1781" spans="1:187" ht="11.25" customHeight="1">
      <c r="A1781" s="1" t="s">
        <v>2690</v>
      </c>
      <c r="B1781" s="1" t="str">
        <f ca="1">IFERROR(__xludf.DUMMYFUNCTION("GOOGLETRANSLATE(A1781, ""en"", ""fr"")"),"CLARIFICATION")</f>
        <v>CLARIFICATION</v>
      </c>
      <c r="C1781" s="1" t="s">
        <v>196</v>
      </c>
      <c r="FH1781" s="1" t="s">
        <v>160</v>
      </c>
      <c r="FI1781" s="1" t="s">
        <v>161</v>
      </c>
      <c r="GD1781" s="1" t="s">
        <v>193</v>
      </c>
    </row>
    <row r="1782" spans="1:187" ht="11.25" customHeight="1">
      <c r="A1782" s="1" t="s">
        <v>2691</v>
      </c>
      <c r="B1782" s="1" t="str">
        <f ca="1">IFERROR(__xludf.DUMMYFUNCTION("GOOGLETRANSLATE(A1782, ""en"", ""fr"")"),"CLARIFIER")</f>
        <v>CLARIFIER</v>
      </c>
      <c r="C1782" s="1" t="s">
        <v>185</v>
      </c>
      <c r="D1782" s="1" t="s">
        <v>16612</v>
      </c>
      <c r="F1782" s="1" t="s">
        <v>2</v>
      </c>
      <c r="N1782" s="1" t="s">
        <v>10</v>
      </c>
      <c r="BK1782" s="1" t="s">
        <v>59</v>
      </c>
      <c r="DN1782" s="1" t="s">
        <v>114</v>
      </c>
      <c r="FD1782" s="1" t="s">
        <v>156</v>
      </c>
      <c r="FI1782" s="1" t="s">
        <v>161</v>
      </c>
      <c r="GD1782" s="1" t="s">
        <v>189</v>
      </c>
      <c r="GE1782" s="1" t="s">
        <v>190</v>
      </c>
    </row>
    <row r="1783" spans="1:187" ht="11.25" customHeight="1">
      <c r="A1783" s="1" t="s">
        <v>2692</v>
      </c>
      <c r="B1783" s="1" t="str">
        <f ca="1">IFERROR(__xludf.DUMMYFUNCTION("GOOGLETRANSLATE(A1783, ""en"", ""fr"")"),"CLARTÉ")</f>
        <v>CLARTÉ</v>
      </c>
      <c r="C1783" s="1" t="s">
        <v>185</v>
      </c>
      <c r="D1783" s="1" t="s">
        <v>16612</v>
      </c>
      <c r="F1783" s="1" t="s">
        <v>2</v>
      </c>
      <c r="W1783" s="1" t="s">
        <v>19</v>
      </c>
      <c r="CR1783" s="1" t="s">
        <v>92</v>
      </c>
      <c r="FH1783" s="1" t="s">
        <v>160</v>
      </c>
      <c r="FI1783" s="1" t="s">
        <v>161</v>
      </c>
      <c r="GD1783" s="1" t="s">
        <v>202</v>
      </c>
      <c r="GE1783" s="1" t="s">
        <v>190</v>
      </c>
    </row>
    <row r="1784" spans="1:187" ht="11.25" customHeight="1">
      <c r="A1784" s="1" t="s">
        <v>2693</v>
      </c>
      <c r="B1784" s="1" t="str">
        <f ca="1">IFERROR(__xludf.DUMMYFUNCTION("GOOGLETRANSLATE(A1784, ""en"", ""fr"")"),"CHOC")</f>
        <v>CHOC</v>
      </c>
      <c r="C1784" s="1" t="s">
        <v>192</v>
      </c>
      <c r="E1784" s="1" t="s">
        <v>16613</v>
      </c>
      <c r="I1784" s="1" t="s">
        <v>5</v>
      </c>
      <c r="K1784" s="1" t="s">
        <v>7</v>
      </c>
      <c r="N1784" s="1" t="s">
        <v>10</v>
      </c>
      <c r="AN1784" s="1" t="s">
        <v>36</v>
      </c>
      <c r="CC1784" s="1" t="s">
        <v>77</v>
      </c>
      <c r="DN1784" s="1" t="s">
        <v>114</v>
      </c>
      <c r="GD1784" s="1" t="s">
        <v>189</v>
      </c>
      <c r="GE1784" s="1" t="s">
        <v>190</v>
      </c>
    </row>
    <row r="1785" spans="1:187" ht="11.25" customHeight="1">
      <c r="A1785" s="1" t="s">
        <v>2694</v>
      </c>
      <c r="B1785" s="1" t="str">
        <f ca="1">IFERROR(__xludf.DUMMYFUNCTION("GOOGLETRANSLATE(A1785, ""en"", ""fr"")"),"CLASSE")</f>
        <v>CLASSE</v>
      </c>
      <c r="C1785" s="1" t="s">
        <v>185</v>
      </c>
      <c r="AK1785" s="1" t="s">
        <v>33</v>
      </c>
      <c r="AT1785" s="1" t="s">
        <v>42</v>
      </c>
      <c r="CP1785" s="1" t="s">
        <v>90</v>
      </c>
      <c r="CQ1785" s="1" t="s">
        <v>91</v>
      </c>
      <c r="EM1785" s="1" t="s">
        <v>139</v>
      </c>
      <c r="EN1785" s="1" t="s">
        <v>140</v>
      </c>
      <c r="GD1785" s="1" t="s">
        <v>193</v>
      </c>
      <c r="GE1785" s="1" t="s">
        <v>2695</v>
      </c>
    </row>
    <row r="1786" spans="1:187" ht="11.25" customHeight="1">
      <c r="A1786" s="1" t="s">
        <v>2696</v>
      </c>
      <c r="B1786" s="1" t="str">
        <f ca="1">IFERROR(__xludf.DUMMYFUNCTION("GOOGLETRANSLATE(A1786, ""en"", ""fr"")"),"CLASSIQUE")</f>
        <v>CLASSIQUE</v>
      </c>
      <c r="C1786" s="1" t="s">
        <v>185</v>
      </c>
      <c r="D1786" s="1" t="s">
        <v>16612</v>
      </c>
      <c r="F1786" s="1" t="s">
        <v>2</v>
      </c>
      <c r="Y1786" s="1" t="s">
        <v>21</v>
      </c>
      <c r="BK1786" s="1" t="s">
        <v>59</v>
      </c>
      <c r="BL1786" s="1" t="s">
        <v>60</v>
      </c>
      <c r="GB1786" s="1" t="s">
        <v>180</v>
      </c>
      <c r="GD1786" s="1" t="s">
        <v>193</v>
      </c>
      <c r="GE1786" s="1" t="s">
        <v>190</v>
      </c>
    </row>
    <row r="1787" spans="1:187" ht="11.25" customHeight="1">
      <c r="A1787" s="1" t="s">
        <v>2697</v>
      </c>
      <c r="B1787" s="1" t="str">
        <f ca="1">IFERROR(__xludf.DUMMYFUNCTION("GOOGLETRANSLATE(A1787, ""en"", ""fr"")"),"CLASSIQUE")</f>
        <v>CLASSIQUE</v>
      </c>
      <c r="C1787" s="1" t="s">
        <v>185</v>
      </c>
      <c r="Z1787" s="1" t="s">
        <v>22</v>
      </c>
      <c r="GD1787" s="1" t="s">
        <v>202</v>
      </c>
      <c r="GE1787" s="1" t="s">
        <v>190</v>
      </c>
    </row>
    <row r="1788" spans="1:187" ht="11.25" customHeight="1">
      <c r="A1788" s="1" t="s">
        <v>2698</v>
      </c>
      <c r="B1788" s="1" t="str">
        <f ca="1">IFERROR(__xludf.DUMMYFUNCTION("GOOGLETRANSLATE(A1788, ""en"", ""fr"")"),"CLASSIFICATION")</f>
        <v>CLASSIFICATION</v>
      </c>
      <c r="C1788" s="1" t="s">
        <v>185</v>
      </c>
      <c r="N1788" s="1" t="s">
        <v>10</v>
      </c>
      <c r="CH1788" s="1" t="s">
        <v>82</v>
      </c>
      <c r="CP1788" s="1" t="s">
        <v>90</v>
      </c>
      <c r="CQ1788" s="1" t="s">
        <v>91</v>
      </c>
      <c r="FH1788" s="1" t="s">
        <v>160</v>
      </c>
      <c r="FI1788" s="1" t="s">
        <v>161</v>
      </c>
      <c r="GD1788" s="1" t="s">
        <v>193</v>
      </c>
      <c r="GE1788" s="1" t="s">
        <v>190</v>
      </c>
    </row>
    <row r="1789" spans="1:187" ht="11.25" customHeight="1">
      <c r="A1789" s="1" t="s">
        <v>2699</v>
      </c>
      <c r="B1789" s="1" t="str">
        <f ca="1">IFERROR(__xludf.DUMMYFUNCTION("GOOGLETRANSLATE(A1789, ""en"", ""fr"")"),"Classifier # 1")</f>
        <v>Classifier # 1</v>
      </c>
      <c r="C1789" s="1" t="s">
        <v>185</v>
      </c>
      <c r="N1789" s="1" t="s">
        <v>10</v>
      </c>
      <c r="CH1789" s="1" t="s">
        <v>82</v>
      </c>
      <c r="FD1789" s="1" t="s">
        <v>156</v>
      </c>
      <c r="FI1789" s="1" t="s">
        <v>161</v>
      </c>
      <c r="GD1789" s="1" t="s">
        <v>202</v>
      </c>
      <c r="GE1789" s="1" t="s">
        <v>190</v>
      </c>
    </row>
    <row r="1790" spans="1:187" ht="11.25" customHeight="1">
      <c r="A1790" s="1" t="s">
        <v>2700</v>
      </c>
      <c r="B1790" s="1" t="str">
        <f ca="1">IFERROR(__xludf.DUMMYFUNCTION("GOOGLETRANSLATE(A1790, ""en"", ""fr"")"),"Classifier # 2")</f>
        <v>Classifier # 2</v>
      </c>
      <c r="C1790" s="1" t="s">
        <v>185</v>
      </c>
      <c r="N1790" s="1" t="s">
        <v>10</v>
      </c>
      <c r="CO1790" s="1" t="s">
        <v>89</v>
      </c>
      <c r="DN1790" s="1" t="s">
        <v>114</v>
      </c>
      <c r="FD1790" s="1" t="s">
        <v>156</v>
      </c>
      <c r="FI1790" s="1" t="s">
        <v>161</v>
      </c>
      <c r="GD1790" s="1" t="s">
        <v>189</v>
      </c>
      <c r="GE1790" s="1" t="s">
        <v>190</v>
      </c>
    </row>
    <row r="1791" spans="1:187" ht="11.25" customHeight="1">
      <c r="A1791" s="1" t="s">
        <v>2701</v>
      </c>
      <c r="B1791" s="1" t="str">
        <f ca="1">IFERROR(__xludf.DUMMYFUNCTION("GOOGLETRANSLATE(A1791, ""en"", ""fr"")"),"SALLE DE CLASSE")</f>
        <v>SALLE DE CLASSE</v>
      </c>
      <c r="C1791" s="1" t="s">
        <v>185</v>
      </c>
      <c r="Y1791" s="1" t="s">
        <v>21</v>
      </c>
      <c r="BC1791" s="1" t="s">
        <v>51</v>
      </c>
      <c r="BG1791" s="1" t="s">
        <v>55</v>
      </c>
      <c r="FH1791" s="1" t="s">
        <v>160</v>
      </c>
      <c r="FI1791" s="1" t="s">
        <v>161</v>
      </c>
      <c r="GD1791" s="1" t="s">
        <v>193</v>
      </c>
      <c r="GE1791" s="1" t="s">
        <v>2702</v>
      </c>
    </row>
    <row r="1792" spans="1:187" ht="11.25" customHeight="1">
      <c r="A1792" s="1" t="s">
        <v>2703</v>
      </c>
      <c r="B1792" s="1" t="str">
        <f ca="1">IFERROR(__xludf.DUMMYFUNCTION("GOOGLETRANSLATE(A1792, ""en"", ""fr"")"),"BRUIT")</f>
        <v>BRUIT</v>
      </c>
      <c r="C1792" s="1" t="s">
        <v>192</v>
      </c>
      <c r="E1792" s="1" t="s">
        <v>16613</v>
      </c>
      <c r="Q1792" s="1" t="s">
        <v>13</v>
      </c>
      <c r="BK1792" s="1" t="s">
        <v>59</v>
      </c>
      <c r="GD1792" s="1" t="s">
        <v>193</v>
      </c>
      <c r="GE1792" s="1" t="s">
        <v>190</v>
      </c>
    </row>
    <row r="1793" spans="1:187" ht="11.25" customHeight="1">
      <c r="A1793" s="1" t="s">
        <v>2704</v>
      </c>
      <c r="B1793" s="1" t="str">
        <f ca="1">IFERROR(__xludf.DUMMYFUNCTION("GOOGLETRANSLATE(A1793, ""en"", ""fr"")"),"ARGILE")</f>
        <v>ARGILE</v>
      </c>
      <c r="C1793" s="1" t="s">
        <v>185</v>
      </c>
      <c r="BC1793" s="1" t="s">
        <v>51</v>
      </c>
      <c r="BI1793" s="1" t="s">
        <v>57</v>
      </c>
      <c r="GD1793" s="1" t="s">
        <v>193</v>
      </c>
      <c r="GE1793" s="1" t="s">
        <v>190</v>
      </c>
    </row>
    <row r="1794" spans="1:187" ht="11.25" customHeight="1">
      <c r="A1794" s="1" t="s">
        <v>2705</v>
      </c>
      <c r="B1794" s="1" t="str">
        <f ca="1">IFERROR(__xludf.DUMMYFUNCTION("GOOGLETRANSLATE(A1794, ""en"", ""fr"")"),"Nettoyer # 1")</f>
        <v>Nettoyer # 1</v>
      </c>
      <c r="C1794" s="1" t="s">
        <v>185</v>
      </c>
      <c r="D1794" s="1" t="s">
        <v>16612</v>
      </c>
      <c r="F1794" s="1" t="s">
        <v>2</v>
      </c>
      <c r="U1794" s="1" t="s">
        <v>17</v>
      </c>
      <c r="EE1794" s="1" t="s">
        <v>131</v>
      </c>
      <c r="EJ1794" s="1" t="s">
        <v>136</v>
      </c>
      <c r="GD1794" s="1" t="s">
        <v>202</v>
      </c>
      <c r="GE1794" s="1" t="s">
        <v>2706</v>
      </c>
    </row>
    <row r="1795" spans="1:187" ht="11.25" customHeight="1">
      <c r="A1795" s="1" t="s">
        <v>2707</v>
      </c>
      <c r="B1795" s="1" t="str">
        <f ca="1">IFERROR(__xludf.DUMMYFUNCTION("GOOGLETRANSLATE(A1795, ""en"", ""fr"")"),"Nettoyer # 2")</f>
        <v>Nettoyer # 2</v>
      </c>
      <c r="C1795" s="1" t="s">
        <v>185</v>
      </c>
      <c r="N1795" s="1" t="s">
        <v>10</v>
      </c>
      <c r="AC1795" s="1" t="s">
        <v>25</v>
      </c>
      <c r="AL1795" s="1" t="s">
        <v>34</v>
      </c>
      <c r="GD1795" s="1" t="s">
        <v>202</v>
      </c>
      <c r="GE1795" s="1" t="s">
        <v>2708</v>
      </c>
    </row>
    <row r="1796" spans="1:187" ht="11.25" customHeight="1">
      <c r="A1796" s="1" t="s">
        <v>2709</v>
      </c>
      <c r="B1796" s="1" t="str">
        <f ca="1">IFERROR(__xludf.DUMMYFUNCTION("GOOGLETRANSLATE(A1796, ""en"", ""fr"")"),"Nettoyer # 3")</f>
        <v>Nettoyer # 3</v>
      </c>
      <c r="C1796" s="1" t="s">
        <v>185</v>
      </c>
      <c r="D1796" s="1" t="s">
        <v>16612</v>
      </c>
      <c r="F1796" s="1" t="s">
        <v>2</v>
      </c>
      <c r="N1796" s="1" t="s">
        <v>10</v>
      </c>
      <c r="AL1796" s="1" t="s">
        <v>34</v>
      </c>
      <c r="DN1796" s="1" t="s">
        <v>114</v>
      </c>
      <c r="GD1796" s="1" t="s">
        <v>189</v>
      </c>
      <c r="GE1796" s="1" t="s">
        <v>2710</v>
      </c>
    </row>
    <row r="1797" spans="1:187" ht="11.25" customHeight="1">
      <c r="A1797" s="1" t="s">
        <v>2711</v>
      </c>
      <c r="B1797" s="1" t="str">
        <f ca="1">IFERROR(__xludf.DUMMYFUNCTION("GOOGLETRANSLATE(A1797, ""en"", ""fr"")"),"PROPRETÉ")</f>
        <v>PROPRETÉ</v>
      </c>
      <c r="C1797" s="1" t="s">
        <v>192</v>
      </c>
      <c r="D1797" s="1" t="s">
        <v>16612</v>
      </c>
      <c r="U1797" s="1" t="s">
        <v>17</v>
      </c>
      <c r="AL1797" s="1" t="s">
        <v>34</v>
      </c>
      <c r="GD1797" s="1" t="s">
        <v>193</v>
      </c>
      <c r="GE1797" s="1" t="s">
        <v>190</v>
      </c>
    </row>
    <row r="1798" spans="1:187" ht="11.25" customHeight="1">
      <c r="A1798" s="1" t="s">
        <v>2712</v>
      </c>
      <c r="B1798" s="1" t="str">
        <f ca="1">IFERROR(__xludf.DUMMYFUNCTION("GOOGLETRANSLATE(A1798, ""en"", ""fr"")"),"PURIFIER")</f>
        <v>PURIFIER</v>
      </c>
      <c r="C1798" s="1" t="s">
        <v>192</v>
      </c>
      <c r="D1798" s="1" t="s">
        <v>16612</v>
      </c>
      <c r="N1798" s="1" t="s">
        <v>10</v>
      </c>
      <c r="AL1798" s="1" t="s">
        <v>34</v>
      </c>
      <c r="DO1798" s="1" t="s">
        <v>115</v>
      </c>
      <c r="GD1798" s="1" t="s">
        <v>189</v>
      </c>
      <c r="GE1798" s="1" t="s">
        <v>190</v>
      </c>
    </row>
    <row r="1799" spans="1:187" ht="11.25" customHeight="1">
      <c r="A1799" s="1" t="s">
        <v>2713</v>
      </c>
      <c r="B1799" s="1" t="str">
        <f ca="1">IFERROR(__xludf.DUMMYFUNCTION("GOOGLETRANSLATE(A1799, ""en"", ""fr"")"),"Clear # 1")</f>
        <v>Clear # 1</v>
      </c>
      <c r="C1799" s="1" t="s">
        <v>185</v>
      </c>
      <c r="D1799" s="1" t="s">
        <v>16612</v>
      </c>
      <c r="F1799" s="1" t="s">
        <v>2</v>
      </c>
      <c r="W1799" s="1" t="s">
        <v>19</v>
      </c>
      <c r="CR1799" s="1" t="s">
        <v>92</v>
      </c>
      <c r="FH1799" s="1" t="s">
        <v>160</v>
      </c>
      <c r="FI1799" s="1" t="s">
        <v>161</v>
      </c>
      <c r="GD1799" s="1" t="s">
        <v>202</v>
      </c>
      <c r="GE1799" s="1" t="s">
        <v>2714</v>
      </c>
    </row>
    <row r="1800" spans="1:187" ht="11.25" customHeight="1">
      <c r="A1800" s="1" t="s">
        <v>2715</v>
      </c>
      <c r="B1800" s="1" t="str">
        <f ca="1">IFERROR(__xludf.DUMMYFUNCTION("GOOGLETRANSLATE(A1800, ""en"", ""fr"")"),"Clear # 10")</f>
        <v>Clear # 10</v>
      </c>
      <c r="C1800" s="1" t="s">
        <v>196</v>
      </c>
      <c r="EV1800" s="1" t="s">
        <v>148</v>
      </c>
      <c r="EW1800" s="1" t="s">
        <v>149</v>
      </c>
      <c r="GD1800" s="1" t="s">
        <v>2716</v>
      </c>
    </row>
    <row r="1801" spans="1:187" ht="11.25" customHeight="1">
      <c r="A1801" s="1" t="s">
        <v>2717</v>
      </c>
      <c r="B1801" s="1" t="str">
        <f ca="1">IFERROR(__xludf.DUMMYFUNCTION("GOOGLETRANSLATE(A1801, ""en"", ""fr"")"),"Clear # 2")</f>
        <v>Clear # 2</v>
      </c>
      <c r="C1801" s="1" t="s">
        <v>185</v>
      </c>
      <c r="D1801" s="1" t="s">
        <v>16612</v>
      </c>
      <c r="F1801" s="1" t="s">
        <v>2</v>
      </c>
      <c r="W1801" s="1" t="s">
        <v>19</v>
      </c>
      <c r="CH1801" s="1" t="s">
        <v>82</v>
      </c>
      <c r="FH1801" s="1" t="s">
        <v>160</v>
      </c>
      <c r="FI1801" s="1" t="s">
        <v>161</v>
      </c>
      <c r="GD1801" s="1" t="s">
        <v>236</v>
      </c>
      <c r="GE1801" s="1" t="s">
        <v>2718</v>
      </c>
    </row>
    <row r="1802" spans="1:187" ht="11.25" customHeight="1">
      <c r="A1802" s="1" t="s">
        <v>2719</v>
      </c>
      <c r="B1802" s="1" t="str">
        <f ca="1">IFERROR(__xludf.DUMMYFUNCTION("GOOGLETRANSLATE(A1802, ""en"", ""fr"")"),"Clear # 3")</f>
        <v>Clear # 3</v>
      </c>
      <c r="C1802" s="1" t="s">
        <v>185</v>
      </c>
      <c r="D1802" s="1" t="s">
        <v>16612</v>
      </c>
      <c r="F1802" s="1" t="s">
        <v>2</v>
      </c>
      <c r="CR1802" s="1" t="s">
        <v>92</v>
      </c>
      <c r="FH1802" s="1" t="s">
        <v>160</v>
      </c>
      <c r="FI1802" s="1" t="s">
        <v>161</v>
      </c>
      <c r="GD1802" s="1" t="s">
        <v>202</v>
      </c>
      <c r="GE1802" s="1" t="s">
        <v>2720</v>
      </c>
    </row>
    <row r="1803" spans="1:187" ht="11.25" customHeight="1">
      <c r="A1803" s="1" t="s">
        <v>2721</v>
      </c>
      <c r="B1803" s="1" t="str">
        <f ca="1">IFERROR(__xludf.DUMMYFUNCTION("GOOGLETRANSLATE(A1803, ""en"", ""fr"")"),"Clear # 4")</f>
        <v>Clear # 4</v>
      </c>
      <c r="C1803" s="1" t="s">
        <v>185</v>
      </c>
      <c r="D1803" s="1" t="s">
        <v>16612</v>
      </c>
      <c r="F1803" s="1" t="s">
        <v>2</v>
      </c>
      <c r="CR1803" s="1" t="s">
        <v>92</v>
      </c>
      <c r="FH1803" s="1" t="s">
        <v>160</v>
      </c>
      <c r="FI1803" s="1" t="s">
        <v>161</v>
      </c>
      <c r="GD1803" s="1" t="s">
        <v>202</v>
      </c>
      <c r="GE1803" s="1" t="s">
        <v>2722</v>
      </c>
    </row>
    <row r="1804" spans="1:187" ht="11.25" customHeight="1">
      <c r="A1804" s="1" t="s">
        <v>2723</v>
      </c>
      <c r="B1804" s="1" t="str">
        <f ca="1">IFERROR(__xludf.DUMMYFUNCTION("GOOGLETRANSLATE(A1804, ""en"", ""fr"")"),"Clear # 5")</f>
        <v>Clear # 5</v>
      </c>
      <c r="C1804" s="1" t="s">
        <v>185</v>
      </c>
      <c r="D1804" s="1" t="s">
        <v>16612</v>
      </c>
      <c r="F1804" s="1" t="s">
        <v>2</v>
      </c>
      <c r="CC1804" s="1" t="s">
        <v>77</v>
      </c>
      <c r="DN1804" s="1" t="s">
        <v>114</v>
      </c>
      <c r="GD1804" s="1" t="s">
        <v>189</v>
      </c>
      <c r="GE1804" s="1" t="s">
        <v>2724</v>
      </c>
    </row>
    <row r="1805" spans="1:187" ht="11.25" customHeight="1">
      <c r="A1805" s="1" t="s">
        <v>2725</v>
      </c>
      <c r="B1805" s="1" t="str">
        <f ca="1">IFERROR(__xludf.DUMMYFUNCTION("GOOGLETRANSLATE(A1805, ""en"", ""fr"")"),"Clear # 6")</f>
        <v>Clear # 6</v>
      </c>
      <c r="C1805" s="1" t="s">
        <v>185</v>
      </c>
      <c r="K1805" s="1" t="s">
        <v>7</v>
      </c>
      <c r="BK1805" s="1" t="s">
        <v>59</v>
      </c>
      <c r="DN1805" s="1" t="s">
        <v>114</v>
      </c>
      <c r="EG1805" s="1" t="s">
        <v>133</v>
      </c>
      <c r="EJ1805" s="1" t="s">
        <v>136</v>
      </c>
      <c r="GD1805" s="1" t="s">
        <v>189</v>
      </c>
      <c r="GE1805" s="1" t="s">
        <v>2726</v>
      </c>
    </row>
    <row r="1806" spans="1:187" ht="11.25" customHeight="1">
      <c r="A1806" s="1" t="s">
        <v>2727</v>
      </c>
      <c r="B1806" s="1" t="str">
        <f ca="1">IFERROR(__xludf.DUMMYFUNCTION("GOOGLETRANSLATE(A1806, ""en"", ""fr"")"),"Clear # 7")</f>
        <v>Clear # 7</v>
      </c>
      <c r="C1806" s="1" t="s">
        <v>185</v>
      </c>
      <c r="CO1806" s="1" t="s">
        <v>89</v>
      </c>
      <c r="DN1806" s="1" t="s">
        <v>114</v>
      </c>
      <c r="FH1806" s="1" t="s">
        <v>160</v>
      </c>
      <c r="FI1806" s="1" t="s">
        <v>161</v>
      </c>
      <c r="GD1806" s="1" t="s">
        <v>189</v>
      </c>
      <c r="GE1806" s="1" t="s">
        <v>2728</v>
      </c>
    </row>
    <row r="1807" spans="1:187" ht="11.25" customHeight="1">
      <c r="A1807" s="1" t="s">
        <v>2729</v>
      </c>
      <c r="B1807" s="1" t="str">
        <f ca="1">IFERROR(__xludf.DUMMYFUNCTION("GOOGLETRANSLATE(A1807, ""en"", ""fr"")"),"Clear # 8")</f>
        <v>Clear # 8</v>
      </c>
      <c r="C1807" s="1" t="s">
        <v>185</v>
      </c>
      <c r="AV1807" s="1" t="s">
        <v>44</v>
      </c>
      <c r="BA1807" s="1" t="s">
        <v>49</v>
      </c>
      <c r="GD1807" s="1" t="s">
        <v>193</v>
      </c>
      <c r="GE1807" s="1" t="s">
        <v>2730</v>
      </c>
    </row>
    <row r="1808" spans="1:187" ht="11.25" customHeight="1">
      <c r="A1808" s="1" t="s">
        <v>2731</v>
      </c>
      <c r="B1808" s="1" t="str">
        <f ca="1">IFERROR(__xludf.DUMMYFUNCTION("GOOGLETRANSLATE(A1808, ""en"", ""fr"")"),"Clear # 9")</f>
        <v>Clear # 9</v>
      </c>
      <c r="C1808" s="1" t="s">
        <v>185</v>
      </c>
      <c r="W1808" s="1" t="s">
        <v>19</v>
      </c>
      <c r="CS1808" s="1" t="s">
        <v>93</v>
      </c>
      <c r="GB1808" s="1" t="s">
        <v>180</v>
      </c>
      <c r="GD1808" s="1" t="s">
        <v>236</v>
      </c>
      <c r="GE1808" s="1" t="s">
        <v>2732</v>
      </c>
    </row>
    <row r="1809" spans="1:187" ht="11.25" customHeight="1">
      <c r="A1809" s="1" t="s">
        <v>2733</v>
      </c>
      <c r="B1809" s="1" t="str">
        <f ca="1">IFERROR(__xludf.DUMMYFUNCTION("GOOGLETRANSLATE(A1809, ""en"", ""fr"")"),"Clear # _10")</f>
        <v>Clear # _10</v>
      </c>
      <c r="C1809" s="1" t="s">
        <v>192</v>
      </c>
      <c r="AA1809" s="1" t="s">
        <v>23</v>
      </c>
      <c r="AC1809" s="1" t="s">
        <v>25</v>
      </c>
      <c r="AV1809" s="1" t="s">
        <v>44</v>
      </c>
      <c r="AW1809" s="1" t="s">
        <v>45</v>
      </c>
      <c r="GD1809" s="1" t="s">
        <v>193</v>
      </c>
      <c r="GE1809" s="1" t="s">
        <v>2734</v>
      </c>
    </row>
    <row r="1810" spans="1:187" ht="11.25" customHeight="1">
      <c r="A1810" s="1" t="s">
        <v>2735</v>
      </c>
      <c r="B1810" s="1" t="str">
        <f ca="1">IFERROR(__xludf.DUMMYFUNCTION("GOOGLETRANSLATE(A1810, ""en"", ""fr"")"),"AUTORISATION")</f>
        <v>AUTORISATION</v>
      </c>
      <c r="C1810" s="1" t="s">
        <v>196</v>
      </c>
      <c r="FN1810" s="1" t="s">
        <v>166</v>
      </c>
      <c r="GD1810" s="1" t="s">
        <v>193</v>
      </c>
    </row>
    <row r="1811" spans="1:187" ht="11.25" customHeight="1">
      <c r="A1811" s="1" t="s">
        <v>2736</v>
      </c>
      <c r="B1811" s="1" t="str">
        <f ca="1">IFERROR(__xludf.DUMMYFUNCTION("GOOGLETRANSLATE(A1811, ""en"", ""fr"")"),"CLARTÉ")</f>
        <v>CLARTÉ</v>
      </c>
      <c r="C1811" s="1" t="s">
        <v>192</v>
      </c>
      <c r="D1811" s="1" t="s">
        <v>16612</v>
      </c>
      <c r="CH1811" s="1" t="s">
        <v>82</v>
      </c>
      <c r="CK1811" s="1" t="s">
        <v>85</v>
      </c>
      <c r="GD1811" s="1" t="s">
        <v>193</v>
      </c>
      <c r="GE1811" s="1" t="s">
        <v>190</v>
      </c>
    </row>
    <row r="1812" spans="1:187" ht="11.25" customHeight="1">
      <c r="A1812" s="1" t="s">
        <v>2737</v>
      </c>
      <c r="B1812" s="1" t="str">
        <f ca="1">IFERROR(__xludf.DUMMYFUNCTION("GOOGLETRANSLATE(A1812, ""en"", ""fr"")"),"PASTEUR")</f>
        <v>PASTEUR</v>
      </c>
      <c r="C1812" s="1" t="s">
        <v>185</v>
      </c>
      <c r="AI1812" s="1" t="s">
        <v>31</v>
      </c>
      <c r="AJ1812" s="1" t="s">
        <v>32</v>
      </c>
      <c r="AQ1812" s="1" t="s">
        <v>39</v>
      </c>
      <c r="AT1812" s="1" t="s">
        <v>42</v>
      </c>
      <c r="EF1812" s="1" t="s">
        <v>132</v>
      </c>
      <c r="EJ1812" s="1" t="s">
        <v>136</v>
      </c>
      <c r="GD1812" s="1" t="s">
        <v>193</v>
      </c>
      <c r="GE1812" s="1" t="s">
        <v>190</v>
      </c>
    </row>
    <row r="1813" spans="1:187" ht="11.25" customHeight="1">
      <c r="A1813" s="1" t="s">
        <v>2738</v>
      </c>
      <c r="B1813" s="1" t="str">
        <f ca="1">IFERROR(__xludf.DUMMYFUNCTION("GOOGLETRANSLATE(A1813, ""en"", ""fr"")"),"GREFFIER")</f>
        <v>GREFFIER</v>
      </c>
      <c r="C1813" s="1" t="s">
        <v>185</v>
      </c>
      <c r="AA1813" s="1" t="s">
        <v>23</v>
      </c>
      <c r="AJ1813" s="1" t="s">
        <v>32</v>
      </c>
      <c r="AT1813" s="1" t="s">
        <v>42</v>
      </c>
      <c r="FK1813" s="1" t="s">
        <v>163</v>
      </c>
      <c r="FM1813" s="1" t="s">
        <v>418</v>
      </c>
      <c r="GD1813" s="1" t="s">
        <v>193</v>
      </c>
      <c r="GE1813" s="1" t="s">
        <v>190</v>
      </c>
    </row>
    <row r="1814" spans="1:187" ht="11.25" customHeight="1">
      <c r="A1814" s="1" t="s">
        <v>2739</v>
      </c>
      <c r="B1814" s="1" t="str">
        <f ca="1">IFERROR(__xludf.DUMMYFUNCTION("GOOGLETRANSLATE(A1814, ""en"", ""fr"")"),"INTELLIGENT")</f>
        <v>INTELLIGENT</v>
      </c>
      <c r="C1814" s="1" t="s">
        <v>185</v>
      </c>
      <c r="D1814" s="1" t="s">
        <v>16612</v>
      </c>
      <c r="F1814" s="1" t="s">
        <v>2</v>
      </c>
      <c r="J1814" s="1" t="s">
        <v>6</v>
      </c>
      <c r="U1814" s="1" t="s">
        <v>17</v>
      </c>
      <c r="CN1814" s="1" t="s">
        <v>88</v>
      </c>
      <c r="FL1814" s="1" t="s">
        <v>164</v>
      </c>
      <c r="FM1814" s="1" t="s">
        <v>418</v>
      </c>
      <c r="GD1814" s="1" t="s">
        <v>202</v>
      </c>
      <c r="GE1814" s="1" t="s">
        <v>190</v>
      </c>
    </row>
    <row r="1815" spans="1:187" ht="11.25" customHeight="1">
      <c r="A1815" s="1" t="s">
        <v>2740</v>
      </c>
      <c r="B1815" s="1" t="str">
        <f ca="1">IFERROR(__xludf.DUMMYFUNCTION("GOOGLETRANSLATE(A1815, ""en"", ""fr"")"),"Cliquez sur # 1")</f>
        <v>Cliquez sur # 1</v>
      </c>
      <c r="C1815" s="1" t="s">
        <v>185</v>
      </c>
      <c r="CK1815" s="1" t="s">
        <v>85</v>
      </c>
      <c r="GD1815" s="1" t="s">
        <v>193</v>
      </c>
      <c r="GE1815" s="1" t="s">
        <v>190</v>
      </c>
    </row>
    <row r="1816" spans="1:187" ht="11.25" customHeight="1">
      <c r="A1816" s="1" t="s">
        <v>2741</v>
      </c>
      <c r="B1816" s="1" t="str">
        <f ca="1">IFERROR(__xludf.DUMMYFUNCTION("GOOGLETRANSLATE(A1816, ""en"", ""fr"")"),"Cliquez sur # 2")</f>
        <v>Cliquez sur # 2</v>
      </c>
      <c r="C1816" s="1" t="s">
        <v>185</v>
      </c>
      <c r="BU1816" s="1" t="s">
        <v>69</v>
      </c>
      <c r="DN1816" s="1" t="s">
        <v>114</v>
      </c>
      <c r="GD1816" s="1" t="s">
        <v>189</v>
      </c>
      <c r="GE1816" s="1" t="s">
        <v>190</v>
      </c>
    </row>
    <row r="1817" spans="1:187" ht="11.25" customHeight="1">
      <c r="A1817" s="1" t="s">
        <v>2742</v>
      </c>
      <c r="B1817" s="1" t="str">
        <f ca="1">IFERROR(__xludf.DUMMYFUNCTION("GOOGLETRANSLATE(A1817, ""en"", ""fr"")"),"CLIENT")</f>
        <v>CLIENT</v>
      </c>
      <c r="C1817" s="1" t="s">
        <v>185</v>
      </c>
      <c r="AA1817" s="1" t="s">
        <v>23</v>
      </c>
      <c r="AC1817" s="1" t="s">
        <v>25</v>
      </c>
      <c r="AJ1817" s="1" t="s">
        <v>32</v>
      </c>
      <c r="AT1817" s="1" t="s">
        <v>42</v>
      </c>
      <c r="FT1817" s="1" t="s">
        <v>172</v>
      </c>
      <c r="GD1817" s="1" t="s">
        <v>193</v>
      </c>
      <c r="GE1817" s="1" t="s">
        <v>190</v>
      </c>
    </row>
    <row r="1818" spans="1:187" ht="11.25" customHeight="1">
      <c r="A1818" s="1" t="s">
        <v>2743</v>
      </c>
      <c r="B1818" s="1" t="str">
        <f ca="1">IFERROR(__xludf.DUMMYFUNCTION("GOOGLETRANSLATE(A1818, ""en"", ""fr"")"),"FALAISE")</f>
        <v>FALAISE</v>
      </c>
      <c r="C1818" s="1" t="s">
        <v>185</v>
      </c>
      <c r="AV1818" s="1" t="s">
        <v>44</v>
      </c>
      <c r="BA1818" s="1" t="s">
        <v>49</v>
      </c>
      <c r="GD1818" s="1" t="s">
        <v>193</v>
      </c>
      <c r="GE1818" s="1" t="s">
        <v>2744</v>
      </c>
    </row>
    <row r="1819" spans="1:187" ht="11.25" customHeight="1">
      <c r="A1819" s="1" t="s">
        <v>2745</v>
      </c>
      <c r="B1819" s="1" t="str">
        <f ca="1">IFERROR(__xludf.DUMMYFUNCTION("GOOGLETRANSLATE(A1819, ""en"", ""fr"")"),"CLIMAT")</f>
        <v>CLIMAT</v>
      </c>
      <c r="C1819" s="1" t="s">
        <v>185</v>
      </c>
      <c r="AV1819" s="1" t="s">
        <v>44</v>
      </c>
      <c r="BB1819" s="1" t="s">
        <v>50</v>
      </c>
      <c r="FS1819" s="1" t="s">
        <v>171</v>
      </c>
      <c r="GD1819" s="1" t="s">
        <v>193</v>
      </c>
      <c r="GE1819" s="1" t="s">
        <v>190</v>
      </c>
    </row>
    <row r="1820" spans="1:187" ht="11.25" customHeight="1">
      <c r="A1820" s="1" t="s">
        <v>2746</v>
      </c>
      <c r="B1820" s="1" t="str">
        <f ca="1">IFERROR(__xludf.DUMMYFUNCTION("GOOGLETRANSLATE(A1820, ""en"", ""fr"")"),"CLIMAX")</f>
        <v>CLIMAX</v>
      </c>
      <c r="C1820" s="1" t="s">
        <v>185</v>
      </c>
      <c r="J1820" s="1" t="s">
        <v>6</v>
      </c>
      <c r="BZ1820" s="1" t="s">
        <v>74</v>
      </c>
      <c r="GD1820" s="1" t="s">
        <v>193</v>
      </c>
      <c r="GE1820" s="1" t="s">
        <v>190</v>
      </c>
    </row>
    <row r="1821" spans="1:187" ht="11.25" customHeight="1">
      <c r="A1821" s="1" t="s">
        <v>2747</v>
      </c>
      <c r="B1821" s="1" t="str">
        <f ca="1">IFERROR(__xludf.DUMMYFUNCTION("GOOGLETRANSLATE(A1821, ""en"", ""fr"")"),"GRIMPER")</f>
        <v>GRIMPER</v>
      </c>
      <c r="C1821" s="1" t="s">
        <v>185</v>
      </c>
      <c r="J1821" s="1" t="s">
        <v>6</v>
      </c>
      <c r="N1821" s="1" t="s">
        <v>10</v>
      </c>
      <c r="CB1821" s="1" t="s">
        <v>76</v>
      </c>
      <c r="DN1821" s="1" t="s">
        <v>114</v>
      </c>
      <c r="GD1821" s="1" t="s">
        <v>189</v>
      </c>
      <c r="GE1821" s="1" t="s">
        <v>2748</v>
      </c>
    </row>
    <row r="1822" spans="1:187" ht="11.25" customHeight="1">
      <c r="A1822" s="1" t="s">
        <v>2749</v>
      </c>
      <c r="B1822" s="1" t="str">
        <f ca="1">IFERROR(__xludf.DUMMYFUNCTION("GOOGLETRANSLATE(A1822, ""en"", ""fr"")"),"SE CRAMPONNER")</f>
        <v>SE CRAMPONNER</v>
      </c>
      <c r="C1822" s="1" t="s">
        <v>185</v>
      </c>
      <c r="L1822" s="1" t="s">
        <v>8</v>
      </c>
      <c r="N1822" s="1" t="s">
        <v>10</v>
      </c>
      <c r="CA1822" s="1" t="s">
        <v>75</v>
      </c>
      <c r="DN1822" s="1" t="s">
        <v>114</v>
      </c>
      <c r="GD1822" s="1" t="s">
        <v>189</v>
      </c>
      <c r="GE1822" s="1" t="s">
        <v>190</v>
      </c>
    </row>
    <row r="1823" spans="1:187" ht="11.25" customHeight="1">
      <c r="A1823" s="1" t="s">
        <v>2750</v>
      </c>
      <c r="B1823" s="1" t="str">
        <f ca="1">IFERROR(__xludf.DUMMYFUNCTION("GOOGLETRANSLATE(A1823, ""en"", ""fr"")"),"CLINIQUE")</f>
        <v>CLINIQUE</v>
      </c>
      <c r="C1823" s="1" t="s">
        <v>196</v>
      </c>
      <c r="EZ1823" s="1" t="s">
        <v>152</v>
      </c>
      <c r="FC1823" s="1" t="s">
        <v>155</v>
      </c>
      <c r="GD1823" s="1" t="s">
        <v>193</v>
      </c>
    </row>
    <row r="1824" spans="1:187" ht="11.25" customHeight="1">
      <c r="A1824" s="1" t="s">
        <v>2751</v>
      </c>
      <c r="B1824" s="1" t="str">
        <f ca="1">IFERROR(__xludf.DUMMYFUNCTION("GOOGLETRANSLATE(A1824, ""en"", ""fr"")"),"CLINIQUE")</f>
        <v>CLINIQUE</v>
      </c>
      <c r="C1824" s="1" t="s">
        <v>185</v>
      </c>
      <c r="Y1824" s="1" t="s">
        <v>21</v>
      </c>
      <c r="Z1824" s="1" t="s">
        <v>22</v>
      </c>
      <c r="FH1824" s="1" t="s">
        <v>160</v>
      </c>
      <c r="FI1824" s="1" t="s">
        <v>161</v>
      </c>
      <c r="GD1824" s="1" t="s">
        <v>202</v>
      </c>
      <c r="GE1824" s="1" t="s">
        <v>190</v>
      </c>
    </row>
    <row r="1825" spans="1:187" ht="11.25" customHeight="1">
      <c r="A1825" s="1" t="s">
        <v>2752</v>
      </c>
      <c r="B1825" s="1" t="str">
        <f ca="1">IFERROR(__xludf.DUMMYFUNCTION("GOOGLETRANSLATE(A1825, ""en"", ""fr"")"),"CLIQUE")</f>
        <v>CLIQUE</v>
      </c>
      <c r="C1825" s="1" t="s">
        <v>185</v>
      </c>
      <c r="E1825" s="1" t="s">
        <v>16613</v>
      </c>
      <c r="G1825" s="1" t="s">
        <v>3</v>
      </c>
      <c r="W1825" s="1" t="s">
        <v>19</v>
      </c>
      <c r="AT1825" s="1" t="s">
        <v>42</v>
      </c>
      <c r="ER1825" s="1" t="s">
        <v>144</v>
      </c>
      <c r="ES1825" s="1" t="s">
        <v>145</v>
      </c>
      <c r="GD1825" s="1" t="s">
        <v>193</v>
      </c>
      <c r="GE1825" s="1" t="s">
        <v>190</v>
      </c>
    </row>
    <row r="1826" spans="1:187" ht="11.25" customHeight="1">
      <c r="A1826" s="1" t="s">
        <v>2753</v>
      </c>
      <c r="B1826" s="1" t="str">
        <f ca="1">IFERROR(__xludf.DUMMYFUNCTION("GOOGLETRANSLATE(A1826, ""en"", ""fr"")"),"Horloge n ° 1")</f>
        <v>Horloge n ° 1</v>
      </c>
      <c r="C1826" s="1" t="s">
        <v>185</v>
      </c>
      <c r="BC1826" s="1" t="s">
        <v>51</v>
      </c>
      <c r="BD1826" s="1" t="s">
        <v>52</v>
      </c>
      <c r="GD1826" s="1" t="s">
        <v>193</v>
      </c>
      <c r="GE1826" s="1" t="s">
        <v>2754</v>
      </c>
    </row>
    <row r="1827" spans="1:187" ht="11.25" customHeight="1">
      <c r="A1827" s="1" t="s">
        <v>2755</v>
      </c>
      <c r="B1827" s="1" t="str">
        <f ca="1">IFERROR(__xludf.DUMMYFUNCTION("GOOGLETRANSLATE(A1827, ""en"", ""fr"")"),"Horloge n ° 2")</f>
        <v>Horloge n ° 2</v>
      </c>
      <c r="C1827" s="1" t="s">
        <v>185</v>
      </c>
      <c r="DD1827" s="1" t="s">
        <v>104</v>
      </c>
      <c r="DN1827" s="1" t="s">
        <v>114</v>
      </c>
      <c r="GD1827" s="1" t="s">
        <v>189</v>
      </c>
      <c r="GE1827" s="1" t="s">
        <v>2756</v>
      </c>
    </row>
    <row r="1828" spans="1:187" ht="11.25" customHeight="1">
      <c r="A1828" s="1" t="s">
        <v>2757</v>
      </c>
      <c r="B1828" s="1" t="str">
        <f ca="1">IFERROR(__xludf.DUMMYFUNCTION("GOOGLETRANSLATE(A1828, ""en"", ""fr"")"),"SABOT")</f>
        <v>SABOT</v>
      </c>
      <c r="C1828" s="1" t="s">
        <v>192</v>
      </c>
      <c r="E1828" s="1" t="s">
        <v>16613</v>
      </c>
      <c r="O1828" s="1" t="s">
        <v>11</v>
      </c>
      <c r="BT1828" s="1" t="s">
        <v>68</v>
      </c>
      <c r="DN1828" s="1" t="s">
        <v>114</v>
      </c>
      <c r="GD1828" s="1" t="s">
        <v>189</v>
      </c>
      <c r="GE1828" s="1" t="s">
        <v>190</v>
      </c>
    </row>
    <row r="1829" spans="1:187" ht="11.25" customHeight="1">
      <c r="A1829" s="1" t="s">
        <v>2758</v>
      </c>
      <c r="B1829" s="1" t="str">
        <f ca="1">IFERROR(__xludf.DUMMYFUNCTION("GOOGLETRANSLATE(A1829, ""en"", ""fr"")"),"Fermer # 1")</f>
        <v>Fermer # 1</v>
      </c>
      <c r="C1829" s="1" t="s">
        <v>185</v>
      </c>
      <c r="G1829" s="1" t="s">
        <v>3</v>
      </c>
      <c r="DD1829" s="1" t="s">
        <v>104</v>
      </c>
      <c r="GD1829" s="1" t="s">
        <v>202</v>
      </c>
      <c r="GE1829" s="1" t="s">
        <v>2759</v>
      </c>
    </row>
    <row r="1830" spans="1:187" ht="11.25" customHeight="1">
      <c r="A1830" s="1" t="s">
        <v>2760</v>
      </c>
      <c r="B1830" s="1" t="str">
        <f ca="1">IFERROR(__xludf.DUMMYFUNCTION("GOOGLETRANSLATE(A1830, ""en"", ""fr"")"),"Fermer # 2")</f>
        <v>Fermer # 2</v>
      </c>
      <c r="C1830" s="1" t="s">
        <v>185</v>
      </c>
      <c r="E1830" s="1" t="s">
        <v>16613</v>
      </c>
      <c r="H1830" s="1" t="s">
        <v>4</v>
      </c>
      <c r="N1830" s="1" t="s">
        <v>10</v>
      </c>
      <c r="BZ1830" s="1" t="s">
        <v>74</v>
      </c>
      <c r="DO1830" s="1" t="s">
        <v>115</v>
      </c>
      <c r="FO1830" s="1" t="s">
        <v>167</v>
      </c>
      <c r="GD1830" s="1" t="s">
        <v>189</v>
      </c>
      <c r="GE1830" s="1" t="s">
        <v>2761</v>
      </c>
    </row>
    <row r="1831" spans="1:187" ht="11.25" customHeight="1">
      <c r="A1831" s="1" t="s">
        <v>2762</v>
      </c>
      <c r="B1831" s="1" t="str">
        <f ca="1">IFERROR(__xludf.DUMMYFUNCTION("GOOGLETRANSLATE(A1831, ""en"", ""fr"")"),"Fermer # 3")</f>
        <v>Fermer # 3</v>
      </c>
      <c r="C1831" s="1" t="s">
        <v>185</v>
      </c>
      <c r="DA1831" s="1" t="s">
        <v>101</v>
      </c>
      <c r="GD1831" s="1" t="s">
        <v>202</v>
      </c>
      <c r="GE1831" s="1" t="s">
        <v>2763</v>
      </c>
    </row>
    <row r="1832" spans="1:187" ht="11.25" customHeight="1">
      <c r="A1832" s="1" t="s">
        <v>2764</v>
      </c>
      <c r="B1832" s="1" t="str">
        <f ca="1">IFERROR(__xludf.DUMMYFUNCTION("GOOGLETRANSLATE(A1832, ""en"", ""fr"")"),"Fermer # 4")</f>
        <v>Fermer # 4</v>
      </c>
      <c r="C1832" s="1" t="s">
        <v>185</v>
      </c>
      <c r="DA1832" s="1" t="s">
        <v>101</v>
      </c>
      <c r="GD1832" s="1" t="s">
        <v>202</v>
      </c>
      <c r="GE1832" s="1" t="s">
        <v>2765</v>
      </c>
    </row>
    <row r="1833" spans="1:187" ht="11.25" customHeight="1">
      <c r="A1833" s="1" t="s">
        <v>2766</v>
      </c>
      <c r="B1833" s="1" t="str">
        <f ca="1">IFERROR(__xludf.DUMMYFUNCTION("GOOGLETRANSLATE(A1833, ""en"", ""fr"")"),"Fermer # 5")</f>
        <v>Fermer # 5</v>
      </c>
      <c r="C1833" s="1" t="s">
        <v>185</v>
      </c>
      <c r="DA1833" s="1" t="s">
        <v>101</v>
      </c>
      <c r="GD1833" s="1" t="s">
        <v>236</v>
      </c>
      <c r="GE1833" s="1" t="s">
        <v>2767</v>
      </c>
    </row>
    <row r="1834" spans="1:187" ht="11.25" customHeight="1">
      <c r="A1834" s="1" t="s">
        <v>2768</v>
      </c>
      <c r="B1834" s="1" t="str">
        <f ca="1">IFERROR(__xludf.DUMMYFUNCTION("GOOGLETRANSLATE(A1834, ""en"", ""fr"")"),"Fermer # 6")</f>
        <v>Fermer # 6</v>
      </c>
      <c r="C1834" s="1" t="s">
        <v>185</v>
      </c>
      <c r="BZ1834" s="1" t="s">
        <v>74</v>
      </c>
      <c r="GD1834" s="1" t="s">
        <v>193</v>
      </c>
      <c r="GE1834" s="1" t="s">
        <v>2769</v>
      </c>
    </row>
    <row r="1835" spans="1:187" ht="11.25" customHeight="1">
      <c r="A1835" s="1" t="s">
        <v>2770</v>
      </c>
      <c r="B1835" s="1" t="str">
        <f ca="1">IFERROR(__xludf.DUMMYFUNCTION("GOOGLETRANSLATE(A1835, ""en"", ""fr"")"),"Fermer # 7")</f>
        <v>Fermer # 7</v>
      </c>
      <c r="C1835" s="1" t="s">
        <v>185</v>
      </c>
      <c r="E1835" s="1" t="s">
        <v>16613</v>
      </c>
      <c r="H1835" s="1" t="s">
        <v>4</v>
      </c>
      <c r="O1835" s="1" t="s">
        <v>11</v>
      </c>
      <c r="DD1835" s="1" t="s">
        <v>104</v>
      </c>
      <c r="GD1835" s="1" t="s">
        <v>202</v>
      </c>
      <c r="GE1835" s="1" t="s">
        <v>2771</v>
      </c>
    </row>
    <row r="1836" spans="1:187" ht="11.25" customHeight="1">
      <c r="A1836" s="1" t="s">
        <v>2772</v>
      </c>
      <c r="B1836" s="1" t="str">
        <f ca="1">IFERROR(__xludf.DUMMYFUNCTION("GOOGLETRANSLATE(A1836, ""en"", ""fr"")"),"Fermer # 8")</f>
        <v>Fermer # 8</v>
      </c>
      <c r="C1836" s="1" t="s">
        <v>185</v>
      </c>
      <c r="O1836" s="1" t="s">
        <v>11</v>
      </c>
      <c r="CY1836" s="1" t="s">
        <v>99</v>
      </c>
      <c r="GD1836" s="1" t="s">
        <v>193</v>
      </c>
      <c r="GE1836" s="1" t="s">
        <v>2773</v>
      </c>
    </row>
    <row r="1837" spans="1:187" ht="11.25" customHeight="1">
      <c r="A1837" s="1" t="s">
        <v>2774</v>
      </c>
      <c r="B1837" s="1" t="str">
        <f ca="1">IFERROR(__xludf.DUMMYFUNCTION("GOOGLETRANSLATE(A1837, ""en"", ""fr"")"),"PROXIMITÉ")</f>
        <v>PROXIMITÉ</v>
      </c>
      <c r="C1837" s="1" t="s">
        <v>185</v>
      </c>
      <c r="D1837" s="1" t="s">
        <v>16612</v>
      </c>
      <c r="AN1837" s="1" t="s">
        <v>36</v>
      </c>
      <c r="DA1837" s="1" t="s">
        <v>101</v>
      </c>
      <c r="GD1837" s="1" t="s">
        <v>193</v>
      </c>
      <c r="GE1837" s="1" t="s">
        <v>190</v>
      </c>
    </row>
    <row r="1838" spans="1:187" ht="11.25" customHeight="1">
      <c r="A1838" s="1" t="s">
        <v>2775</v>
      </c>
      <c r="B1838" s="1" t="str">
        <f ca="1">IFERROR(__xludf.DUMMYFUNCTION("GOOGLETRANSLATE(A1838, ""en"", ""fr"")"),"PLACARD")</f>
        <v>PLACARD</v>
      </c>
      <c r="C1838" s="1" t="s">
        <v>185</v>
      </c>
      <c r="BC1838" s="1" t="s">
        <v>51</v>
      </c>
      <c r="BD1838" s="1" t="s">
        <v>52</v>
      </c>
      <c r="GD1838" s="1" t="s">
        <v>193</v>
      </c>
      <c r="GE1838" s="1" t="s">
        <v>190</v>
      </c>
    </row>
    <row r="1839" spans="1:187" ht="11.25" customHeight="1">
      <c r="A1839" s="1" t="s">
        <v>2776</v>
      </c>
      <c r="B1839" s="1" t="str">
        <f ca="1">IFERROR(__xludf.DUMMYFUNCTION("GOOGLETRANSLATE(A1839, ""en"", ""fr"")"),"TISSU")</f>
        <v>TISSU</v>
      </c>
      <c r="C1839" s="1" t="s">
        <v>185</v>
      </c>
      <c r="BC1839" s="1" t="s">
        <v>51</v>
      </c>
      <c r="BD1839" s="1" t="s">
        <v>52</v>
      </c>
      <c r="GD1839" s="1" t="s">
        <v>193</v>
      </c>
      <c r="GE1839" s="1" t="s">
        <v>190</v>
      </c>
    </row>
    <row r="1840" spans="1:187" ht="11.25" customHeight="1">
      <c r="A1840" s="1" t="s">
        <v>2777</v>
      </c>
      <c r="B1840" s="1" t="str">
        <f ca="1">IFERROR(__xludf.DUMMYFUNCTION("GOOGLETRANSLATE(A1840, ""en"", ""fr"")"),"Cabille n ° 1")</f>
        <v>Cabille n ° 1</v>
      </c>
      <c r="C1840" s="1" t="s">
        <v>185</v>
      </c>
      <c r="BC1840" s="1" t="s">
        <v>51</v>
      </c>
      <c r="BD1840" s="1" t="s">
        <v>52</v>
      </c>
      <c r="EZ1840" s="1" t="s">
        <v>152</v>
      </c>
      <c r="FC1840" s="1" t="s">
        <v>155</v>
      </c>
      <c r="GD1840" s="1" t="s">
        <v>849</v>
      </c>
      <c r="GE1840" s="1" t="s">
        <v>2778</v>
      </c>
    </row>
    <row r="1841" spans="1:187" ht="11.25" customHeight="1">
      <c r="A1841" s="1" t="s">
        <v>2779</v>
      </c>
      <c r="B1841" s="1" t="str">
        <f ca="1">IFERROR(__xludf.DUMMYFUNCTION("GOOGLETRANSLATE(A1841, ""en"", ""fr"")"),"Vêtu # 2")</f>
        <v>Vêtu # 2</v>
      </c>
      <c r="C1841" s="1" t="s">
        <v>185</v>
      </c>
      <c r="AL1841" s="1" t="s">
        <v>34</v>
      </c>
      <c r="DO1841" s="1" t="s">
        <v>115</v>
      </c>
      <c r="EX1841" s="1" t="s">
        <v>150</v>
      </c>
      <c r="FC1841" s="1" t="s">
        <v>155</v>
      </c>
      <c r="GD1841" s="1" t="s">
        <v>189</v>
      </c>
      <c r="GE1841" s="1" t="s">
        <v>2780</v>
      </c>
    </row>
    <row r="1842" spans="1:187" ht="11.25" customHeight="1">
      <c r="A1842" s="1" t="s">
        <v>2781</v>
      </c>
      <c r="B1842" s="1" t="str">
        <f ca="1">IFERROR(__xludf.DUMMYFUNCTION("GOOGLETRANSLATE(A1842, ""en"", ""fr"")"),"Vêtu # 3")</f>
        <v>Vêtu # 3</v>
      </c>
      <c r="C1842" s="1" t="s">
        <v>185</v>
      </c>
      <c r="CR1842" s="1" t="s">
        <v>92</v>
      </c>
      <c r="EZ1842" s="1" t="s">
        <v>152</v>
      </c>
      <c r="FC1842" s="1" t="s">
        <v>155</v>
      </c>
      <c r="GD1842" s="1" t="s">
        <v>202</v>
      </c>
      <c r="GE1842" s="1" t="s">
        <v>2782</v>
      </c>
    </row>
    <row r="1843" spans="1:187" ht="11.25" customHeight="1">
      <c r="A1843" s="1" t="s">
        <v>2783</v>
      </c>
      <c r="B1843" s="1" t="str">
        <f ca="1">IFERROR(__xludf.DUMMYFUNCTION("GOOGLETRANSLATE(A1843, ""en"", ""fr"")"),"NUAGE")</f>
        <v>NUAGE</v>
      </c>
      <c r="C1843" s="1" t="s">
        <v>185</v>
      </c>
      <c r="AV1843" s="1" t="s">
        <v>44</v>
      </c>
      <c r="BB1843" s="1" t="s">
        <v>50</v>
      </c>
      <c r="GD1843" s="1" t="s">
        <v>193</v>
      </c>
      <c r="GE1843" s="1" t="s">
        <v>190</v>
      </c>
    </row>
    <row r="1844" spans="1:187" ht="11.25" customHeight="1">
      <c r="A1844" s="1" t="s">
        <v>2784</v>
      </c>
      <c r="B1844" s="1" t="str">
        <f ca="1">IFERROR(__xludf.DUMMYFUNCTION("GOOGLETRANSLATE(A1844, ""en"", ""fr"")"),"POIDS")</f>
        <v>POIDS</v>
      </c>
      <c r="C1844" s="1" t="s">
        <v>192</v>
      </c>
      <c r="D1844" s="1" t="s">
        <v>16612</v>
      </c>
      <c r="J1844" s="1" t="s">
        <v>6</v>
      </c>
      <c r="K1844" s="1" t="s">
        <v>7</v>
      </c>
      <c r="GD1844" s="1" t="s">
        <v>193</v>
      </c>
      <c r="GE1844" s="1" t="s">
        <v>190</v>
      </c>
    </row>
    <row r="1845" spans="1:187" ht="11.25" customHeight="1">
      <c r="A1845" s="1" t="s">
        <v>2785</v>
      </c>
      <c r="B1845" s="1" t="str">
        <f ca="1">IFERROR(__xludf.DUMMYFUNCTION("GOOGLETRANSLATE(A1845, ""en"", ""fr"")"),"Club n ° 1")</f>
        <v>Club n ° 1</v>
      </c>
      <c r="C1845" s="1" t="s">
        <v>185</v>
      </c>
      <c r="G1845" s="1" t="s">
        <v>3</v>
      </c>
      <c r="J1845" s="1" t="s">
        <v>6</v>
      </c>
      <c r="AK1845" s="1" t="s">
        <v>33</v>
      </c>
      <c r="AT1845" s="1" t="s">
        <v>42</v>
      </c>
      <c r="DX1845" s="1" t="s">
        <v>124</v>
      </c>
      <c r="ED1845" s="1" t="s">
        <v>130</v>
      </c>
      <c r="GD1845" s="1" t="s">
        <v>849</v>
      </c>
      <c r="GE1845" s="1" t="s">
        <v>2786</v>
      </c>
    </row>
    <row r="1846" spans="1:187" ht="11.25" customHeight="1">
      <c r="A1846" s="1" t="s">
        <v>2787</v>
      </c>
      <c r="B1846" s="1" t="str">
        <f ca="1">IFERROR(__xludf.DUMMYFUNCTION("GOOGLETRANSLATE(A1846, ""en"", ""fr"")"),"Club n ° 2")</f>
        <v>Club n ° 2</v>
      </c>
      <c r="C1846" s="1" t="s">
        <v>185</v>
      </c>
      <c r="E1846" s="1" t="s">
        <v>16613</v>
      </c>
      <c r="H1846" s="1" t="s">
        <v>4</v>
      </c>
      <c r="I1846" s="1" t="s">
        <v>5</v>
      </c>
      <c r="J1846" s="1" t="s">
        <v>6</v>
      </c>
      <c r="AF1846" s="1" t="s">
        <v>28</v>
      </c>
      <c r="BC1846" s="1" t="s">
        <v>51</v>
      </c>
      <c r="BD1846" s="1" t="s">
        <v>52</v>
      </c>
      <c r="DW1846" s="1" t="s">
        <v>123</v>
      </c>
      <c r="ED1846" s="1" t="s">
        <v>130</v>
      </c>
      <c r="GD1846" s="1" t="s">
        <v>193</v>
      </c>
      <c r="GE1846" s="1" t="s">
        <v>2788</v>
      </c>
    </row>
    <row r="1847" spans="1:187" ht="11.25" customHeight="1">
      <c r="A1847" s="1" t="s">
        <v>2789</v>
      </c>
      <c r="B1847" s="1" t="str">
        <f ca="1">IFERROR(__xludf.DUMMYFUNCTION("GOOGLETRANSLATE(A1847, ""en"", ""fr"")"),"Club n ° 3")</f>
        <v>Club n ° 3</v>
      </c>
      <c r="C1847" s="1" t="s">
        <v>185</v>
      </c>
      <c r="E1847" s="1" t="s">
        <v>16613</v>
      </c>
      <c r="H1847" s="1" t="s">
        <v>4</v>
      </c>
      <c r="I1847" s="1" t="s">
        <v>5</v>
      </c>
      <c r="J1847" s="1" t="s">
        <v>6</v>
      </c>
      <c r="N1847" s="1" t="s">
        <v>10</v>
      </c>
      <c r="CC1847" s="1" t="s">
        <v>77</v>
      </c>
      <c r="DO1847" s="1" t="s">
        <v>115</v>
      </c>
      <c r="DW1847" s="1" t="s">
        <v>123</v>
      </c>
      <c r="ED1847" s="1" t="s">
        <v>130</v>
      </c>
      <c r="GD1847" s="1" t="s">
        <v>189</v>
      </c>
      <c r="GE1847" s="1" t="s">
        <v>2790</v>
      </c>
    </row>
    <row r="1848" spans="1:187" ht="11.25" customHeight="1">
      <c r="A1848" s="1" t="s">
        <v>2791</v>
      </c>
      <c r="B1848" s="1" t="str">
        <f ca="1">IFERROR(__xludf.DUMMYFUNCTION("GOOGLETRANSLATE(A1848, ""en"", ""fr"")"),"Club n ° 4")</f>
        <v>Club n ° 4</v>
      </c>
      <c r="C1848" s="1" t="s">
        <v>185</v>
      </c>
      <c r="GD1848" s="1" t="s">
        <v>225</v>
      </c>
      <c r="GE1848" s="1" t="s">
        <v>2792</v>
      </c>
    </row>
    <row r="1849" spans="1:187" ht="11.25" customHeight="1">
      <c r="A1849" s="1" t="s">
        <v>2793</v>
      </c>
      <c r="B1849" s="1" t="str">
        <f ca="1">IFERROR(__xludf.DUMMYFUNCTION("GOOGLETRANSLATE(A1849, ""en"", ""fr"")"),"INDICE")</f>
        <v>INDICE</v>
      </c>
      <c r="C1849" s="1" t="s">
        <v>185</v>
      </c>
      <c r="CH1849" s="1" t="s">
        <v>82</v>
      </c>
      <c r="FD1849" s="1" t="s">
        <v>156</v>
      </c>
      <c r="FI1849" s="1" t="s">
        <v>161</v>
      </c>
      <c r="GD1849" s="1" t="s">
        <v>193</v>
      </c>
      <c r="GE1849" s="1" t="s">
        <v>190</v>
      </c>
    </row>
    <row r="1850" spans="1:187" ht="11.25" customHeight="1">
      <c r="A1850" s="1" t="s">
        <v>2794</v>
      </c>
      <c r="B1850" s="1" t="str">
        <f ca="1">IFERROR(__xludf.DUMMYFUNCTION("GOOGLETRANSLATE(A1850, ""en"", ""fr"")"),"MALADROIT")</f>
        <v>MALADROIT</v>
      </c>
      <c r="C1850" s="1" t="s">
        <v>192</v>
      </c>
      <c r="E1850" s="1" t="s">
        <v>16613</v>
      </c>
      <c r="V1850" s="1" t="s">
        <v>18</v>
      </c>
      <c r="DR1850" s="1" t="s">
        <v>118</v>
      </c>
      <c r="GD1850" s="1" t="s">
        <v>202</v>
      </c>
      <c r="GE1850" s="1" t="s">
        <v>190</v>
      </c>
    </row>
    <row r="1851" spans="1:187" ht="11.25" customHeight="1">
      <c r="A1851" s="1" t="s">
        <v>2795</v>
      </c>
      <c r="B1851" s="1" t="str">
        <f ca="1">IFERROR(__xludf.DUMMYFUNCTION("GOOGLETRANSLATE(A1851, ""en"", ""fr"")"),"Accroché")</f>
        <v>Accroché</v>
      </c>
      <c r="C1851" s="1" t="s">
        <v>185</v>
      </c>
      <c r="L1851" s="1" t="s">
        <v>8</v>
      </c>
      <c r="N1851" s="1" t="s">
        <v>10</v>
      </c>
      <c r="CA1851" s="1" t="s">
        <v>75</v>
      </c>
      <c r="DN1851" s="1" t="s">
        <v>114</v>
      </c>
      <c r="GD1851" s="1" t="s">
        <v>1076</v>
      </c>
      <c r="GE1851" s="1" t="s">
        <v>190</v>
      </c>
    </row>
    <row r="1852" spans="1:187" ht="11.25" customHeight="1">
      <c r="A1852" s="1" t="s">
        <v>2796</v>
      </c>
      <c r="B1852" s="1" t="str">
        <f ca="1">IFERROR(__xludf.DUMMYFUNCTION("GOOGLETRANSLATE(A1852, ""en"", ""fr"")"),"Cluster # 1")</f>
        <v>Cluster # 1</v>
      </c>
      <c r="C1852" s="1" t="s">
        <v>185</v>
      </c>
      <c r="J1852" s="1" t="s">
        <v>6</v>
      </c>
      <c r="CS1852" s="1" t="s">
        <v>93</v>
      </c>
      <c r="GD1852" s="1" t="s">
        <v>193</v>
      </c>
      <c r="GE1852" s="1" t="s">
        <v>190</v>
      </c>
    </row>
    <row r="1853" spans="1:187" ht="11.25" customHeight="1">
      <c r="A1853" s="1" t="s">
        <v>2797</v>
      </c>
      <c r="B1853" s="1" t="str">
        <f ca="1">IFERROR(__xludf.DUMMYFUNCTION("GOOGLETRANSLATE(A1853, ""en"", ""fr"")"),"Cluster n ° 2")</f>
        <v>Cluster n ° 2</v>
      </c>
      <c r="C1853" s="1" t="s">
        <v>185</v>
      </c>
      <c r="J1853" s="1" t="s">
        <v>6</v>
      </c>
      <c r="DA1853" s="1" t="s">
        <v>101</v>
      </c>
      <c r="DN1853" s="1" t="s">
        <v>114</v>
      </c>
      <c r="GD1853" s="1" t="s">
        <v>189</v>
      </c>
      <c r="GE1853" s="1" t="s">
        <v>190</v>
      </c>
    </row>
    <row r="1854" spans="1:187" ht="11.25" customHeight="1">
      <c r="A1854" s="1" t="s">
        <v>2798</v>
      </c>
      <c r="B1854" s="1" t="str">
        <f ca="1">IFERROR(__xludf.DUMMYFUNCTION("GOOGLETRANSLATE(A1854, ""en"", ""fr"")"),"DÉSORDRE")</f>
        <v>DÉSORDRE</v>
      </c>
      <c r="C1854" s="1" t="s">
        <v>192</v>
      </c>
      <c r="E1854" s="1" t="s">
        <v>16613</v>
      </c>
      <c r="V1854" s="1" t="s">
        <v>18</v>
      </c>
      <c r="GD1854" s="1" t="s">
        <v>193</v>
      </c>
      <c r="GE1854" s="1" t="s">
        <v>190</v>
      </c>
    </row>
    <row r="1855" spans="1:187" ht="11.25" customHeight="1">
      <c r="A1855" s="1" t="s">
        <v>2799</v>
      </c>
      <c r="B1855" s="1" t="str">
        <f ca="1">IFERROR(__xludf.DUMMYFUNCTION("GOOGLETRANSLATE(A1855, ""en"", ""fr"")"),"CO")</f>
        <v>CO</v>
      </c>
      <c r="C1855" s="1" t="s">
        <v>196</v>
      </c>
      <c r="ET1855" s="1" t="s">
        <v>146</v>
      </c>
      <c r="EW1855" s="1" t="s">
        <v>149</v>
      </c>
      <c r="GD1855" s="1" t="s">
        <v>2800</v>
      </c>
    </row>
    <row r="1856" spans="1:187" ht="11.25" customHeight="1">
      <c r="A1856" s="1" t="s">
        <v>2801</v>
      </c>
      <c r="B1856" s="1" t="str">
        <f ca="1">IFERROR(__xludf.DUMMYFUNCTION("GOOGLETRANSLATE(A1856, ""en"", ""fr"")"),"COOPÉRATION")</f>
        <v>COOPÉRATION</v>
      </c>
      <c r="C1856" s="1" t="s">
        <v>185</v>
      </c>
      <c r="D1856" s="1" t="s">
        <v>16612</v>
      </c>
      <c r="F1856" s="1" t="s">
        <v>2</v>
      </c>
      <c r="G1856" s="1" t="s">
        <v>3</v>
      </c>
      <c r="U1856" s="1" t="s">
        <v>17</v>
      </c>
      <c r="DS1856" s="1" t="s">
        <v>119</v>
      </c>
      <c r="ED1856" s="1" t="s">
        <v>130</v>
      </c>
      <c r="GD1856" s="1" t="s">
        <v>193</v>
      </c>
      <c r="GE1856" s="1" t="s">
        <v>190</v>
      </c>
    </row>
    <row r="1857" spans="1:187" ht="11.25" customHeight="1">
      <c r="A1857" s="1" t="s">
        <v>2802</v>
      </c>
      <c r="B1857" s="1" t="str">
        <f ca="1">IFERROR(__xludf.DUMMYFUNCTION("GOOGLETRANSLATE(A1857, ""en"", ""fr"")"),"COORDONNER")</f>
        <v>COORDONNER</v>
      </c>
      <c r="C1857" s="1" t="s">
        <v>196</v>
      </c>
      <c r="DX1857" s="1" t="s">
        <v>124</v>
      </c>
      <c r="ED1857" s="1" t="s">
        <v>130</v>
      </c>
      <c r="GD1857" s="1" t="s">
        <v>189</v>
      </c>
    </row>
    <row r="1858" spans="1:187" ht="11.25" customHeight="1">
      <c r="A1858" s="1" t="s">
        <v>2803</v>
      </c>
      <c r="B1858" s="1" t="str">
        <f ca="1">IFERROR(__xludf.DUMMYFUNCTION("GOOGLETRANSLATE(A1858, ""en"", ""fr"")"),"COORDINATION")</f>
        <v>COORDINATION</v>
      </c>
      <c r="C1858" s="1" t="s">
        <v>196</v>
      </c>
      <c r="DX1858" s="1" t="s">
        <v>124</v>
      </c>
      <c r="ED1858" s="1" t="s">
        <v>130</v>
      </c>
      <c r="GD1858" s="1" t="s">
        <v>193</v>
      </c>
    </row>
    <row r="1859" spans="1:187" ht="11.25" customHeight="1">
      <c r="A1859" s="1" t="s">
        <v>2804</v>
      </c>
      <c r="B1859" s="1" t="str">
        <f ca="1">IFERROR(__xludf.DUMMYFUNCTION("GOOGLETRANSLATE(A1859, ""en"", ""fr"")"),"CO.")</f>
        <v>CO.</v>
      </c>
      <c r="C1859" s="1" t="s">
        <v>196</v>
      </c>
      <c r="ET1859" s="1" t="s">
        <v>146</v>
      </c>
      <c r="EW1859" s="1" t="s">
        <v>149</v>
      </c>
      <c r="GD1859" s="1" t="s">
        <v>2800</v>
      </c>
    </row>
    <row r="1860" spans="1:187" ht="11.25" customHeight="1">
      <c r="A1860" s="1" t="s">
        <v>2805</v>
      </c>
      <c r="B1860" s="1" t="str">
        <f ca="1">IFERROR(__xludf.DUMMYFUNCTION("GOOGLETRANSLATE(A1860, ""en"", ""fr"")"),"Entraîneur n ° 1")</f>
        <v>Entraîneur n ° 1</v>
      </c>
      <c r="C1860" s="1" t="s">
        <v>185</v>
      </c>
      <c r="N1860" s="1" t="s">
        <v>10</v>
      </c>
      <c r="Y1860" s="1" t="s">
        <v>21</v>
      </c>
      <c r="AJ1860" s="1" t="s">
        <v>32</v>
      </c>
      <c r="AT1860" s="1" t="s">
        <v>42</v>
      </c>
      <c r="GD1860" s="1" t="s">
        <v>193</v>
      </c>
      <c r="GE1860" s="1" t="s">
        <v>190</v>
      </c>
    </row>
    <row r="1861" spans="1:187" ht="11.25" customHeight="1">
      <c r="A1861" s="1" t="s">
        <v>2806</v>
      </c>
      <c r="B1861" s="1" t="str">
        <f ca="1">IFERROR(__xludf.DUMMYFUNCTION("GOOGLETRANSLATE(A1861, ""en"", ""fr"")"),"Entraîneur n ° 2")</f>
        <v>Entraîneur n ° 2</v>
      </c>
      <c r="C1861" s="1" t="s">
        <v>185</v>
      </c>
      <c r="G1861" s="1" t="s">
        <v>3</v>
      </c>
      <c r="N1861" s="1" t="s">
        <v>10</v>
      </c>
      <c r="Y1861" s="1" t="s">
        <v>21</v>
      </c>
      <c r="AN1861" s="1" t="s">
        <v>36</v>
      </c>
      <c r="DN1861" s="1" t="s">
        <v>114</v>
      </c>
      <c r="GD1861" s="1" t="s">
        <v>189</v>
      </c>
      <c r="GE1861" s="1" t="s">
        <v>190</v>
      </c>
    </row>
    <row r="1862" spans="1:187" ht="11.25" customHeight="1">
      <c r="A1862" s="1" t="s">
        <v>2807</v>
      </c>
      <c r="B1862" s="1" t="str">
        <f ca="1">IFERROR(__xludf.DUMMYFUNCTION("GOOGLETRANSLATE(A1862, ""en"", ""fr"")"),"COCHER")</f>
        <v>COCHER</v>
      </c>
      <c r="C1862" s="1" t="s">
        <v>185</v>
      </c>
      <c r="AA1862" s="1" t="s">
        <v>23</v>
      </c>
      <c r="AJ1862" s="1" t="s">
        <v>32</v>
      </c>
      <c r="AQ1862" s="1" t="s">
        <v>39</v>
      </c>
      <c r="AT1862" s="1" t="s">
        <v>42</v>
      </c>
      <c r="GD1862" s="1" t="s">
        <v>193</v>
      </c>
      <c r="GE1862" s="1" t="s">
        <v>190</v>
      </c>
    </row>
    <row r="1863" spans="1:187" ht="11.25" customHeight="1">
      <c r="A1863" s="1" t="s">
        <v>2808</v>
      </c>
      <c r="B1863" s="1" t="str">
        <f ca="1">IFERROR(__xludf.DUMMYFUNCTION("GOOGLETRANSLATE(A1863, ""en"", ""fr"")"),"CHARBON")</f>
        <v>CHARBON</v>
      </c>
      <c r="C1863" s="1" t="s">
        <v>185</v>
      </c>
      <c r="AC1863" s="1" t="s">
        <v>25</v>
      </c>
      <c r="BC1863" s="1" t="s">
        <v>51</v>
      </c>
      <c r="BI1863" s="1" t="s">
        <v>57</v>
      </c>
      <c r="EV1863" s="1" t="s">
        <v>148</v>
      </c>
      <c r="EW1863" s="1" t="s">
        <v>149</v>
      </c>
      <c r="GD1863" s="1" t="s">
        <v>193</v>
      </c>
      <c r="GE1863" s="1" t="s">
        <v>190</v>
      </c>
    </row>
    <row r="1864" spans="1:187" ht="11.25" customHeight="1">
      <c r="A1864" s="1" t="s">
        <v>2809</v>
      </c>
      <c r="B1864" s="1" t="str">
        <f ca="1">IFERROR(__xludf.DUMMYFUNCTION("GOOGLETRANSLATE(A1864, ""en"", ""fr"")"),"COALITION")</f>
        <v>COALITION</v>
      </c>
      <c r="C1864" s="1" t="s">
        <v>185</v>
      </c>
      <c r="G1864" s="1" t="s">
        <v>3</v>
      </c>
      <c r="J1864" s="1" t="s">
        <v>6</v>
      </c>
      <c r="K1864" s="1" t="s">
        <v>7</v>
      </c>
      <c r="AG1864" s="1" t="s">
        <v>29</v>
      </c>
      <c r="AH1864" s="1" t="s">
        <v>30</v>
      </c>
      <c r="AK1864" s="1" t="s">
        <v>33</v>
      </c>
      <c r="AT1864" s="1" t="s">
        <v>42</v>
      </c>
      <c r="DX1864" s="1" t="s">
        <v>124</v>
      </c>
      <c r="ED1864" s="1" t="s">
        <v>130</v>
      </c>
      <c r="GD1864" s="1" t="s">
        <v>193</v>
      </c>
      <c r="GE1864" s="1" t="s">
        <v>190</v>
      </c>
    </row>
    <row r="1865" spans="1:187" ht="11.25" customHeight="1">
      <c r="A1865" s="1" t="s">
        <v>2810</v>
      </c>
      <c r="B1865" s="1" t="str">
        <f ca="1">IFERROR(__xludf.DUMMYFUNCTION("GOOGLETRANSLATE(A1865, ""en"", ""fr"")"),"GROSSIER")</f>
        <v>GROSSIER</v>
      </c>
      <c r="C1865" s="1" t="s">
        <v>185</v>
      </c>
      <c r="E1865" s="1" t="s">
        <v>16613</v>
      </c>
      <c r="H1865" s="1" t="s">
        <v>4</v>
      </c>
      <c r="CR1865" s="1" t="s">
        <v>92</v>
      </c>
      <c r="DR1865" s="1" t="s">
        <v>118</v>
      </c>
      <c r="GD1865" s="1" t="s">
        <v>202</v>
      </c>
      <c r="GE1865" s="1" t="s">
        <v>190</v>
      </c>
    </row>
    <row r="1866" spans="1:187" ht="11.25" customHeight="1">
      <c r="A1866" s="1" t="s">
        <v>2811</v>
      </c>
      <c r="B1866" s="1" t="str">
        <f ca="1">IFERROR(__xludf.DUMMYFUNCTION("GOOGLETRANSLATE(A1866, ""en"", ""fr"")"),"GROSSIÈRETÉ")</f>
        <v>GROSSIÈRETÉ</v>
      </c>
      <c r="C1866" s="1" t="s">
        <v>192</v>
      </c>
      <c r="E1866" s="1" t="s">
        <v>16613</v>
      </c>
      <c r="V1866" s="1" t="s">
        <v>18</v>
      </c>
      <c r="CM1866" s="1" t="s">
        <v>87</v>
      </c>
      <c r="CR1866" s="1" t="s">
        <v>92</v>
      </c>
      <c r="GD1866" s="1" t="s">
        <v>193</v>
      </c>
      <c r="GE1866" s="1" t="s">
        <v>190</v>
      </c>
    </row>
    <row r="1867" spans="1:187" ht="11.25" customHeight="1">
      <c r="A1867" s="1" t="s">
        <v>2812</v>
      </c>
      <c r="B1867" s="1" t="str">
        <f ca="1">IFERROR(__xludf.DUMMYFUNCTION("GOOGLETRANSLATE(A1867, ""en"", ""fr"")"),"Côte n ° 1")</f>
        <v>Côte n ° 1</v>
      </c>
      <c r="C1867" s="1" t="s">
        <v>185</v>
      </c>
      <c r="AV1867" s="1" t="s">
        <v>44</v>
      </c>
      <c r="BA1867" s="1" t="s">
        <v>49</v>
      </c>
      <c r="GD1867" s="1" t="s">
        <v>193</v>
      </c>
      <c r="GE1867" s="1" t="s">
        <v>190</v>
      </c>
    </row>
    <row r="1868" spans="1:187" ht="11.25" customHeight="1">
      <c r="A1868" s="1" t="s">
        <v>2813</v>
      </c>
      <c r="B1868" s="1" t="str">
        <f ca="1">IFERROR(__xludf.DUMMYFUNCTION("GOOGLETRANSLATE(A1868, ""en"", ""fr"")"),"Côte n ° 2")</f>
        <v>Côte n ° 2</v>
      </c>
      <c r="C1868" s="1" t="s">
        <v>185</v>
      </c>
      <c r="O1868" s="1" t="s">
        <v>11</v>
      </c>
      <c r="CE1868" s="1" t="s">
        <v>79</v>
      </c>
      <c r="DN1868" s="1" t="s">
        <v>114</v>
      </c>
      <c r="GD1868" s="1" t="s">
        <v>189</v>
      </c>
      <c r="GE1868" s="1" t="s">
        <v>190</v>
      </c>
    </row>
    <row r="1869" spans="1:187" ht="11.25" customHeight="1">
      <c r="A1869" s="1" t="s">
        <v>2814</v>
      </c>
      <c r="B1869" s="1" t="str">
        <f ca="1">IFERROR(__xludf.DUMMYFUNCTION("GOOGLETRANSLATE(A1869, ""en"", ""fr"")"),"Manteau n ° 1")</f>
        <v>Manteau n ° 1</v>
      </c>
      <c r="C1869" s="1" t="s">
        <v>185</v>
      </c>
      <c r="BC1869" s="1" t="s">
        <v>51</v>
      </c>
      <c r="BD1869" s="1" t="s">
        <v>52</v>
      </c>
      <c r="GD1869" s="1" t="s">
        <v>193</v>
      </c>
      <c r="GE1869" s="1" t="s">
        <v>190</v>
      </c>
    </row>
    <row r="1870" spans="1:187" ht="11.25" customHeight="1">
      <c r="A1870" s="1" t="s">
        <v>2815</v>
      </c>
      <c r="B1870" s="1" t="str">
        <f ca="1">IFERROR(__xludf.DUMMYFUNCTION("GOOGLETRANSLATE(A1870, ""en"", ""fr"")"),"Manteau n ° 2")</f>
        <v>Manteau n ° 2</v>
      </c>
      <c r="C1870" s="1" t="s">
        <v>185</v>
      </c>
      <c r="AL1870" s="1" t="s">
        <v>34</v>
      </c>
      <c r="DO1870" s="1" t="s">
        <v>115</v>
      </c>
      <c r="GD1870" s="1" t="s">
        <v>189</v>
      </c>
      <c r="GE1870" s="1" t="s">
        <v>190</v>
      </c>
    </row>
    <row r="1871" spans="1:187" ht="11.25" customHeight="1">
      <c r="A1871" s="1" t="s">
        <v>2816</v>
      </c>
      <c r="B1871" s="1" t="str">
        <f ca="1">IFERROR(__xludf.DUMMYFUNCTION("GOOGLETRANSLATE(A1871, ""en"", ""fr"")"),"AMADOUER")</f>
        <v>AMADOUER</v>
      </c>
      <c r="C1871" s="1" t="s">
        <v>192</v>
      </c>
      <c r="D1871" s="1" t="s">
        <v>16612</v>
      </c>
      <c r="N1871" s="1" t="s">
        <v>10</v>
      </c>
      <c r="AN1871" s="1" t="s">
        <v>36</v>
      </c>
      <c r="BK1871" s="1" t="s">
        <v>59</v>
      </c>
      <c r="DN1871" s="1" t="s">
        <v>114</v>
      </c>
      <c r="GD1871" s="1" t="s">
        <v>670</v>
      </c>
      <c r="GE1871" s="1" t="s">
        <v>190</v>
      </c>
    </row>
    <row r="1872" spans="1:187" ht="11.25" customHeight="1">
      <c r="A1872" s="1" t="s">
        <v>2817</v>
      </c>
      <c r="B1872" s="1" t="str">
        <f ca="1">IFERROR(__xludf.DUMMYFUNCTION("GOOGLETRANSLATE(A1872, ""en"", ""fr"")"),"SUFFISANCE")</f>
        <v>SUFFISANCE</v>
      </c>
      <c r="C1872" s="1" t="s">
        <v>192</v>
      </c>
      <c r="E1872" s="1" t="s">
        <v>16613</v>
      </c>
      <c r="J1872" s="1" t="s">
        <v>6</v>
      </c>
      <c r="K1872" s="1" t="s">
        <v>7</v>
      </c>
      <c r="T1872" s="1" t="s">
        <v>16</v>
      </c>
      <c r="V1872" s="1" t="s">
        <v>18</v>
      </c>
      <c r="GD1872" s="1" t="s">
        <v>193</v>
      </c>
      <c r="GE1872" s="1" t="s">
        <v>190</v>
      </c>
    </row>
    <row r="1873" spans="1:187" ht="11.25" customHeight="1">
      <c r="A1873" s="1" t="s">
        <v>2818</v>
      </c>
      <c r="B1873" s="1" t="str">
        <f ca="1">IFERROR(__xludf.DUMMYFUNCTION("GOOGLETRANSLATE(A1873, ""en"", ""fr"")"),"Cockpit")</f>
        <v>Cockpit</v>
      </c>
      <c r="C1873" s="1" t="s">
        <v>185</v>
      </c>
      <c r="BC1873" s="1" t="s">
        <v>51</v>
      </c>
      <c r="BD1873" s="1" t="s">
        <v>52</v>
      </c>
      <c r="GD1873" s="1" t="s">
        <v>193</v>
      </c>
      <c r="GE1873" s="1" t="s">
        <v>190</v>
      </c>
    </row>
    <row r="1874" spans="1:187" ht="11.25" customHeight="1">
      <c r="A1874" s="1" t="s">
        <v>2819</v>
      </c>
      <c r="B1874" s="1" t="str">
        <f ca="1">IFERROR(__xludf.DUMMYFUNCTION("GOOGLETRANSLATE(A1874, ""en"", ""fr"")"),"COCKTAIL")</f>
        <v>COCKTAIL</v>
      </c>
      <c r="C1874" s="1" t="s">
        <v>185</v>
      </c>
      <c r="BC1874" s="1" t="s">
        <v>51</v>
      </c>
      <c r="BE1874" s="1" t="s">
        <v>53</v>
      </c>
      <c r="GD1874" s="1" t="s">
        <v>193</v>
      </c>
      <c r="GE1874" s="1" t="s">
        <v>190</v>
      </c>
    </row>
    <row r="1875" spans="1:187" ht="11.25" customHeight="1">
      <c r="A1875" s="1" t="s">
        <v>2820</v>
      </c>
      <c r="B1875" s="1" t="str">
        <f ca="1">IFERROR(__xludf.DUMMYFUNCTION("GOOGLETRANSLATE(A1875, ""en"", ""fr"")"),"ARROGANT")</f>
        <v>ARROGANT</v>
      </c>
      <c r="C1875" s="1" t="s">
        <v>192</v>
      </c>
      <c r="E1875" s="1" t="s">
        <v>16613</v>
      </c>
      <c r="J1875" s="1" t="s">
        <v>6</v>
      </c>
      <c r="K1875" s="1" t="s">
        <v>7</v>
      </c>
      <c r="T1875" s="1" t="s">
        <v>16</v>
      </c>
      <c r="DR1875" s="1" t="s">
        <v>118</v>
      </c>
      <c r="GD1875" s="1" t="s">
        <v>202</v>
      </c>
      <c r="GE1875" s="1" t="s">
        <v>190</v>
      </c>
    </row>
    <row r="1876" spans="1:187" ht="11.25" customHeight="1">
      <c r="A1876" s="1" t="s">
        <v>2821</v>
      </c>
      <c r="B1876" s="1" t="str">
        <f ca="1">IFERROR(__xludf.DUMMYFUNCTION("GOOGLETRANSLATE(A1876, ""en"", ""fr"")"),"CACAO")</f>
        <v>CACAO</v>
      </c>
      <c r="C1876" s="1" t="s">
        <v>185</v>
      </c>
      <c r="BC1876" s="1" t="s">
        <v>51</v>
      </c>
      <c r="BE1876" s="1" t="s">
        <v>53</v>
      </c>
      <c r="GD1876" s="1" t="s">
        <v>193</v>
      </c>
      <c r="GE1876" s="1" t="s">
        <v>2822</v>
      </c>
    </row>
    <row r="1877" spans="1:187" ht="11.25" customHeight="1">
      <c r="A1877" s="1" t="s">
        <v>2823</v>
      </c>
      <c r="B1877" s="1" t="str">
        <f ca="1">IFERROR(__xludf.DUMMYFUNCTION("GOOGLETRANSLATE(A1877, ""en"", ""fr"")"),"DORLOTER")</f>
        <v>DORLOTER</v>
      </c>
      <c r="C1877" s="1" t="s">
        <v>192</v>
      </c>
      <c r="D1877" s="1" t="s">
        <v>16612</v>
      </c>
      <c r="G1877" s="1" t="s">
        <v>3</v>
      </c>
      <c r="N1877" s="1" t="s">
        <v>10</v>
      </c>
      <c r="AN1877" s="1" t="s">
        <v>36</v>
      </c>
      <c r="DN1877" s="1" t="s">
        <v>114</v>
      </c>
      <c r="GD1877" s="1" t="s">
        <v>670</v>
      </c>
      <c r="GE1877" s="1" t="s">
        <v>190</v>
      </c>
    </row>
    <row r="1878" spans="1:187" ht="11.25" customHeight="1">
      <c r="A1878" s="1" t="s">
        <v>2824</v>
      </c>
      <c r="B1878" s="1" t="str">
        <f ca="1">IFERROR(__xludf.DUMMYFUNCTION("GOOGLETRANSLATE(A1878, ""en"", ""fr"")"),"Code n ° 1")</f>
        <v>Code n ° 1</v>
      </c>
      <c r="C1878" s="1" t="s">
        <v>185</v>
      </c>
      <c r="BK1878" s="1" t="s">
        <v>59</v>
      </c>
      <c r="BL1878" s="1" t="s">
        <v>60</v>
      </c>
      <c r="FH1878" s="1" t="s">
        <v>160</v>
      </c>
      <c r="FI1878" s="1" t="s">
        <v>161</v>
      </c>
      <c r="GC1878" s="1" t="s">
        <v>181</v>
      </c>
      <c r="GD1878" s="1" t="s">
        <v>193</v>
      </c>
      <c r="GE1878" s="1" t="s">
        <v>190</v>
      </c>
    </row>
    <row r="1879" spans="1:187" ht="11.25" customHeight="1">
      <c r="A1879" s="1" t="s">
        <v>2825</v>
      </c>
      <c r="B1879" s="1" t="str">
        <f ca="1">IFERROR(__xludf.DUMMYFUNCTION("GOOGLETRANSLATE(A1879, ""en"", ""fr"")"),"Code n ° 2")</f>
        <v>Code n ° 2</v>
      </c>
      <c r="C1879" s="1" t="s">
        <v>185</v>
      </c>
      <c r="CO1879" s="1" t="s">
        <v>89</v>
      </c>
      <c r="DN1879" s="1" t="s">
        <v>114</v>
      </c>
      <c r="FH1879" s="1" t="s">
        <v>160</v>
      </c>
      <c r="FI1879" s="1" t="s">
        <v>161</v>
      </c>
      <c r="GD1879" s="1" t="s">
        <v>189</v>
      </c>
      <c r="GE1879" s="1" t="s">
        <v>190</v>
      </c>
    </row>
    <row r="1880" spans="1:187" ht="11.25" customHeight="1">
      <c r="A1880" s="1" t="s">
        <v>2826</v>
      </c>
      <c r="B1880" s="1" t="str">
        <f ca="1">IFERROR(__xludf.DUMMYFUNCTION("GOOGLETRANSLATE(A1880, ""en"", ""fr"")"),"CONTRAINDRE")</f>
        <v>CONTRAINDRE</v>
      </c>
      <c r="C1880" s="1" t="s">
        <v>192</v>
      </c>
      <c r="E1880" s="1" t="s">
        <v>16613</v>
      </c>
      <c r="K1880" s="1" t="s">
        <v>7</v>
      </c>
      <c r="N1880" s="1" t="s">
        <v>10</v>
      </c>
      <c r="AN1880" s="1" t="s">
        <v>36</v>
      </c>
      <c r="BK1880" s="1" t="s">
        <v>59</v>
      </c>
      <c r="DN1880" s="1" t="s">
        <v>114</v>
      </c>
      <c r="GD1880" s="1" t="s">
        <v>189</v>
      </c>
      <c r="GE1880" s="1" t="s">
        <v>190</v>
      </c>
    </row>
    <row r="1881" spans="1:187" ht="11.25" customHeight="1">
      <c r="A1881" s="1" t="s">
        <v>2827</v>
      </c>
      <c r="B1881" s="1" t="str">
        <f ca="1">IFERROR(__xludf.DUMMYFUNCTION("GOOGLETRANSLATE(A1881, ""en"", ""fr"")"),"COERCITION")</f>
        <v>COERCITION</v>
      </c>
      <c r="C1881" s="1" t="s">
        <v>192</v>
      </c>
      <c r="E1881" s="1" t="s">
        <v>16613</v>
      </c>
      <c r="K1881" s="1" t="s">
        <v>7</v>
      </c>
      <c r="V1881" s="1" t="s">
        <v>18</v>
      </c>
      <c r="AN1881" s="1" t="s">
        <v>36</v>
      </c>
      <c r="BK1881" s="1" t="s">
        <v>59</v>
      </c>
      <c r="GD1881" s="1" t="s">
        <v>193</v>
      </c>
      <c r="GE1881" s="1" t="s">
        <v>190</v>
      </c>
    </row>
    <row r="1882" spans="1:187" ht="11.25" customHeight="1">
      <c r="A1882" s="1" t="s">
        <v>2828</v>
      </c>
      <c r="B1882" s="1" t="str">
        <f ca="1">IFERROR(__xludf.DUMMYFUNCTION("GOOGLETRANSLATE(A1882, ""en"", ""fr"")"),"COERCITIF")</f>
        <v>COERCITIF</v>
      </c>
      <c r="C1882" s="1" t="s">
        <v>192</v>
      </c>
      <c r="E1882" s="1" t="s">
        <v>16613</v>
      </c>
      <c r="K1882" s="1" t="s">
        <v>7</v>
      </c>
      <c r="AN1882" s="1" t="s">
        <v>36</v>
      </c>
      <c r="BK1882" s="1" t="s">
        <v>59</v>
      </c>
      <c r="DQ1882" s="1" t="s">
        <v>117</v>
      </c>
      <c r="GD1882" s="1" t="s">
        <v>202</v>
      </c>
      <c r="GE1882" s="1" t="s">
        <v>190</v>
      </c>
    </row>
    <row r="1883" spans="1:187" ht="11.25" customHeight="1">
      <c r="A1883" s="1" t="s">
        <v>2829</v>
      </c>
      <c r="B1883" s="1" t="str">
        <f ca="1">IFERROR(__xludf.DUMMYFUNCTION("GOOGLETRANSLATE(A1883, ""en"", ""fr"")"),"COEXISTENCE")</f>
        <v>COEXISTENCE</v>
      </c>
      <c r="C1883" s="1" t="s">
        <v>185</v>
      </c>
      <c r="D1883" s="1" t="s">
        <v>16612</v>
      </c>
      <c r="F1883" s="1" t="s">
        <v>2</v>
      </c>
      <c r="O1883" s="1" t="s">
        <v>11</v>
      </c>
      <c r="Z1883" s="1" t="s">
        <v>22</v>
      </c>
      <c r="AH1883" s="1" t="s">
        <v>30</v>
      </c>
      <c r="DX1883" s="1" t="s">
        <v>124</v>
      </c>
      <c r="ED1883" s="1" t="s">
        <v>130</v>
      </c>
      <c r="GD1883" s="1" t="s">
        <v>193</v>
      </c>
      <c r="GE1883" s="1" t="s">
        <v>190</v>
      </c>
    </row>
    <row r="1884" spans="1:187" ht="11.25" customHeight="1">
      <c r="A1884" s="1" t="s">
        <v>2830</v>
      </c>
      <c r="B1884" s="1" t="str">
        <f ca="1">IFERROR(__xludf.DUMMYFUNCTION("GOOGLETRANSLATE(A1884, ""en"", ""fr"")"),"CAFÉ")</f>
        <v>CAFÉ</v>
      </c>
      <c r="C1884" s="1" t="s">
        <v>185</v>
      </c>
      <c r="BC1884" s="1" t="s">
        <v>51</v>
      </c>
      <c r="BE1884" s="1" t="s">
        <v>53</v>
      </c>
      <c r="EV1884" s="1" t="s">
        <v>148</v>
      </c>
      <c r="EW1884" s="1" t="s">
        <v>149</v>
      </c>
      <c r="GD1884" s="1" t="s">
        <v>193</v>
      </c>
      <c r="GE1884" s="1" t="s">
        <v>2831</v>
      </c>
    </row>
    <row r="1885" spans="1:187" ht="11.25" customHeight="1">
      <c r="A1885" s="1" t="s">
        <v>2832</v>
      </c>
      <c r="B1885" s="1" t="str">
        <f ca="1">IFERROR(__xludf.DUMMYFUNCTION("GOOGLETRANSLATE(A1885, ""en"", ""fr"")"),"CERCUEIL")</f>
        <v>CERCUEIL</v>
      </c>
      <c r="C1885" s="1" t="s">
        <v>185</v>
      </c>
      <c r="BC1885" s="1" t="s">
        <v>51</v>
      </c>
      <c r="BD1885" s="1" t="s">
        <v>52</v>
      </c>
      <c r="EY1885" s="1" t="s">
        <v>151</v>
      </c>
      <c r="FC1885" s="1" t="s">
        <v>155</v>
      </c>
      <c r="GD1885" s="1" t="s">
        <v>193</v>
      </c>
      <c r="GE1885" s="1" t="s">
        <v>190</v>
      </c>
    </row>
    <row r="1886" spans="1:187" ht="11.25" customHeight="1">
      <c r="A1886" s="1" t="s">
        <v>2833</v>
      </c>
      <c r="B1886" s="1" t="str">
        <f ca="1">IFERROR(__xludf.DUMMYFUNCTION("GOOGLETRANSLATE(A1886, ""en"", ""fr"")"),"CONVAINCANT")</f>
        <v>CONVAINCANT</v>
      </c>
      <c r="C1886" s="1" t="s">
        <v>192</v>
      </c>
      <c r="D1886" s="1" t="s">
        <v>16612</v>
      </c>
      <c r="J1886" s="1" t="s">
        <v>6</v>
      </c>
      <c r="K1886" s="1" t="s">
        <v>7</v>
      </c>
      <c r="W1886" s="1" t="s">
        <v>19</v>
      </c>
      <c r="BK1886" s="1" t="s">
        <v>59</v>
      </c>
      <c r="DR1886" s="1" t="s">
        <v>118</v>
      </c>
      <c r="GD1886" s="1" t="s">
        <v>202</v>
      </c>
      <c r="GE1886" s="1" t="s">
        <v>190</v>
      </c>
    </row>
    <row r="1887" spans="1:187" ht="11.25" customHeight="1">
      <c r="A1887" s="1" t="s">
        <v>2834</v>
      </c>
      <c r="B1887" s="1" t="str">
        <f ca="1">IFERROR(__xludf.DUMMYFUNCTION("GOOGLETRANSLATE(A1887, ""en"", ""fr"")"),"CONNAISSANCE")</f>
        <v>CONNAISSANCE</v>
      </c>
      <c r="C1887" s="1" t="s">
        <v>192</v>
      </c>
      <c r="D1887" s="1" t="s">
        <v>16612</v>
      </c>
      <c r="W1887" s="1" t="s">
        <v>19</v>
      </c>
      <c r="CG1887" s="1" t="s">
        <v>81</v>
      </c>
      <c r="CK1887" s="1" t="s">
        <v>85</v>
      </c>
      <c r="GD1887" s="1" t="s">
        <v>193</v>
      </c>
      <c r="GE1887" s="1" t="s">
        <v>190</v>
      </c>
    </row>
    <row r="1888" spans="1:187" ht="11.25" customHeight="1">
      <c r="A1888" s="1" t="s">
        <v>2835</v>
      </c>
      <c r="B1888" s="1" t="str">
        <f ca="1">IFERROR(__xludf.DUMMYFUNCTION("GOOGLETRANSLATE(A1888, ""en"", ""fr"")"),"COMPÉTENT")</f>
        <v>COMPÉTENT</v>
      </c>
      <c r="C1888" s="1" t="s">
        <v>192</v>
      </c>
      <c r="D1888" s="1" t="s">
        <v>16612</v>
      </c>
      <c r="W1888" s="1" t="s">
        <v>19</v>
      </c>
      <c r="CG1888" s="1" t="s">
        <v>81</v>
      </c>
      <c r="CK1888" s="1" t="s">
        <v>85</v>
      </c>
      <c r="DR1888" s="1" t="s">
        <v>118</v>
      </c>
      <c r="GD1888" s="1" t="s">
        <v>202</v>
      </c>
      <c r="GE1888" s="1" t="s">
        <v>190</v>
      </c>
    </row>
    <row r="1889" spans="1:187" ht="11.25" customHeight="1">
      <c r="A1889" s="1" t="s">
        <v>2836</v>
      </c>
      <c r="B1889" s="1" t="str">
        <f ca="1">IFERROR(__xludf.DUMMYFUNCTION("GOOGLETRANSLATE(A1889, ""en"", ""fr"")"),"COHÉRENT")</f>
        <v>COHÉRENT</v>
      </c>
      <c r="C1889" s="1" t="s">
        <v>192</v>
      </c>
      <c r="D1889" s="1" t="s">
        <v>16612</v>
      </c>
      <c r="J1889" s="1" t="s">
        <v>6</v>
      </c>
      <c r="W1889" s="1" t="s">
        <v>19</v>
      </c>
      <c r="DD1889" s="1" t="s">
        <v>104</v>
      </c>
      <c r="DR1889" s="1" t="s">
        <v>118</v>
      </c>
      <c r="GD1889" s="1" t="s">
        <v>202</v>
      </c>
      <c r="GE1889" s="1" t="s">
        <v>190</v>
      </c>
    </row>
    <row r="1890" spans="1:187" ht="11.25" customHeight="1">
      <c r="A1890" s="1" t="s">
        <v>2837</v>
      </c>
      <c r="B1890" s="1" t="str">
        <f ca="1">IFERROR(__xludf.DUMMYFUNCTION("GOOGLETRANSLATE(A1890, ""en"", ""fr"")"),"COHÉSION")</f>
        <v>COHÉSION</v>
      </c>
      <c r="C1890" s="1" t="s">
        <v>192</v>
      </c>
      <c r="D1890" s="1" t="s">
        <v>16612</v>
      </c>
      <c r="G1890" s="1" t="s">
        <v>3</v>
      </c>
      <c r="J1890" s="1" t="s">
        <v>6</v>
      </c>
      <c r="W1890" s="1" t="s">
        <v>19</v>
      </c>
      <c r="DD1890" s="1" t="s">
        <v>104</v>
      </c>
      <c r="GD1890" s="1" t="s">
        <v>193</v>
      </c>
      <c r="GE1890" s="1" t="s">
        <v>190</v>
      </c>
    </row>
    <row r="1891" spans="1:187" ht="11.25" customHeight="1">
      <c r="A1891" s="1" t="s">
        <v>2838</v>
      </c>
      <c r="B1891" s="1" t="str">
        <f ca="1">IFERROR(__xludf.DUMMYFUNCTION("GOOGLETRANSLATE(A1891, ""en"", ""fr"")"),"COHÉSIF")</f>
        <v>COHÉSIF</v>
      </c>
      <c r="C1891" s="1" t="s">
        <v>196</v>
      </c>
      <c r="DX1891" s="1" t="s">
        <v>124</v>
      </c>
      <c r="ED1891" s="1" t="s">
        <v>130</v>
      </c>
      <c r="GD1891" s="1" t="s">
        <v>202</v>
      </c>
    </row>
    <row r="1892" spans="1:187" ht="11.25" customHeight="1">
      <c r="A1892" s="1" t="s">
        <v>2839</v>
      </c>
      <c r="B1892" s="1" t="str">
        <f ca="1">IFERROR(__xludf.DUMMYFUNCTION("GOOGLETRANSLATE(A1892, ""en"", ""fr"")"),"Cohésion")</f>
        <v>Cohésion</v>
      </c>
      <c r="C1892" s="1" t="s">
        <v>196</v>
      </c>
      <c r="DX1892" s="1" t="s">
        <v>124</v>
      </c>
      <c r="ED1892" s="1" t="s">
        <v>130</v>
      </c>
      <c r="GD1892" s="1" t="s">
        <v>193</v>
      </c>
    </row>
    <row r="1893" spans="1:187" ht="11.25" customHeight="1">
      <c r="A1893" s="1" t="s">
        <v>2840</v>
      </c>
      <c r="B1893" s="1" t="str">
        <f ca="1">IFERROR(__xludf.DUMMYFUNCTION("GOOGLETRANSLATE(A1893, ""en"", ""fr"")"),"COHORTE")</f>
        <v>COHORTE</v>
      </c>
      <c r="C1893" s="1" t="s">
        <v>192</v>
      </c>
      <c r="D1893" s="1" t="s">
        <v>16612</v>
      </c>
      <c r="G1893" s="1" t="s">
        <v>3</v>
      </c>
      <c r="W1893" s="1" t="s">
        <v>19</v>
      </c>
      <c r="AK1893" s="1" t="s">
        <v>33</v>
      </c>
      <c r="GD1893" s="1" t="s">
        <v>193</v>
      </c>
      <c r="GE1893" s="1" t="s">
        <v>190</v>
      </c>
    </row>
    <row r="1894" spans="1:187" ht="11.25" customHeight="1">
      <c r="A1894" s="1" t="s">
        <v>2841</v>
      </c>
      <c r="B1894" s="1" t="str">
        <f ca="1">IFERROR(__xludf.DUMMYFUNCTION("GOOGLETRANSLATE(A1894, ""en"", ""fr"")"),"PIÈCE DE MONNAIE")</f>
        <v>PIÈCE DE MONNAIE</v>
      </c>
      <c r="C1894" s="1" t="s">
        <v>185</v>
      </c>
      <c r="AA1894" s="1" t="s">
        <v>23</v>
      </c>
      <c r="AC1894" s="1" t="s">
        <v>25</v>
      </c>
      <c r="BC1894" s="1" t="s">
        <v>51</v>
      </c>
      <c r="BH1894" s="1" t="s">
        <v>56</v>
      </c>
      <c r="BL1894" s="1" t="s">
        <v>60</v>
      </c>
      <c r="EV1894" s="1" t="s">
        <v>148</v>
      </c>
      <c r="EW1894" s="1" t="s">
        <v>149</v>
      </c>
      <c r="GD1894" s="1" t="s">
        <v>193</v>
      </c>
      <c r="GE1894" s="1" t="s">
        <v>190</v>
      </c>
    </row>
    <row r="1895" spans="1:187" ht="11.25" customHeight="1">
      <c r="A1895" s="1" t="s">
        <v>2842</v>
      </c>
      <c r="B1895" s="1" t="str">
        <f ca="1">IFERROR(__xludf.DUMMYFUNCTION("GOOGLETRANSLATE(A1895, ""en"", ""fr"")"),"COÏNCIDER")</f>
        <v>COÏNCIDER</v>
      </c>
      <c r="C1895" s="1" t="s">
        <v>185</v>
      </c>
      <c r="O1895" s="1" t="s">
        <v>11</v>
      </c>
      <c r="DD1895" s="1" t="s">
        <v>104</v>
      </c>
      <c r="DN1895" s="1" t="s">
        <v>114</v>
      </c>
      <c r="GD1895" s="1" t="s">
        <v>189</v>
      </c>
      <c r="GE1895" s="1" t="s">
        <v>190</v>
      </c>
    </row>
    <row r="1896" spans="1:187" ht="11.25" customHeight="1">
      <c r="A1896" s="1" t="s">
        <v>2843</v>
      </c>
      <c r="B1896" s="1" t="str">
        <f ca="1">IFERROR(__xludf.DUMMYFUNCTION("GOOGLETRANSLATE(A1896, ""en"", ""fr"")"),"COÏNCIDENCE")</f>
        <v>COÏNCIDENCE</v>
      </c>
      <c r="C1896" s="1" t="s">
        <v>185</v>
      </c>
      <c r="O1896" s="1" t="s">
        <v>11</v>
      </c>
      <c r="X1896" s="1" t="s">
        <v>20</v>
      </c>
      <c r="CY1896" s="1" t="s">
        <v>99</v>
      </c>
      <c r="GD1896" s="1" t="s">
        <v>193</v>
      </c>
      <c r="GE1896" s="1" t="s">
        <v>190</v>
      </c>
    </row>
    <row r="1897" spans="1:187" ht="11.25" customHeight="1">
      <c r="A1897" s="1" t="s">
        <v>2844</v>
      </c>
      <c r="B1897" s="1" t="str">
        <f ca="1">IFERROR(__xludf.DUMMYFUNCTION("GOOGLETRANSLATE(A1897, ""en"", ""fr"")"),"COÏNCIDENT")</f>
        <v>COÏNCIDENT</v>
      </c>
      <c r="C1897" s="1" t="s">
        <v>192</v>
      </c>
      <c r="D1897" s="1" t="s">
        <v>16612</v>
      </c>
      <c r="N1897" s="1" t="s">
        <v>10</v>
      </c>
      <c r="BU1897" s="1" t="s">
        <v>69</v>
      </c>
      <c r="DD1897" s="1" t="s">
        <v>104</v>
      </c>
      <c r="GD1897" s="1" t="s">
        <v>193</v>
      </c>
      <c r="GE1897" s="1" t="s">
        <v>190</v>
      </c>
    </row>
    <row r="1898" spans="1:187" ht="11.25" customHeight="1">
      <c r="A1898" s="1" t="s">
        <v>2845</v>
      </c>
      <c r="B1898" s="1" t="str">
        <f ca="1">IFERROR(__xludf.DUMMYFUNCTION("GOOGLETRANSLATE(A1898, ""en"", ""fr"")"),"Cold # 1")</f>
        <v>Cold # 1</v>
      </c>
      <c r="C1898" s="1" t="s">
        <v>185</v>
      </c>
      <c r="E1898" s="1" t="s">
        <v>16613</v>
      </c>
      <c r="H1898" s="1" t="s">
        <v>4</v>
      </c>
      <c r="O1898" s="1" t="s">
        <v>11</v>
      </c>
      <c r="CN1898" s="1" t="s">
        <v>88</v>
      </c>
      <c r="CR1898" s="1" t="s">
        <v>92</v>
      </c>
      <c r="GD1898" s="1" t="s">
        <v>421</v>
      </c>
      <c r="GE1898" s="1" t="s">
        <v>2846</v>
      </c>
    </row>
    <row r="1899" spans="1:187" ht="11.25" customHeight="1">
      <c r="A1899" s="1" t="s">
        <v>2847</v>
      </c>
      <c r="B1899" s="1" t="str">
        <f ca="1">IFERROR(__xludf.DUMMYFUNCTION("GOOGLETRANSLATE(A1899, ""en"", ""fr"")"),"Cold # 2")</f>
        <v>Cold # 2</v>
      </c>
      <c r="C1899" s="1" t="s">
        <v>185</v>
      </c>
      <c r="E1899" s="1" t="s">
        <v>16613</v>
      </c>
      <c r="H1899" s="1" t="s">
        <v>4</v>
      </c>
      <c r="V1899" s="1" t="s">
        <v>18</v>
      </c>
      <c r="EY1899" s="1" t="s">
        <v>151</v>
      </c>
      <c r="FC1899" s="1" t="s">
        <v>155</v>
      </c>
      <c r="GD1899" s="1" t="s">
        <v>193</v>
      </c>
      <c r="GE1899" s="1" t="s">
        <v>2848</v>
      </c>
    </row>
    <row r="1900" spans="1:187" ht="11.25" customHeight="1">
      <c r="A1900" s="1" t="s">
        <v>2849</v>
      </c>
      <c r="B1900" s="1" t="str">
        <f ca="1">IFERROR(__xludf.DUMMYFUNCTION("GOOGLETRANSLATE(A1900, ""en"", ""fr"")"),"Cold # 3")</f>
        <v>Cold # 3</v>
      </c>
      <c r="C1900" s="1" t="s">
        <v>185</v>
      </c>
      <c r="E1900" s="1" t="s">
        <v>16613</v>
      </c>
      <c r="H1900" s="1" t="s">
        <v>4</v>
      </c>
      <c r="I1900" s="1" t="s">
        <v>5</v>
      </c>
      <c r="Z1900" s="1" t="s">
        <v>22</v>
      </c>
      <c r="AG1900" s="1" t="s">
        <v>29</v>
      </c>
      <c r="AH1900" s="1" t="s">
        <v>30</v>
      </c>
      <c r="DW1900" s="1" t="s">
        <v>123</v>
      </c>
      <c r="ED1900" s="1" t="s">
        <v>130</v>
      </c>
      <c r="GD1900" s="1" t="s">
        <v>193</v>
      </c>
      <c r="GE1900" s="1" t="s">
        <v>2850</v>
      </c>
    </row>
    <row r="1901" spans="1:187" ht="11.25" customHeight="1">
      <c r="A1901" s="1" t="s">
        <v>2851</v>
      </c>
      <c r="B1901" s="1" t="str">
        <f ca="1">IFERROR(__xludf.DUMMYFUNCTION("GOOGLETRANSLATE(A1901, ""en"", ""fr"")"),"Cold # 4")</f>
        <v>Cold # 4</v>
      </c>
      <c r="C1901" s="1" t="s">
        <v>185</v>
      </c>
      <c r="CR1901" s="1" t="s">
        <v>92</v>
      </c>
      <c r="GD1901" s="1" t="s">
        <v>202</v>
      </c>
      <c r="GE1901" s="1" t="s">
        <v>2852</v>
      </c>
    </row>
    <row r="1902" spans="1:187" ht="11.25" customHeight="1">
      <c r="A1902" s="1" t="s">
        <v>2853</v>
      </c>
      <c r="B1902" s="1" t="str">
        <f ca="1">IFERROR(__xludf.DUMMYFUNCTION("GOOGLETRANSLATE(A1902, ""en"", ""fr"")"),"Cold # 5")</f>
        <v>Cold # 5</v>
      </c>
      <c r="C1902" s="1" t="s">
        <v>185</v>
      </c>
      <c r="CR1902" s="1" t="s">
        <v>92</v>
      </c>
      <c r="GD1902" s="1" t="s">
        <v>202</v>
      </c>
      <c r="GE1902" s="1" t="s">
        <v>2854</v>
      </c>
    </row>
    <row r="1903" spans="1:187" ht="11.25" customHeight="1">
      <c r="A1903" s="1" t="s">
        <v>2855</v>
      </c>
      <c r="B1903" s="1" t="str">
        <f ca="1">IFERROR(__xludf.DUMMYFUNCTION("GOOGLETRANSLATE(A1903, ""en"", ""fr"")"),"Cold # 6")</f>
        <v>Cold # 6</v>
      </c>
      <c r="C1903" s="1" t="s">
        <v>185</v>
      </c>
      <c r="E1903" s="1" t="s">
        <v>16613</v>
      </c>
      <c r="H1903" s="1" t="s">
        <v>4</v>
      </c>
      <c r="I1903" s="1" t="s">
        <v>5</v>
      </c>
      <c r="BK1903" s="1" t="s">
        <v>59</v>
      </c>
      <c r="GC1903" s="1" t="s">
        <v>181</v>
      </c>
      <c r="GD1903" s="1" t="s">
        <v>236</v>
      </c>
      <c r="GE1903" s="1" t="s">
        <v>2856</v>
      </c>
    </row>
    <row r="1904" spans="1:187" ht="11.25" customHeight="1">
      <c r="A1904" s="1" t="s">
        <v>2857</v>
      </c>
      <c r="B1904" s="1" t="str">
        <f ca="1">IFERROR(__xludf.DUMMYFUNCTION("GOOGLETRANSLATE(A1904, ""en"", ""fr"")"),"COLLABORER")</f>
        <v>COLLABORER</v>
      </c>
      <c r="C1904" s="1" t="s">
        <v>192</v>
      </c>
      <c r="D1904" s="1" t="s">
        <v>16612</v>
      </c>
      <c r="G1904" s="1" t="s">
        <v>3</v>
      </c>
      <c r="N1904" s="1" t="s">
        <v>10</v>
      </c>
      <c r="AN1904" s="1" t="s">
        <v>36</v>
      </c>
      <c r="BK1904" s="1" t="s">
        <v>59</v>
      </c>
      <c r="DN1904" s="1" t="s">
        <v>114</v>
      </c>
      <c r="GD1904" s="1" t="s">
        <v>189</v>
      </c>
      <c r="GE1904" s="1" t="s">
        <v>190</v>
      </c>
    </row>
    <row r="1905" spans="1:187" ht="11.25" customHeight="1">
      <c r="A1905" s="1" t="s">
        <v>2858</v>
      </c>
      <c r="B1905" s="1" t="str">
        <f ca="1">IFERROR(__xludf.DUMMYFUNCTION("GOOGLETRANSLATE(A1905, ""en"", ""fr"")"),"COLLABORATION")</f>
        <v>COLLABORATION</v>
      </c>
      <c r="C1905" s="1" t="s">
        <v>185</v>
      </c>
      <c r="D1905" s="1" t="s">
        <v>16612</v>
      </c>
      <c r="F1905" s="1" t="s">
        <v>2</v>
      </c>
      <c r="G1905" s="1" t="s">
        <v>3</v>
      </c>
      <c r="J1905" s="1" t="s">
        <v>6</v>
      </c>
      <c r="N1905" s="1" t="s">
        <v>10</v>
      </c>
      <c r="U1905" s="1" t="s">
        <v>17</v>
      </c>
      <c r="AH1905" s="1" t="s">
        <v>30</v>
      </c>
      <c r="BL1905" s="1" t="s">
        <v>60</v>
      </c>
      <c r="DX1905" s="1" t="s">
        <v>124</v>
      </c>
      <c r="ED1905" s="1" t="s">
        <v>130</v>
      </c>
      <c r="GC1905" s="1" t="s">
        <v>181</v>
      </c>
      <c r="GD1905" s="1" t="s">
        <v>193</v>
      </c>
      <c r="GE1905" s="1" t="s">
        <v>190</v>
      </c>
    </row>
    <row r="1906" spans="1:187" ht="11.25" customHeight="1">
      <c r="A1906" s="1" t="s">
        <v>2859</v>
      </c>
      <c r="B1906" s="1" t="str">
        <f ca="1">IFERROR(__xludf.DUMMYFUNCTION("GOOGLETRANSLATE(A1906, ""en"", ""fr"")"),"Effondrement n ° 1")</f>
        <v>Effondrement n ° 1</v>
      </c>
      <c r="C1906" s="1" t="s">
        <v>185</v>
      </c>
      <c r="E1906" s="1" t="s">
        <v>16613</v>
      </c>
      <c r="H1906" s="1" t="s">
        <v>4</v>
      </c>
      <c r="L1906" s="1" t="s">
        <v>8</v>
      </c>
      <c r="O1906" s="1" t="s">
        <v>11</v>
      </c>
      <c r="BY1906" s="1" t="s">
        <v>73</v>
      </c>
      <c r="FW1906" s="1" t="s">
        <v>175</v>
      </c>
      <c r="GD1906" s="1" t="s">
        <v>202</v>
      </c>
      <c r="GE1906" s="1" t="s">
        <v>190</v>
      </c>
    </row>
    <row r="1907" spans="1:187" ht="11.25" customHeight="1">
      <c r="A1907" s="1" t="s">
        <v>2860</v>
      </c>
      <c r="B1907" s="1" t="str">
        <f ca="1">IFERROR(__xludf.DUMMYFUNCTION("GOOGLETRANSLATE(A1907, ""en"", ""fr"")"),"Effondrement n ° 2")</f>
        <v>Effondrement n ° 2</v>
      </c>
      <c r="C1907" s="1" t="s">
        <v>185</v>
      </c>
      <c r="E1907" s="1" t="s">
        <v>16613</v>
      </c>
      <c r="H1907" s="1" t="s">
        <v>4</v>
      </c>
      <c r="L1907" s="1" t="s">
        <v>8</v>
      </c>
      <c r="O1907" s="1" t="s">
        <v>11</v>
      </c>
      <c r="CF1907" s="1" t="s">
        <v>80</v>
      </c>
      <c r="DN1907" s="1" t="s">
        <v>114</v>
      </c>
      <c r="FW1907" s="1" t="s">
        <v>175</v>
      </c>
      <c r="GD1907" s="1" t="s">
        <v>189</v>
      </c>
      <c r="GE1907" s="1" t="s">
        <v>190</v>
      </c>
    </row>
    <row r="1908" spans="1:187" ht="11.25" customHeight="1">
      <c r="A1908" s="1" t="s">
        <v>2861</v>
      </c>
      <c r="B1908" s="1" t="str">
        <f ca="1">IFERROR(__xludf.DUMMYFUNCTION("GOOGLETRANSLATE(A1908, ""en"", ""fr"")"),"Collier n ° 1")</f>
        <v>Collier n ° 1</v>
      </c>
      <c r="C1908" s="1" t="s">
        <v>185</v>
      </c>
      <c r="BC1908" s="1" t="s">
        <v>51</v>
      </c>
      <c r="BD1908" s="1" t="s">
        <v>52</v>
      </c>
      <c r="GD1908" s="1" t="s">
        <v>193</v>
      </c>
      <c r="GE1908" s="1" t="s">
        <v>190</v>
      </c>
    </row>
    <row r="1909" spans="1:187" ht="11.25" customHeight="1">
      <c r="A1909" s="1" t="s">
        <v>2862</v>
      </c>
      <c r="B1909" s="1" t="str">
        <f ca="1">IFERROR(__xludf.DUMMYFUNCTION("GOOGLETRANSLATE(A1909, ""en"", ""fr"")"),"Collier n ° 2")</f>
        <v>Collier n ° 2</v>
      </c>
      <c r="C1909" s="1" t="s">
        <v>185</v>
      </c>
      <c r="J1909" s="1" t="s">
        <v>6</v>
      </c>
      <c r="K1909" s="1" t="s">
        <v>7</v>
      </c>
      <c r="N1909" s="1" t="s">
        <v>10</v>
      </c>
      <c r="AN1909" s="1" t="s">
        <v>36</v>
      </c>
      <c r="DN1909" s="1" t="s">
        <v>114</v>
      </c>
      <c r="GD1909" s="1" t="s">
        <v>189</v>
      </c>
      <c r="GE1909" s="1" t="s">
        <v>190</v>
      </c>
    </row>
    <row r="1910" spans="1:187" ht="11.25" customHeight="1">
      <c r="A1910" s="1" t="s">
        <v>2863</v>
      </c>
      <c r="B1910" s="1" t="str">
        <f ca="1">IFERROR(__xludf.DUMMYFUNCTION("GOOGLETRANSLATE(A1910, ""en"", ""fr"")"),"COLLATÉRAL")</f>
        <v>COLLATÉRAL</v>
      </c>
      <c r="C1910" s="1" t="s">
        <v>196</v>
      </c>
      <c r="EV1910" s="1" t="s">
        <v>148</v>
      </c>
      <c r="EW1910" s="1" t="s">
        <v>149</v>
      </c>
      <c r="GD1910" s="1" t="s">
        <v>193</v>
      </c>
    </row>
    <row r="1911" spans="1:187" ht="11.25" customHeight="1">
      <c r="A1911" s="1" t="s">
        <v>2864</v>
      </c>
      <c r="B1911" s="1" t="str">
        <f ca="1">IFERROR(__xludf.DUMMYFUNCTION("GOOGLETRANSLATE(A1911, ""en"", ""fr"")"),"COLLÈGUE")</f>
        <v>COLLÈGUE</v>
      </c>
      <c r="C1911" s="1" t="s">
        <v>185</v>
      </c>
      <c r="D1911" s="1" t="s">
        <v>16612</v>
      </c>
      <c r="F1911" s="1" t="s">
        <v>2</v>
      </c>
      <c r="G1911" s="1" t="s">
        <v>3</v>
      </c>
      <c r="AJ1911" s="1" t="s">
        <v>32</v>
      </c>
      <c r="AT1911" s="1" t="s">
        <v>42</v>
      </c>
      <c r="DX1911" s="1" t="s">
        <v>124</v>
      </c>
      <c r="ED1911" s="1" t="s">
        <v>130</v>
      </c>
      <c r="GD1911" s="1" t="s">
        <v>193</v>
      </c>
      <c r="GE1911" s="1" t="s">
        <v>190</v>
      </c>
    </row>
    <row r="1912" spans="1:187" ht="11.25" customHeight="1">
      <c r="A1912" s="1" t="s">
        <v>2865</v>
      </c>
      <c r="B1912" s="1" t="str">
        <f ca="1">IFERROR(__xludf.DUMMYFUNCTION("GOOGLETRANSLATE(A1912, ""en"", ""fr"")"),"Collectez # 1")</f>
        <v>Collectez # 1</v>
      </c>
      <c r="C1912" s="1" t="s">
        <v>185</v>
      </c>
      <c r="J1912" s="1" t="s">
        <v>6</v>
      </c>
      <c r="N1912" s="1" t="s">
        <v>10</v>
      </c>
      <c r="BX1912" s="1" t="s">
        <v>72</v>
      </c>
      <c r="DN1912" s="1" t="s">
        <v>114</v>
      </c>
      <c r="FN1912" s="1" t="s">
        <v>166</v>
      </c>
      <c r="GD1912" s="1" t="s">
        <v>400</v>
      </c>
      <c r="GE1912" s="1" t="s">
        <v>2866</v>
      </c>
    </row>
    <row r="1913" spans="1:187" ht="11.25" customHeight="1">
      <c r="A1913" s="1" t="s">
        <v>2867</v>
      </c>
      <c r="B1913" s="1" t="str">
        <f ca="1">IFERROR(__xludf.DUMMYFUNCTION("GOOGLETRANSLATE(A1913, ""en"", ""fr"")"),"Collect # 2")</f>
        <v>Collect # 2</v>
      </c>
      <c r="C1913" s="1" t="s">
        <v>185</v>
      </c>
      <c r="N1913" s="1" t="s">
        <v>10</v>
      </c>
      <c r="BX1913" s="1" t="s">
        <v>72</v>
      </c>
      <c r="FN1913" s="1" t="s">
        <v>166</v>
      </c>
      <c r="GD1913" s="1" t="s">
        <v>193</v>
      </c>
      <c r="GE1913" s="1" t="s">
        <v>2868</v>
      </c>
    </row>
    <row r="1914" spans="1:187" ht="11.25" customHeight="1">
      <c r="A1914" s="1" t="s">
        <v>2869</v>
      </c>
      <c r="B1914" s="1" t="str">
        <f ca="1">IFERROR(__xludf.DUMMYFUNCTION("GOOGLETRANSLATE(A1914, ""en"", ""fr"")"),"Collect # 3")</f>
        <v>Collect # 3</v>
      </c>
      <c r="C1914" s="1" t="s">
        <v>185</v>
      </c>
      <c r="T1914" s="1" t="s">
        <v>16</v>
      </c>
      <c r="U1914" s="1" t="s">
        <v>17</v>
      </c>
      <c r="FA1914" s="1" t="s">
        <v>153</v>
      </c>
      <c r="FC1914" s="1" t="s">
        <v>155</v>
      </c>
      <c r="GD1914" s="1" t="s">
        <v>202</v>
      </c>
      <c r="GE1914" s="1" t="s">
        <v>2870</v>
      </c>
    </row>
    <row r="1915" spans="1:187" ht="11.25" customHeight="1">
      <c r="A1915" s="1" t="s">
        <v>2871</v>
      </c>
      <c r="B1915" s="1" t="str">
        <f ca="1">IFERROR(__xludf.DUMMYFUNCTION("GOOGLETRANSLATE(A1915, ""en"", ""fr"")"),"COLLECTION")</f>
        <v>COLLECTION</v>
      </c>
      <c r="C1915" s="1" t="s">
        <v>185</v>
      </c>
      <c r="CS1915" s="1" t="s">
        <v>93</v>
      </c>
      <c r="GD1915" s="1" t="s">
        <v>193</v>
      </c>
      <c r="GE1915" s="1" t="s">
        <v>190</v>
      </c>
    </row>
    <row r="1916" spans="1:187" ht="11.25" customHeight="1">
      <c r="A1916" s="1" t="s">
        <v>2872</v>
      </c>
      <c r="B1916" s="1" t="str">
        <f ca="1">IFERROR(__xludf.DUMMYFUNCTION("GOOGLETRANSLATE(A1916, ""en"", ""fr"")"),"COLLECTIF")</f>
        <v>COLLECTIF</v>
      </c>
      <c r="C1916" s="1" t="s">
        <v>185</v>
      </c>
      <c r="J1916" s="1" t="s">
        <v>6</v>
      </c>
      <c r="AA1916" s="1" t="s">
        <v>23</v>
      </c>
      <c r="AC1916" s="1" t="s">
        <v>25</v>
      </c>
      <c r="AK1916" s="1" t="s">
        <v>33</v>
      </c>
      <c r="AT1916" s="1" t="s">
        <v>42</v>
      </c>
      <c r="DX1916" s="1" t="s">
        <v>124</v>
      </c>
      <c r="ED1916" s="1" t="s">
        <v>130</v>
      </c>
      <c r="GD1916" s="1" t="s">
        <v>193</v>
      </c>
      <c r="GE1916" s="1" t="s">
        <v>190</v>
      </c>
    </row>
    <row r="1917" spans="1:187" ht="11.25" customHeight="1">
      <c r="A1917" s="1" t="s">
        <v>2873</v>
      </c>
      <c r="B1917" s="1" t="str">
        <f ca="1">IFERROR(__xludf.DUMMYFUNCTION("GOOGLETRANSLATE(A1917, ""en"", ""fr"")"),"COLLECTIVISME")</f>
        <v>COLLECTIVISME</v>
      </c>
      <c r="C1917" s="1" t="s">
        <v>196</v>
      </c>
      <c r="EA1917" s="1" t="s">
        <v>127</v>
      </c>
      <c r="ED1917" s="1" t="s">
        <v>130</v>
      </c>
      <c r="GD1917" s="1" t="s">
        <v>193</v>
      </c>
    </row>
    <row r="1918" spans="1:187" ht="11.25" customHeight="1">
      <c r="A1918" s="1" t="s">
        <v>2874</v>
      </c>
      <c r="B1918" s="1" t="str">
        <f ca="1">IFERROR(__xludf.DUMMYFUNCTION("GOOGLETRANSLATE(A1918, ""en"", ""fr"")"),"COLLECTIVITÉ")</f>
        <v>COLLECTIVITÉ</v>
      </c>
      <c r="C1918" s="1" t="s">
        <v>196</v>
      </c>
      <c r="DX1918" s="1" t="s">
        <v>124</v>
      </c>
      <c r="ED1918" s="1" t="s">
        <v>130</v>
      </c>
      <c r="GD1918" s="1" t="s">
        <v>193</v>
      </c>
    </row>
    <row r="1919" spans="1:187" ht="11.25" customHeight="1">
      <c r="A1919" s="1" t="s">
        <v>2875</v>
      </c>
      <c r="B1919" s="1" t="str">
        <f ca="1">IFERROR(__xludf.DUMMYFUNCTION("GOOGLETRANSLATE(A1919, ""en"", ""fr"")"),"COLLÈGE")</f>
        <v>COLLÈGE</v>
      </c>
      <c r="C1919" s="1" t="s">
        <v>185</v>
      </c>
      <c r="Y1919" s="1" t="s">
        <v>21</v>
      </c>
      <c r="AV1919" s="1" t="s">
        <v>44</v>
      </c>
      <c r="AW1919" s="1" t="s">
        <v>45</v>
      </c>
      <c r="FH1919" s="1" t="s">
        <v>160</v>
      </c>
      <c r="FI1919" s="1" t="s">
        <v>161</v>
      </c>
      <c r="GD1919" s="1" t="s">
        <v>193</v>
      </c>
      <c r="GE1919" s="1" t="s">
        <v>2876</v>
      </c>
    </row>
    <row r="1920" spans="1:187" ht="11.25" customHeight="1">
      <c r="A1920" s="1" t="s">
        <v>2877</v>
      </c>
      <c r="B1920" s="1" t="str">
        <f ca="1">IFERROR(__xludf.DUMMYFUNCTION("GOOGLETRANSLATE(A1920, ""en"", ""fr"")"),"ENTRER EN COLLISION")</f>
        <v>ENTRER EN COLLISION</v>
      </c>
      <c r="C1920" s="1" t="s">
        <v>192</v>
      </c>
      <c r="E1920" s="1" t="s">
        <v>16613</v>
      </c>
      <c r="I1920" s="1" t="s">
        <v>5</v>
      </c>
      <c r="N1920" s="1" t="s">
        <v>10</v>
      </c>
      <c r="CC1920" s="1" t="s">
        <v>77</v>
      </c>
      <c r="DN1920" s="1" t="s">
        <v>114</v>
      </c>
      <c r="GD1920" s="1" t="s">
        <v>189</v>
      </c>
      <c r="GE1920" s="1" t="s">
        <v>190</v>
      </c>
    </row>
    <row r="1921" spans="1:187" ht="11.25" customHeight="1">
      <c r="A1921" s="1" t="s">
        <v>2878</v>
      </c>
      <c r="B1921" s="1" t="str">
        <f ca="1">IFERROR(__xludf.DUMMYFUNCTION("GOOGLETRANSLATE(A1921, ""en"", ""fr"")"),"COLLISION")</f>
        <v>COLLISION</v>
      </c>
      <c r="C1921" s="1" t="s">
        <v>192</v>
      </c>
      <c r="E1921" s="1" t="s">
        <v>16613</v>
      </c>
      <c r="I1921" s="1" t="s">
        <v>5</v>
      </c>
      <c r="AN1921" s="1" t="s">
        <v>36</v>
      </c>
      <c r="CC1921" s="1" t="s">
        <v>77</v>
      </c>
      <c r="GD1921" s="1" t="s">
        <v>193</v>
      </c>
      <c r="GE1921" s="1" t="s">
        <v>190</v>
      </c>
    </row>
    <row r="1922" spans="1:187" ht="11.25" customHeight="1">
      <c r="A1922" s="1" t="s">
        <v>2879</v>
      </c>
      <c r="B1922" s="1" t="str">
        <f ca="1">IFERROR(__xludf.DUMMYFUNCTION("GOOGLETRANSLATE(A1922, ""en"", ""fr"")"),"CONNIVENCE")</f>
        <v>CONNIVENCE</v>
      </c>
      <c r="C1922" s="1" t="s">
        <v>192</v>
      </c>
      <c r="E1922" s="1" t="s">
        <v>16613</v>
      </c>
      <c r="G1922" s="1" t="s">
        <v>3</v>
      </c>
      <c r="N1922" s="1" t="s">
        <v>10</v>
      </c>
      <c r="AN1922" s="1" t="s">
        <v>36</v>
      </c>
      <c r="DN1922" s="1" t="s">
        <v>114</v>
      </c>
      <c r="GD1922" s="1" t="s">
        <v>189</v>
      </c>
      <c r="GE1922" s="1" t="s">
        <v>190</v>
      </c>
    </row>
    <row r="1923" spans="1:187" ht="11.25" customHeight="1">
      <c r="A1923" s="1" t="s">
        <v>2880</v>
      </c>
      <c r="B1923" s="1" t="str">
        <f ca="1">IFERROR(__xludf.DUMMYFUNCTION("GOOGLETRANSLATE(A1923, ""en"", ""fr"")"),"COLONEL")</f>
        <v>COLONEL</v>
      </c>
      <c r="C1923" s="1" t="s">
        <v>185</v>
      </c>
      <c r="J1923" s="1" t="s">
        <v>6</v>
      </c>
      <c r="K1923" s="1" t="s">
        <v>7</v>
      </c>
      <c r="AF1923" s="1" t="s">
        <v>28</v>
      </c>
      <c r="AH1923" s="1" t="s">
        <v>30</v>
      </c>
      <c r="AJ1923" s="1" t="s">
        <v>32</v>
      </c>
      <c r="AT1923" s="1" t="s">
        <v>42</v>
      </c>
      <c r="EM1923" s="1" t="s">
        <v>139</v>
      </c>
      <c r="EN1923" s="1" t="s">
        <v>140</v>
      </c>
      <c r="GD1923" s="1" t="s">
        <v>193</v>
      </c>
      <c r="GE1923" s="1" t="s">
        <v>190</v>
      </c>
    </row>
    <row r="1924" spans="1:187" ht="11.25" customHeight="1">
      <c r="A1924" s="1" t="s">
        <v>2881</v>
      </c>
      <c r="B1924" s="1" t="str">
        <f ca="1">IFERROR(__xludf.DUMMYFUNCTION("GOOGLETRANSLATE(A1924, ""en"", ""fr"")"),"COLONIAL")</f>
        <v>COLONIAL</v>
      </c>
      <c r="C1924" s="1" t="s">
        <v>185</v>
      </c>
      <c r="Z1924" s="1" t="s">
        <v>22</v>
      </c>
      <c r="AC1924" s="1" t="s">
        <v>25</v>
      </c>
      <c r="AG1924" s="1" t="s">
        <v>29</v>
      </c>
      <c r="AH1924" s="1" t="s">
        <v>30</v>
      </c>
      <c r="EC1924" s="1" t="s">
        <v>129</v>
      </c>
      <c r="ED1924" s="1" t="s">
        <v>130</v>
      </c>
      <c r="GD1924" s="1" t="s">
        <v>202</v>
      </c>
      <c r="GE1924" s="1" t="s">
        <v>190</v>
      </c>
    </row>
    <row r="1925" spans="1:187" ht="11.25" customHeight="1">
      <c r="A1925" s="1" t="s">
        <v>2882</v>
      </c>
      <c r="B1925" s="1" t="str">
        <f ca="1">IFERROR(__xludf.DUMMYFUNCTION("GOOGLETRANSLATE(A1925, ""en"", ""fr"")"),"COLONIE")</f>
        <v>COLONIE</v>
      </c>
      <c r="C1925" s="1" t="s">
        <v>185</v>
      </c>
      <c r="E1925" s="1" t="s">
        <v>16613</v>
      </c>
      <c r="H1925" s="1" t="s">
        <v>4</v>
      </c>
      <c r="M1925" s="1" t="s">
        <v>9</v>
      </c>
      <c r="AC1925" s="1" t="s">
        <v>25</v>
      </c>
      <c r="AG1925" s="1" t="s">
        <v>29</v>
      </c>
      <c r="AH1925" s="1" t="s">
        <v>30</v>
      </c>
      <c r="AK1925" s="1" t="s">
        <v>33</v>
      </c>
      <c r="AT1925" s="1" t="s">
        <v>42</v>
      </c>
      <c r="EC1925" s="1" t="s">
        <v>129</v>
      </c>
      <c r="ED1925" s="1" t="s">
        <v>130</v>
      </c>
      <c r="GD1925" s="1" t="s">
        <v>193</v>
      </c>
      <c r="GE1925" s="1" t="s">
        <v>190</v>
      </c>
    </row>
    <row r="1926" spans="1:187" ht="11.25" customHeight="1">
      <c r="A1926" s="1" t="s">
        <v>2883</v>
      </c>
      <c r="B1926" s="1" t="str">
        <f ca="1">IFERROR(__xludf.DUMMYFUNCTION("GOOGLETRANSLATE(A1926, ""en"", ""fr"")"),"Couleur n ° 1")</f>
        <v>Couleur n ° 1</v>
      </c>
      <c r="C1926" s="1" t="s">
        <v>185</v>
      </c>
      <c r="DE1926" s="1" t="s">
        <v>105</v>
      </c>
      <c r="GD1926" s="1" t="s">
        <v>193</v>
      </c>
      <c r="GE1926" s="1" t="s">
        <v>2884</v>
      </c>
    </row>
    <row r="1927" spans="1:187" ht="11.25" customHeight="1">
      <c r="A1927" s="1" t="s">
        <v>2885</v>
      </c>
      <c r="B1927" s="1" t="str">
        <f ca="1">IFERROR(__xludf.DUMMYFUNCTION("GOOGLETRANSLATE(A1927, ""en"", ""fr"")"),"Couleur n ° 2")</f>
        <v>Couleur n ° 2</v>
      </c>
      <c r="C1927" s="1" t="s">
        <v>185</v>
      </c>
      <c r="AH1927" s="1" t="s">
        <v>30</v>
      </c>
      <c r="AK1927" s="1" t="s">
        <v>33</v>
      </c>
      <c r="AO1927" s="1" t="s">
        <v>37</v>
      </c>
      <c r="AT1927" s="1" t="s">
        <v>42</v>
      </c>
      <c r="DZ1927" s="1" t="s">
        <v>126</v>
      </c>
      <c r="ED1927" s="1" t="s">
        <v>130</v>
      </c>
      <c r="GD1927" s="1" t="s">
        <v>202</v>
      </c>
      <c r="GE1927" s="1" t="s">
        <v>2886</v>
      </c>
    </row>
    <row r="1928" spans="1:187" ht="11.25" customHeight="1">
      <c r="A1928" s="1" t="s">
        <v>2887</v>
      </c>
      <c r="B1928" s="1" t="str">
        <f ca="1">IFERROR(__xludf.DUMMYFUNCTION("GOOGLETRANSLATE(A1928, ""en"", ""fr"")"),"Couleur n ° 3")</f>
        <v>Couleur n ° 3</v>
      </c>
      <c r="C1928" s="1" t="s">
        <v>185</v>
      </c>
      <c r="AL1928" s="1" t="s">
        <v>34</v>
      </c>
      <c r="DN1928" s="1" t="s">
        <v>114</v>
      </c>
      <c r="GD1928" s="1" t="s">
        <v>189</v>
      </c>
      <c r="GE1928" s="1" t="s">
        <v>2888</v>
      </c>
    </row>
    <row r="1929" spans="1:187" ht="11.25" customHeight="1">
      <c r="A1929" s="1" t="s">
        <v>2889</v>
      </c>
      <c r="B1929" s="1" t="str">
        <f ca="1">IFERROR(__xludf.DUMMYFUNCTION("GOOGLETRANSLATE(A1929, ""en"", ""fr"")"),"Couleur n ° 4")</f>
        <v>Couleur n ° 4</v>
      </c>
      <c r="C1929" s="1" t="s">
        <v>185</v>
      </c>
      <c r="DE1929" s="1" t="s">
        <v>105</v>
      </c>
      <c r="GD1929" s="1" t="s">
        <v>202</v>
      </c>
      <c r="GE1929" s="1" t="s">
        <v>2890</v>
      </c>
    </row>
    <row r="1930" spans="1:187" ht="11.25" customHeight="1">
      <c r="A1930" s="1" t="s">
        <v>2891</v>
      </c>
      <c r="B1930" s="1" t="str">
        <f ca="1">IFERROR(__xludf.DUMMYFUNCTION("GOOGLETRANSLATE(A1930, ""en"", ""fr"")"),"COLORADO")</f>
        <v>COLORADO</v>
      </c>
      <c r="C1930" s="1" t="s">
        <v>196</v>
      </c>
      <c r="GD1930" s="1" t="s">
        <v>653</v>
      </c>
    </row>
    <row r="1931" spans="1:187" ht="11.25" customHeight="1">
      <c r="A1931" s="1" t="s">
        <v>2892</v>
      </c>
      <c r="B1931" s="1" t="str">
        <f ca="1">IFERROR(__xludf.DUMMYFUNCTION("GOOGLETRANSLATE(A1931, ""en"", ""fr"")"),"COLORÉ")</f>
        <v>COLORÉ</v>
      </c>
      <c r="C1931" s="1" t="s">
        <v>185</v>
      </c>
      <c r="DE1931" s="1" t="s">
        <v>105</v>
      </c>
      <c r="GD1931" s="1" t="s">
        <v>202</v>
      </c>
      <c r="GE1931" s="1" t="s">
        <v>190</v>
      </c>
    </row>
    <row r="1932" spans="1:187" ht="11.25" customHeight="1">
      <c r="A1932" s="1" t="s">
        <v>2893</v>
      </c>
      <c r="B1932" s="1" t="str">
        <f ca="1">IFERROR(__xludf.DUMMYFUNCTION("GOOGLETRANSLATE(A1932, ""en"", ""fr"")"),"COLOSSAL")</f>
        <v>COLOSSAL</v>
      </c>
      <c r="C1932" s="1" t="s">
        <v>192</v>
      </c>
      <c r="D1932" s="1" t="s">
        <v>16612</v>
      </c>
      <c r="W1932" s="1" t="s">
        <v>19</v>
      </c>
      <c r="CM1932" s="1" t="s">
        <v>87</v>
      </c>
      <c r="CR1932" s="1" t="s">
        <v>92</v>
      </c>
      <c r="DR1932" s="1" t="s">
        <v>118</v>
      </c>
      <c r="GD1932" s="1" t="s">
        <v>202</v>
      </c>
      <c r="GE1932" s="1" t="s">
        <v>190</v>
      </c>
    </row>
    <row r="1933" spans="1:187" ht="11.25" customHeight="1">
      <c r="A1933" s="1" t="s">
        <v>2894</v>
      </c>
      <c r="B1933" s="1" t="str">
        <f ca="1">IFERROR(__xludf.DUMMYFUNCTION("GOOGLETRANSLATE(A1933, ""en"", ""fr"")"),"Colombie")</f>
        <v>Colombie</v>
      </c>
      <c r="C1933" s="1" t="s">
        <v>196</v>
      </c>
      <c r="FH1933" s="1" t="s">
        <v>160</v>
      </c>
      <c r="FI1933" s="1" t="s">
        <v>161</v>
      </c>
      <c r="GD1933" s="1" t="s">
        <v>2895</v>
      </c>
    </row>
    <row r="1934" spans="1:187" ht="11.25" customHeight="1">
      <c r="A1934" s="1" t="s">
        <v>2896</v>
      </c>
      <c r="B1934" s="1" t="str">
        <f ca="1">IFERROR(__xludf.DUMMYFUNCTION("GOOGLETRANSLATE(A1934, ""en"", ""fr"")"),"COLONNE")</f>
        <v>COLONNE</v>
      </c>
      <c r="C1934" s="1" t="s">
        <v>185</v>
      </c>
      <c r="DA1934" s="1" t="s">
        <v>101</v>
      </c>
      <c r="GD1934" s="1" t="s">
        <v>193</v>
      </c>
      <c r="GE1934" s="1" t="s">
        <v>190</v>
      </c>
    </row>
    <row r="1935" spans="1:187" ht="11.25" customHeight="1">
      <c r="A1935" s="1" t="s">
        <v>2897</v>
      </c>
      <c r="B1935" s="1" t="str">
        <f ca="1">IFERROR(__xludf.DUMMYFUNCTION("GOOGLETRANSLATE(A1935, ""en"", ""fr"")"),"Combat # 1")</f>
        <v>Combat # 1</v>
      </c>
      <c r="C1935" s="1" t="s">
        <v>185</v>
      </c>
      <c r="E1935" s="1" t="s">
        <v>16613</v>
      </c>
      <c r="H1935" s="1" t="s">
        <v>4</v>
      </c>
      <c r="I1935" s="1" t="s">
        <v>5</v>
      </c>
      <c r="J1935" s="1" t="s">
        <v>6</v>
      </c>
      <c r="N1935" s="1" t="s">
        <v>10</v>
      </c>
      <c r="AH1935" s="1" t="s">
        <v>30</v>
      </c>
      <c r="AN1935" s="1" t="s">
        <v>36</v>
      </c>
      <c r="DW1935" s="1" t="s">
        <v>123</v>
      </c>
      <c r="ED1935" s="1" t="s">
        <v>130</v>
      </c>
      <c r="GD1935" s="1" t="s">
        <v>193</v>
      </c>
      <c r="GE1935" s="1" t="s">
        <v>190</v>
      </c>
    </row>
    <row r="1936" spans="1:187" ht="11.25" customHeight="1">
      <c r="A1936" s="1" t="s">
        <v>2898</v>
      </c>
      <c r="B1936" s="1" t="str">
        <f ca="1">IFERROR(__xludf.DUMMYFUNCTION("GOOGLETRANSLATE(A1936, ""en"", ""fr"")"),"Combat # 2")</f>
        <v>Combat # 2</v>
      </c>
      <c r="C1936" s="1" t="s">
        <v>185</v>
      </c>
      <c r="E1936" s="1" t="s">
        <v>16613</v>
      </c>
      <c r="H1936" s="1" t="s">
        <v>4</v>
      </c>
      <c r="I1936" s="1" t="s">
        <v>5</v>
      </c>
      <c r="J1936" s="1" t="s">
        <v>6</v>
      </c>
      <c r="N1936" s="1" t="s">
        <v>10</v>
      </c>
      <c r="AG1936" s="1" t="s">
        <v>29</v>
      </c>
      <c r="AN1936" s="1" t="s">
        <v>36</v>
      </c>
      <c r="DN1936" s="1" t="s">
        <v>114</v>
      </c>
      <c r="DW1936" s="1" t="s">
        <v>123</v>
      </c>
      <c r="ED1936" s="1" t="s">
        <v>130</v>
      </c>
      <c r="GD1936" s="1" t="s">
        <v>189</v>
      </c>
      <c r="GE1936" s="1" t="s">
        <v>190</v>
      </c>
    </row>
    <row r="1937" spans="1:187" ht="11.25" customHeight="1">
      <c r="A1937" s="1" t="s">
        <v>2899</v>
      </c>
      <c r="B1937" s="1" t="str">
        <f ca="1">IFERROR(__xludf.DUMMYFUNCTION("GOOGLETRANSLATE(A1937, ""en"", ""fr"")"),"COMBATTANT")</f>
        <v>COMBATTANT</v>
      </c>
      <c r="C1937" s="1" t="s">
        <v>192</v>
      </c>
      <c r="E1937" s="1" t="s">
        <v>16613</v>
      </c>
      <c r="I1937" s="1" t="s">
        <v>5</v>
      </c>
      <c r="AN1937" s="1" t="s">
        <v>36</v>
      </c>
      <c r="CC1937" s="1" t="s">
        <v>77</v>
      </c>
      <c r="DQ1937" s="1" t="s">
        <v>117</v>
      </c>
      <c r="GD1937" s="1" t="s">
        <v>202</v>
      </c>
      <c r="GE1937" s="1" t="s">
        <v>190</v>
      </c>
    </row>
    <row r="1938" spans="1:187" ht="11.25" customHeight="1">
      <c r="A1938" s="1" t="s">
        <v>2900</v>
      </c>
      <c r="B1938" s="1" t="str">
        <f ca="1">IFERROR(__xludf.DUMMYFUNCTION("GOOGLETRANSLATE(A1938, ""en"", ""fr"")"),"COMBINAISON")</f>
        <v>COMBINAISON</v>
      </c>
      <c r="C1938" s="1" t="s">
        <v>185</v>
      </c>
      <c r="N1938" s="1" t="s">
        <v>10</v>
      </c>
      <c r="CP1938" s="1" t="s">
        <v>90</v>
      </c>
      <c r="CQ1938" s="1" t="s">
        <v>91</v>
      </c>
      <c r="CS1938" s="1" t="s">
        <v>93</v>
      </c>
      <c r="FN1938" s="1" t="s">
        <v>166</v>
      </c>
      <c r="GD1938" s="1" t="s">
        <v>193</v>
      </c>
      <c r="GE1938" s="1" t="s">
        <v>190</v>
      </c>
    </row>
    <row r="1939" spans="1:187" ht="11.25" customHeight="1">
      <c r="A1939" s="1" t="s">
        <v>2901</v>
      </c>
      <c r="B1939" s="1" t="str">
        <f ca="1">IFERROR(__xludf.DUMMYFUNCTION("GOOGLETRANSLATE(A1939, ""en"", ""fr"")"),"Combiner n ° 1")</f>
        <v>Combiner n ° 1</v>
      </c>
      <c r="C1939" s="1" t="s">
        <v>185</v>
      </c>
      <c r="J1939" s="1" t="s">
        <v>6</v>
      </c>
      <c r="N1939" s="1" t="s">
        <v>10</v>
      </c>
      <c r="CS1939" s="1" t="s">
        <v>93</v>
      </c>
      <c r="FN1939" s="1" t="s">
        <v>166</v>
      </c>
      <c r="GD1939" s="1" t="s">
        <v>202</v>
      </c>
      <c r="GE1939" s="1" t="s">
        <v>190</v>
      </c>
    </row>
    <row r="1940" spans="1:187" ht="11.25" customHeight="1">
      <c r="A1940" s="1" t="s">
        <v>2902</v>
      </c>
      <c r="B1940" s="1" t="str">
        <f ca="1">IFERROR(__xludf.DUMMYFUNCTION("GOOGLETRANSLATE(A1940, ""en"", ""fr"")"),"Combiner # 2")</f>
        <v>Combiner # 2</v>
      </c>
      <c r="C1940" s="1" t="s">
        <v>185</v>
      </c>
      <c r="J1940" s="1" t="s">
        <v>6</v>
      </c>
      <c r="N1940" s="1" t="s">
        <v>10</v>
      </c>
      <c r="DD1940" s="1" t="s">
        <v>104</v>
      </c>
      <c r="DN1940" s="1" t="s">
        <v>114</v>
      </c>
      <c r="FN1940" s="1" t="s">
        <v>166</v>
      </c>
      <c r="GD1940" s="1" t="s">
        <v>189</v>
      </c>
      <c r="GE1940" s="1" t="s">
        <v>190</v>
      </c>
    </row>
    <row r="1941" spans="1:187" ht="11.25" customHeight="1">
      <c r="A1941" s="1" t="s">
        <v>2903</v>
      </c>
      <c r="B1941" s="1" t="str">
        <f ca="1">IFERROR(__xludf.DUMMYFUNCTION("GOOGLETRANSLATE(A1941, ""en"", ""fr"")"),"LA COMBUSTION")</f>
        <v>LA COMBUSTION</v>
      </c>
      <c r="C1941" s="1" t="s">
        <v>185</v>
      </c>
      <c r="J1941" s="1" t="s">
        <v>6</v>
      </c>
      <c r="N1941" s="1" t="s">
        <v>10</v>
      </c>
      <c r="BU1941" s="1" t="s">
        <v>69</v>
      </c>
      <c r="GD1941" s="1" t="s">
        <v>193</v>
      </c>
      <c r="GE1941" s="1" t="s">
        <v>190</v>
      </c>
    </row>
    <row r="1942" spans="1:187" ht="11.25" customHeight="1">
      <c r="A1942" s="1" t="s">
        <v>2904</v>
      </c>
      <c r="B1942" s="1" t="str">
        <f ca="1">IFERROR(__xludf.DUMMYFUNCTION("GOOGLETRANSLATE(A1942, ""en"", ""fr"")"),"Venez n ° 1")</f>
        <v>Venez n ° 1</v>
      </c>
      <c r="C1942" s="1" t="s">
        <v>196</v>
      </c>
      <c r="GD1942" s="1" t="s">
        <v>400</v>
      </c>
    </row>
    <row r="1943" spans="1:187" ht="11.25" customHeight="1">
      <c r="A1943" s="1" t="s">
        <v>2905</v>
      </c>
      <c r="B1943" s="1" t="str">
        <f ca="1">IFERROR(__xludf.DUMMYFUNCTION("GOOGLETRANSLATE(A1943, ""en"", ""fr"")"),"Come # 2")</f>
        <v>Come # 2</v>
      </c>
      <c r="C1943" s="1" t="s">
        <v>185</v>
      </c>
      <c r="N1943" s="1" t="s">
        <v>10</v>
      </c>
      <c r="AL1943" s="1" t="s">
        <v>34</v>
      </c>
      <c r="CE1943" s="1" t="s">
        <v>79</v>
      </c>
      <c r="DN1943" s="1" t="s">
        <v>114</v>
      </c>
      <c r="GD1943" s="1" t="s">
        <v>189</v>
      </c>
      <c r="GE1943" s="1" t="s">
        <v>2906</v>
      </c>
    </row>
    <row r="1944" spans="1:187" ht="11.25" customHeight="1">
      <c r="A1944" s="1" t="s">
        <v>2907</v>
      </c>
      <c r="B1944" s="1" t="str">
        <f ca="1">IFERROR(__xludf.DUMMYFUNCTION("GOOGLETRANSLATE(A1944, ""en"", ""fr"")"),"Come # 3")</f>
        <v>Come # 3</v>
      </c>
      <c r="C1944" s="1" t="s">
        <v>185</v>
      </c>
      <c r="CB1944" s="1" t="s">
        <v>76</v>
      </c>
      <c r="DN1944" s="1" t="s">
        <v>114</v>
      </c>
      <c r="GD1944" s="1" t="s">
        <v>189</v>
      </c>
      <c r="GE1944" s="1" t="s">
        <v>2908</v>
      </c>
    </row>
    <row r="1945" spans="1:187" ht="11.25" customHeight="1">
      <c r="A1945" s="1" t="s">
        <v>2909</v>
      </c>
      <c r="B1945" s="1" t="str">
        <f ca="1">IFERROR(__xludf.DUMMYFUNCTION("GOOGLETRANSLATE(A1945, ""en"", ""fr"")"),"Come # 4")</f>
        <v>Come # 4</v>
      </c>
      <c r="C1945" s="1" t="s">
        <v>185</v>
      </c>
      <c r="BW1945" s="1" t="s">
        <v>71</v>
      </c>
      <c r="DN1945" s="1" t="s">
        <v>114</v>
      </c>
      <c r="GD1945" s="1" t="s">
        <v>189</v>
      </c>
      <c r="GE1945" s="1" t="s">
        <v>2910</v>
      </c>
    </row>
    <row r="1946" spans="1:187" ht="11.25" customHeight="1">
      <c r="A1946" s="1" t="s">
        <v>2911</v>
      </c>
      <c r="B1946" s="1" t="str">
        <f ca="1">IFERROR(__xludf.DUMMYFUNCTION("GOOGLETRANSLATE(A1946, ""en"", ""fr"")"),"Come # 5")</f>
        <v>Come # 5</v>
      </c>
      <c r="C1946" s="1" t="s">
        <v>185</v>
      </c>
      <c r="BS1946" s="1" t="s">
        <v>67</v>
      </c>
      <c r="DN1946" s="1" t="s">
        <v>114</v>
      </c>
      <c r="GD1946" s="1" t="s">
        <v>189</v>
      </c>
      <c r="GE1946" s="1" t="s">
        <v>2912</v>
      </c>
    </row>
    <row r="1947" spans="1:187" ht="11.25" customHeight="1">
      <c r="A1947" s="1" t="s">
        <v>2913</v>
      </c>
      <c r="B1947" s="1" t="str">
        <f ca="1">IFERROR(__xludf.DUMMYFUNCTION("GOOGLETRANSLATE(A1947, ""en"", ""fr"")"),"Come # 6")</f>
        <v>Come # 6</v>
      </c>
      <c r="C1947" s="1" t="s">
        <v>185</v>
      </c>
      <c r="CC1947" s="1" t="s">
        <v>77</v>
      </c>
      <c r="DN1947" s="1" t="s">
        <v>114</v>
      </c>
      <c r="GB1947" s="1" t="s">
        <v>180</v>
      </c>
      <c r="GD1947" s="1" t="s">
        <v>189</v>
      </c>
      <c r="GE1947" s="1" t="s">
        <v>2914</v>
      </c>
    </row>
    <row r="1948" spans="1:187" ht="11.25" customHeight="1">
      <c r="A1948" s="1" t="s">
        <v>2915</v>
      </c>
      <c r="B1948" s="1" t="str">
        <f ca="1">IFERROR(__xludf.DUMMYFUNCTION("GOOGLETRANSLATE(A1948, ""en"", ""fr"")"),"Come # 7")</f>
        <v>Come # 7</v>
      </c>
      <c r="C1948" s="1" t="s">
        <v>185</v>
      </c>
      <c r="BW1948" s="1" t="s">
        <v>71</v>
      </c>
      <c r="DN1948" s="1" t="s">
        <v>114</v>
      </c>
      <c r="GD1948" s="1" t="s">
        <v>189</v>
      </c>
      <c r="GE1948" s="1" t="s">
        <v>2916</v>
      </c>
    </row>
    <row r="1949" spans="1:187" ht="11.25" customHeight="1">
      <c r="A1949" s="1" t="s">
        <v>2917</v>
      </c>
      <c r="B1949" s="1" t="str">
        <f ca="1">IFERROR(__xludf.DUMMYFUNCTION("GOOGLETRANSLATE(A1949, ""en"", ""fr"")"),"Come # 8")</f>
        <v>Come # 8</v>
      </c>
      <c r="C1949" s="1" t="s">
        <v>185</v>
      </c>
      <c r="GD1949" s="1" t="s">
        <v>225</v>
      </c>
      <c r="GE1949" s="1" t="s">
        <v>2918</v>
      </c>
    </row>
    <row r="1950" spans="1:187" ht="11.25" customHeight="1">
      <c r="A1950" s="1" t="s">
        <v>2919</v>
      </c>
      <c r="B1950" s="1" t="str">
        <f ca="1">IFERROR(__xludf.DUMMYFUNCTION("GOOGLETRANSLATE(A1950, ""en"", ""fr"")"),"REVENIR")</f>
        <v>REVENIR</v>
      </c>
      <c r="C1950" s="1" t="s">
        <v>192</v>
      </c>
      <c r="D1950" s="1" t="s">
        <v>16612</v>
      </c>
      <c r="J1950" s="1" t="s">
        <v>6</v>
      </c>
      <c r="N1950" s="1" t="s">
        <v>10</v>
      </c>
      <c r="BX1950" s="1" t="s">
        <v>72</v>
      </c>
      <c r="GD1950" s="1" t="s">
        <v>193</v>
      </c>
      <c r="GE1950" s="1" t="s">
        <v>190</v>
      </c>
    </row>
    <row r="1951" spans="1:187" ht="11.25" customHeight="1">
      <c r="A1951" s="1" t="s">
        <v>2920</v>
      </c>
      <c r="B1951" s="1" t="str">
        <f ca="1">IFERROR(__xludf.DUMMYFUNCTION("GOOGLETRANSLATE(A1951, ""en"", ""fr"")"),"COMÉDIE")</f>
        <v>COMÉDIE</v>
      </c>
      <c r="C1951" s="1" t="s">
        <v>185</v>
      </c>
      <c r="D1951" s="1" t="s">
        <v>16612</v>
      </c>
      <c r="F1951" s="1" t="s">
        <v>2</v>
      </c>
      <c r="AD1951" s="1" t="s">
        <v>26</v>
      </c>
      <c r="AM1951" s="1" t="s">
        <v>35</v>
      </c>
      <c r="GD1951" s="1" t="s">
        <v>193</v>
      </c>
      <c r="GE1951" s="1" t="s">
        <v>190</v>
      </c>
    </row>
    <row r="1952" spans="1:187" ht="11.25" customHeight="1">
      <c r="A1952" s="1" t="s">
        <v>2921</v>
      </c>
      <c r="B1952" s="1" t="str">
        <f ca="1">IFERROR(__xludf.DUMMYFUNCTION("GOOGLETRANSLATE(A1952, ""en"", ""fr"")"),"BELLE")</f>
        <v>BELLE</v>
      </c>
      <c r="C1952" s="1" t="s">
        <v>192</v>
      </c>
      <c r="D1952" s="1" t="s">
        <v>16612</v>
      </c>
      <c r="CM1952" s="1" t="s">
        <v>87</v>
      </c>
      <c r="CR1952" s="1" t="s">
        <v>92</v>
      </c>
      <c r="DR1952" s="1" t="s">
        <v>118</v>
      </c>
      <c r="GD1952" s="1" t="s">
        <v>202</v>
      </c>
      <c r="GE1952" s="1" t="s">
        <v>190</v>
      </c>
    </row>
    <row r="1953" spans="1:187" ht="11.25" customHeight="1">
      <c r="A1953" s="1" t="s">
        <v>2922</v>
      </c>
      <c r="B1953" s="1" t="str">
        <f ca="1">IFERROR(__xludf.DUMMYFUNCTION("GOOGLETRANSLATE(A1953, ""en"", ""fr"")"),"ARRIVANT")</f>
        <v>ARRIVANT</v>
      </c>
      <c r="C1953" s="1" t="s">
        <v>185</v>
      </c>
      <c r="AJ1953" s="1" t="s">
        <v>32</v>
      </c>
      <c r="AT1953" s="1" t="s">
        <v>42</v>
      </c>
      <c r="GD1953" s="1" t="s">
        <v>193</v>
      </c>
      <c r="GE1953" s="1" t="s">
        <v>190</v>
      </c>
    </row>
    <row r="1954" spans="1:187" ht="11.25" customHeight="1">
      <c r="A1954" s="1" t="s">
        <v>2923</v>
      </c>
      <c r="B1954" s="1" t="str">
        <f ca="1">IFERROR(__xludf.DUMMYFUNCTION("GOOGLETRANSLATE(A1954, ""en"", ""fr"")"),"COMESTIBLE")</f>
        <v>COMESTIBLE</v>
      </c>
      <c r="C1954" s="1" t="s">
        <v>192</v>
      </c>
      <c r="D1954" s="1" t="s">
        <v>16612</v>
      </c>
      <c r="P1954" s="1" t="s">
        <v>12</v>
      </c>
      <c r="BU1954" s="1" t="s">
        <v>69</v>
      </c>
      <c r="DR1954" s="1" t="s">
        <v>118</v>
      </c>
      <c r="GD1954" s="1" t="s">
        <v>202</v>
      </c>
      <c r="GE1954" s="1" t="s">
        <v>190</v>
      </c>
    </row>
    <row r="1955" spans="1:187" ht="11.25" customHeight="1">
      <c r="A1955" s="1" t="s">
        <v>2924</v>
      </c>
      <c r="B1955" s="1" t="str">
        <f ca="1">IFERROR(__xludf.DUMMYFUNCTION("GOOGLETRANSLATE(A1955, ""en"", ""fr"")"),"Confort n ° 1")</f>
        <v>Confort n ° 1</v>
      </c>
      <c r="C1955" s="1" t="s">
        <v>185</v>
      </c>
      <c r="D1955" s="1" t="s">
        <v>16612</v>
      </c>
      <c r="F1955" s="1" t="s">
        <v>2</v>
      </c>
      <c r="J1955" s="1" t="s">
        <v>6</v>
      </c>
      <c r="P1955" s="1" t="s">
        <v>12</v>
      </c>
      <c r="EX1955" s="1" t="s">
        <v>150</v>
      </c>
      <c r="FC1955" s="1" t="s">
        <v>155</v>
      </c>
      <c r="GD1955" s="1" t="s">
        <v>193</v>
      </c>
      <c r="GE1955" s="1" t="s">
        <v>2925</v>
      </c>
    </row>
    <row r="1956" spans="1:187" ht="11.25" customHeight="1">
      <c r="A1956" s="1" t="s">
        <v>2926</v>
      </c>
      <c r="B1956" s="1" t="str">
        <f ca="1">IFERROR(__xludf.DUMMYFUNCTION("GOOGLETRANSLATE(A1956, ""en"", ""fr"")"),"Confort n ° 2")</f>
        <v>Confort n ° 2</v>
      </c>
      <c r="C1956" s="1" t="s">
        <v>185</v>
      </c>
      <c r="D1956" s="1" t="s">
        <v>16612</v>
      </c>
      <c r="F1956" s="1" t="s">
        <v>2</v>
      </c>
      <c r="G1956" s="1" t="s">
        <v>3</v>
      </c>
      <c r="J1956" s="1" t="s">
        <v>6</v>
      </c>
      <c r="AN1956" s="1" t="s">
        <v>36</v>
      </c>
      <c r="DN1956" s="1" t="s">
        <v>114</v>
      </c>
      <c r="EX1956" s="1" t="s">
        <v>150</v>
      </c>
      <c r="FC1956" s="1" t="s">
        <v>155</v>
      </c>
      <c r="GD1956" s="1" t="s">
        <v>189</v>
      </c>
      <c r="GE1956" s="1" t="s">
        <v>2927</v>
      </c>
    </row>
    <row r="1957" spans="1:187" ht="11.25" customHeight="1">
      <c r="A1957" s="1" t="s">
        <v>2928</v>
      </c>
      <c r="B1957" s="1" t="str">
        <f ca="1">IFERROR(__xludf.DUMMYFUNCTION("GOOGLETRANSLATE(A1957, ""en"", ""fr"")"),"Confort n ° 3")</f>
        <v>Confort n ° 3</v>
      </c>
      <c r="C1957" s="1" t="s">
        <v>185</v>
      </c>
      <c r="D1957" s="1" t="s">
        <v>16612</v>
      </c>
      <c r="F1957" s="1" t="s">
        <v>2</v>
      </c>
      <c r="G1957" s="1" t="s">
        <v>3</v>
      </c>
      <c r="J1957" s="1" t="s">
        <v>6</v>
      </c>
      <c r="S1957" s="1" t="s">
        <v>15</v>
      </c>
      <c r="EX1957" s="1" t="s">
        <v>150</v>
      </c>
      <c r="FC1957" s="1" t="s">
        <v>155</v>
      </c>
      <c r="GD1957" s="1" t="s">
        <v>202</v>
      </c>
      <c r="GE1957" s="1" t="s">
        <v>2929</v>
      </c>
    </row>
    <row r="1958" spans="1:187" ht="11.25" customHeight="1">
      <c r="A1958" s="1" t="s">
        <v>2930</v>
      </c>
      <c r="B1958" s="1" t="str">
        <f ca="1">IFERROR(__xludf.DUMMYFUNCTION("GOOGLETRANSLATE(A1958, ""en"", ""fr"")"),"CONFORTABLE")</f>
        <v>CONFORTABLE</v>
      </c>
      <c r="C1958" s="1" t="s">
        <v>185</v>
      </c>
      <c r="D1958" s="1" t="s">
        <v>16612</v>
      </c>
      <c r="F1958" s="1" t="s">
        <v>2</v>
      </c>
      <c r="J1958" s="1" t="s">
        <v>6</v>
      </c>
      <c r="P1958" s="1" t="s">
        <v>12</v>
      </c>
      <c r="CN1958" s="1" t="s">
        <v>88</v>
      </c>
      <c r="EZ1958" s="1" t="s">
        <v>152</v>
      </c>
      <c r="FC1958" s="1" t="s">
        <v>155</v>
      </c>
      <c r="GD1958" s="1" t="s">
        <v>202</v>
      </c>
      <c r="GE1958" s="1" t="s">
        <v>2931</v>
      </c>
    </row>
    <row r="1959" spans="1:187" ht="11.25" customHeight="1">
      <c r="A1959" s="1" t="s">
        <v>2932</v>
      </c>
      <c r="B1959" s="1" t="str">
        <f ca="1">IFERROR(__xludf.DUMMYFUNCTION("GOOGLETRANSLATE(A1959, ""en"", ""fr"")"),"CONSOLATEUR")</f>
        <v>CONSOLATEUR</v>
      </c>
      <c r="C1959" s="1" t="s">
        <v>185</v>
      </c>
      <c r="BC1959" s="1" t="s">
        <v>51</v>
      </c>
      <c r="BD1959" s="1" t="s">
        <v>52</v>
      </c>
      <c r="EZ1959" s="1" t="s">
        <v>152</v>
      </c>
      <c r="FC1959" s="1" t="s">
        <v>155</v>
      </c>
      <c r="GD1959" s="1" t="s">
        <v>193</v>
      </c>
      <c r="GE1959" s="1" t="s">
        <v>190</v>
      </c>
    </row>
    <row r="1960" spans="1:187" ht="11.25" customHeight="1">
      <c r="A1960" s="1" t="s">
        <v>2933</v>
      </c>
      <c r="B1960" s="1" t="str">
        <f ca="1">IFERROR(__xludf.DUMMYFUNCTION("GOOGLETRANSLATE(A1960, ""en"", ""fr"")"),"BANDE DESSINÉE")</f>
        <v>BANDE DESSINÉE</v>
      </c>
      <c r="C1960" s="1" t="s">
        <v>192</v>
      </c>
      <c r="D1960" s="1" t="s">
        <v>16612</v>
      </c>
      <c r="P1960" s="1" t="s">
        <v>12</v>
      </c>
      <c r="AJ1960" s="1" t="s">
        <v>32</v>
      </c>
      <c r="AL1960" s="1" t="s">
        <v>34</v>
      </c>
      <c r="AT1960" s="1" t="s">
        <v>42</v>
      </c>
      <c r="GD1960" s="1" t="s">
        <v>193</v>
      </c>
      <c r="GE1960" s="1" t="s">
        <v>190</v>
      </c>
    </row>
    <row r="1961" spans="1:187" ht="11.25" customHeight="1">
      <c r="A1961" s="1" t="s">
        <v>2934</v>
      </c>
      <c r="B1961" s="1" t="str">
        <f ca="1">IFERROR(__xludf.DUMMYFUNCTION("GOOGLETRANSLATE(A1961, ""en"", ""fr"")"),"COMIQUE")</f>
        <v>COMIQUE</v>
      </c>
      <c r="C1961" s="1" t="s">
        <v>192</v>
      </c>
      <c r="D1961" s="1" t="s">
        <v>16612</v>
      </c>
      <c r="P1961" s="1" t="s">
        <v>12</v>
      </c>
      <c r="DR1961" s="1" t="s">
        <v>118</v>
      </c>
      <c r="GD1961" s="1" t="s">
        <v>202</v>
      </c>
      <c r="GE1961" s="1" t="s">
        <v>190</v>
      </c>
    </row>
    <row r="1962" spans="1:187" ht="11.25" customHeight="1">
      <c r="A1962" s="1" t="s">
        <v>2935</v>
      </c>
      <c r="B1962" s="1" t="str">
        <f ca="1">IFERROR(__xludf.DUMMYFUNCTION("GOOGLETRANSLATE(A1962, ""en"", ""fr"")"),"Commande n ° 1")</f>
        <v>Commande n ° 1</v>
      </c>
      <c r="C1962" s="1" t="s">
        <v>185</v>
      </c>
      <c r="J1962" s="1" t="s">
        <v>6</v>
      </c>
      <c r="K1962" s="1" t="s">
        <v>7</v>
      </c>
      <c r="N1962" s="1" t="s">
        <v>10</v>
      </c>
      <c r="BK1962" s="1" t="s">
        <v>59</v>
      </c>
      <c r="BL1962" s="1" t="s">
        <v>60</v>
      </c>
      <c r="EC1962" s="1" t="s">
        <v>129</v>
      </c>
      <c r="ED1962" s="1" t="s">
        <v>130</v>
      </c>
      <c r="GC1962" s="1" t="s">
        <v>181</v>
      </c>
      <c r="GD1962" s="1" t="s">
        <v>193</v>
      </c>
      <c r="GE1962" s="1" t="s">
        <v>190</v>
      </c>
    </row>
    <row r="1963" spans="1:187" ht="11.25" customHeight="1">
      <c r="A1963" s="1" t="s">
        <v>2936</v>
      </c>
      <c r="B1963" s="1" t="str">
        <f ca="1">IFERROR(__xludf.DUMMYFUNCTION("GOOGLETRANSLATE(A1963, ""en"", ""fr"")"),"Commande n ° 2")</f>
        <v>Commande n ° 2</v>
      </c>
      <c r="C1963" s="1" t="s">
        <v>185</v>
      </c>
      <c r="J1963" s="1" t="s">
        <v>6</v>
      </c>
      <c r="K1963" s="1" t="s">
        <v>7</v>
      </c>
      <c r="N1963" s="1" t="s">
        <v>10</v>
      </c>
      <c r="BK1963" s="1" t="s">
        <v>59</v>
      </c>
      <c r="DN1963" s="1" t="s">
        <v>114</v>
      </c>
      <c r="EC1963" s="1" t="s">
        <v>129</v>
      </c>
      <c r="ED1963" s="1" t="s">
        <v>130</v>
      </c>
      <c r="GD1963" s="1" t="s">
        <v>189</v>
      </c>
      <c r="GE1963" s="1" t="s">
        <v>190</v>
      </c>
    </row>
    <row r="1964" spans="1:187" ht="11.25" customHeight="1">
      <c r="A1964" s="1" t="s">
        <v>2937</v>
      </c>
      <c r="B1964" s="1" t="str">
        <f ca="1">IFERROR(__xludf.DUMMYFUNCTION("GOOGLETRANSLATE(A1964, ""en"", ""fr"")"),"LE COMMANDANT")</f>
        <v>LE COMMANDANT</v>
      </c>
      <c r="C1964" s="1" t="s">
        <v>185</v>
      </c>
      <c r="J1964" s="1" t="s">
        <v>6</v>
      </c>
      <c r="K1964" s="1" t="s">
        <v>7</v>
      </c>
      <c r="N1964" s="1" t="s">
        <v>10</v>
      </c>
      <c r="AF1964" s="1" t="s">
        <v>28</v>
      </c>
      <c r="AH1964" s="1" t="s">
        <v>30</v>
      </c>
      <c r="AJ1964" s="1" t="s">
        <v>32</v>
      </c>
      <c r="AT1964" s="1" t="s">
        <v>42</v>
      </c>
      <c r="DY1964" s="1" t="s">
        <v>125</v>
      </c>
      <c r="ED1964" s="1" t="s">
        <v>130</v>
      </c>
      <c r="GD1964" s="1" t="s">
        <v>193</v>
      </c>
      <c r="GE1964" s="1" t="s">
        <v>190</v>
      </c>
    </row>
    <row r="1965" spans="1:187" ht="11.25" customHeight="1">
      <c r="A1965" s="1" t="s">
        <v>2938</v>
      </c>
      <c r="B1965" s="1" t="str">
        <f ca="1">IFERROR(__xludf.DUMMYFUNCTION("GOOGLETRANSLATE(A1965, ""en"", ""fr"")"),"COMMÉMORER")</f>
        <v>COMMÉMORER</v>
      </c>
      <c r="C1965" s="1" t="s">
        <v>192</v>
      </c>
      <c r="D1965" s="1" t="s">
        <v>16612</v>
      </c>
      <c r="N1965" s="1" t="s">
        <v>10</v>
      </c>
      <c r="AM1965" s="1" t="s">
        <v>35</v>
      </c>
      <c r="DN1965" s="1" t="s">
        <v>114</v>
      </c>
      <c r="GD1965" s="1" t="s">
        <v>189</v>
      </c>
      <c r="GE1965" s="1" t="s">
        <v>190</v>
      </c>
    </row>
    <row r="1966" spans="1:187" ht="11.25" customHeight="1">
      <c r="A1966" s="1" t="s">
        <v>2939</v>
      </c>
      <c r="B1966" s="1" t="str">
        <f ca="1">IFERROR(__xludf.DUMMYFUNCTION("GOOGLETRANSLATE(A1966, ""en"", ""fr"")"),"COMMÉMORATION")</f>
        <v>COMMÉMORATION</v>
      </c>
      <c r="C1966" s="1" t="s">
        <v>192</v>
      </c>
      <c r="D1966" s="1" t="s">
        <v>16612</v>
      </c>
      <c r="AM1966" s="1" t="s">
        <v>35</v>
      </c>
      <c r="GD1966" s="1" t="s">
        <v>193</v>
      </c>
      <c r="GE1966" s="1" t="s">
        <v>190</v>
      </c>
    </row>
    <row r="1967" spans="1:187" ht="11.25" customHeight="1">
      <c r="A1967" s="1" t="s">
        <v>2940</v>
      </c>
      <c r="B1967" s="1" t="str">
        <f ca="1">IFERROR(__xludf.DUMMYFUNCTION("GOOGLETRANSLATE(A1967, ""en"", ""fr"")"),"COMMENCER")</f>
        <v>COMMENCER</v>
      </c>
      <c r="C1967" s="1" t="s">
        <v>185</v>
      </c>
      <c r="N1967" s="1" t="s">
        <v>10</v>
      </c>
      <c r="BV1967" s="1" t="s">
        <v>70</v>
      </c>
      <c r="DN1967" s="1" t="s">
        <v>114</v>
      </c>
      <c r="GD1967" s="1" t="s">
        <v>189</v>
      </c>
      <c r="GE1967" s="1" t="s">
        <v>190</v>
      </c>
    </row>
    <row r="1968" spans="1:187" ht="11.25" customHeight="1">
      <c r="A1968" s="1" t="s">
        <v>2941</v>
      </c>
      <c r="B1968" s="1" t="str">
        <f ca="1">IFERROR(__xludf.DUMMYFUNCTION("GOOGLETRANSLATE(A1968, ""en"", ""fr"")"),"COMMENCEMENT")</f>
        <v>COMMENCEMENT</v>
      </c>
      <c r="C1968" s="1" t="s">
        <v>185</v>
      </c>
      <c r="D1968" s="1" t="s">
        <v>16612</v>
      </c>
      <c r="BV1968" s="1" t="s">
        <v>70</v>
      </c>
      <c r="FR1968" s="1" t="s">
        <v>170</v>
      </c>
      <c r="GD1968" s="1" t="s">
        <v>193</v>
      </c>
      <c r="GE1968" s="1" t="s">
        <v>190</v>
      </c>
    </row>
    <row r="1969" spans="1:187" ht="11.25" customHeight="1">
      <c r="A1969" s="1" t="s">
        <v>2942</v>
      </c>
      <c r="B1969" s="1" t="str">
        <f ca="1">IFERROR(__xludf.DUMMYFUNCTION("GOOGLETRANSLATE(A1969, ""en"", ""fr"")"),"SALUER")</f>
        <v>SALUER</v>
      </c>
      <c r="C1969" s="1" t="s">
        <v>185</v>
      </c>
      <c r="D1969" s="1" t="s">
        <v>16612</v>
      </c>
      <c r="G1969" s="1" t="s">
        <v>3</v>
      </c>
      <c r="N1969" s="1" t="s">
        <v>10</v>
      </c>
      <c r="BK1969" s="1" t="s">
        <v>59</v>
      </c>
      <c r="DN1969" s="1" t="s">
        <v>114</v>
      </c>
      <c r="EK1969" s="1" t="s">
        <v>137</v>
      </c>
      <c r="EN1969" s="1" t="s">
        <v>140</v>
      </c>
      <c r="GD1969" s="1" t="s">
        <v>189</v>
      </c>
      <c r="GE1969" s="1" t="s">
        <v>190</v>
      </c>
    </row>
    <row r="1970" spans="1:187" ht="11.25" customHeight="1">
      <c r="A1970" s="1" t="s">
        <v>2943</v>
      </c>
      <c r="B1970" s="1" t="str">
        <f ca="1">IFERROR(__xludf.DUMMYFUNCTION("GOOGLETRANSLATE(A1970, ""en"", ""fr"")"),"LOUABLE")</f>
        <v>LOUABLE</v>
      </c>
      <c r="C1970" s="1" t="s">
        <v>185</v>
      </c>
      <c r="D1970" s="1" t="s">
        <v>16612</v>
      </c>
      <c r="G1970" s="1" t="s">
        <v>3</v>
      </c>
      <c r="U1970" s="1" t="s">
        <v>17</v>
      </c>
      <c r="BK1970" s="1" t="s">
        <v>59</v>
      </c>
      <c r="DR1970" s="1" t="s">
        <v>118</v>
      </c>
      <c r="EK1970" s="1" t="s">
        <v>137</v>
      </c>
      <c r="EN1970" s="1" t="s">
        <v>140</v>
      </c>
      <c r="GD1970" s="1" t="s">
        <v>202</v>
      </c>
      <c r="GE1970" s="1" t="s">
        <v>190</v>
      </c>
    </row>
    <row r="1971" spans="1:187" ht="11.25" customHeight="1">
      <c r="A1971" s="1" t="s">
        <v>2944</v>
      </c>
      <c r="B1971" s="1" t="str">
        <f ca="1">IFERROR(__xludf.DUMMYFUNCTION("GOOGLETRANSLATE(A1971, ""en"", ""fr"")"),"RECOMMANDATION")</f>
        <v>RECOMMANDATION</v>
      </c>
      <c r="C1971" s="1" t="s">
        <v>192</v>
      </c>
      <c r="D1971" s="1" t="s">
        <v>16612</v>
      </c>
      <c r="G1971" s="1" t="s">
        <v>3</v>
      </c>
      <c r="AM1971" s="1" t="s">
        <v>35</v>
      </c>
      <c r="GD1971" s="1" t="s">
        <v>193</v>
      </c>
      <c r="GE1971" s="1" t="s">
        <v>190</v>
      </c>
    </row>
    <row r="1972" spans="1:187" ht="11.25" customHeight="1">
      <c r="A1972" s="1" t="s">
        <v>2945</v>
      </c>
      <c r="B1972" s="1" t="str">
        <f ca="1">IFERROR(__xludf.DUMMYFUNCTION("GOOGLETRANSLATE(A1972, ""en"", ""fr"")"),"COMMENSURABLE")</f>
        <v>COMMENSURABLE</v>
      </c>
      <c r="C1972" s="1" t="s">
        <v>192</v>
      </c>
      <c r="D1972" s="1" t="s">
        <v>16612</v>
      </c>
      <c r="CM1972" s="1" t="s">
        <v>87</v>
      </c>
      <c r="CR1972" s="1" t="s">
        <v>92</v>
      </c>
      <c r="DD1972" s="1" t="s">
        <v>104</v>
      </c>
      <c r="DQ1972" s="1" t="s">
        <v>117</v>
      </c>
      <c r="GD1972" s="1" t="s">
        <v>202</v>
      </c>
      <c r="GE1972" s="1" t="s">
        <v>190</v>
      </c>
    </row>
    <row r="1973" spans="1:187" ht="11.25" customHeight="1">
      <c r="A1973" s="1" t="s">
        <v>2946</v>
      </c>
      <c r="B1973" s="1" t="str">
        <f ca="1">IFERROR(__xludf.DUMMYFUNCTION("GOOGLETRANSLATE(A1973, ""en"", ""fr"")"),"Commentaire n ° 1")</f>
        <v>Commentaire n ° 1</v>
      </c>
      <c r="C1973" s="1" t="s">
        <v>185</v>
      </c>
      <c r="BK1973" s="1" t="s">
        <v>59</v>
      </c>
      <c r="BL1973" s="1" t="s">
        <v>60</v>
      </c>
      <c r="FH1973" s="1" t="s">
        <v>160</v>
      </c>
      <c r="FI1973" s="1" t="s">
        <v>161</v>
      </c>
      <c r="GC1973" s="1" t="s">
        <v>181</v>
      </c>
      <c r="GD1973" s="1" t="s">
        <v>193</v>
      </c>
      <c r="GE1973" s="1" t="s">
        <v>2947</v>
      </c>
    </row>
    <row r="1974" spans="1:187" ht="11.25" customHeight="1">
      <c r="A1974" s="1" t="s">
        <v>2948</v>
      </c>
      <c r="B1974" s="1" t="str">
        <f ca="1">IFERROR(__xludf.DUMMYFUNCTION("GOOGLETRANSLATE(A1974, ""en"", ""fr"")"),"Commentaire n ° 2")</f>
        <v>Commentaire n ° 2</v>
      </c>
      <c r="C1974" s="1" t="s">
        <v>185</v>
      </c>
      <c r="BK1974" s="1" t="s">
        <v>59</v>
      </c>
      <c r="DN1974" s="1" t="s">
        <v>114</v>
      </c>
      <c r="FD1974" s="1" t="s">
        <v>156</v>
      </c>
      <c r="FI1974" s="1" t="s">
        <v>161</v>
      </c>
      <c r="GD1974" s="1" t="s">
        <v>189</v>
      </c>
      <c r="GE1974" s="1" t="s">
        <v>2949</v>
      </c>
    </row>
    <row r="1975" spans="1:187" ht="11.25" customHeight="1">
      <c r="A1975" s="1" t="s">
        <v>2950</v>
      </c>
      <c r="B1975" s="1" t="str">
        <f ca="1">IFERROR(__xludf.DUMMYFUNCTION("GOOGLETRANSLATE(A1975, ""en"", ""fr"")"),"COMMERCE")</f>
        <v>COMMERCE</v>
      </c>
      <c r="C1975" s="1" t="s">
        <v>185</v>
      </c>
      <c r="N1975" s="1" t="s">
        <v>10</v>
      </c>
      <c r="Z1975" s="1" t="s">
        <v>22</v>
      </c>
      <c r="AA1975" s="1" t="s">
        <v>23</v>
      </c>
      <c r="AC1975" s="1" t="s">
        <v>25</v>
      </c>
      <c r="EV1975" s="1" t="s">
        <v>148</v>
      </c>
      <c r="EW1975" s="1" t="s">
        <v>149</v>
      </c>
      <c r="GD1975" s="1" t="s">
        <v>193</v>
      </c>
      <c r="GE1975" s="1" t="s">
        <v>190</v>
      </c>
    </row>
    <row r="1976" spans="1:187" ht="11.25" customHeight="1">
      <c r="A1976" s="1" t="s">
        <v>2951</v>
      </c>
      <c r="B1976" s="1" t="str">
        <f ca="1">IFERROR(__xludf.DUMMYFUNCTION("GOOGLETRANSLATE(A1976, ""en"", ""fr"")"),"COMMERCIAL")</f>
        <v>COMMERCIAL</v>
      </c>
      <c r="C1976" s="1" t="s">
        <v>185</v>
      </c>
      <c r="N1976" s="1" t="s">
        <v>10</v>
      </c>
      <c r="Z1976" s="1" t="s">
        <v>22</v>
      </c>
      <c r="AA1976" s="1" t="s">
        <v>23</v>
      </c>
      <c r="AC1976" s="1" t="s">
        <v>25</v>
      </c>
      <c r="EV1976" s="1" t="s">
        <v>148</v>
      </c>
      <c r="EW1976" s="1" t="s">
        <v>149</v>
      </c>
      <c r="GD1976" s="1" t="s">
        <v>202</v>
      </c>
      <c r="GE1976" s="1" t="s">
        <v>190</v>
      </c>
    </row>
    <row r="1977" spans="1:187" ht="11.25" customHeight="1">
      <c r="A1977" s="1" t="s">
        <v>2952</v>
      </c>
      <c r="B1977" s="1" t="str">
        <f ca="1">IFERROR(__xludf.DUMMYFUNCTION("GOOGLETRANSLATE(A1977, ""en"", ""fr"")"),"COMMISÉRATION")</f>
        <v>COMMISÉRATION</v>
      </c>
      <c r="C1977" s="1" t="s">
        <v>192</v>
      </c>
      <c r="E1977" s="1" t="s">
        <v>16613</v>
      </c>
      <c r="Q1977" s="1" t="s">
        <v>13</v>
      </c>
      <c r="T1977" s="1" t="s">
        <v>16</v>
      </c>
      <c r="V1977" s="1" t="s">
        <v>18</v>
      </c>
      <c r="AN1977" s="1" t="s">
        <v>36</v>
      </c>
      <c r="GD1977" s="1" t="s">
        <v>193</v>
      </c>
      <c r="GE1977" s="1" t="s">
        <v>190</v>
      </c>
    </row>
    <row r="1978" spans="1:187" ht="11.25" customHeight="1">
      <c r="A1978" s="1" t="s">
        <v>2953</v>
      </c>
      <c r="B1978" s="1" t="str">
        <f ca="1">IFERROR(__xludf.DUMMYFUNCTION("GOOGLETRANSLATE(A1978, ""en"", ""fr"")"),"COMMISSION")</f>
        <v>COMMISSION</v>
      </c>
      <c r="C1978" s="1" t="s">
        <v>185</v>
      </c>
      <c r="D1978" s="1" t="s">
        <v>16612</v>
      </c>
      <c r="G1978" s="1" t="s">
        <v>3</v>
      </c>
      <c r="J1978" s="1" t="s">
        <v>6</v>
      </c>
      <c r="W1978" s="1" t="s">
        <v>19</v>
      </c>
      <c r="CH1978" s="1" t="s">
        <v>82</v>
      </c>
      <c r="DY1978" s="1" t="s">
        <v>125</v>
      </c>
      <c r="ED1978" s="1" t="s">
        <v>130</v>
      </c>
      <c r="GD1978" s="1" t="s">
        <v>193</v>
      </c>
      <c r="GE1978" s="1" t="s">
        <v>190</v>
      </c>
    </row>
    <row r="1979" spans="1:187" ht="11.25" customHeight="1">
      <c r="A1979" s="1" t="s">
        <v>2954</v>
      </c>
      <c r="B1979" s="1" t="str">
        <f ca="1">IFERROR(__xludf.DUMMYFUNCTION("GOOGLETRANSLATE(A1979, ""en"", ""fr"")"),"LE COMMISSAIRE")</f>
        <v>LE COMMISSAIRE</v>
      </c>
      <c r="C1979" s="1" t="s">
        <v>185</v>
      </c>
      <c r="J1979" s="1" t="s">
        <v>6</v>
      </c>
      <c r="K1979" s="1" t="s">
        <v>7</v>
      </c>
      <c r="AG1979" s="1" t="s">
        <v>29</v>
      </c>
      <c r="AH1979" s="1" t="s">
        <v>30</v>
      </c>
      <c r="AJ1979" s="1" t="s">
        <v>32</v>
      </c>
      <c r="AT1979" s="1" t="s">
        <v>42</v>
      </c>
      <c r="DY1979" s="1" t="s">
        <v>125</v>
      </c>
      <c r="ED1979" s="1" t="s">
        <v>130</v>
      </c>
      <c r="GD1979" s="1" t="s">
        <v>193</v>
      </c>
      <c r="GE1979" s="1" t="s">
        <v>190</v>
      </c>
    </row>
    <row r="1980" spans="1:187" ht="11.25" customHeight="1">
      <c r="A1980" s="1" t="s">
        <v>2955</v>
      </c>
      <c r="B1980" s="1" t="str">
        <f ca="1">IFERROR(__xludf.DUMMYFUNCTION("GOOGLETRANSLATE(A1980, ""en"", ""fr"")"),"Commit # 1")</f>
        <v>Commit # 1</v>
      </c>
      <c r="C1980" s="1" t="s">
        <v>185</v>
      </c>
      <c r="E1980" s="1" t="s">
        <v>16613</v>
      </c>
      <c r="H1980" s="1" t="s">
        <v>4</v>
      </c>
      <c r="N1980" s="1" t="s">
        <v>10</v>
      </c>
      <c r="AL1980" s="1" t="s">
        <v>34</v>
      </c>
      <c r="DN1980" s="1" t="s">
        <v>114</v>
      </c>
      <c r="GD1980" s="1" t="s">
        <v>189</v>
      </c>
      <c r="GE1980" s="1" t="s">
        <v>2956</v>
      </c>
    </row>
    <row r="1981" spans="1:187" ht="11.25" customHeight="1">
      <c r="A1981" s="1" t="s">
        <v>2957</v>
      </c>
      <c r="B1981" s="1" t="str">
        <f ca="1">IFERROR(__xludf.DUMMYFUNCTION("GOOGLETRANSLATE(A1981, ""en"", ""fr"")"),"Commit # 2")</f>
        <v>Commit # 2</v>
      </c>
      <c r="C1981" s="1" t="s">
        <v>185</v>
      </c>
      <c r="M1981" s="1" t="s">
        <v>9</v>
      </c>
      <c r="N1981" s="1" t="s">
        <v>10</v>
      </c>
      <c r="BK1981" s="1" t="s">
        <v>59</v>
      </c>
      <c r="DN1981" s="1" t="s">
        <v>114</v>
      </c>
      <c r="EG1981" s="1" t="s">
        <v>133</v>
      </c>
      <c r="EJ1981" s="1" t="s">
        <v>136</v>
      </c>
      <c r="GD1981" s="1" t="s">
        <v>189</v>
      </c>
      <c r="GE1981" s="1" t="s">
        <v>2958</v>
      </c>
    </row>
    <row r="1982" spans="1:187" ht="11.25" customHeight="1">
      <c r="A1982" s="1" t="s">
        <v>2959</v>
      </c>
      <c r="B1982" s="1" t="str">
        <f ca="1">IFERROR(__xludf.DUMMYFUNCTION("GOOGLETRANSLATE(A1982, ""en"", ""fr"")"),"Engager # 3")</f>
        <v>Engager # 3</v>
      </c>
      <c r="C1982" s="1" t="s">
        <v>185</v>
      </c>
      <c r="M1982" s="1" t="s">
        <v>9</v>
      </c>
      <c r="O1982" s="1" t="s">
        <v>11</v>
      </c>
      <c r="Q1982" s="1" t="s">
        <v>13</v>
      </c>
      <c r="EG1982" s="1" t="s">
        <v>133</v>
      </c>
      <c r="EJ1982" s="1" t="s">
        <v>136</v>
      </c>
      <c r="GD1982" s="1" t="s">
        <v>202</v>
      </c>
      <c r="GE1982" s="1" t="s">
        <v>2960</v>
      </c>
    </row>
    <row r="1983" spans="1:187" ht="11.25" customHeight="1">
      <c r="A1983" s="1" t="s">
        <v>2961</v>
      </c>
      <c r="B1983" s="1" t="str">
        <f ca="1">IFERROR(__xludf.DUMMYFUNCTION("GOOGLETRANSLATE(A1983, ""en"", ""fr"")"),"ENGAGEMENT")</f>
        <v>ENGAGEMENT</v>
      </c>
      <c r="C1983" s="1" t="s">
        <v>185</v>
      </c>
      <c r="D1983" s="1" t="s">
        <v>16612</v>
      </c>
      <c r="F1983" s="1" t="s">
        <v>2</v>
      </c>
      <c r="G1983" s="1" t="s">
        <v>3</v>
      </c>
      <c r="N1983" s="1" t="s">
        <v>10</v>
      </c>
      <c r="U1983" s="1" t="s">
        <v>17</v>
      </c>
      <c r="EE1983" s="1" t="s">
        <v>131</v>
      </c>
      <c r="EJ1983" s="1" t="s">
        <v>136</v>
      </c>
      <c r="GD1983" s="1" t="s">
        <v>193</v>
      </c>
      <c r="GE1983" s="1" t="s">
        <v>190</v>
      </c>
    </row>
    <row r="1984" spans="1:187" ht="11.25" customHeight="1">
      <c r="A1984" s="1" t="s">
        <v>2962</v>
      </c>
      <c r="B1984" s="1" t="str">
        <f ca="1">IFERROR(__xludf.DUMMYFUNCTION("GOOGLETRANSLATE(A1984, ""en"", ""fr"")"),"COMITÉ")</f>
        <v>COMITÉ</v>
      </c>
      <c r="C1984" s="1" t="s">
        <v>185</v>
      </c>
      <c r="J1984" s="1" t="s">
        <v>6</v>
      </c>
      <c r="K1984" s="1" t="s">
        <v>7</v>
      </c>
      <c r="AH1984" s="1" t="s">
        <v>30</v>
      </c>
      <c r="AK1984" s="1" t="s">
        <v>33</v>
      </c>
      <c r="AT1984" s="1" t="s">
        <v>42</v>
      </c>
      <c r="DY1984" s="1" t="s">
        <v>125</v>
      </c>
      <c r="ED1984" s="1" t="s">
        <v>130</v>
      </c>
      <c r="GD1984" s="1" t="s">
        <v>193</v>
      </c>
      <c r="GE1984" s="1" t="s">
        <v>2963</v>
      </c>
    </row>
    <row r="1985" spans="1:187" ht="11.25" customHeight="1">
      <c r="A1985" s="1" t="s">
        <v>2964</v>
      </c>
      <c r="B1985" s="1" t="str">
        <f ca="1">IFERROR(__xludf.DUMMYFUNCTION("GOOGLETRANSLATE(A1985, ""en"", ""fr"")"),"SPACIEUX")</f>
        <v>SPACIEUX</v>
      </c>
      <c r="C1985" s="1" t="s">
        <v>192</v>
      </c>
      <c r="D1985" s="1" t="s">
        <v>16612</v>
      </c>
      <c r="G1985" s="1" t="s">
        <v>3</v>
      </c>
      <c r="W1985" s="1" t="s">
        <v>19</v>
      </c>
      <c r="DQ1985" s="1" t="s">
        <v>117</v>
      </c>
      <c r="GD1985" s="1" t="s">
        <v>202</v>
      </c>
      <c r="GE1985" s="1" t="s">
        <v>190</v>
      </c>
    </row>
    <row r="1986" spans="1:187" ht="11.25" customHeight="1">
      <c r="A1986" s="1" t="s">
        <v>2965</v>
      </c>
      <c r="B1986" s="1" t="str">
        <f ca="1">IFERROR(__xludf.DUMMYFUNCTION("GOOGLETRANSLATE(A1986, ""en"", ""fr"")"),"MARCHANDISE")</f>
        <v>MARCHANDISE</v>
      </c>
      <c r="C1986" s="1" t="s">
        <v>185</v>
      </c>
      <c r="AA1986" s="1" t="s">
        <v>23</v>
      </c>
      <c r="AC1986" s="1" t="s">
        <v>25</v>
      </c>
      <c r="BC1986" s="1" t="s">
        <v>51</v>
      </c>
      <c r="BD1986" s="1" t="s">
        <v>52</v>
      </c>
      <c r="EV1986" s="1" t="s">
        <v>148</v>
      </c>
      <c r="EW1986" s="1" t="s">
        <v>149</v>
      </c>
      <c r="GD1986" s="1" t="s">
        <v>193</v>
      </c>
      <c r="GE1986" s="1" t="s">
        <v>190</v>
      </c>
    </row>
    <row r="1987" spans="1:187" ht="11.25" customHeight="1">
      <c r="A1987" s="1" t="s">
        <v>2966</v>
      </c>
      <c r="B1987" s="1" t="str">
        <f ca="1">IFERROR(__xludf.DUMMYFUNCTION("GOOGLETRANSLATE(A1987, ""en"", ""fr"")"),"Common # 1")</f>
        <v>Common # 1</v>
      </c>
      <c r="C1987" s="1" t="s">
        <v>185</v>
      </c>
      <c r="D1987" s="1" t="s">
        <v>16612</v>
      </c>
      <c r="F1987" s="1" t="s">
        <v>2</v>
      </c>
      <c r="G1987" s="1" t="s">
        <v>3</v>
      </c>
      <c r="U1987" s="1" t="s">
        <v>17</v>
      </c>
      <c r="GD1987" s="1" t="s">
        <v>202</v>
      </c>
      <c r="GE1987" s="1" t="s">
        <v>2967</v>
      </c>
    </row>
    <row r="1988" spans="1:187" ht="11.25" customHeight="1">
      <c r="A1988" s="1" t="s">
        <v>2968</v>
      </c>
      <c r="B1988" s="1" t="str">
        <f ca="1">IFERROR(__xludf.DUMMYFUNCTION("GOOGLETRANSLATE(A1988, ""en"", ""fr"")"),"Common # 2")</f>
        <v>Common # 2</v>
      </c>
      <c r="C1988" s="1" t="s">
        <v>185</v>
      </c>
      <c r="W1988" s="1" t="s">
        <v>19</v>
      </c>
      <c r="CN1988" s="1" t="s">
        <v>88</v>
      </c>
      <c r="CW1988" s="1" t="s">
        <v>97</v>
      </c>
      <c r="GD1988" s="1" t="s">
        <v>202</v>
      </c>
      <c r="GE1988" s="1" t="s">
        <v>2969</v>
      </c>
    </row>
    <row r="1989" spans="1:187" ht="11.25" customHeight="1">
      <c r="A1989" s="1" t="s">
        <v>2970</v>
      </c>
      <c r="B1989" s="1" t="str">
        <f ca="1">IFERROR(__xludf.DUMMYFUNCTION("GOOGLETRANSLATE(A1989, ""en"", ""fr"")"),"Common # 3")</f>
        <v>Common # 3</v>
      </c>
      <c r="C1989" s="1" t="s">
        <v>185</v>
      </c>
      <c r="AA1989" s="1" t="s">
        <v>23</v>
      </c>
      <c r="AC1989" s="1" t="s">
        <v>25</v>
      </c>
      <c r="AH1989" s="1" t="s">
        <v>30</v>
      </c>
      <c r="AK1989" s="1" t="s">
        <v>33</v>
      </c>
      <c r="AT1989" s="1" t="s">
        <v>42</v>
      </c>
      <c r="DY1989" s="1" t="s">
        <v>125</v>
      </c>
      <c r="ED1989" s="1" t="s">
        <v>130</v>
      </c>
      <c r="GD1989" s="1" t="s">
        <v>193</v>
      </c>
      <c r="GE1989" s="1" t="s">
        <v>2971</v>
      </c>
    </row>
    <row r="1990" spans="1:187" ht="11.25" customHeight="1">
      <c r="A1990" s="1" t="s">
        <v>2972</v>
      </c>
      <c r="B1990" s="1" t="str">
        <f ca="1">IFERROR(__xludf.DUMMYFUNCTION("GOOGLETRANSLATE(A1990, ""en"", ""fr"")"),"Common # 4")</f>
        <v>Common # 4</v>
      </c>
      <c r="C1990" s="1" t="s">
        <v>185</v>
      </c>
      <c r="D1990" s="1" t="s">
        <v>16612</v>
      </c>
      <c r="F1990" s="1" t="s">
        <v>2</v>
      </c>
      <c r="U1990" s="1" t="s">
        <v>17</v>
      </c>
      <c r="FH1990" s="1" t="s">
        <v>160</v>
      </c>
      <c r="FI1990" s="1" t="s">
        <v>161</v>
      </c>
      <c r="GD1990" s="1" t="s">
        <v>193</v>
      </c>
      <c r="GE1990" s="1" t="s">
        <v>2973</v>
      </c>
    </row>
    <row r="1991" spans="1:187" ht="11.25" customHeight="1">
      <c r="A1991" s="1" t="s">
        <v>2974</v>
      </c>
      <c r="B1991" s="1" t="str">
        <f ca="1">IFERROR(__xludf.DUMMYFUNCTION("GOOGLETRANSLATE(A1991, ""en"", ""fr"")"),"Common # 5")</f>
        <v>Common # 5</v>
      </c>
      <c r="C1991" s="1" t="s">
        <v>185</v>
      </c>
      <c r="W1991" s="1" t="s">
        <v>19</v>
      </c>
      <c r="CY1991" s="1" t="s">
        <v>99</v>
      </c>
      <c r="GD1991" s="1" t="s">
        <v>236</v>
      </c>
      <c r="GE1991" s="1" t="s">
        <v>2975</v>
      </c>
    </row>
    <row r="1992" spans="1:187" ht="11.25" customHeight="1">
      <c r="A1992" s="1" t="s">
        <v>2976</v>
      </c>
      <c r="B1992" s="1" t="str">
        <f ca="1">IFERROR(__xludf.DUMMYFUNCTION("GOOGLETRANSLATE(A1992, ""en"", ""fr"")"),"Common # 6")</f>
        <v>Common # 6</v>
      </c>
      <c r="C1992" s="1" t="s">
        <v>185</v>
      </c>
      <c r="AV1992" s="1" t="s">
        <v>44</v>
      </c>
      <c r="AW1992" s="1" t="s">
        <v>45</v>
      </c>
      <c r="GD1992" s="1" t="s">
        <v>193</v>
      </c>
      <c r="GE1992" s="1" t="s">
        <v>2977</v>
      </c>
    </row>
    <row r="1993" spans="1:187" ht="11.25" customHeight="1">
      <c r="A1993" s="1" t="s">
        <v>2978</v>
      </c>
      <c r="B1993" s="1" t="str">
        <f ca="1">IFERROR(__xludf.DUMMYFUNCTION("GOOGLETRANSLATE(A1993, ""en"", ""fr"")"),"Common # 7")</f>
        <v>Common # 7</v>
      </c>
      <c r="C1993" s="1" t="s">
        <v>185</v>
      </c>
      <c r="AG1993" s="1" t="s">
        <v>29</v>
      </c>
      <c r="AK1993" s="1" t="s">
        <v>33</v>
      </c>
      <c r="AT1993" s="1" t="s">
        <v>42</v>
      </c>
      <c r="DY1993" s="1" t="s">
        <v>125</v>
      </c>
      <c r="ED1993" s="1" t="s">
        <v>130</v>
      </c>
      <c r="GD1993" s="1" t="s">
        <v>193</v>
      </c>
      <c r="GE1993" s="1" t="s">
        <v>2979</v>
      </c>
    </row>
    <row r="1994" spans="1:187" ht="11.25" customHeight="1">
      <c r="A1994" s="1" t="s">
        <v>2980</v>
      </c>
      <c r="B1994" s="1" t="str">
        <f ca="1">IFERROR(__xludf.DUMMYFUNCTION("GOOGLETRANSLATE(A1994, ""en"", ""fr"")"),"MARCHÉ COMMUN")</f>
        <v>MARCHÉ COMMUN</v>
      </c>
      <c r="C1994" s="1" t="s">
        <v>196</v>
      </c>
      <c r="GD1994" s="1" t="s">
        <v>2981</v>
      </c>
    </row>
    <row r="1995" spans="1:187" ht="11.25" customHeight="1">
      <c r="A1995" s="1" t="s">
        <v>2982</v>
      </c>
      <c r="B1995" s="1" t="str">
        <f ca="1">IFERROR(__xludf.DUMMYFUNCTION("GOOGLETRANSLATE(A1995, ""en"", ""fr"")"),"ROTURIER")</f>
        <v>ROTURIER</v>
      </c>
      <c r="C1995" s="1" t="s">
        <v>185</v>
      </c>
      <c r="E1995" s="1" t="s">
        <v>16613</v>
      </c>
      <c r="H1995" s="1" t="s">
        <v>4</v>
      </c>
      <c r="L1995" s="1" t="s">
        <v>8</v>
      </c>
      <c r="M1995" s="1" t="s">
        <v>9</v>
      </c>
      <c r="O1995" s="1" t="s">
        <v>11</v>
      </c>
      <c r="AA1995" s="1" t="s">
        <v>23</v>
      </c>
      <c r="AH1995" s="1" t="s">
        <v>30</v>
      </c>
      <c r="AJ1995" s="1" t="s">
        <v>32</v>
      </c>
      <c r="AT1995" s="1" t="s">
        <v>42</v>
      </c>
      <c r="DZ1995" s="1" t="s">
        <v>126</v>
      </c>
      <c r="ED1995" s="1" t="s">
        <v>130</v>
      </c>
      <c r="GD1995" s="1" t="s">
        <v>193</v>
      </c>
      <c r="GE1995" s="1" t="s">
        <v>190</v>
      </c>
    </row>
    <row r="1996" spans="1:187" ht="11.25" customHeight="1">
      <c r="A1996" s="1" t="s">
        <v>2983</v>
      </c>
      <c r="B1996" s="1" t="str">
        <f ca="1">IFERROR(__xludf.DUMMYFUNCTION("GOOGLETRANSLATE(A1996, ""en"", ""fr"")"),"BANAL")</f>
        <v>BANAL</v>
      </c>
      <c r="C1996" s="1" t="s">
        <v>185</v>
      </c>
      <c r="E1996" s="1" t="s">
        <v>16613</v>
      </c>
      <c r="H1996" s="1" t="s">
        <v>4</v>
      </c>
      <c r="W1996" s="1" t="s">
        <v>19</v>
      </c>
      <c r="CR1996" s="1" t="s">
        <v>92</v>
      </c>
      <c r="GD1996" s="1" t="s">
        <v>1446</v>
      </c>
      <c r="GE1996" s="1" t="s">
        <v>190</v>
      </c>
    </row>
    <row r="1997" spans="1:187" ht="11.25" customHeight="1">
      <c r="A1997" s="1" t="s">
        <v>2984</v>
      </c>
      <c r="B1997" s="1" t="str">
        <f ca="1">IFERROR(__xludf.DUMMYFUNCTION("GOOGLETRANSLATE(A1997, ""en"", ""fr"")"),"BON SENS")</f>
        <v>BON SENS</v>
      </c>
      <c r="C1997" s="1" t="s">
        <v>192</v>
      </c>
      <c r="D1997" s="1" t="s">
        <v>16612</v>
      </c>
      <c r="CH1997" s="1" t="s">
        <v>82</v>
      </c>
      <c r="GD1997" s="1" t="s">
        <v>193</v>
      </c>
      <c r="GE1997" s="1" t="s">
        <v>190</v>
      </c>
    </row>
    <row r="1998" spans="1:187" ht="11.25" customHeight="1">
      <c r="A1998" s="1" t="s">
        <v>2985</v>
      </c>
      <c r="B1998" s="1" t="str">
        <f ca="1">IFERROR(__xludf.DUMMYFUNCTION("GOOGLETRANSLATE(A1998, ""en"", ""fr"")"),"COMMONWEALTH")</f>
        <v>COMMONWEALTH</v>
      </c>
      <c r="C1998" s="1" t="s">
        <v>185</v>
      </c>
      <c r="K1998" s="1" t="s">
        <v>7</v>
      </c>
      <c r="AC1998" s="1" t="s">
        <v>25</v>
      </c>
      <c r="AG1998" s="1" t="s">
        <v>29</v>
      </c>
      <c r="AH1998" s="1" t="s">
        <v>30</v>
      </c>
      <c r="AK1998" s="1" t="s">
        <v>33</v>
      </c>
      <c r="AT1998" s="1" t="s">
        <v>42</v>
      </c>
      <c r="GD1998" s="1" t="s">
        <v>193</v>
      </c>
      <c r="GE1998" s="1" t="s">
        <v>190</v>
      </c>
    </row>
    <row r="1999" spans="1:187" ht="11.25" customHeight="1">
      <c r="A1999" s="1" t="s">
        <v>2986</v>
      </c>
      <c r="B1999" s="1" t="str">
        <f ca="1">IFERROR(__xludf.DUMMYFUNCTION("GOOGLETRANSLATE(A1999, ""en"", ""fr"")"),"AGITATION")</f>
        <v>AGITATION</v>
      </c>
      <c r="C1999" s="1" t="s">
        <v>185</v>
      </c>
      <c r="E1999" s="1" t="s">
        <v>16613</v>
      </c>
      <c r="H1999" s="1" t="s">
        <v>4</v>
      </c>
      <c r="N1999" s="1" t="s">
        <v>10</v>
      </c>
      <c r="V1999" s="1" t="s">
        <v>18</v>
      </c>
      <c r="W1999" s="1" t="s">
        <v>19</v>
      </c>
      <c r="GD1999" s="1" t="s">
        <v>193</v>
      </c>
      <c r="GE1999" s="1" t="s">
        <v>190</v>
      </c>
    </row>
    <row r="2000" spans="1:187" ht="11.25" customHeight="1">
      <c r="A2000" s="1" t="s">
        <v>2987</v>
      </c>
      <c r="B2000" s="1" t="str">
        <f ca="1">IFERROR(__xludf.DUMMYFUNCTION("GOOGLETRANSLATE(A2000, ""en"", ""fr"")"),"COMMUNAUTAIRE")</f>
        <v>COMMUNAUTAIRE</v>
      </c>
      <c r="C2000" s="1" t="s">
        <v>192</v>
      </c>
      <c r="D2000" s="1" t="s">
        <v>16612</v>
      </c>
      <c r="G2000" s="1" t="s">
        <v>3</v>
      </c>
      <c r="AW2000" s="1" t="s">
        <v>45</v>
      </c>
      <c r="DQ2000" s="1" t="s">
        <v>117</v>
      </c>
      <c r="GD2000" s="1" t="s">
        <v>202</v>
      </c>
      <c r="GE2000" s="1" t="s">
        <v>190</v>
      </c>
    </row>
    <row r="2001" spans="1:187" ht="11.25" customHeight="1">
      <c r="A2001" s="1" t="s">
        <v>2988</v>
      </c>
      <c r="B2001" s="1" t="str">
        <f ca="1">IFERROR(__xludf.DUMMYFUNCTION("GOOGLETRANSLATE(A2001, ""en"", ""fr"")"),"Communier")</f>
        <v>Communier</v>
      </c>
      <c r="C2001" s="1" t="s">
        <v>192</v>
      </c>
      <c r="D2001" s="1" t="s">
        <v>16612</v>
      </c>
      <c r="G2001" s="1" t="s">
        <v>3</v>
      </c>
      <c r="AW2001" s="1" t="s">
        <v>45</v>
      </c>
      <c r="GD2001" s="1" t="s">
        <v>193</v>
      </c>
      <c r="GE2001" s="1" t="s">
        <v>190</v>
      </c>
    </row>
    <row r="2002" spans="1:187" ht="11.25" customHeight="1">
      <c r="A2002" s="1" t="s">
        <v>2989</v>
      </c>
      <c r="B2002" s="1" t="str">
        <f ca="1">IFERROR(__xludf.DUMMYFUNCTION("GOOGLETRANSLATE(A2002, ""en"", ""fr"")"),"Communiquer # 1")</f>
        <v>Communiquer # 1</v>
      </c>
      <c r="C2002" s="1" t="s">
        <v>185</v>
      </c>
      <c r="D2002" s="1" t="s">
        <v>16612</v>
      </c>
      <c r="F2002" s="1" t="s">
        <v>2</v>
      </c>
      <c r="BK2002" s="1" t="s">
        <v>59</v>
      </c>
      <c r="DN2002" s="1" t="s">
        <v>114</v>
      </c>
      <c r="FD2002" s="1" t="s">
        <v>156</v>
      </c>
      <c r="FI2002" s="1" t="s">
        <v>161</v>
      </c>
      <c r="GD2002" s="1" t="s">
        <v>400</v>
      </c>
      <c r="GE2002" s="1" t="s">
        <v>2990</v>
      </c>
    </row>
    <row r="2003" spans="1:187" ht="11.25" customHeight="1">
      <c r="A2003" s="1" t="s">
        <v>2991</v>
      </c>
      <c r="B2003" s="1" t="str">
        <f ca="1">IFERROR(__xludf.DUMMYFUNCTION("GOOGLETRANSLATE(A2003, ""en"", ""fr"")"),"Communiquer # 2")</f>
        <v>Communiquer # 2</v>
      </c>
      <c r="C2003" s="1" t="s">
        <v>185</v>
      </c>
      <c r="D2003" s="1" t="s">
        <v>16612</v>
      </c>
      <c r="F2003" s="1" t="s">
        <v>2</v>
      </c>
      <c r="BK2003" s="1" t="s">
        <v>59</v>
      </c>
      <c r="BL2003" s="1" t="s">
        <v>60</v>
      </c>
      <c r="FH2003" s="1" t="s">
        <v>160</v>
      </c>
      <c r="FI2003" s="1" t="s">
        <v>161</v>
      </c>
      <c r="GC2003" s="1" t="s">
        <v>181</v>
      </c>
      <c r="GD2003" s="1" t="s">
        <v>193</v>
      </c>
      <c r="GE2003" s="1" t="s">
        <v>2992</v>
      </c>
    </row>
    <row r="2004" spans="1:187" ht="11.25" customHeight="1">
      <c r="A2004" s="1" t="s">
        <v>2993</v>
      </c>
      <c r="B2004" s="1" t="str">
        <f ca="1">IFERROR(__xludf.DUMMYFUNCTION("GOOGLETRANSLATE(A2004, ""en"", ""fr"")"),"COMMUNICATION")</f>
        <v>COMMUNICATION</v>
      </c>
      <c r="C2004" s="1" t="s">
        <v>185</v>
      </c>
      <c r="BK2004" s="1" t="s">
        <v>59</v>
      </c>
      <c r="BL2004" s="1" t="s">
        <v>60</v>
      </c>
      <c r="CP2004" s="1" t="s">
        <v>90</v>
      </c>
      <c r="CQ2004" s="1" t="s">
        <v>91</v>
      </c>
      <c r="FH2004" s="1" t="s">
        <v>160</v>
      </c>
      <c r="FI2004" s="1" t="s">
        <v>161</v>
      </c>
      <c r="GC2004" s="1" t="s">
        <v>181</v>
      </c>
      <c r="GD2004" s="1" t="s">
        <v>193</v>
      </c>
      <c r="GE2004" s="1" t="s">
        <v>2994</v>
      </c>
    </row>
    <row r="2005" spans="1:187" ht="11.25" customHeight="1">
      <c r="A2005" s="1" t="s">
        <v>2995</v>
      </c>
      <c r="B2005" s="1" t="str">
        <f ca="1">IFERROR(__xludf.DUMMYFUNCTION("GOOGLETRANSLATE(A2005, ""en"", ""fr"")"),"COMMUNICATIF")</f>
        <v>COMMUNICATIF</v>
      </c>
      <c r="C2005" s="1" t="s">
        <v>185</v>
      </c>
      <c r="D2005" s="1" t="s">
        <v>16612</v>
      </c>
      <c r="F2005" s="1" t="s">
        <v>2</v>
      </c>
      <c r="BK2005" s="1" t="s">
        <v>59</v>
      </c>
      <c r="FH2005" s="1" t="s">
        <v>160</v>
      </c>
      <c r="FI2005" s="1" t="s">
        <v>161</v>
      </c>
      <c r="GC2005" s="1" t="s">
        <v>181</v>
      </c>
      <c r="GD2005" s="1" t="s">
        <v>202</v>
      </c>
      <c r="GE2005" s="1" t="s">
        <v>190</v>
      </c>
    </row>
    <row r="2006" spans="1:187" ht="11.25" customHeight="1">
      <c r="A2006" s="1" t="s">
        <v>2996</v>
      </c>
      <c r="B2006" s="1" t="str">
        <f ca="1">IFERROR(__xludf.DUMMYFUNCTION("GOOGLETRANSLATE(A2006, ""en"", ""fr"")"),"COMMUNION")</f>
        <v>COMMUNION</v>
      </c>
      <c r="C2006" s="1" t="s">
        <v>185</v>
      </c>
      <c r="D2006" s="1" t="s">
        <v>16612</v>
      </c>
      <c r="F2006" s="1" t="s">
        <v>2</v>
      </c>
      <c r="G2006" s="1" t="s">
        <v>3</v>
      </c>
      <c r="AI2006" s="1" t="s">
        <v>31</v>
      </c>
      <c r="AM2006" s="1" t="s">
        <v>35</v>
      </c>
      <c r="EF2006" s="1" t="s">
        <v>132</v>
      </c>
      <c r="EJ2006" s="1" t="s">
        <v>136</v>
      </c>
      <c r="GD2006" s="1" t="s">
        <v>193</v>
      </c>
      <c r="GE2006" s="1" t="s">
        <v>190</v>
      </c>
    </row>
    <row r="2007" spans="1:187" ht="11.25" customHeight="1">
      <c r="A2007" s="1" t="s">
        <v>2997</v>
      </c>
      <c r="B2007" s="1" t="str">
        <f ca="1">IFERROR(__xludf.DUMMYFUNCTION("GOOGLETRANSLATE(A2007, ""en"", ""fr"")"),"COMMUNIQUÉ")</f>
        <v>COMMUNIQUÉ</v>
      </c>
      <c r="C2007" s="1" t="s">
        <v>196</v>
      </c>
      <c r="FH2007" s="1" t="s">
        <v>160</v>
      </c>
      <c r="FI2007" s="1" t="s">
        <v>161</v>
      </c>
      <c r="GD2007" s="1" t="s">
        <v>193</v>
      </c>
    </row>
    <row r="2008" spans="1:187" ht="11.25" customHeight="1">
      <c r="A2008" s="1" t="s">
        <v>2998</v>
      </c>
      <c r="B2008" s="1" t="str">
        <f ca="1">IFERROR(__xludf.DUMMYFUNCTION("GOOGLETRANSLATE(A2008, ""en"", ""fr"")"),"COMMUNISME")</f>
        <v>COMMUNISME</v>
      </c>
      <c r="C2008" s="1" t="s">
        <v>185</v>
      </c>
      <c r="Z2008" s="1" t="s">
        <v>22</v>
      </c>
      <c r="AA2008" s="1" t="s">
        <v>23</v>
      </c>
      <c r="AC2008" s="1" t="s">
        <v>25</v>
      </c>
      <c r="AG2008" s="1" t="s">
        <v>29</v>
      </c>
      <c r="AH2008" s="1" t="s">
        <v>30</v>
      </c>
      <c r="CP2008" s="1" t="s">
        <v>90</v>
      </c>
      <c r="CQ2008" s="1" t="s">
        <v>91</v>
      </c>
      <c r="EA2008" s="1" t="s">
        <v>127</v>
      </c>
      <c r="ED2008" s="1" t="s">
        <v>130</v>
      </c>
      <c r="GD2008" s="1" t="s">
        <v>193</v>
      </c>
      <c r="GE2008" s="1" t="s">
        <v>190</v>
      </c>
    </row>
    <row r="2009" spans="1:187" ht="11.25" customHeight="1">
      <c r="A2009" s="1" t="s">
        <v>2999</v>
      </c>
      <c r="B2009" s="1" t="str">
        <f ca="1">IFERROR(__xludf.DUMMYFUNCTION("GOOGLETRANSLATE(A2009, ""en"", ""fr"")"),"COMMUNISTE")</f>
        <v>COMMUNISTE</v>
      </c>
      <c r="C2009" s="1" t="s">
        <v>185</v>
      </c>
      <c r="AA2009" s="1" t="s">
        <v>23</v>
      </c>
      <c r="AG2009" s="1" t="s">
        <v>29</v>
      </c>
      <c r="AH2009" s="1" t="s">
        <v>30</v>
      </c>
      <c r="AJ2009" s="1" t="s">
        <v>32</v>
      </c>
      <c r="AT2009" s="1" t="s">
        <v>42</v>
      </c>
      <c r="EA2009" s="1" t="s">
        <v>127</v>
      </c>
      <c r="ED2009" s="1" t="s">
        <v>130</v>
      </c>
      <c r="GD2009" s="1" t="s">
        <v>193</v>
      </c>
      <c r="GE2009" s="1" t="s">
        <v>3000</v>
      </c>
    </row>
    <row r="2010" spans="1:187" ht="11.25" customHeight="1">
      <c r="A2010" s="1" t="s">
        <v>3001</v>
      </c>
      <c r="B2010" s="1" t="str">
        <f ca="1">IFERROR(__xludf.DUMMYFUNCTION("GOOGLETRANSLATE(A2010, ""en"", ""fr"")"),"COMMUNAUTÉ")</f>
        <v>COMMUNAUTÉ</v>
      </c>
      <c r="C2010" s="1" t="s">
        <v>185</v>
      </c>
      <c r="D2010" s="1" t="s">
        <v>16612</v>
      </c>
      <c r="F2010" s="1" t="s">
        <v>2</v>
      </c>
      <c r="G2010" s="1" t="s">
        <v>3</v>
      </c>
      <c r="J2010" s="1" t="s">
        <v>6</v>
      </c>
      <c r="AC2010" s="1" t="s">
        <v>25</v>
      </c>
      <c r="AH2010" s="1" t="s">
        <v>30</v>
      </c>
      <c r="AK2010" s="1" t="s">
        <v>33</v>
      </c>
      <c r="AT2010" s="1" t="s">
        <v>42</v>
      </c>
      <c r="DV2010" s="1" t="s">
        <v>122</v>
      </c>
      <c r="ED2010" s="1" t="s">
        <v>130</v>
      </c>
      <c r="GD2010" s="1" t="s">
        <v>193</v>
      </c>
      <c r="GE2010" s="1" t="s">
        <v>3002</v>
      </c>
    </row>
    <row r="2011" spans="1:187" ht="11.25" customHeight="1">
      <c r="A2011" s="1" t="s">
        <v>3003</v>
      </c>
      <c r="B2011" s="1" t="str">
        <f ca="1">IFERROR(__xludf.DUMMYFUNCTION("GOOGLETRANSLATE(A2011, ""en"", ""fr"")"),"BANLIEUSARD")</f>
        <v>BANLIEUSARD</v>
      </c>
      <c r="C2011" s="1" t="s">
        <v>185</v>
      </c>
      <c r="AJ2011" s="1" t="s">
        <v>32</v>
      </c>
      <c r="AT2011" s="1" t="s">
        <v>42</v>
      </c>
      <c r="FT2011" s="1" t="s">
        <v>172</v>
      </c>
      <c r="GD2011" s="1" t="s">
        <v>193</v>
      </c>
      <c r="GE2011" s="1" t="s">
        <v>190</v>
      </c>
    </row>
    <row r="2012" spans="1:187" ht="11.25" customHeight="1">
      <c r="A2012" s="1" t="s">
        <v>3004</v>
      </c>
      <c r="B2012" s="1" t="str">
        <f ca="1">IFERROR(__xludf.DUMMYFUNCTION("GOOGLETRANSLATE(A2012, ""en"", ""fr"")"),"COMPAGNON")</f>
        <v>COMPAGNON</v>
      </c>
      <c r="C2012" s="1" t="s">
        <v>185</v>
      </c>
      <c r="D2012" s="1" t="s">
        <v>16612</v>
      </c>
      <c r="F2012" s="1" t="s">
        <v>2</v>
      </c>
      <c r="G2012" s="1" t="s">
        <v>3</v>
      </c>
      <c r="AJ2012" s="1" t="s">
        <v>32</v>
      </c>
      <c r="AT2012" s="1" t="s">
        <v>42</v>
      </c>
      <c r="EQ2012" s="1" t="s">
        <v>143</v>
      </c>
      <c r="ES2012" s="1" t="s">
        <v>145</v>
      </c>
      <c r="GD2012" s="1" t="s">
        <v>193</v>
      </c>
      <c r="GE2012" s="1" t="s">
        <v>190</v>
      </c>
    </row>
    <row r="2013" spans="1:187" ht="11.25" customHeight="1">
      <c r="A2013" s="1" t="s">
        <v>3005</v>
      </c>
      <c r="B2013" s="1" t="str">
        <f ca="1">IFERROR(__xludf.DUMMYFUNCTION("GOOGLETRANSLATE(A2013, ""en"", ""fr"")"),"CAMARADERIE")</f>
        <v>CAMARADERIE</v>
      </c>
      <c r="C2013" s="1" t="s">
        <v>185</v>
      </c>
      <c r="D2013" s="1" t="s">
        <v>16612</v>
      </c>
      <c r="G2013" s="1" t="s">
        <v>3</v>
      </c>
      <c r="ER2013" s="1" t="s">
        <v>144</v>
      </c>
      <c r="ES2013" s="1" t="s">
        <v>145</v>
      </c>
      <c r="GD2013" s="1" t="s">
        <v>193</v>
      </c>
      <c r="GE2013" s="1" t="s">
        <v>190</v>
      </c>
    </row>
    <row r="2014" spans="1:187" ht="11.25" customHeight="1">
      <c r="A2014" s="1" t="s">
        <v>3006</v>
      </c>
      <c r="B2014" s="1" t="str">
        <f ca="1">IFERROR(__xludf.DUMMYFUNCTION("GOOGLETRANSLATE(A2014, ""en"", ""fr"")"),"Compagnie n ° 1")</f>
        <v>Compagnie n ° 1</v>
      </c>
      <c r="C2014" s="1" t="s">
        <v>185</v>
      </c>
      <c r="J2014" s="1" t="s">
        <v>6</v>
      </c>
      <c r="AA2014" s="1" t="s">
        <v>23</v>
      </c>
      <c r="AC2014" s="1" t="s">
        <v>25</v>
      </c>
      <c r="AK2014" s="1" t="s">
        <v>33</v>
      </c>
      <c r="AT2014" s="1" t="s">
        <v>42</v>
      </c>
      <c r="ET2014" s="1" t="s">
        <v>146</v>
      </c>
      <c r="EW2014" s="1" t="s">
        <v>149</v>
      </c>
      <c r="GD2014" s="1" t="s">
        <v>193</v>
      </c>
      <c r="GE2014" s="1" t="s">
        <v>3007</v>
      </c>
    </row>
    <row r="2015" spans="1:187" ht="11.25" customHeight="1">
      <c r="A2015" s="1" t="s">
        <v>3008</v>
      </c>
      <c r="B2015" s="1" t="str">
        <f ca="1">IFERROR(__xludf.DUMMYFUNCTION("GOOGLETRANSLATE(A2015, ""en"", ""fr"")"),"Compagnie n ° 2")</f>
        <v>Compagnie n ° 2</v>
      </c>
      <c r="C2015" s="1" t="s">
        <v>185</v>
      </c>
      <c r="D2015" s="1" t="s">
        <v>16612</v>
      </c>
      <c r="F2015" s="1" t="s">
        <v>2</v>
      </c>
      <c r="G2015" s="1" t="s">
        <v>3</v>
      </c>
      <c r="AK2015" s="1" t="s">
        <v>33</v>
      </c>
      <c r="AT2015" s="1" t="s">
        <v>42</v>
      </c>
      <c r="EQ2015" s="1" t="s">
        <v>143</v>
      </c>
      <c r="ES2015" s="1" t="s">
        <v>145</v>
      </c>
      <c r="GD2015" s="1" t="s">
        <v>193</v>
      </c>
      <c r="GE2015" s="1" t="s">
        <v>3009</v>
      </c>
    </row>
    <row r="2016" spans="1:187" ht="11.25" customHeight="1">
      <c r="A2016" s="1" t="s">
        <v>3010</v>
      </c>
      <c r="B2016" s="1" t="str">
        <f ca="1">IFERROR(__xludf.DUMMYFUNCTION("GOOGLETRANSLATE(A2016, ""en"", ""fr"")"),"COMPARABLE")</f>
        <v>COMPARABLE</v>
      </c>
      <c r="C2016" s="1" t="s">
        <v>185</v>
      </c>
      <c r="CH2016" s="1" t="s">
        <v>82</v>
      </c>
      <c r="FH2016" s="1" t="s">
        <v>160</v>
      </c>
      <c r="FI2016" s="1" t="s">
        <v>161</v>
      </c>
      <c r="GD2016" s="1" t="s">
        <v>202</v>
      </c>
      <c r="GE2016" s="1" t="s">
        <v>190</v>
      </c>
    </row>
    <row r="2017" spans="1:187" ht="11.25" customHeight="1">
      <c r="A2017" s="1" t="s">
        <v>3011</v>
      </c>
      <c r="B2017" s="1" t="str">
        <f ca="1">IFERROR(__xludf.DUMMYFUNCTION("GOOGLETRANSLATE(A2017, ""en"", ""fr"")"),"COMPARATIF")</f>
        <v>COMPARATIF</v>
      </c>
      <c r="C2017" s="1" t="s">
        <v>185</v>
      </c>
      <c r="X2017" s="1" t="s">
        <v>20</v>
      </c>
      <c r="CH2017" s="1" t="s">
        <v>82</v>
      </c>
      <c r="FH2017" s="1" t="s">
        <v>160</v>
      </c>
      <c r="FI2017" s="1" t="s">
        <v>161</v>
      </c>
      <c r="GD2017" s="1" t="s">
        <v>202</v>
      </c>
      <c r="GE2017" s="1" t="s">
        <v>190</v>
      </c>
    </row>
    <row r="2018" spans="1:187" ht="11.25" customHeight="1">
      <c r="A2018" s="1" t="s">
        <v>3012</v>
      </c>
      <c r="B2018" s="1" t="str">
        <f ca="1">IFERROR(__xludf.DUMMYFUNCTION("GOOGLETRANSLATE(A2018, ""en"", ""fr"")"),"RELATIVEMENT")</f>
        <v>RELATIVEMENT</v>
      </c>
      <c r="C2018" s="1" t="s">
        <v>185</v>
      </c>
      <c r="X2018" s="1" t="s">
        <v>20</v>
      </c>
      <c r="CH2018" s="1" t="s">
        <v>82</v>
      </c>
      <c r="FH2018" s="1" t="s">
        <v>160</v>
      </c>
      <c r="FI2018" s="1" t="s">
        <v>161</v>
      </c>
      <c r="GD2018" s="1" t="s">
        <v>202</v>
      </c>
      <c r="GE2018" s="1" t="s">
        <v>190</v>
      </c>
    </row>
    <row r="2019" spans="1:187" ht="11.25" customHeight="1">
      <c r="A2019" s="1" t="s">
        <v>3013</v>
      </c>
      <c r="B2019" s="1" t="str">
        <f ca="1">IFERROR(__xludf.DUMMYFUNCTION("GOOGLETRANSLATE(A2019, ""en"", ""fr"")"),"COMPARER")</f>
        <v>COMPARER</v>
      </c>
      <c r="C2019" s="1" t="s">
        <v>185</v>
      </c>
      <c r="N2019" s="1" t="s">
        <v>10</v>
      </c>
      <c r="CO2019" s="1" t="s">
        <v>89</v>
      </c>
      <c r="DN2019" s="1" t="s">
        <v>114</v>
      </c>
      <c r="FH2019" s="1" t="s">
        <v>160</v>
      </c>
      <c r="FI2019" s="1" t="s">
        <v>161</v>
      </c>
      <c r="GD2019" s="1" t="s">
        <v>189</v>
      </c>
      <c r="GE2019" s="1" t="s">
        <v>190</v>
      </c>
    </row>
    <row r="2020" spans="1:187" ht="11.25" customHeight="1">
      <c r="A2020" s="1" t="s">
        <v>3014</v>
      </c>
      <c r="B2020" s="1" t="str">
        <f ca="1">IFERROR(__xludf.DUMMYFUNCTION("GOOGLETRANSLATE(A2020, ""en"", ""fr"")"),"COMPARAISON")</f>
        <v>COMPARAISON</v>
      </c>
      <c r="C2020" s="1" t="s">
        <v>185</v>
      </c>
      <c r="N2020" s="1" t="s">
        <v>10</v>
      </c>
      <c r="CH2020" s="1" t="s">
        <v>82</v>
      </c>
      <c r="CP2020" s="1" t="s">
        <v>90</v>
      </c>
      <c r="CQ2020" s="1" t="s">
        <v>91</v>
      </c>
      <c r="FH2020" s="1" t="s">
        <v>160</v>
      </c>
      <c r="FI2020" s="1" t="s">
        <v>161</v>
      </c>
      <c r="GD2020" s="1" t="s">
        <v>193</v>
      </c>
      <c r="GE2020" s="1" t="s">
        <v>190</v>
      </c>
    </row>
    <row r="2021" spans="1:187" ht="11.25" customHeight="1">
      <c r="A2021" s="1" t="s">
        <v>3015</v>
      </c>
      <c r="B2021" s="1" t="str">
        <f ca="1">IFERROR(__xludf.DUMMYFUNCTION("GOOGLETRANSLATE(A2021, ""en"", ""fr"")"),"COMPARTIMENT")</f>
        <v>COMPARTIMENT</v>
      </c>
      <c r="C2021" s="1" t="s">
        <v>185</v>
      </c>
      <c r="DA2021" s="1" t="s">
        <v>101</v>
      </c>
      <c r="GD2021" s="1" t="s">
        <v>193</v>
      </c>
      <c r="GE2021" s="1" t="s">
        <v>190</v>
      </c>
    </row>
    <row r="2022" spans="1:187" ht="11.25" customHeight="1">
      <c r="A2022" s="1" t="s">
        <v>3016</v>
      </c>
      <c r="B2022" s="1" t="str">
        <f ca="1">IFERROR(__xludf.DUMMYFUNCTION("GOOGLETRANSLATE(A2022, ""en"", ""fr"")"),"BOUSSOLE")</f>
        <v>BOUSSOLE</v>
      </c>
      <c r="C2022" s="1" t="s">
        <v>185</v>
      </c>
      <c r="BC2022" s="1" t="s">
        <v>51</v>
      </c>
      <c r="BD2022" s="1" t="s">
        <v>52</v>
      </c>
      <c r="GD2022" s="1" t="s">
        <v>193</v>
      </c>
      <c r="GE2022" s="1" t="s">
        <v>190</v>
      </c>
    </row>
    <row r="2023" spans="1:187" ht="11.25" customHeight="1">
      <c r="A2023" s="1" t="s">
        <v>3017</v>
      </c>
      <c r="B2023" s="1" t="str">
        <f ca="1">IFERROR(__xludf.DUMMYFUNCTION("GOOGLETRANSLATE(A2023, ""en"", ""fr"")"),"COMPASSION")</f>
        <v>COMPASSION</v>
      </c>
      <c r="C2023" s="1" t="s">
        <v>185</v>
      </c>
      <c r="D2023" s="1" t="s">
        <v>16612</v>
      </c>
      <c r="F2023" s="1" t="s">
        <v>2</v>
      </c>
      <c r="G2023" s="1" t="s">
        <v>3</v>
      </c>
      <c r="T2023" s="1" t="s">
        <v>16</v>
      </c>
      <c r="U2023" s="1" t="s">
        <v>17</v>
      </c>
      <c r="FX2023" s="1" t="s">
        <v>176</v>
      </c>
      <c r="GD2023" s="1" t="s">
        <v>193</v>
      </c>
      <c r="GE2023" s="1" t="s">
        <v>190</v>
      </c>
    </row>
    <row r="2024" spans="1:187" ht="11.25" customHeight="1">
      <c r="A2024" s="1" t="s">
        <v>3018</v>
      </c>
      <c r="B2024" s="1" t="str">
        <f ca="1">IFERROR(__xludf.DUMMYFUNCTION("GOOGLETRANSLATE(A2024, ""en"", ""fr"")"),"COMPATISSANT")</f>
        <v>COMPATISSANT</v>
      </c>
      <c r="C2024" s="1" t="s">
        <v>185</v>
      </c>
      <c r="D2024" s="1" t="s">
        <v>16612</v>
      </c>
      <c r="F2024" s="1" t="s">
        <v>2</v>
      </c>
      <c r="G2024" s="1" t="s">
        <v>3</v>
      </c>
      <c r="T2024" s="1" t="s">
        <v>16</v>
      </c>
      <c r="U2024" s="1" t="s">
        <v>17</v>
      </c>
      <c r="FX2024" s="1" t="s">
        <v>176</v>
      </c>
      <c r="GD2024" s="1" t="s">
        <v>202</v>
      </c>
      <c r="GE2024" s="1" t="s">
        <v>190</v>
      </c>
    </row>
    <row r="2025" spans="1:187" ht="11.25" customHeight="1">
      <c r="A2025" s="1" t="s">
        <v>3019</v>
      </c>
      <c r="B2025" s="1" t="str">
        <f ca="1">IFERROR(__xludf.DUMMYFUNCTION("GOOGLETRANSLATE(A2025, ""en"", ""fr"")"),"COMPATIBLE")</f>
        <v>COMPATIBLE</v>
      </c>
      <c r="C2025" s="1" t="s">
        <v>185</v>
      </c>
      <c r="D2025" s="1" t="s">
        <v>16612</v>
      </c>
      <c r="F2025" s="1" t="s">
        <v>2</v>
      </c>
      <c r="G2025" s="1" t="s">
        <v>3</v>
      </c>
      <c r="U2025" s="1" t="s">
        <v>17</v>
      </c>
      <c r="FX2025" s="1" t="s">
        <v>176</v>
      </c>
      <c r="GD2025" s="1" t="s">
        <v>202</v>
      </c>
      <c r="GE2025" s="1" t="s">
        <v>190</v>
      </c>
    </row>
    <row r="2026" spans="1:187" ht="11.25" customHeight="1">
      <c r="A2026" s="1" t="s">
        <v>3020</v>
      </c>
      <c r="B2026" s="1" t="str">
        <f ca="1">IFERROR(__xludf.DUMMYFUNCTION("GOOGLETRANSLATE(A2026, ""en"", ""fr"")"),"COMPATRIOTE")</f>
        <v>COMPATRIOTE</v>
      </c>
      <c r="C2026" s="1" t="s">
        <v>196</v>
      </c>
      <c r="DZ2026" s="1" t="s">
        <v>126</v>
      </c>
      <c r="ED2026" s="1" t="s">
        <v>130</v>
      </c>
      <c r="GD2026" s="1" t="s">
        <v>448</v>
      </c>
    </row>
    <row r="2027" spans="1:187" ht="11.25" customHeight="1">
      <c r="A2027" s="1" t="s">
        <v>3021</v>
      </c>
      <c r="B2027" s="1" t="str">
        <f ca="1">IFERROR(__xludf.DUMMYFUNCTION("GOOGLETRANSLATE(A2027, ""en"", ""fr"")"),"Obliger # 1")</f>
        <v>Obliger # 1</v>
      </c>
      <c r="C2027" s="1" t="s">
        <v>185</v>
      </c>
      <c r="E2027" s="1" t="s">
        <v>16613</v>
      </c>
      <c r="H2027" s="1" t="s">
        <v>4</v>
      </c>
      <c r="J2027" s="1" t="s">
        <v>6</v>
      </c>
      <c r="N2027" s="1" t="s">
        <v>10</v>
      </c>
      <c r="BQ2027" s="1" t="s">
        <v>65</v>
      </c>
      <c r="DT2027" s="1" t="s">
        <v>120</v>
      </c>
      <c r="ED2027" s="1" t="s">
        <v>130</v>
      </c>
      <c r="GD2027" s="1" t="s">
        <v>202</v>
      </c>
      <c r="GE2027" s="1" t="s">
        <v>190</v>
      </c>
    </row>
    <row r="2028" spans="1:187" ht="11.25" customHeight="1">
      <c r="A2028" s="1" t="s">
        <v>3022</v>
      </c>
      <c r="B2028" s="1" t="str">
        <f ca="1">IFERROR(__xludf.DUMMYFUNCTION("GOOGLETRANSLATE(A2028, ""en"", ""fr"")"),"Obliger # 2")</f>
        <v>Obliger # 2</v>
      </c>
      <c r="C2028" s="1" t="s">
        <v>185</v>
      </c>
      <c r="E2028" s="1" t="s">
        <v>16613</v>
      </c>
      <c r="H2028" s="1" t="s">
        <v>4</v>
      </c>
      <c r="I2028" s="1" t="s">
        <v>5</v>
      </c>
      <c r="J2028" s="1" t="s">
        <v>6</v>
      </c>
      <c r="K2028" s="1" t="s">
        <v>7</v>
      </c>
      <c r="N2028" s="1" t="s">
        <v>10</v>
      </c>
      <c r="AN2028" s="1" t="s">
        <v>36</v>
      </c>
      <c r="DN2028" s="1" t="s">
        <v>114</v>
      </c>
      <c r="DT2028" s="1" t="s">
        <v>120</v>
      </c>
      <c r="ED2028" s="1" t="s">
        <v>130</v>
      </c>
      <c r="GD2028" s="1" t="s">
        <v>189</v>
      </c>
      <c r="GE2028" s="1" t="s">
        <v>190</v>
      </c>
    </row>
    <row r="2029" spans="1:187" ht="11.25" customHeight="1">
      <c r="A2029" s="1" t="s">
        <v>3023</v>
      </c>
      <c r="B2029" s="1" t="str">
        <f ca="1">IFERROR(__xludf.DUMMYFUNCTION("GOOGLETRANSLATE(A2029, ""en"", ""fr"")"),"COMPENSER")</f>
        <v>COMPENSER</v>
      </c>
      <c r="C2029" s="1" t="s">
        <v>185</v>
      </c>
      <c r="D2029" s="1" t="s">
        <v>16612</v>
      </c>
      <c r="F2029" s="1" t="s">
        <v>2</v>
      </c>
      <c r="J2029" s="1" t="s">
        <v>6</v>
      </c>
      <c r="N2029" s="1" t="s">
        <v>10</v>
      </c>
      <c r="AA2029" s="1" t="s">
        <v>23</v>
      </c>
      <c r="AL2029" s="1" t="s">
        <v>34</v>
      </c>
      <c r="DN2029" s="1" t="s">
        <v>114</v>
      </c>
      <c r="FN2029" s="1" t="s">
        <v>166</v>
      </c>
      <c r="GD2029" s="1" t="s">
        <v>189</v>
      </c>
      <c r="GE2029" s="1" t="s">
        <v>190</v>
      </c>
    </row>
    <row r="2030" spans="1:187" ht="11.25" customHeight="1">
      <c r="A2030" s="1" t="s">
        <v>3024</v>
      </c>
      <c r="B2030" s="1" t="str">
        <f ca="1">IFERROR(__xludf.DUMMYFUNCTION("GOOGLETRANSLATE(A2030, ""en"", ""fr"")"),"COMPENSATION")</f>
        <v>COMPENSATION</v>
      </c>
      <c r="C2030" s="1" t="s">
        <v>185</v>
      </c>
      <c r="D2030" s="1" t="s">
        <v>16612</v>
      </c>
      <c r="F2030" s="1" t="s">
        <v>2</v>
      </c>
      <c r="N2030" s="1" t="s">
        <v>10</v>
      </c>
      <c r="U2030" s="1" t="s">
        <v>17</v>
      </c>
      <c r="AC2030" s="1" t="s">
        <v>25</v>
      </c>
      <c r="FN2030" s="1" t="s">
        <v>166</v>
      </c>
      <c r="GD2030" s="1" t="s">
        <v>193</v>
      </c>
      <c r="GE2030" s="1" t="s">
        <v>190</v>
      </c>
    </row>
    <row r="2031" spans="1:187" ht="11.25" customHeight="1">
      <c r="A2031" s="1" t="s">
        <v>3025</v>
      </c>
      <c r="B2031" s="1" t="str">
        <f ca="1">IFERROR(__xludf.DUMMYFUNCTION("GOOGLETRANSLATE(A2031, ""en"", ""fr"")"),"RIVALISER")</f>
        <v>RIVALISER</v>
      </c>
      <c r="C2031" s="1" t="s">
        <v>185</v>
      </c>
      <c r="E2031" s="1" t="s">
        <v>16613</v>
      </c>
      <c r="H2031" s="1" t="s">
        <v>4</v>
      </c>
      <c r="I2031" s="1" t="s">
        <v>5</v>
      </c>
      <c r="J2031" s="1" t="s">
        <v>6</v>
      </c>
      <c r="N2031" s="1" t="s">
        <v>10</v>
      </c>
      <c r="BP2031" s="1" t="s">
        <v>64</v>
      </c>
      <c r="DN2031" s="1" t="s">
        <v>114</v>
      </c>
      <c r="DW2031" s="1" t="s">
        <v>123</v>
      </c>
      <c r="ED2031" s="1" t="s">
        <v>130</v>
      </c>
      <c r="GD2031" s="1" t="s">
        <v>189</v>
      </c>
      <c r="GE2031" s="1" t="s">
        <v>190</v>
      </c>
    </row>
    <row r="2032" spans="1:187" ht="11.25" customHeight="1">
      <c r="A2032" s="1" t="s">
        <v>3026</v>
      </c>
      <c r="B2032" s="1" t="str">
        <f ca="1">IFERROR(__xludf.DUMMYFUNCTION("GOOGLETRANSLATE(A2032, ""en"", ""fr"")"),"COMPÉTENCE")</f>
        <v>COMPÉTENCE</v>
      </c>
      <c r="C2032" s="1" t="s">
        <v>185</v>
      </c>
      <c r="D2032" s="1" t="s">
        <v>16612</v>
      </c>
      <c r="F2032" s="1" t="s">
        <v>2</v>
      </c>
      <c r="J2032" s="1" t="s">
        <v>6</v>
      </c>
      <c r="U2032" s="1" t="s">
        <v>17</v>
      </c>
      <c r="CH2032" s="1" t="s">
        <v>82</v>
      </c>
      <c r="CM2032" s="1" t="s">
        <v>87</v>
      </c>
      <c r="FL2032" s="1" t="s">
        <v>164</v>
      </c>
      <c r="FM2032" s="1" t="s">
        <v>418</v>
      </c>
      <c r="GD2032" s="1" t="s">
        <v>193</v>
      </c>
      <c r="GE2032" s="1" t="s">
        <v>190</v>
      </c>
    </row>
    <row r="2033" spans="1:187" ht="11.25" customHeight="1">
      <c r="A2033" s="1" t="s">
        <v>3027</v>
      </c>
      <c r="B2033" s="1" t="str">
        <f ca="1">IFERROR(__xludf.DUMMYFUNCTION("GOOGLETRANSLATE(A2033, ""en"", ""fr"")"),"COMPÉTENCE")</f>
        <v>COMPÉTENCE</v>
      </c>
      <c r="C2033" s="1" t="s">
        <v>192</v>
      </c>
      <c r="D2033" s="1" t="s">
        <v>16612</v>
      </c>
      <c r="J2033" s="1" t="s">
        <v>6</v>
      </c>
      <c r="CH2033" s="1" t="s">
        <v>82</v>
      </c>
      <c r="CM2033" s="1" t="s">
        <v>87</v>
      </c>
      <c r="GD2033" s="1" t="s">
        <v>193</v>
      </c>
      <c r="GE2033" s="1" t="s">
        <v>190</v>
      </c>
    </row>
    <row r="2034" spans="1:187" ht="11.25" customHeight="1">
      <c r="A2034" s="1" t="s">
        <v>3028</v>
      </c>
      <c r="B2034" s="1" t="str">
        <f ca="1">IFERROR(__xludf.DUMMYFUNCTION("GOOGLETRANSLATE(A2034, ""en"", ""fr"")"),"COMPÉTENT")</f>
        <v>COMPÉTENT</v>
      </c>
      <c r="C2034" s="1" t="s">
        <v>185</v>
      </c>
      <c r="D2034" s="1" t="s">
        <v>16612</v>
      </c>
      <c r="F2034" s="1" t="s">
        <v>2</v>
      </c>
      <c r="J2034" s="1" t="s">
        <v>6</v>
      </c>
      <c r="U2034" s="1" t="s">
        <v>17</v>
      </c>
      <c r="CN2034" s="1" t="s">
        <v>88</v>
      </c>
      <c r="FL2034" s="1" t="s">
        <v>164</v>
      </c>
      <c r="FM2034" s="1" t="s">
        <v>418</v>
      </c>
      <c r="GD2034" s="1" t="s">
        <v>202</v>
      </c>
      <c r="GE2034" s="1" t="s">
        <v>190</v>
      </c>
    </row>
    <row r="2035" spans="1:187" ht="11.25" customHeight="1">
      <c r="A2035" s="1" t="s">
        <v>3029</v>
      </c>
      <c r="B2035" s="1" t="str">
        <f ca="1">IFERROR(__xludf.DUMMYFUNCTION("GOOGLETRANSLATE(A2035, ""en"", ""fr"")"),"CONCOURS")</f>
        <v>CONCOURS</v>
      </c>
      <c r="C2035" s="1" t="s">
        <v>185</v>
      </c>
      <c r="E2035" s="1" t="s">
        <v>16613</v>
      </c>
      <c r="H2035" s="1" t="s">
        <v>4</v>
      </c>
      <c r="I2035" s="1" t="s">
        <v>5</v>
      </c>
      <c r="N2035" s="1" t="s">
        <v>10</v>
      </c>
      <c r="BQ2035" s="1" t="s">
        <v>65</v>
      </c>
      <c r="DW2035" s="1" t="s">
        <v>123</v>
      </c>
      <c r="ED2035" s="1" t="s">
        <v>130</v>
      </c>
      <c r="GD2035" s="1" t="s">
        <v>193</v>
      </c>
      <c r="GE2035" s="1" t="s">
        <v>190</v>
      </c>
    </row>
    <row r="2036" spans="1:187" ht="11.25" customHeight="1">
      <c r="A2036" s="1" t="s">
        <v>3030</v>
      </c>
      <c r="B2036" s="1" t="str">
        <f ca="1">IFERROR(__xludf.DUMMYFUNCTION("GOOGLETRANSLATE(A2036, ""en"", ""fr"")"),"COMPÉTITIF")</f>
        <v>COMPÉTITIF</v>
      </c>
      <c r="C2036" s="1" t="s">
        <v>185</v>
      </c>
      <c r="E2036" s="1" t="s">
        <v>16613</v>
      </c>
      <c r="H2036" s="1" t="s">
        <v>4</v>
      </c>
      <c r="I2036" s="1" t="s">
        <v>5</v>
      </c>
      <c r="N2036" s="1" t="s">
        <v>10</v>
      </c>
      <c r="U2036" s="1" t="s">
        <v>17</v>
      </c>
      <c r="DW2036" s="1" t="s">
        <v>123</v>
      </c>
      <c r="ED2036" s="1" t="s">
        <v>130</v>
      </c>
      <c r="GD2036" s="1" t="s">
        <v>202</v>
      </c>
      <c r="GE2036" s="1" t="s">
        <v>190</v>
      </c>
    </row>
    <row r="2037" spans="1:187" ht="11.25" customHeight="1">
      <c r="A2037" s="1" t="s">
        <v>3031</v>
      </c>
      <c r="B2037" s="1" t="str">
        <f ca="1">IFERROR(__xludf.DUMMYFUNCTION("GOOGLETRANSLATE(A2037, ""en"", ""fr"")"),"CONCURRENT")</f>
        <v>CONCURRENT</v>
      </c>
      <c r="C2037" s="1" t="s">
        <v>185</v>
      </c>
      <c r="E2037" s="1" t="s">
        <v>16613</v>
      </c>
      <c r="I2037" s="1" t="s">
        <v>5</v>
      </c>
      <c r="AN2037" s="1" t="s">
        <v>36</v>
      </c>
      <c r="AT2037" s="1" t="s">
        <v>42</v>
      </c>
      <c r="EA2037" s="1" t="s">
        <v>127</v>
      </c>
      <c r="ED2037" s="1" t="s">
        <v>130</v>
      </c>
      <c r="GD2037" s="1" t="s">
        <v>193</v>
      </c>
      <c r="GE2037" s="1" t="s">
        <v>190</v>
      </c>
    </row>
    <row r="2038" spans="1:187" ht="11.25" customHeight="1">
      <c r="A2038" s="1" t="s">
        <v>3032</v>
      </c>
      <c r="B2038" s="1" t="str">
        <f ca="1">IFERROR(__xludf.DUMMYFUNCTION("GOOGLETRANSLATE(A2038, ""en"", ""fr"")"),"COMPILER")</f>
        <v>COMPILER</v>
      </c>
      <c r="C2038" s="1" t="s">
        <v>185</v>
      </c>
      <c r="N2038" s="1" t="s">
        <v>10</v>
      </c>
      <c r="AL2038" s="1" t="s">
        <v>34</v>
      </c>
      <c r="DN2038" s="1" t="s">
        <v>114</v>
      </c>
      <c r="FD2038" s="1" t="s">
        <v>156</v>
      </c>
      <c r="FI2038" s="1" t="s">
        <v>161</v>
      </c>
      <c r="GD2038" s="1" t="s">
        <v>189</v>
      </c>
      <c r="GE2038" s="1" t="s">
        <v>190</v>
      </c>
    </row>
    <row r="2039" spans="1:187" ht="11.25" customHeight="1">
      <c r="A2039" s="1" t="s">
        <v>3033</v>
      </c>
      <c r="B2039" s="1" t="str">
        <f ca="1">IFERROR(__xludf.DUMMYFUNCTION("GOOGLETRANSLATE(A2039, ""en"", ""fr"")"),"SE PLAINDRE")</f>
        <v>SE PLAINDRE</v>
      </c>
      <c r="C2039" s="1" t="s">
        <v>185</v>
      </c>
      <c r="E2039" s="1" t="s">
        <v>16613</v>
      </c>
      <c r="H2039" s="1" t="s">
        <v>4</v>
      </c>
      <c r="I2039" s="1" t="s">
        <v>5</v>
      </c>
      <c r="N2039" s="1" t="s">
        <v>10</v>
      </c>
      <c r="BK2039" s="1" t="s">
        <v>59</v>
      </c>
      <c r="DN2039" s="1" t="s">
        <v>114</v>
      </c>
      <c r="GD2039" s="1" t="s">
        <v>189</v>
      </c>
      <c r="GE2039" s="1" t="s">
        <v>3034</v>
      </c>
    </row>
    <row r="2040" spans="1:187" ht="11.25" customHeight="1">
      <c r="A2040" s="1" t="s">
        <v>3035</v>
      </c>
      <c r="B2040" s="1" t="str">
        <f ca="1">IFERROR(__xludf.DUMMYFUNCTION("GOOGLETRANSLATE(A2040, ""en"", ""fr"")"),"PLAINTE")</f>
        <v>PLAINTE</v>
      </c>
      <c r="C2040" s="1" t="s">
        <v>185</v>
      </c>
      <c r="E2040" s="1" t="s">
        <v>16613</v>
      </c>
      <c r="H2040" s="1" t="s">
        <v>4</v>
      </c>
      <c r="I2040" s="1" t="s">
        <v>5</v>
      </c>
      <c r="N2040" s="1" t="s">
        <v>10</v>
      </c>
      <c r="BK2040" s="1" t="s">
        <v>59</v>
      </c>
      <c r="BL2040" s="1" t="s">
        <v>60</v>
      </c>
      <c r="GC2040" s="1" t="s">
        <v>181</v>
      </c>
      <c r="GD2040" s="1" t="s">
        <v>193</v>
      </c>
      <c r="GE2040" s="1" t="s">
        <v>190</v>
      </c>
    </row>
    <row r="2041" spans="1:187" ht="11.25" customHeight="1">
      <c r="A2041" s="1" t="s">
        <v>3036</v>
      </c>
      <c r="B2041" s="1" t="str">
        <f ca="1">IFERROR(__xludf.DUMMYFUNCTION("GOOGLETRANSLATE(A2041, ""en"", ""fr"")"),"Complément # 1")</f>
        <v>Complément # 1</v>
      </c>
      <c r="C2041" s="1" t="s">
        <v>185</v>
      </c>
      <c r="D2041" s="1" t="s">
        <v>16612</v>
      </c>
      <c r="F2041" s="1" t="s">
        <v>2</v>
      </c>
      <c r="CS2041" s="1" t="s">
        <v>93</v>
      </c>
      <c r="EK2041" s="1" t="s">
        <v>137</v>
      </c>
      <c r="EN2041" s="1" t="s">
        <v>140</v>
      </c>
      <c r="GD2041" s="1" t="s">
        <v>193</v>
      </c>
      <c r="GE2041" s="1" t="s">
        <v>190</v>
      </c>
    </row>
    <row r="2042" spans="1:187" ht="11.25" customHeight="1">
      <c r="A2042" s="1" t="s">
        <v>3037</v>
      </c>
      <c r="B2042" s="1" t="str">
        <f ca="1">IFERROR(__xludf.DUMMYFUNCTION("GOOGLETRANSLATE(A2042, ""en"", ""fr"")"),"Complément # 2")</f>
        <v>Complément # 2</v>
      </c>
      <c r="C2042" s="1" t="s">
        <v>185</v>
      </c>
      <c r="D2042" s="1" t="s">
        <v>16612</v>
      </c>
      <c r="F2042" s="1" t="s">
        <v>2</v>
      </c>
      <c r="DD2042" s="1" t="s">
        <v>104</v>
      </c>
      <c r="DN2042" s="1" t="s">
        <v>114</v>
      </c>
      <c r="EK2042" s="1" t="s">
        <v>137</v>
      </c>
      <c r="EN2042" s="1" t="s">
        <v>140</v>
      </c>
      <c r="GD2042" s="1" t="s">
        <v>189</v>
      </c>
      <c r="GE2042" s="1" t="s">
        <v>190</v>
      </c>
    </row>
    <row r="2043" spans="1:187" ht="11.25" customHeight="1">
      <c r="A2043" s="1" t="s">
        <v>3038</v>
      </c>
      <c r="B2043" s="1" t="str">
        <f ca="1">IFERROR(__xludf.DUMMYFUNCTION("GOOGLETRANSLATE(A2043, ""en"", ""fr"")"),"COMPLÉMENTAIRE")</f>
        <v>COMPLÉMENTAIRE</v>
      </c>
      <c r="C2043" s="1" t="s">
        <v>192</v>
      </c>
      <c r="D2043" s="1" t="s">
        <v>16612</v>
      </c>
      <c r="CM2043" s="1" t="s">
        <v>87</v>
      </c>
      <c r="CR2043" s="1" t="s">
        <v>92</v>
      </c>
      <c r="DD2043" s="1" t="s">
        <v>104</v>
      </c>
      <c r="DR2043" s="1" t="s">
        <v>118</v>
      </c>
      <c r="GD2043" s="1" t="s">
        <v>202</v>
      </c>
      <c r="GE2043" s="1" t="s">
        <v>190</v>
      </c>
    </row>
    <row r="2044" spans="1:187" ht="11.25" customHeight="1">
      <c r="A2044" s="1" t="s">
        <v>3039</v>
      </c>
      <c r="B2044" s="1" t="str">
        <f ca="1">IFERROR(__xludf.DUMMYFUNCTION("GOOGLETRANSLATE(A2044, ""en"", ""fr"")"),"Compléter n ° 1")</f>
        <v>Compléter n ° 1</v>
      </c>
      <c r="C2044" s="1" t="s">
        <v>185</v>
      </c>
      <c r="D2044" s="1" t="s">
        <v>16612</v>
      </c>
      <c r="F2044" s="1" t="s">
        <v>2</v>
      </c>
      <c r="J2044" s="1" t="s">
        <v>6</v>
      </c>
      <c r="W2044" s="1" t="s">
        <v>19</v>
      </c>
      <c r="CS2044" s="1" t="s">
        <v>93</v>
      </c>
      <c r="FY2044" s="1" t="s">
        <v>177</v>
      </c>
      <c r="GD2044" s="1" t="s">
        <v>202</v>
      </c>
      <c r="GE2044" s="1" t="s">
        <v>3040</v>
      </c>
    </row>
    <row r="2045" spans="1:187" ht="11.25" customHeight="1">
      <c r="A2045" s="1" t="s">
        <v>3041</v>
      </c>
      <c r="B2045" s="1" t="str">
        <f ca="1">IFERROR(__xludf.DUMMYFUNCTION("GOOGLETRANSLATE(A2045, ""en"", ""fr"")"),"Compléter n ° 2")</f>
        <v>Compléter n ° 2</v>
      </c>
      <c r="C2045" s="1" t="s">
        <v>185</v>
      </c>
      <c r="D2045" s="1" t="s">
        <v>16612</v>
      </c>
      <c r="F2045" s="1" t="s">
        <v>2</v>
      </c>
      <c r="J2045" s="1" t="s">
        <v>6</v>
      </c>
      <c r="BZ2045" s="1" t="s">
        <v>74</v>
      </c>
      <c r="DN2045" s="1" t="s">
        <v>114</v>
      </c>
      <c r="GD2045" s="1" t="s">
        <v>189</v>
      </c>
      <c r="GE2045" s="1" t="s">
        <v>3042</v>
      </c>
    </row>
    <row r="2046" spans="1:187" ht="11.25" customHeight="1">
      <c r="A2046" s="1" t="s">
        <v>3043</v>
      </c>
      <c r="B2046" s="1" t="str">
        <f ca="1">IFERROR(__xludf.DUMMYFUNCTION("GOOGLETRANSLATE(A2046, ""en"", ""fr"")"),"Compléter # 3")</f>
        <v>Compléter # 3</v>
      </c>
      <c r="C2046" s="1" t="s">
        <v>185</v>
      </c>
      <c r="O2046" s="1" t="s">
        <v>11</v>
      </c>
      <c r="BZ2046" s="1" t="s">
        <v>74</v>
      </c>
      <c r="GD2046" s="1" t="s">
        <v>202</v>
      </c>
      <c r="GE2046" s="1" t="s">
        <v>3044</v>
      </c>
    </row>
    <row r="2047" spans="1:187" ht="11.25" customHeight="1">
      <c r="A2047" s="1" t="s">
        <v>3045</v>
      </c>
      <c r="B2047" s="1" t="str">
        <f ca="1">IFERROR(__xludf.DUMMYFUNCTION("GOOGLETRANSLATE(A2047, ""en"", ""fr"")"),"Compléter # 4")</f>
        <v>Compléter # 4</v>
      </c>
      <c r="C2047" s="1" t="s">
        <v>185</v>
      </c>
      <c r="J2047" s="1" t="s">
        <v>6</v>
      </c>
      <c r="W2047" s="1" t="s">
        <v>19</v>
      </c>
      <c r="CS2047" s="1" t="s">
        <v>93</v>
      </c>
      <c r="FY2047" s="1" t="s">
        <v>177</v>
      </c>
      <c r="GD2047" s="1" t="s">
        <v>236</v>
      </c>
      <c r="GE2047" s="1" t="s">
        <v>3046</v>
      </c>
    </row>
    <row r="2048" spans="1:187" ht="11.25" customHeight="1">
      <c r="A2048" s="1" t="s">
        <v>3047</v>
      </c>
      <c r="B2048" s="1" t="str">
        <f ca="1">IFERROR(__xludf.DUMMYFUNCTION("GOOGLETRANSLATE(A2048, ""en"", ""fr"")"),"Complétude")</f>
        <v>Complétude</v>
      </c>
      <c r="C2048" s="1" t="s">
        <v>185</v>
      </c>
      <c r="D2048" s="1" t="s">
        <v>16612</v>
      </c>
      <c r="F2048" s="1" t="s">
        <v>2</v>
      </c>
      <c r="U2048" s="1" t="s">
        <v>17</v>
      </c>
      <c r="W2048" s="1" t="s">
        <v>19</v>
      </c>
      <c r="CP2048" s="1" t="s">
        <v>90</v>
      </c>
      <c r="CQ2048" s="1" t="s">
        <v>91</v>
      </c>
      <c r="GD2048" s="1" t="s">
        <v>193</v>
      </c>
      <c r="GE2048" s="1" t="s">
        <v>190</v>
      </c>
    </row>
    <row r="2049" spans="1:187" ht="11.25" customHeight="1">
      <c r="A2049" s="1" t="s">
        <v>3048</v>
      </c>
      <c r="B2049" s="1" t="str">
        <f ca="1">IFERROR(__xludf.DUMMYFUNCTION("GOOGLETRANSLATE(A2049, ""en"", ""fr"")"),"ACHÈVEMENT")</f>
        <v>ACHÈVEMENT</v>
      </c>
      <c r="C2049" s="1" t="s">
        <v>185</v>
      </c>
      <c r="D2049" s="1" t="s">
        <v>16612</v>
      </c>
      <c r="F2049" s="1" t="s">
        <v>2</v>
      </c>
      <c r="BZ2049" s="1" t="s">
        <v>74</v>
      </c>
      <c r="GD2049" s="1" t="s">
        <v>193</v>
      </c>
      <c r="GE2049" s="1" t="s">
        <v>190</v>
      </c>
    </row>
    <row r="2050" spans="1:187" ht="11.25" customHeight="1">
      <c r="A2050" s="1" t="s">
        <v>3049</v>
      </c>
      <c r="B2050" s="1" t="str">
        <f ca="1">IFERROR(__xludf.DUMMYFUNCTION("GOOGLETRANSLATE(A2050, ""en"", ""fr"")"),"COMPLEXE")</f>
        <v>COMPLEXE</v>
      </c>
      <c r="C2050" s="1" t="s">
        <v>185</v>
      </c>
      <c r="E2050" s="1" t="s">
        <v>16613</v>
      </c>
      <c r="H2050" s="1" t="s">
        <v>4</v>
      </c>
      <c r="W2050" s="1" t="s">
        <v>19</v>
      </c>
      <c r="CH2050" s="1" t="s">
        <v>82</v>
      </c>
      <c r="CN2050" s="1" t="s">
        <v>88</v>
      </c>
      <c r="FH2050" s="1" t="s">
        <v>160</v>
      </c>
      <c r="FI2050" s="1" t="s">
        <v>161</v>
      </c>
      <c r="GD2050" s="1" t="s">
        <v>202</v>
      </c>
      <c r="GE2050" s="1" t="s">
        <v>190</v>
      </c>
    </row>
    <row r="2051" spans="1:187" ht="11.25" customHeight="1">
      <c r="A2051" s="1" t="s">
        <v>3050</v>
      </c>
      <c r="B2051" s="1" t="str">
        <f ca="1">IFERROR(__xludf.DUMMYFUNCTION("GOOGLETRANSLATE(A2051, ""en"", ""fr"")"),"COMPLEXITÉ")</f>
        <v>COMPLEXITÉ</v>
      </c>
      <c r="C2051" s="1" t="s">
        <v>185</v>
      </c>
      <c r="E2051" s="1" t="s">
        <v>16613</v>
      </c>
      <c r="H2051" s="1" t="s">
        <v>4</v>
      </c>
      <c r="W2051" s="1" t="s">
        <v>19</v>
      </c>
      <c r="CH2051" s="1" t="s">
        <v>82</v>
      </c>
      <c r="CP2051" s="1" t="s">
        <v>90</v>
      </c>
      <c r="CQ2051" s="1" t="s">
        <v>91</v>
      </c>
      <c r="FH2051" s="1" t="s">
        <v>160</v>
      </c>
      <c r="FI2051" s="1" t="s">
        <v>161</v>
      </c>
      <c r="GD2051" s="1" t="s">
        <v>193</v>
      </c>
      <c r="GE2051" s="1" t="s">
        <v>190</v>
      </c>
    </row>
    <row r="2052" spans="1:187" ht="11.25" customHeight="1">
      <c r="A2052" s="1" t="s">
        <v>3051</v>
      </c>
      <c r="B2052" s="1" t="str">
        <f ca="1">IFERROR(__xludf.DUMMYFUNCTION("GOOGLETRANSLATE(A2052, ""en"", ""fr"")"),"CONFORMITÉ")</f>
        <v>CONFORMITÉ</v>
      </c>
      <c r="C2052" s="1" t="s">
        <v>185</v>
      </c>
      <c r="D2052" s="1" t="s">
        <v>16612</v>
      </c>
      <c r="G2052" s="1" t="s">
        <v>3</v>
      </c>
      <c r="AN2052" s="1" t="s">
        <v>36</v>
      </c>
      <c r="BK2052" s="1" t="s">
        <v>59</v>
      </c>
      <c r="DX2052" s="1" t="s">
        <v>124</v>
      </c>
      <c r="ED2052" s="1" t="s">
        <v>130</v>
      </c>
      <c r="GD2052" s="1" t="s">
        <v>193</v>
      </c>
      <c r="GE2052" s="1" t="s">
        <v>190</v>
      </c>
    </row>
    <row r="2053" spans="1:187" ht="11.25" customHeight="1">
      <c r="A2053" s="1" t="s">
        <v>3052</v>
      </c>
      <c r="B2053" s="1" t="str">
        <f ca="1">IFERROR(__xludf.DUMMYFUNCTION("GOOGLETRANSLATE(A2053, ""en"", ""fr"")"),"Compliquer # 1")</f>
        <v>Compliquer # 1</v>
      </c>
      <c r="C2053" s="1" t="s">
        <v>185</v>
      </c>
      <c r="E2053" s="1" t="s">
        <v>16613</v>
      </c>
      <c r="H2053" s="1" t="s">
        <v>4</v>
      </c>
      <c r="CH2053" s="1" t="s">
        <v>82</v>
      </c>
      <c r="GD2053" s="1" t="s">
        <v>202</v>
      </c>
      <c r="GE2053" s="1" t="s">
        <v>190</v>
      </c>
    </row>
    <row r="2054" spans="1:187" ht="11.25" customHeight="1">
      <c r="A2054" s="1" t="s">
        <v>3053</v>
      </c>
      <c r="B2054" s="1" t="str">
        <f ca="1">IFERROR(__xludf.DUMMYFUNCTION("GOOGLETRANSLATE(A2054, ""en"", ""fr"")"),"Compliquer # 2")</f>
        <v>Compliquer # 2</v>
      </c>
      <c r="C2054" s="1" t="s">
        <v>185</v>
      </c>
      <c r="E2054" s="1" t="s">
        <v>16613</v>
      </c>
      <c r="H2054" s="1" t="s">
        <v>4</v>
      </c>
      <c r="CO2054" s="1" t="s">
        <v>89</v>
      </c>
      <c r="DN2054" s="1" t="s">
        <v>114</v>
      </c>
      <c r="GD2054" s="1" t="s">
        <v>189</v>
      </c>
      <c r="GE2054" s="1" t="s">
        <v>190</v>
      </c>
    </row>
    <row r="2055" spans="1:187" ht="11.25" customHeight="1">
      <c r="A2055" s="1" t="s">
        <v>3054</v>
      </c>
      <c r="B2055" s="1" t="str">
        <f ca="1">IFERROR(__xludf.DUMMYFUNCTION("GOOGLETRANSLATE(A2055, ""en"", ""fr"")"),"COMPLICATION")</f>
        <v>COMPLICATION</v>
      </c>
      <c r="C2055" s="1" t="s">
        <v>185</v>
      </c>
      <c r="E2055" s="1" t="s">
        <v>16613</v>
      </c>
      <c r="H2055" s="1" t="s">
        <v>4</v>
      </c>
      <c r="V2055" s="1" t="s">
        <v>18</v>
      </c>
      <c r="GD2055" s="1" t="s">
        <v>193</v>
      </c>
      <c r="GE2055" s="1" t="s">
        <v>190</v>
      </c>
    </row>
    <row r="2056" spans="1:187" ht="11.25" customHeight="1">
      <c r="A2056" s="1" t="s">
        <v>3055</v>
      </c>
      <c r="B2056" s="1" t="str">
        <f ca="1">IFERROR(__xludf.DUMMYFUNCTION("GOOGLETRANSLATE(A2056, ""en"", ""fr"")"),"COMPLICITÉ")</f>
        <v>COMPLICITÉ</v>
      </c>
      <c r="C2056" s="1" t="s">
        <v>185</v>
      </c>
      <c r="E2056" s="1" t="s">
        <v>16613</v>
      </c>
      <c r="H2056" s="1" t="s">
        <v>4</v>
      </c>
      <c r="O2056" s="1" t="s">
        <v>11</v>
      </c>
      <c r="V2056" s="1" t="s">
        <v>18</v>
      </c>
      <c r="GD2056" s="1" t="s">
        <v>193</v>
      </c>
      <c r="GE2056" s="1" t="s">
        <v>190</v>
      </c>
    </row>
    <row r="2057" spans="1:187" ht="11.25" customHeight="1">
      <c r="A2057" s="1" t="s">
        <v>3056</v>
      </c>
      <c r="B2057" s="1" t="str">
        <f ca="1">IFERROR(__xludf.DUMMYFUNCTION("GOOGLETRANSLATE(A2057, ""en"", ""fr"")"),"COMPLIMENT")</f>
        <v>COMPLIMENT</v>
      </c>
      <c r="C2057" s="1" t="s">
        <v>192</v>
      </c>
      <c r="D2057" s="1" t="s">
        <v>16612</v>
      </c>
      <c r="G2057" s="1" t="s">
        <v>3</v>
      </c>
      <c r="N2057" s="1" t="s">
        <v>10</v>
      </c>
      <c r="BK2057" s="1" t="s">
        <v>59</v>
      </c>
      <c r="DN2057" s="1" t="s">
        <v>114</v>
      </c>
      <c r="GD2057" s="1" t="s">
        <v>189</v>
      </c>
      <c r="GE2057" s="1" t="s">
        <v>190</v>
      </c>
    </row>
    <row r="2058" spans="1:187" ht="11.25" customHeight="1">
      <c r="A2058" s="1" t="s">
        <v>3057</v>
      </c>
      <c r="B2058" s="1" t="str">
        <f ca="1">IFERROR(__xludf.DUMMYFUNCTION("GOOGLETRANSLATE(A2058, ""en"", ""fr"")"),"SE CONFORMER")</f>
        <v>SE CONFORMER</v>
      </c>
      <c r="C2058" s="1" t="s">
        <v>185</v>
      </c>
      <c r="M2058" s="1" t="s">
        <v>9</v>
      </c>
      <c r="O2058" s="1" t="s">
        <v>11</v>
      </c>
      <c r="AN2058" s="1" t="s">
        <v>36</v>
      </c>
      <c r="DN2058" s="1" t="s">
        <v>114</v>
      </c>
      <c r="DX2058" s="1" t="s">
        <v>124</v>
      </c>
      <c r="ED2058" s="1" t="s">
        <v>130</v>
      </c>
      <c r="GD2058" s="1" t="s">
        <v>189</v>
      </c>
      <c r="GE2058" s="1" t="s">
        <v>190</v>
      </c>
    </row>
    <row r="2059" spans="1:187" ht="11.25" customHeight="1">
      <c r="A2059" s="1" t="s">
        <v>3058</v>
      </c>
      <c r="B2059" s="1" t="str">
        <f ca="1">IFERROR(__xludf.DUMMYFUNCTION("GOOGLETRANSLATE(A2059, ""en"", ""fr"")"),"COMPOSANT")</f>
        <v>COMPOSANT</v>
      </c>
      <c r="C2059" s="1" t="s">
        <v>185</v>
      </c>
      <c r="BC2059" s="1" t="s">
        <v>51</v>
      </c>
      <c r="BD2059" s="1" t="s">
        <v>52</v>
      </c>
      <c r="FQ2059" s="1" t="s">
        <v>169</v>
      </c>
      <c r="GD2059" s="1" t="s">
        <v>193</v>
      </c>
      <c r="GE2059" s="1" t="s">
        <v>190</v>
      </c>
    </row>
    <row r="2060" spans="1:187" ht="11.25" customHeight="1">
      <c r="A2060" s="1" t="s">
        <v>3059</v>
      </c>
      <c r="B2060" s="1" t="str">
        <f ca="1">IFERROR(__xludf.DUMMYFUNCTION("GOOGLETRANSLATE(A2060, ""en"", ""fr"")"),"COMPOSER")</f>
        <v>COMPOSER</v>
      </c>
      <c r="C2060" s="1" t="s">
        <v>196</v>
      </c>
      <c r="FL2060" s="1" t="s">
        <v>164</v>
      </c>
      <c r="FM2060" s="1" t="s">
        <v>418</v>
      </c>
      <c r="GD2060" s="1" t="s">
        <v>189</v>
      </c>
    </row>
    <row r="2061" spans="1:187" ht="11.25" customHeight="1">
      <c r="A2061" s="1" t="s">
        <v>3060</v>
      </c>
      <c r="B2061" s="1" t="str">
        <f ca="1">IFERROR(__xludf.DUMMYFUNCTION("GOOGLETRANSLATE(A2061, ""en"", ""fr"")"),"COMPOSITEUR")</f>
        <v>COMPOSITEUR</v>
      </c>
      <c r="C2061" s="1" t="s">
        <v>185</v>
      </c>
      <c r="AD2061" s="1" t="s">
        <v>26</v>
      </c>
      <c r="AJ2061" s="1" t="s">
        <v>32</v>
      </c>
      <c r="AT2061" s="1" t="s">
        <v>42</v>
      </c>
      <c r="FK2061" s="1" t="s">
        <v>163</v>
      </c>
      <c r="FM2061" s="1" t="s">
        <v>418</v>
      </c>
      <c r="GD2061" s="1" t="s">
        <v>193</v>
      </c>
      <c r="GE2061" s="1" t="s">
        <v>190</v>
      </c>
    </row>
    <row r="2062" spans="1:187" ht="11.25" customHeight="1">
      <c r="A2062" s="1" t="s">
        <v>3061</v>
      </c>
      <c r="B2062" s="1" t="str">
        <f ca="1">IFERROR(__xludf.DUMMYFUNCTION("GOOGLETRANSLATE(A2062, ""en"", ""fr"")"),"COMPOSITE")</f>
        <v>COMPOSITE</v>
      </c>
      <c r="C2062" s="1" t="s">
        <v>185</v>
      </c>
      <c r="CR2062" s="1" t="s">
        <v>92</v>
      </c>
      <c r="GD2062" s="1" t="s">
        <v>202</v>
      </c>
      <c r="GE2062" s="1" t="s">
        <v>190</v>
      </c>
    </row>
    <row r="2063" spans="1:187" ht="11.25" customHeight="1">
      <c r="A2063" s="1" t="s">
        <v>3062</v>
      </c>
      <c r="B2063" s="1" t="str">
        <f ca="1">IFERROR(__xludf.DUMMYFUNCTION("GOOGLETRANSLATE(A2063, ""en"", ""fr"")"),"COMPOSITION")</f>
        <v>COMPOSITION</v>
      </c>
      <c r="C2063" s="1" t="s">
        <v>196</v>
      </c>
      <c r="GD2063" s="1" t="s">
        <v>193</v>
      </c>
    </row>
    <row r="2064" spans="1:187" ht="11.25" customHeight="1">
      <c r="A2064" s="1" t="s">
        <v>3063</v>
      </c>
      <c r="B2064" s="1" t="str">
        <f ca="1">IFERROR(__xludf.DUMMYFUNCTION("GOOGLETRANSLATE(A2064, ""en"", ""fr"")"),"CALME")</f>
        <v>CALME</v>
      </c>
      <c r="C2064" s="1" t="s">
        <v>192</v>
      </c>
      <c r="D2064" s="1" t="s">
        <v>16612</v>
      </c>
      <c r="J2064" s="1" t="s">
        <v>6</v>
      </c>
      <c r="U2064" s="1" t="s">
        <v>17</v>
      </c>
      <c r="GD2064" s="1" t="s">
        <v>193</v>
      </c>
      <c r="GE2064" s="1" t="s">
        <v>190</v>
      </c>
    </row>
    <row r="2065" spans="1:187" ht="11.25" customHeight="1">
      <c r="A2065" s="1" t="s">
        <v>3064</v>
      </c>
      <c r="B2065" s="1" t="str">
        <f ca="1">IFERROR(__xludf.DUMMYFUNCTION("GOOGLETRANSLATE(A2065, ""en"", ""fr"")"),"Composé n ° 1")</f>
        <v>Composé n ° 1</v>
      </c>
      <c r="C2065" s="1" t="s">
        <v>185</v>
      </c>
      <c r="J2065" s="1" t="s">
        <v>6</v>
      </c>
      <c r="DD2065" s="1" t="s">
        <v>104</v>
      </c>
      <c r="GD2065" s="1" t="s">
        <v>193</v>
      </c>
      <c r="GE2065" s="1" t="s">
        <v>190</v>
      </c>
    </row>
    <row r="2066" spans="1:187" ht="11.25" customHeight="1">
      <c r="A2066" s="1" t="s">
        <v>3065</v>
      </c>
      <c r="B2066" s="1" t="str">
        <f ca="1">IFERROR(__xludf.DUMMYFUNCTION("GOOGLETRANSLATE(A2066, ""en"", ""fr"")"),"Composé n ° 2")</f>
        <v>Composé n ° 2</v>
      </c>
      <c r="C2066" s="1" t="s">
        <v>185</v>
      </c>
      <c r="J2066" s="1" t="s">
        <v>6</v>
      </c>
      <c r="AL2066" s="1" t="s">
        <v>34</v>
      </c>
      <c r="DN2066" s="1" t="s">
        <v>114</v>
      </c>
      <c r="GD2066" s="1" t="s">
        <v>189</v>
      </c>
      <c r="GE2066" s="1" t="s">
        <v>190</v>
      </c>
    </row>
    <row r="2067" spans="1:187" ht="11.25" customHeight="1">
      <c r="A2067" s="1" t="s">
        <v>3066</v>
      </c>
      <c r="B2067" s="1" t="str">
        <f ca="1">IFERROR(__xludf.DUMMYFUNCTION("GOOGLETRANSLATE(A2067, ""en"", ""fr"")"),"COMPRENDRE")</f>
        <v>COMPRENDRE</v>
      </c>
      <c r="C2067" s="1" t="s">
        <v>185</v>
      </c>
      <c r="D2067" s="1" t="s">
        <v>16612</v>
      </c>
      <c r="N2067" s="1" t="s">
        <v>10</v>
      </c>
      <c r="CH2067" s="1" t="s">
        <v>82</v>
      </c>
      <c r="CK2067" s="1" t="s">
        <v>85</v>
      </c>
      <c r="DP2067" s="1" t="s">
        <v>116</v>
      </c>
      <c r="FH2067" s="1" t="s">
        <v>160</v>
      </c>
      <c r="FI2067" s="1" t="s">
        <v>161</v>
      </c>
      <c r="GD2067" s="1" t="s">
        <v>189</v>
      </c>
      <c r="GE2067" s="1" t="s">
        <v>190</v>
      </c>
    </row>
    <row r="2068" spans="1:187" ht="11.25" customHeight="1">
      <c r="A2068" s="1" t="s">
        <v>3067</v>
      </c>
      <c r="B2068" s="1" t="str">
        <f ca="1">IFERROR(__xludf.DUMMYFUNCTION("GOOGLETRANSLATE(A2068, ""en"", ""fr"")"),"COMPRÉHENSION")</f>
        <v>COMPRÉHENSION</v>
      </c>
      <c r="C2068" s="1" t="s">
        <v>185</v>
      </c>
      <c r="D2068" s="1" t="s">
        <v>16612</v>
      </c>
      <c r="F2068" s="1" t="s">
        <v>2</v>
      </c>
      <c r="CH2068" s="1" t="s">
        <v>82</v>
      </c>
      <c r="FD2068" s="1" t="s">
        <v>156</v>
      </c>
      <c r="FI2068" s="1" t="s">
        <v>161</v>
      </c>
      <c r="GD2068" s="1" t="s">
        <v>193</v>
      </c>
      <c r="GE2068" s="1" t="s">
        <v>190</v>
      </c>
    </row>
    <row r="2069" spans="1:187" ht="11.25" customHeight="1">
      <c r="A2069" s="1" t="s">
        <v>3068</v>
      </c>
      <c r="B2069" s="1" t="str">
        <f ca="1">IFERROR(__xludf.DUMMYFUNCTION("GOOGLETRANSLATE(A2069, ""en"", ""fr"")"),"COMPLET")</f>
        <v>COMPLET</v>
      </c>
      <c r="C2069" s="1" t="s">
        <v>185</v>
      </c>
      <c r="D2069" s="1" t="s">
        <v>16612</v>
      </c>
      <c r="W2069" s="1" t="s">
        <v>19</v>
      </c>
      <c r="BS2069" s="1" t="s">
        <v>67</v>
      </c>
      <c r="DR2069" s="1" t="s">
        <v>118</v>
      </c>
      <c r="GD2069" s="1" t="s">
        <v>202</v>
      </c>
      <c r="GE2069" s="1" t="s">
        <v>190</v>
      </c>
    </row>
    <row r="2070" spans="1:187" ht="11.25" customHeight="1">
      <c r="A2070" s="1" t="s">
        <v>3069</v>
      </c>
      <c r="B2070" s="1" t="str">
        <f ca="1">IFERROR(__xludf.DUMMYFUNCTION("GOOGLETRANSLATE(A2070, ""en"", ""fr"")"),"Compress # 1")</f>
        <v>Compress # 1</v>
      </c>
      <c r="C2070" s="1" t="s">
        <v>185</v>
      </c>
      <c r="J2070" s="1" t="s">
        <v>6</v>
      </c>
      <c r="N2070" s="1" t="s">
        <v>10</v>
      </c>
      <c r="DA2070" s="1" t="s">
        <v>101</v>
      </c>
      <c r="GD2070" s="1" t="s">
        <v>202</v>
      </c>
      <c r="GE2070" s="1" t="s">
        <v>190</v>
      </c>
    </row>
    <row r="2071" spans="1:187" ht="11.25" customHeight="1">
      <c r="A2071" s="1" t="s">
        <v>3070</v>
      </c>
      <c r="B2071" s="1" t="str">
        <f ca="1">IFERROR(__xludf.DUMMYFUNCTION("GOOGLETRANSLATE(A2071, ""en"", ""fr"")"),"Compress # 2")</f>
        <v>Compress # 2</v>
      </c>
      <c r="C2071" s="1" t="s">
        <v>185</v>
      </c>
      <c r="J2071" s="1" t="s">
        <v>6</v>
      </c>
      <c r="N2071" s="1" t="s">
        <v>10</v>
      </c>
      <c r="DD2071" s="1" t="s">
        <v>104</v>
      </c>
      <c r="DN2071" s="1" t="s">
        <v>114</v>
      </c>
      <c r="GD2071" s="1" t="s">
        <v>189</v>
      </c>
      <c r="GE2071" s="1" t="s">
        <v>190</v>
      </c>
    </row>
    <row r="2072" spans="1:187" ht="11.25" customHeight="1">
      <c r="A2072" s="1" t="s">
        <v>3071</v>
      </c>
      <c r="B2072" s="1" t="str">
        <f ca="1">IFERROR(__xludf.DUMMYFUNCTION("GOOGLETRANSLATE(A2072, ""en"", ""fr"")"),"COMPRESSION")</f>
        <v>COMPRESSION</v>
      </c>
      <c r="C2072" s="1" t="s">
        <v>185</v>
      </c>
      <c r="J2072" s="1" t="s">
        <v>6</v>
      </c>
      <c r="N2072" s="1" t="s">
        <v>10</v>
      </c>
      <c r="BU2072" s="1" t="s">
        <v>69</v>
      </c>
      <c r="GD2072" s="1" t="s">
        <v>193</v>
      </c>
      <c r="GE2072" s="1" t="s">
        <v>190</v>
      </c>
    </row>
    <row r="2073" spans="1:187" ht="11.25" customHeight="1">
      <c r="A2073" s="1" t="s">
        <v>3072</v>
      </c>
      <c r="B2073" s="1" t="str">
        <f ca="1">IFERROR(__xludf.DUMMYFUNCTION("GOOGLETRANSLATE(A2073, ""en"", ""fr"")"),"COMPRENDRE")</f>
        <v>COMPRENDRE</v>
      </c>
      <c r="C2073" s="1" t="s">
        <v>185</v>
      </c>
      <c r="O2073" s="1" t="s">
        <v>11</v>
      </c>
      <c r="DD2073" s="1" t="s">
        <v>104</v>
      </c>
      <c r="DN2073" s="1" t="s">
        <v>114</v>
      </c>
      <c r="GD2073" s="1" t="s">
        <v>189</v>
      </c>
      <c r="GE2073" s="1" t="s">
        <v>190</v>
      </c>
    </row>
    <row r="2074" spans="1:187" ht="11.25" customHeight="1">
      <c r="A2074" s="1" t="s">
        <v>3073</v>
      </c>
      <c r="B2074" s="1" t="str">
        <f ca="1">IFERROR(__xludf.DUMMYFUNCTION("GOOGLETRANSLATE(A2074, ""en"", ""fr"")"),"Compromis n ° 1")</f>
        <v>Compromis n ° 1</v>
      </c>
      <c r="C2074" s="1" t="s">
        <v>185</v>
      </c>
      <c r="D2074" s="1" t="s">
        <v>16612</v>
      </c>
      <c r="F2074" s="1" t="s">
        <v>2</v>
      </c>
      <c r="M2074" s="1" t="s">
        <v>9</v>
      </c>
      <c r="O2074" s="1" t="s">
        <v>11</v>
      </c>
      <c r="AH2074" s="1" t="s">
        <v>30</v>
      </c>
      <c r="AN2074" s="1" t="s">
        <v>36</v>
      </c>
      <c r="DX2074" s="1" t="s">
        <v>124</v>
      </c>
      <c r="ED2074" s="1" t="s">
        <v>130</v>
      </c>
      <c r="GD2074" s="1" t="s">
        <v>202</v>
      </c>
      <c r="GE2074" s="1" t="s">
        <v>190</v>
      </c>
    </row>
    <row r="2075" spans="1:187" ht="11.25" customHeight="1">
      <c r="A2075" s="1" t="s">
        <v>3074</v>
      </c>
      <c r="B2075" s="1" t="str">
        <f ca="1">IFERROR(__xludf.DUMMYFUNCTION("GOOGLETRANSLATE(A2075, ""en"", ""fr"")"),"Compromis n ° 2")</f>
        <v>Compromis n ° 2</v>
      </c>
      <c r="C2075" s="1" t="s">
        <v>185</v>
      </c>
      <c r="D2075" s="1" t="s">
        <v>16612</v>
      </c>
      <c r="F2075" s="1" t="s">
        <v>2</v>
      </c>
      <c r="M2075" s="1" t="s">
        <v>9</v>
      </c>
      <c r="O2075" s="1" t="s">
        <v>11</v>
      </c>
      <c r="AN2075" s="1" t="s">
        <v>36</v>
      </c>
      <c r="DN2075" s="1" t="s">
        <v>114</v>
      </c>
      <c r="DX2075" s="1" t="s">
        <v>124</v>
      </c>
      <c r="ED2075" s="1" t="s">
        <v>130</v>
      </c>
      <c r="GD2075" s="1" t="s">
        <v>189</v>
      </c>
      <c r="GE2075" s="1" t="s">
        <v>190</v>
      </c>
    </row>
    <row r="2076" spans="1:187" ht="11.25" customHeight="1">
      <c r="A2076" s="1" t="s">
        <v>3075</v>
      </c>
      <c r="B2076" s="1" t="str">
        <f ca="1">IFERROR(__xludf.DUMMYFUNCTION("GOOGLETRANSLATE(A2076, ""en"", ""fr"")"),"COMPULSION")</f>
        <v>COMPULSION</v>
      </c>
      <c r="C2076" s="1" t="s">
        <v>185</v>
      </c>
      <c r="E2076" s="1" t="s">
        <v>16613</v>
      </c>
      <c r="H2076" s="1" t="s">
        <v>4</v>
      </c>
      <c r="I2076" s="1" t="s">
        <v>5</v>
      </c>
      <c r="J2076" s="1" t="s">
        <v>6</v>
      </c>
      <c r="K2076" s="1" t="s">
        <v>7</v>
      </c>
      <c r="N2076" s="1" t="s">
        <v>10</v>
      </c>
      <c r="BQ2076" s="1" t="s">
        <v>65</v>
      </c>
      <c r="GD2076" s="1" t="s">
        <v>193</v>
      </c>
      <c r="GE2076" s="1" t="s">
        <v>190</v>
      </c>
    </row>
    <row r="2077" spans="1:187" ht="11.25" customHeight="1">
      <c r="A2077" s="1" t="s">
        <v>3076</v>
      </c>
      <c r="B2077" s="1" t="str">
        <f ca="1">IFERROR(__xludf.DUMMYFUNCTION("GOOGLETRANSLATE(A2077, ""en"", ""fr"")"),"COMPULSIF")</f>
        <v>COMPULSIF</v>
      </c>
      <c r="C2077" s="1" t="s">
        <v>196</v>
      </c>
      <c r="FA2077" s="1" t="s">
        <v>153</v>
      </c>
      <c r="FC2077" s="1" t="s">
        <v>155</v>
      </c>
      <c r="GD2077" s="1" t="s">
        <v>202</v>
      </c>
    </row>
    <row r="2078" spans="1:187" ht="11.25" customHeight="1">
      <c r="A2078" s="1" t="s">
        <v>3077</v>
      </c>
      <c r="B2078" s="1" t="str">
        <f ca="1">IFERROR(__xludf.DUMMYFUNCTION("GOOGLETRANSLATE(A2078, ""en"", ""fr"")"),"OBLIGATOIRE")</f>
        <v>OBLIGATOIRE</v>
      </c>
      <c r="C2078" s="1" t="s">
        <v>196</v>
      </c>
      <c r="DT2078" s="1" t="s">
        <v>120</v>
      </c>
      <c r="ED2078" s="1" t="s">
        <v>130</v>
      </c>
      <c r="GD2078" s="1" t="s">
        <v>202</v>
      </c>
    </row>
    <row r="2079" spans="1:187" ht="11.25" customHeight="1">
      <c r="A2079" s="1" t="s">
        <v>3078</v>
      </c>
      <c r="B2079" s="1" t="str">
        <f ca="1">IFERROR(__xludf.DUMMYFUNCTION("GOOGLETRANSLATE(A2079, ""en"", ""fr"")"),"CALCULER")</f>
        <v>CALCULER</v>
      </c>
      <c r="C2079" s="1" t="s">
        <v>185</v>
      </c>
      <c r="N2079" s="1" t="s">
        <v>10</v>
      </c>
      <c r="CO2079" s="1" t="s">
        <v>89</v>
      </c>
      <c r="DN2079" s="1" t="s">
        <v>114</v>
      </c>
      <c r="FD2079" s="1" t="s">
        <v>156</v>
      </c>
      <c r="FI2079" s="1" t="s">
        <v>161</v>
      </c>
      <c r="GD2079" s="1" t="s">
        <v>189</v>
      </c>
      <c r="GE2079" s="1" t="s">
        <v>190</v>
      </c>
    </row>
    <row r="2080" spans="1:187" ht="11.25" customHeight="1">
      <c r="A2080" s="1" t="s">
        <v>3079</v>
      </c>
      <c r="B2080" s="1" t="str">
        <f ca="1">IFERROR(__xludf.DUMMYFUNCTION("GOOGLETRANSLATE(A2080, ""en"", ""fr"")"),"ORDINATEUR")</f>
        <v>ORDINATEUR</v>
      </c>
      <c r="C2080" s="1" t="s">
        <v>185</v>
      </c>
      <c r="AC2080" s="1" t="s">
        <v>25</v>
      </c>
      <c r="BC2080" s="1" t="s">
        <v>51</v>
      </c>
      <c r="BD2080" s="1" t="s">
        <v>52</v>
      </c>
      <c r="FH2080" s="1" t="s">
        <v>160</v>
      </c>
      <c r="FI2080" s="1" t="s">
        <v>161</v>
      </c>
      <c r="GD2080" s="1" t="s">
        <v>193</v>
      </c>
      <c r="GE2080" s="1" t="s">
        <v>190</v>
      </c>
    </row>
    <row r="2081" spans="1:187" ht="11.25" customHeight="1">
      <c r="A2081" s="1" t="s">
        <v>3080</v>
      </c>
      <c r="B2081" s="1" t="str">
        <f ca="1">IFERROR(__xludf.DUMMYFUNCTION("GOOGLETRANSLATE(A2081, ""en"", ""fr"")"),"CACHER")</f>
        <v>CACHER</v>
      </c>
      <c r="C2081" s="1" t="s">
        <v>185</v>
      </c>
      <c r="E2081" s="1" t="s">
        <v>16613</v>
      </c>
      <c r="H2081" s="1" t="s">
        <v>4</v>
      </c>
      <c r="I2081" s="1" t="s">
        <v>5</v>
      </c>
      <c r="AN2081" s="1" t="s">
        <v>36</v>
      </c>
      <c r="DN2081" s="1" t="s">
        <v>114</v>
      </c>
      <c r="FH2081" s="1" t="s">
        <v>160</v>
      </c>
      <c r="FI2081" s="1" t="s">
        <v>161</v>
      </c>
      <c r="GD2081" s="1" t="s">
        <v>189</v>
      </c>
      <c r="GE2081" s="1" t="s">
        <v>190</v>
      </c>
    </row>
    <row r="2082" spans="1:187" ht="11.25" customHeight="1">
      <c r="A2082" s="1" t="s">
        <v>3081</v>
      </c>
      <c r="B2082" s="1" t="str">
        <f ca="1">IFERROR(__xludf.DUMMYFUNCTION("GOOGLETRANSLATE(A2082, ""en"", ""fr"")"),"CONCÉDER")</f>
        <v>CONCÉDER</v>
      </c>
      <c r="C2082" s="1" t="s">
        <v>185</v>
      </c>
      <c r="L2082" s="1" t="s">
        <v>8</v>
      </c>
      <c r="M2082" s="1" t="s">
        <v>9</v>
      </c>
      <c r="O2082" s="1" t="s">
        <v>11</v>
      </c>
      <c r="BK2082" s="1" t="s">
        <v>59</v>
      </c>
      <c r="DN2082" s="1" t="s">
        <v>114</v>
      </c>
      <c r="DT2082" s="1" t="s">
        <v>120</v>
      </c>
      <c r="ED2082" s="1" t="s">
        <v>130</v>
      </c>
      <c r="GD2082" s="1" t="s">
        <v>189</v>
      </c>
      <c r="GE2082" s="1" t="s">
        <v>190</v>
      </c>
    </row>
    <row r="2083" spans="1:187" ht="11.25" customHeight="1">
      <c r="A2083" s="1" t="s">
        <v>3082</v>
      </c>
      <c r="B2083" s="1" t="str">
        <f ca="1">IFERROR(__xludf.DUMMYFUNCTION("GOOGLETRANSLATE(A2083, ""en"", ""fr"")"),"VANITÉ")</f>
        <v>VANITÉ</v>
      </c>
      <c r="C2083" s="1" t="s">
        <v>192</v>
      </c>
      <c r="E2083" s="1" t="s">
        <v>16613</v>
      </c>
      <c r="I2083" s="1" t="s">
        <v>5</v>
      </c>
      <c r="K2083" s="1" t="s">
        <v>7</v>
      </c>
      <c r="V2083" s="1" t="s">
        <v>18</v>
      </c>
      <c r="GD2083" s="1" t="s">
        <v>193</v>
      </c>
      <c r="GE2083" s="1" t="s">
        <v>190</v>
      </c>
    </row>
    <row r="2084" spans="1:187" ht="11.25" customHeight="1">
      <c r="A2084" s="1" t="s">
        <v>3083</v>
      </c>
      <c r="B2084" s="1" t="str">
        <f ca="1">IFERROR(__xludf.DUMMYFUNCTION("GOOGLETRANSLATE(A2084, ""en"", ""fr"")"),"CONCEVABLE")</f>
        <v>CONCEVABLE</v>
      </c>
      <c r="C2084" s="1" t="s">
        <v>185</v>
      </c>
      <c r="O2084" s="1" t="s">
        <v>11</v>
      </c>
      <c r="X2084" s="1" t="s">
        <v>20</v>
      </c>
      <c r="CH2084" s="1" t="s">
        <v>82</v>
      </c>
      <c r="FH2084" s="1" t="s">
        <v>160</v>
      </c>
      <c r="FI2084" s="1" t="s">
        <v>161</v>
      </c>
      <c r="GD2084" s="1" t="s">
        <v>202</v>
      </c>
      <c r="GE2084" s="1" t="s">
        <v>190</v>
      </c>
    </row>
    <row r="2085" spans="1:187" ht="11.25" customHeight="1">
      <c r="A2085" s="1" t="s">
        <v>3084</v>
      </c>
      <c r="B2085" s="1" t="str">
        <f ca="1">IFERROR(__xludf.DUMMYFUNCTION("GOOGLETRANSLATE(A2085, ""en"", ""fr"")"),"CONCEVOIR")</f>
        <v>CONCEVOIR</v>
      </c>
      <c r="C2085" s="1" t="s">
        <v>185</v>
      </c>
      <c r="O2085" s="1" t="s">
        <v>11</v>
      </c>
      <c r="CO2085" s="1" t="s">
        <v>89</v>
      </c>
      <c r="DN2085" s="1" t="s">
        <v>114</v>
      </c>
      <c r="FD2085" s="1" t="s">
        <v>156</v>
      </c>
      <c r="FI2085" s="1" t="s">
        <v>161</v>
      </c>
      <c r="GD2085" s="1" t="s">
        <v>189</v>
      </c>
      <c r="GE2085" s="1" t="s">
        <v>190</v>
      </c>
    </row>
    <row r="2086" spans="1:187" ht="11.25" customHeight="1">
      <c r="A2086" s="1" t="s">
        <v>3085</v>
      </c>
      <c r="B2086" s="1" t="str">
        <f ca="1">IFERROR(__xludf.DUMMYFUNCTION("GOOGLETRANSLATE(A2086, ""en"", ""fr"")"),"Concentré n ° 1")</f>
        <v>Concentré n ° 1</v>
      </c>
      <c r="C2086" s="1" t="s">
        <v>185</v>
      </c>
      <c r="J2086" s="1" t="s">
        <v>6</v>
      </c>
      <c r="N2086" s="1" t="s">
        <v>10</v>
      </c>
      <c r="BU2086" s="1" t="s">
        <v>69</v>
      </c>
      <c r="GD2086" s="1" t="s">
        <v>193</v>
      </c>
      <c r="GE2086" s="1" t="s">
        <v>190</v>
      </c>
    </row>
    <row r="2087" spans="1:187" ht="11.25" customHeight="1">
      <c r="A2087" s="1" t="s">
        <v>3086</v>
      </c>
      <c r="B2087" s="1" t="str">
        <f ca="1">IFERROR(__xludf.DUMMYFUNCTION("GOOGLETRANSLATE(A2087, ""en"", ""fr"")"),"Concentré n ° 2")</f>
        <v>Concentré n ° 2</v>
      </c>
      <c r="C2087" s="1" t="s">
        <v>185</v>
      </c>
      <c r="J2087" s="1" t="s">
        <v>6</v>
      </c>
      <c r="N2087" s="1" t="s">
        <v>10</v>
      </c>
      <c r="CO2087" s="1" t="s">
        <v>89</v>
      </c>
      <c r="DN2087" s="1" t="s">
        <v>114</v>
      </c>
      <c r="GD2087" s="1" t="s">
        <v>189</v>
      </c>
      <c r="GE2087" s="1" t="s">
        <v>190</v>
      </c>
    </row>
    <row r="2088" spans="1:187" ht="11.25" customHeight="1">
      <c r="A2088" s="1" t="s">
        <v>3087</v>
      </c>
      <c r="B2088" s="1" t="str">
        <f ca="1">IFERROR(__xludf.DUMMYFUNCTION("GOOGLETRANSLATE(A2088, ""en"", ""fr"")"),"Concentration n ° 1")</f>
        <v>Concentration n ° 1</v>
      </c>
      <c r="C2088" s="1" t="s">
        <v>185</v>
      </c>
      <c r="J2088" s="1" t="s">
        <v>6</v>
      </c>
      <c r="DD2088" s="1" t="s">
        <v>104</v>
      </c>
      <c r="GD2088" s="1" t="s">
        <v>193</v>
      </c>
      <c r="GE2088" s="1" t="s">
        <v>3088</v>
      </c>
    </row>
    <row r="2089" spans="1:187" ht="11.25" customHeight="1">
      <c r="A2089" s="1" t="s">
        <v>3089</v>
      </c>
      <c r="B2089" s="1" t="str">
        <f ca="1">IFERROR(__xludf.DUMMYFUNCTION("GOOGLETRANSLATE(A2089, ""en"", ""fr"")"),"Concentration n ° 2")</f>
        <v>Concentration n ° 2</v>
      </c>
      <c r="C2089" s="1" t="s">
        <v>185</v>
      </c>
      <c r="J2089" s="1" t="s">
        <v>6</v>
      </c>
      <c r="N2089" s="1" t="s">
        <v>10</v>
      </c>
      <c r="CH2089" s="1" t="s">
        <v>82</v>
      </c>
      <c r="FH2089" s="1" t="s">
        <v>160</v>
      </c>
      <c r="FI2089" s="1" t="s">
        <v>161</v>
      </c>
      <c r="GD2089" s="1" t="s">
        <v>193</v>
      </c>
      <c r="GE2089" s="1" t="s">
        <v>3090</v>
      </c>
    </row>
    <row r="2090" spans="1:187" ht="11.25" customHeight="1">
      <c r="A2090" s="1" t="s">
        <v>3091</v>
      </c>
      <c r="B2090" s="1" t="str">
        <f ca="1">IFERROR(__xludf.DUMMYFUNCTION("GOOGLETRANSLATE(A2090, ""en"", ""fr"")"),"CONCEPT")</f>
        <v>CONCEPT</v>
      </c>
      <c r="C2090" s="1" t="s">
        <v>185</v>
      </c>
      <c r="CH2090" s="1" t="s">
        <v>82</v>
      </c>
      <c r="CP2090" s="1" t="s">
        <v>90</v>
      </c>
      <c r="CQ2090" s="1" t="s">
        <v>91</v>
      </c>
      <c r="FH2090" s="1" t="s">
        <v>160</v>
      </c>
      <c r="FI2090" s="1" t="s">
        <v>161</v>
      </c>
      <c r="GD2090" s="1" t="s">
        <v>193</v>
      </c>
      <c r="GE2090" s="1" t="s">
        <v>3092</v>
      </c>
    </row>
    <row r="2091" spans="1:187" ht="11.25" customHeight="1">
      <c r="A2091" s="1" t="s">
        <v>3093</v>
      </c>
      <c r="B2091" s="1" t="str">
        <f ca="1">IFERROR(__xludf.DUMMYFUNCTION("GOOGLETRANSLATE(A2091, ""en"", ""fr"")"),"CONCEPTION")</f>
        <v>CONCEPTION</v>
      </c>
      <c r="C2091" s="1" t="s">
        <v>185</v>
      </c>
      <c r="O2091" s="1" t="s">
        <v>11</v>
      </c>
      <c r="CH2091" s="1" t="s">
        <v>82</v>
      </c>
      <c r="CP2091" s="1" t="s">
        <v>90</v>
      </c>
      <c r="CQ2091" s="1" t="s">
        <v>91</v>
      </c>
      <c r="FH2091" s="1" t="s">
        <v>160</v>
      </c>
      <c r="FI2091" s="1" t="s">
        <v>161</v>
      </c>
      <c r="GD2091" s="1" t="s">
        <v>193</v>
      </c>
      <c r="GE2091" s="1" t="s">
        <v>190</v>
      </c>
    </row>
    <row r="2092" spans="1:187" ht="11.25" customHeight="1">
      <c r="A2092" s="1" t="s">
        <v>3094</v>
      </c>
      <c r="B2092" s="1" t="str">
        <f ca="1">IFERROR(__xludf.DUMMYFUNCTION("GOOGLETRANSLATE(A2092, ""en"", ""fr"")"),"Concern # 1")</f>
        <v>Concern # 1</v>
      </c>
      <c r="C2092" s="1" t="s">
        <v>185</v>
      </c>
      <c r="E2092" s="1" t="s">
        <v>16613</v>
      </c>
      <c r="H2092" s="1" t="s">
        <v>4</v>
      </c>
      <c r="O2092" s="1" t="s">
        <v>11</v>
      </c>
      <c r="BN2092" s="1" t="s">
        <v>62</v>
      </c>
      <c r="DN2092" s="1" t="s">
        <v>114</v>
      </c>
      <c r="EO2092" s="1" t="s">
        <v>141</v>
      </c>
      <c r="ES2092" s="1" t="s">
        <v>145</v>
      </c>
      <c r="GD2092" s="1" t="s">
        <v>189</v>
      </c>
      <c r="GE2092" s="1" t="s">
        <v>3095</v>
      </c>
    </row>
    <row r="2093" spans="1:187" ht="11.25" customHeight="1">
      <c r="A2093" s="1" t="s">
        <v>3096</v>
      </c>
      <c r="B2093" s="1" t="str">
        <f ca="1">IFERROR(__xludf.DUMMYFUNCTION("GOOGLETRANSLATE(A2093, ""en"", ""fr"")"),"Concern # 2")</f>
        <v>Concern # 2</v>
      </c>
      <c r="C2093" s="1" t="s">
        <v>185</v>
      </c>
      <c r="E2093" s="1" t="s">
        <v>16613</v>
      </c>
      <c r="H2093" s="1" t="s">
        <v>4</v>
      </c>
      <c r="Q2093" s="1" t="s">
        <v>13</v>
      </c>
      <c r="T2093" s="1" t="s">
        <v>16</v>
      </c>
      <c r="ER2093" s="1" t="s">
        <v>144</v>
      </c>
      <c r="ES2093" s="1" t="s">
        <v>145</v>
      </c>
      <c r="GD2093" s="1" t="s">
        <v>193</v>
      </c>
      <c r="GE2093" s="1" t="s">
        <v>3097</v>
      </c>
    </row>
    <row r="2094" spans="1:187" ht="11.25" customHeight="1">
      <c r="A2094" s="1" t="s">
        <v>3098</v>
      </c>
      <c r="B2094" s="1" t="str">
        <f ca="1">IFERROR(__xludf.DUMMYFUNCTION("GOOGLETRANSLATE(A2094, ""en"", ""fr"")"),"Concern # 3")</f>
        <v>Concern # 3</v>
      </c>
      <c r="C2094" s="1" t="s">
        <v>185</v>
      </c>
      <c r="FH2094" s="1" t="s">
        <v>160</v>
      </c>
      <c r="FI2094" s="1" t="s">
        <v>161</v>
      </c>
      <c r="GD2094" s="1" t="s">
        <v>215</v>
      </c>
      <c r="GE2094" s="1" t="s">
        <v>3099</v>
      </c>
    </row>
    <row r="2095" spans="1:187" ht="11.25" customHeight="1">
      <c r="A2095" s="1" t="s">
        <v>3100</v>
      </c>
      <c r="B2095" s="1" t="str">
        <f ca="1">IFERROR(__xludf.DUMMYFUNCTION("GOOGLETRANSLATE(A2095, ""en"", ""fr"")"),"Concern # 4")</f>
        <v>Concern # 4</v>
      </c>
      <c r="C2095" s="1" t="s">
        <v>185</v>
      </c>
      <c r="AA2095" s="1" t="s">
        <v>23</v>
      </c>
      <c r="AC2095" s="1" t="s">
        <v>25</v>
      </c>
      <c r="AK2095" s="1" t="s">
        <v>33</v>
      </c>
      <c r="AT2095" s="1" t="s">
        <v>42</v>
      </c>
      <c r="ET2095" s="1" t="s">
        <v>146</v>
      </c>
      <c r="EW2095" s="1" t="s">
        <v>149</v>
      </c>
      <c r="GD2095" s="1" t="s">
        <v>193</v>
      </c>
      <c r="GE2095" s="1" t="s">
        <v>3101</v>
      </c>
    </row>
    <row r="2096" spans="1:187" ht="11.25" customHeight="1">
      <c r="A2096" s="1" t="s">
        <v>3102</v>
      </c>
      <c r="B2096" s="1" t="str">
        <f ca="1">IFERROR(__xludf.DUMMYFUNCTION("GOOGLETRANSLATE(A2096, ""en"", ""fr"")"),"CONCERT")</f>
        <v>CONCERT</v>
      </c>
      <c r="C2096" s="1" t="s">
        <v>185</v>
      </c>
      <c r="AD2096" s="1" t="s">
        <v>26</v>
      </c>
      <c r="AM2096" s="1" t="s">
        <v>35</v>
      </c>
      <c r="DX2096" s="1" t="s">
        <v>124</v>
      </c>
      <c r="ED2096" s="1" t="s">
        <v>130</v>
      </c>
      <c r="GD2096" s="1" t="s">
        <v>193</v>
      </c>
      <c r="GE2096" s="1" t="s">
        <v>190</v>
      </c>
    </row>
    <row r="2097" spans="1:187" ht="11.25" customHeight="1">
      <c r="A2097" s="1" t="s">
        <v>3103</v>
      </c>
      <c r="B2097" s="1" t="str">
        <f ca="1">IFERROR(__xludf.DUMMYFUNCTION("GOOGLETRANSLATE(A2097, ""en"", ""fr"")"),"CONCESSION")</f>
        <v>CONCESSION</v>
      </c>
      <c r="C2097" s="1" t="s">
        <v>185</v>
      </c>
      <c r="D2097" s="1" t="s">
        <v>16612</v>
      </c>
      <c r="F2097" s="1" t="s">
        <v>2</v>
      </c>
      <c r="L2097" s="1" t="s">
        <v>8</v>
      </c>
      <c r="M2097" s="1" t="s">
        <v>9</v>
      </c>
      <c r="O2097" s="1" t="s">
        <v>11</v>
      </c>
      <c r="AN2097" s="1" t="s">
        <v>36</v>
      </c>
      <c r="EC2097" s="1" t="s">
        <v>129</v>
      </c>
      <c r="ED2097" s="1" t="s">
        <v>130</v>
      </c>
      <c r="GD2097" s="1" t="s">
        <v>193</v>
      </c>
      <c r="GE2097" s="1" t="s">
        <v>190</v>
      </c>
    </row>
    <row r="2098" spans="1:187" ht="11.25" customHeight="1">
      <c r="A2098" s="1" t="s">
        <v>3104</v>
      </c>
      <c r="B2098" s="1" t="str">
        <f ca="1">IFERROR(__xludf.DUMMYFUNCTION("GOOGLETRANSLATE(A2098, ""en"", ""fr"")"),"CONCILIATION")</f>
        <v>CONCILIATION</v>
      </c>
      <c r="C2098" s="1" t="s">
        <v>196</v>
      </c>
      <c r="DX2098" s="1" t="s">
        <v>124</v>
      </c>
      <c r="ED2098" s="1" t="s">
        <v>130</v>
      </c>
      <c r="GD2098" s="1" t="s">
        <v>470</v>
      </c>
    </row>
    <row r="2099" spans="1:187" ht="11.25" customHeight="1">
      <c r="A2099" s="1" t="s">
        <v>3105</v>
      </c>
      <c r="B2099" s="1" t="str">
        <f ca="1">IFERROR(__xludf.DUMMYFUNCTION("GOOGLETRANSLATE(A2099, ""en"", ""fr"")"),"CONCILIATOIRE")</f>
        <v>CONCILIATOIRE</v>
      </c>
      <c r="C2099" s="1" t="s">
        <v>196</v>
      </c>
      <c r="DX2099" s="1" t="s">
        <v>124</v>
      </c>
      <c r="ED2099" s="1" t="s">
        <v>130</v>
      </c>
      <c r="GD2099" s="1" t="s">
        <v>212</v>
      </c>
    </row>
    <row r="2100" spans="1:187" ht="11.25" customHeight="1">
      <c r="A2100" s="1" t="s">
        <v>3106</v>
      </c>
      <c r="B2100" s="1" t="str">
        <f ca="1">IFERROR(__xludf.DUMMYFUNCTION("GOOGLETRANSLATE(A2100, ""en"", ""fr"")"),"CONCLURE")</f>
        <v>CONCLURE</v>
      </c>
      <c r="C2100" s="1" t="s">
        <v>185</v>
      </c>
      <c r="N2100" s="1" t="s">
        <v>10</v>
      </c>
      <c r="BZ2100" s="1" t="s">
        <v>74</v>
      </c>
      <c r="DN2100" s="1" t="s">
        <v>114</v>
      </c>
      <c r="GB2100" s="1" t="s">
        <v>180</v>
      </c>
      <c r="GD2100" s="1" t="s">
        <v>189</v>
      </c>
      <c r="GE2100" s="1" t="s">
        <v>190</v>
      </c>
    </row>
    <row r="2101" spans="1:187" ht="11.25" customHeight="1">
      <c r="A2101" s="1" t="s">
        <v>3107</v>
      </c>
      <c r="B2101" s="1" t="str">
        <f ca="1">IFERROR(__xludf.DUMMYFUNCTION("GOOGLETRANSLATE(A2101, ""en"", ""fr"")"),"CONCLUSION")</f>
        <v>CONCLUSION</v>
      </c>
      <c r="C2101" s="1" t="s">
        <v>185</v>
      </c>
      <c r="N2101" s="1" t="s">
        <v>10</v>
      </c>
      <c r="BZ2101" s="1" t="s">
        <v>74</v>
      </c>
      <c r="GB2101" s="1" t="s">
        <v>180</v>
      </c>
      <c r="GD2101" s="1" t="s">
        <v>193</v>
      </c>
      <c r="GE2101" s="1" t="s">
        <v>190</v>
      </c>
    </row>
    <row r="2102" spans="1:187" ht="11.25" customHeight="1">
      <c r="A2102" s="1" t="s">
        <v>3108</v>
      </c>
      <c r="B2102" s="1" t="str">
        <f ca="1">IFERROR(__xludf.DUMMYFUNCTION("GOOGLETRANSLATE(A2102, ""en"", ""fr"")"),"Concluant")</f>
        <v>Concluant</v>
      </c>
      <c r="C2102" s="1" t="s">
        <v>192</v>
      </c>
      <c r="D2102" s="1" t="s">
        <v>16612</v>
      </c>
      <c r="W2102" s="1" t="s">
        <v>19</v>
      </c>
      <c r="BS2102" s="1" t="s">
        <v>67</v>
      </c>
      <c r="CH2102" s="1" t="s">
        <v>82</v>
      </c>
      <c r="DR2102" s="1" t="s">
        <v>118</v>
      </c>
      <c r="GD2102" s="1" t="s">
        <v>202</v>
      </c>
      <c r="GE2102" s="1" t="s">
        <v>190</v>
      </c>
    </row>
    <row r="2103" spans="1:187" ht="11.25" customHeight="1">
      <c r="A2103" s="1" t="s">
        <v>3109</v>
      </c>
      <c r="B2103" s="1" t="str">
        <f ca="1">IFERROR(__xludf.DUMMYFUNCTION("GOOGLETRANSLATE(A2103, ""en"", ""fr"")"),"BÉTON")</f>
        <v>BÉTON</v>
      </c>
      <c r="C2103" s="1" t="s">
        <v>185</v>
      </c>
      <c r="J2103" s="1" t="s">
        <v>6</v>
      </c>
      <c r="CR2103" s="1" t="s">
        <v>92</v>
      </c>
      <c r="GD2103" s="1" t="s">
        <v>202</v>
      </c>
      <c r="GE2103" s="1" t="s">
        <v>190</v>
      </c>
    </row>
    <row r="2104" spans="1:187" ht="11.25" customHeight="1">
      <c r="A2104" s="1" t="s">
        <v>3110</v>
      </c>
      <c r="B2104" s="1" t="str">
        <f ca="1">IFERROR(__xludf.DUMMYFUNCTION("GOOGLETRANSLATE(A2104, ""en"", ""fr"")"),"Être d'accord")</f>
        <v>Être d'accord</v>
      </c>
      <c r="C2104" s="1" t="s">
        <v>185</v>
      </c>
      <c r="D2104" s="1" t="s">
        <v>16612</v>
      </c>
      <c r="G2104" s="1" t="s">
        <v>3</v>
      </c>
      <c r="N2104" s="1" t="s">
        <v>10</v>
      </c>
      <c r="BK2104" s="1" t="s">
        <v>59</v>
      </c>
      <c r="DP2104" s="1" t="s">
        <v>116</v>
      </c>
      <c r="DX2104" s="1" t="s">
        <v>124</v>
      </c>
      <c r="ED2104" s="1" t="s">
        <v>130</v>
      </c>
      <c r="GD2104" s="1" t="s">
        <v>189</v>
      </c>
      <c r="GE2104" s="1" t="s">
        <v>190</v>
      </c>
    </row>
    <row r="2105" spans="1:187" ht="11.25" customHeight="1">
      <c r="A2105" s="1" t="s">
        <v>3111</v>
      </c>
      <c r="B2105" s="1" t="str">
        <f ca="1">IFERROR(__xludf.DUMMYFUNCTION("GOOGLETRANSLATE(A2105, ""en"", ""fr"")"),"Conçu")</f>
        <v>Conçu</v>
      </c>
      <c r="C2105" s="1" t="s">
        <v>196</v>
      </c>
      <c r="GD2105" s="1" t="s">
        <v>1085</v>
      </c>
    </row>
    <row r="2106" spans="1:187" ht="11.25" customHeight="1">
      <c r="A2106" s="1" t="s">
        <v>3112</v>
      </c>
      <c r="B2106" s="1" t="str">
        <f ca="1">IFERROR(__xludf.DUMMYFUNCTION("GOOGLETRANSLATE(A2106, ""en"", ""fr"")"),"CONCURRENT")</f>
        <v>CONCURRENT</v>
      </c>
      <c r="C2106" s="1" t="s">
        <v>185</v>
      </c>
      <c r="CY2106" s="1" t="s">
        <v>99</v>
      </c>
      <c r="GB2106" s="1" t="s">
        <v>180</v>
      </c>
      <c r="GD2106" s="1" t="s">
        <v>202</v>
      </c>
      <c r="GE2106" s="1" t="s">
        <v>190</v>
      </c>
    </row>
    <row r="2107" spans="1:187" ht="11.25" customHeight="1">
      <c r="A2107" s="1" t="s">
        <v>3113</v>
      </c>
      <c r="B2107" s="1" t="str">
        <f ca="1">IFERROR(__xludf.DUMMYFUNCTION("GOOGLETRANSLATE(A2107, ""en"", ""fr"")"),"Condamner # 1")</f>
        <v>Condamner # 1</v>
      </c>
      <c r="C2107" s="1" t="s">
        <v>185</v>
      </c>
      <c r="E2107" s="1" t="s">
        <v>16613</v>
      </c>
      <c r="H2107" s="1" t="s">
        <v>4</v>
      </c>
      <c r="I2107" s="1" t="s">
        <v>5</v>
      </c>
      <c r="J2107" s="1" t="s">
        <v>6</v>
      </c>
      <c r="AN2107" s="1" t="s">
        <v>36</v>
      </c>
      <c r="FW2107" s="1" t="s">
        <v>175</v>
      </c>
      <c r="GD2107" s="1" t="s">
        <v>202</v>
      </c>
      <c r="GE2107" s="1" t="s">
        <v>190</v>
      </c>
    </row>
    <row r="2108" spans="1:187" ht="11.25" customHeight="1">
      <c r="A2108" s="1" t="s">
        <v>3114</v>
      </c>
      <c r="B2108" s="1" t="str">
        <f ca="1">IFERROR(__xludf.DUMMYFUNCTION("GOOGLETRANSLATE(A2108, ""en"", ""fr"")"),"Condamner # 2")</f>
        <v>Condamner # 2</v>
      </c>
      <c r="C2108" s="1" t="s">
        <v>185</v>
      </c>
      <c r="E2108" s="1" t="s">
        <v>16613</v>
      </c>
      <c r="H2108" s="1" t="s">
        <v>4</v>
      </c>
      <c r="I2108" s="1" t="s">
        <v>5</v>
      </c>
      <c r="J2108" s="1" t="s">
        <v>6</v>
      </c>
      <c r="AN2108" s="1" t="s">
        <v>36</v>
      </c>
      <c r="DN2108" s="1" t="s">
        <v>114</v>
      </c>
      <c r="FW2108" s="1" t="s">
        <v>175</v>
      </c>
      <c r="GD2108" s="1" t="s">
        <v>189</v>
      </c>
      <c r="GE2108" s="1" t="s">
        <v>190</v>
      </c>
    </row>
    <row r="2109" spans="1:187" ht="11.25" customHeight="1">
      <c r="A2109" s="1" t="s">
        <v>3115</v>
      </c>
      <c r="B2109" s="1" t="str">
        <f ca="1">IFERROR(__xludf.DUMMYFUNCTION("GOOGLETRANSLATE(A2109, ""en"", ""fr"")"),"CONDAMNATION")</f>
        <v>CONDAMNATION</v>
      </c>
      <c r="C2109" s="1" t="s">
        <v>192</v>
      </c>
      <c r="E2109" s="1" t="s">
        <v>16613</v>
      </c>
      <c r="I2109" s="1" t="s">
        <v>5</v>
      </c>
      <c r="V2109" s="1" t="s">
        <v>18</v>
      </c>
      <c r="CM2109" s="1" t="s">
        <v>87</v>
      </c>
      <c r="GD2109" s="1" t="s">
        <v>193</v>
      </c>
      <c r="GE2109" s="1" t="s">
        <v>190</v>
      </c>
    </row>
    <row r="2110" spans="1:187" ht="11.25" customHeight="1">
      <c r="A2110" s="1" t="s">
        <v>3116</v>
      </c>
      <c r="B2110" s="1" t="str">
        <f ca="1">IFERROR(__xludf.DUMMYFUNCTION("GOOGLETRANSLATE(A2110, ""en"", ""fr"")"),"CONDENSATION")</f>
        <v>CONDENSATION</v>
      </c>
      <c r="C2110" s="1" t="s">
        <v>185</v>
      </c>
      <c r="O2110" s="1" t="s">
        <v>11</v>
      </c>
      <c r="BU2110" s="1" t="s">
        <v>69</v>
      </c>
      <c r="GD2110" s="1" t="s">
        <v>193</v>
      </c>
      <c r="GE2110" s="1" t="s">
        <v>190</v>
      </c>
    </row>
    <row r="2111" spans="1:187" ht="11.25" customHeight="1">
      <c r="A2111" s="1" t="s">
        <v>3117</v>
      </c>
      <c r="B2111" s="1" t="str">
        <f ca="1">IFERROR(__xludf.DUMMYFUNCTION("GOOGLETRANSLATE(A2111, ""en"", ""fr"")"),"CONDENSER")</f>
        <v>CONDENSER</v>
      </c>
      <c r="C2111" s="1" t="s">
        <v>185</v>
      </c>
      <c r="DD2111" s="1" t="s">
        <v>104</v>
      </c>
      <c r="DN2111" s="1" t="s">
        <v>114</v>
      </c>
      <c r="GD2111" s="1" t="s">
        <v>189</v>
      </c>
      <c r="GE2111" s="1" t="s">
        <v>190</v>
      </c>
    </row>
    <row r="2112" spans="1:187" ht="11.25" customHeight="1">
      <c r="A2112" s="1" t="s">
        <v>3118</v>
      </c>
      <c r="B2112" s="1" t="str">
        <f ca="1">IFERROR(__xludf.DUMMYFUNCTION("GOOGLETRANSLATE(A2112, ""en"", ""fr"")"),"Condescendant")</f>
        <v>Condescendant</v>
      </c>
      <c r="C2112" s="1" t="s">
        <v>192</v>
      </c>
      <c r="E2112" s="1" t="s">
        <v>16613</v>
      </c>
      <c r="I2112" s="1" t="s">
        <v>5</v>
      </c>
      <c r="K2112" s="1" t="s">
        <v>7</v>
      </c>
      <c r="V2112" s="1" t="s">
        <v>18</v>
      </c>
      <c r="DQ2112" s="1" t="s">
        <v>117</v>
      </c>
      <c r="GD2112" s="1" t="s">
        <v>202</v>
      </c>
      <c r="GE2112" s="1" t="s">
        <v>190</v>
      </c>
    </row>
    <row r="2113" spans="1:187" ht="11.25" customHeight="1">
      <c r="A2113" s="1" t="s">
        <v>3119</v>
      </c>
      <c r="B2113" s="1" t="str">
        <f ca="1">IFERROR(__xludf.DUMMYFUNCTION("GOOGLETRANSLATE(A2113, ""en"", ""fr"")"),"CONDESCENDANCE")</f>
        <v>CONDESCENDANCE</v>
      </c>
      <c r="C2113" s="1" t="s">
        <v>192</v>
      </c>
      <c r="E2113" s="1" t="s">
        <v>16613</v>
      </c>
      <c r="I2113" s="1" t="s">
        <v>5</v>
      </c>
      <c r="K2113" s="1" t="s">
        <v>7</v>
      </c>
      <c r="V2113" s="1" t="s">
        <v>18</v>
      </c>
      <c r="AN2113" s="1" t="s">
        <v>36</v>
      </c>
      <c r="GD2113" s="1" t="s">
        <v>193</v>
      </c>
      <c r="GE2113" s="1" t="s">
        <v>190</v>
      </c>
    </row>
    <row r="2114" spans="1:187" ht="11.25" customHeight="1">
      <c r="A2114" s="1" t="s">
        <v>3120</v>
      </c>
      <c r="B2114" s="1" t="str">
        <f ca="1">IFERROR(__xludf.DUMMYFUNCTION("GOOGLETRANSLATE(A2114, ""en"", ""fr"")"),"Condition n ° 1")</f>
        <v>Condition n ° 1</v>
      </c>
      <c r="C2114" s="1" t="s">
        <v>185</v>
      </c>
      <c r="O2114" s="1" t="s">
        <v>11</v>
      </c>
      <c r="BU2114" s="1" t="s">
        <v>69</v>
      </c>
      <c r="CP2114" s="1" t="s">
        <v>90</v>
      </c>
      <c r="CQ2114" s="1" t="s">
        <v>91</v>
      </c>
      <c r="FZ2114" s="1" t="s">
        <v>178</v>
      </c>
      <c r="GD2114" s="1" t="s">
        <v>849</v>
      </c>
      <c r="GE2114" s="1" t="s">
        <v>3121</v>
      </c>
    </row>
    <row r="2115" spans="1:187" ht="11.25" customHeight="1">
      <c r="A2115" s="1" t="s">
        <v>3122</v>
      </c>
      <c r="B2115" s="1" t="str">
        <f ca="1">IFERROR(__xludf.DUMMYFUNCTION("GOOGLETRANSLATE(A2115, ""en"", ""fr"")"),"État n ° 2")</f>
        <v>État n ° 2</v>
      </c>
      <c r="C2115" s="1" t="s">
        <v>185</v>
      </c>
      <c r="N2115" s="1" t="s">
        <v>10</v>
      </c>
      <c r="BQ2115" s="1" t="s">
        <v>65</v>
      </c>
      <c r="GD2115" s="1" t="s">
        <v>193</v>
      </c>
      <c r="GE2115" s="1" t="s">
        <v>3123</v>
      </c>
    </row>
    <row r="2116" spans="1:187" ht="11.25" customHeight="1">
      <c r="A2116" s="1" t="s">
        <v>3124</v>
      </c>
      <c r="B2116" s="1" t="str">
        <f ca="1">IFERROR(__xludf.DUMMYFUNCTION("GOOGLETRANSLATE(A2116, ""en"", ""fr"")"),"État n ° 3")</f>
        <v>État n ° 3</v>
      </c>
      <c r="C2116" s="1" t="s">
        <v>185</v>
      </c>
      <c r="O2116" s="1" t="s">
        <v>11</v>
      </c>
      <c r="U2116" s="1" t="s">
        <v>17</v>
      </c>
      <c r="GD2116" s="1" t="s">
        <v>202</v>
      </c>
      <c r="GE2116" s="1" t="s">
        <v>3125</v>
      </c>
    </row>
    <row r="2117" spans="1:187" ht="11.25" customHeight="1">
      <c r="A2117" s="1" t="s">
        <v>3126</v>
      </c>
      <c r="B2117" s="1" t="str">
        <f ca="1">IFERROR(__xludf.DUMMYFUNCTION("GOOGLETRANSLATE(A2117, ""en"", ""fr"")"),"État n ° 4")</f>
        <v>État n ° 4</v>
      </c>
      <c r="C2117" s="1" t="s">
        <v>185</v>
      </c>
      <c r="N2117" s="1" t="s">
        <v>10</v>
      </c>
      <c r="AL2117" s="1" t="s">
        <v>34</v>
      </c>
      <c r="DN2117" s="1" t="s">
        <v>114</v>
      </c>
      <c r="FP2117" s="1" t="s">
        <v>168</v>
      </c>
      <c r="GD2117" s="1" t="s">
        <v>189</v>
      </c>
      <c r="GE2117" s="1" t="s">
        <v>3127</v>
      </c>
    </row>
    <row r="2118" spans="1:187" ht="11.25" customHeight="1">
      <c r="A2118" s="1" t="s">
        <v>3128</v>
      </c>
      <c r="B2118" s="1" t="str">
        <f ca="1">IFERROR(__xludf.DUMMYFUNCTION("GOOGLETRANSLATE(A2118, ""en"", ""fr"")"),"État n ° 5")</f>
        <v>État n ° 5</v>
      </c>
      <c r="C2118" s="1" t="s">
        <v>185</v>
      </c>
      <c r="BC2118" s="1" t="s">
        <v>51</v>
      </c>
      <c r="BD2118" s="1" t="s">
        <v>52</v>
      </c>
      <c r="EX2118" s="1" t="s">
        <v>150</v>
      </c>
      <c r="FC2118" s="1" t="s">
        <v>155</v>
      </c>
      <c r="GD2118" s="1" t="s">
        <v>193</v>
      </c>
      <c r="GE2118" s="1" t="s">
        <v>3129</v>
      </c>
    </row>
    <row r="2119" spans="1:187" ht="11.25" customHeight="1">
      <c r="A2119" s="1" t="s">
        <v>3130</v>
      </c>
      <c r="B2119" s="1" t="str">
        <f ca="1">IFERROR(__xludf.DUMMYFUNCTION("GOOGLETRANSLATE(A2119, ""en"", ""fr"")"),"FERMER LES YEUX SUR")</f>
        <v>FERMER LES YEUX SUR</v>
      </c>
      <c r="C2119" s="1" t="s">
        <v>185</v>
      </c>
      <c r="D2119" s="1" t="s">
        <v>16612</v>
      </c>
      <c r="G2119" s="1" t="s">
        <v>3</v>
      </c>
      <c r="K2119" s="1" t="s">
        <v>7</v>
      </c>
      <c r="N2119" s="1" t="s">
        <v>10</v>
      </c>
      <c r="DP2119" s="1" t="s">
        <v>116</v>
      </c>
      <c r="EG2119" s="1" t="s">
        <v>133</v>
      </c>
      <c r="EJ2119" s="1" t="s">
        <v>136</v>
      </c>
      <c r="GD2119" s="1" t="s">
        <v>670</v>
      </c>
      <c r="GE2119" s="1" t="s">
        <v>190</v>
      </c>
    </row>
    <row r="2120" spans="1:187" ht="11.25" customHeight="1">
      <c r="A2120" s="1" t="s">
        <v>3131</v>
      </c>
      <c r="B2120" s="1" t="str">
        <f ca="1">IFERROR(__xludf.DUMMYFUNCTION("GOOGLETRANSLATE(A2120, ""en"", ""fr"")"),"Propice")</f>
        <v>Propice</v>
      </c>
      <c r="C2120" s="1" t="s">
        <v>185</v>
      </c>
      <c r="D2120" s="1" t="s">
        <v>16612</v>
      </c>
      <c r="G2120" s="1" t="s">
        <v>3</v>
      </c>
      <c r="DD2120" s="1" t="s">
        <v>104</v>
      </c>
      <c r="DR2120" s="1" t="s">
        <v>118</v>
      </c>
      <c r="FN2120" s="1" t="s">
        <v>166</v>
      </c>
      <c r="GD2120" s="1" t="s">
        <v>202</v>
      </c>
      <c r="GE2120" s="1" t="s">
        <v>190</v>
      </c>
    </row>
    <row r="2121" spans="1:187" ht="11.25" customHeight="1">
      <c r="A2121" s="1" t="s">
        <v>3132</v>
      </c>
      <c r="B2121" s="1" t="str">
        <f ca="1">IFERROR(__xludf.DUMMYFUNCTION("GOOGLETRANSLATE(A2121, ""en"", ""fr"")"),"Conduite n ° 1")</f>
        <v>Conduite n ° 1</v>
      </c>
      <c r="C2121" s="1" t="s">
        <v>185</v>
      </c>
      <c r="N2121" s="1" t="s">
        <v>10</v>
      </c>
      <c r="AN2121" s="1" t="s">
        <v>36</v>
      </c>
      <c r="GD2121" s="1" t="s">
        <v>193</v>
      </c>
      <c r="GE2121" s="1" t="s">
        <v>3133</v>
      </c>
    </row>
    <row r="2122" spans="1:187" ht="11.25" customHeight="1">
      <c r="A2122" s="1" t="s">
        <v>3134</v>
      </c>
      <c r="B2122" s="1" t="str">
        <f ca="1">IFERROR(__xludf.DUMMYFUNCTION("GOOGLETRANSLATE(A2122, ""en"", ""fr"")"),"Conduite n ° 2")</f>
        <v>Conduite n ° 2</v>
      </c>
      <c r="C2122" s="1" t="s">
        <v>185</v>
      </c>
      <c r="N2122" s="1" t="s">
        <v>10</v>
      </c>
      <c r="AM2122" s="1" t="s">
        <v>35</v>
      </c>
      <c r="GD2122" s="1" t="s">
        <v>193</v>
      </c>
      <c r="GE2122" s="1" t="s">
        <v>3135</v>
      </c>
    </row>
    <row r="2123" spans="1:187" ht="11.25" customHeight="1">
      <c r="A2123" s="1" t="s">
        <v>3136</v>
      </c>
      <c r="B2123" s="1" t="str">
        <f ca="1">IFERROR(__xludf.DUMMYFUNCTION("GOOGLETRANSLATE(A2123, ""en"", ""fr"")"),"Conduite n ° 3")</f>
        <v>Conduite n ° 3</v>
      </c>
      <c r="C2123" s="1" t="s">
        <v>185</v>
      </c>
      <c r="N2123" s="1" t="s">
        <v>10</v>
      </c>
      <c r="AL2123" s="1" t="s">
        <v>34</v>
      </c>
      <c r="DN2123" s="1" t="s">
        <v>114</v>
      </c>
      <c r="GD2123" s="1" t="s">
        <v>189</v>
      </c>
      <c r="GE2123" s="1" t="s">
        <v>3137</v>
      </c>
    </row>
    <row r="2124" spans="1:187" ht="11.25" customHeight="1">
      <c r="A2124" s="1" t="s">
        <v>3138</v>
      </c>
      <c r="B2124" s="1" t="str">
        <f ca="1">IFERROR(__xludf.DUMMYFUNCTION("GOOGLETRANSLATE(A2124, ""en"", ""fr"")"),"Conduire n ° 4")</f>
        <v>Conduire n ° 4</v>
      </c>
      <c r="C2124" s="1" t="s">
        <v>185</v>
      </c>
      <c r="AN2124" s="1" t="s">
        <v>36</v>
      </c>
      <c r="DN2124" s="1" t="s">
        <v>114</v>
      </c>
      <c r="GD2124" s="1" t="s">
        <v>189</v>
      </c>
      <c r="GE2124" s="1" t="s">
        <v>3139</v>
      </c>
    </row>
    <row r="2125" spans="1:187" ht="11.25" customHeight="1">
      <c r="A2125" s="1" t="s">
        <v>3140</v>
      </c>
      <c r="B2125" s="1" t="str">
        <f ca="1">IFERROR(__xludf.DUMMYFUNCTION("GOOGLETRANSLATE(A2125, ""en"", ""fr"")"),"CONDUCTEUR")</f>
        <v>CONDUCTEUR</v>
      </c>
      <c r="C2125" s="1" t="s">
        <v>185</v>
      </c>
      <c r="AD2125" s="1" t="s">
        <v>26</v>
      </c>
      <c r="AJ2125" s="1" t="s">
        <v>32</v>
      </c>
      <c r="AT2125" s="1" t="s">
        <v>42</v>
      </c>
      <c r="FK2125" s="1" t="s">
        <v>163</v>
      </c>
      <c r="FM2125" s="1" t="s">
        <v>418</v>
      </c>
      <c r="GD2125" s="1" t="s">
        <v>193</v>
      </c>
      <c r="GE2125" s="1" t="s">
        <v>190</v>
      </c>
    </row>
    <row r="2126" spans="1:187" ht="11.25" customHeight="1">
      <c r="A2126" s="1" t="s">
        <v>3141</v>
      </c>
      <c r="B2126" s="1" t="str">
        <f ca="1">IFERROR(__xludf.DUMMYFUNCTION("GOOGLETRANSLATE(A2126, ""en"", ""fr"")"),"CONFÉDÉRATION")</f>
        <v>CONFÉDÉRATION</v>
      </c>
      <c r="C2126" s="1" t="s">
        <v>196</v>
      </c>
      <c r="DX2126" s="1" t="s">
        <v>124</v>
      </c>
      <c r="ED2126" s="1" t="s">
        <v>130</v>
      </c>
      <c r="GD2126" s="1" t="s">
        <v>470</v>
      </c>
    </row>
    <row r="2127" spans="1:187" ht="11.25" customHeight="1">
      <c r="A2127" s="1" t="s">
        <v>3142</v>
      </c>
      <c r="B2127" s="1" t="str">
        <f ca="1">IFERROR(__xludf.DUMMYFUNCTION("GOOGLETRANSLATE(A2127, ""en"", ""fr"")"),"CONFÉDÉRÉ")</f>
        <v>CONFÉDÉRÉ</v>
      </c>
      <c r="C2127" s="1" t="s">
        <v>185</v>
      </c>
      <c r="G2127" s="1" t="s">
        <v>3</v>
      </c>
      <c r="AG2127" s="1" t="s">
        <v>29</v>
      </c>
      <c r="AH2127" s="1" t="s">
        <v>30</v>
      </c>
      <c r="AJ2127" s="1" t="s">
        <v>32</v>
      </c>
      <c r="AT2127" s="1" t="s">
        <v>42</v>
      </c>
      <c r="DX2127" s="1" t="s">
        <v>124</v>
      </c>
      <c r="ED2127" s="1" t="s">
        <v>130</v>
      </c>
      <c r="GD2127" s="1" t="s">
        <v>193</v>
      </c>
      <c r="GE2127" s="1" t="s">
        <v>190</v>
      </c>
    </row>
    <row r="2128" spans="1:187" ht="11.25" customHeight="1">
      <c r="A2128" s="1" t="s">
        <v>3143</v>
      </c>
      <c r="B2128" s="1" t="str">
        <f ca="1">IFERROR(__xludf.DUMMYFUNCTION("GOOGLETRANSLATE(A2128, ""en"", ""fr"")"),"CONFÉDÉRATION")</f>
        <v>CONFÉDÉRATION</v>
      </c>
      <c r="C2128" s="1" t="s">
        <v>192</v>
      </c>
      <c r="D2128" s="1" t="s">
        <v>16612</v>
      </c>
      <c r="G2128" s="1" t="s">
        <v>3</v>
      </c>
      <c r="AG2128" s="1" t="s">
        <v>29</v>
      </c>
      <c r="AN2128" s="1" t="s">
        <v>36</v>
      </c>
      <c r="GD2128" s="1" t="s">
        <v>193</v>
      </c>
      <c r="GE2128" s="1" t="s">
        <v>190</v>
      </c>
    </row>
    <row r="2129" spans="1:187" ht="11.25" customHeight="1">
      <c r="A2129" s="1" t="s">
        <v>3144</v>
      </c>
      <c r="B2129" s="1" t="str">
        <f ca="1">IFERROR(__xludf.DUMMYFUNCTION("GOOGLETRANSLATE(A2129, ""en"", ""fr"")"),"CONFÉRER")</f>
        <v>CONFÉRER</v>
      </c>
      <c r="C2129" s="1" t="s">
        <v>185</v>
      </c>
      <c r="D2129" s="1" t="s">
        <v>16612</v>
      </c>
      <c r="N2129" s="1" t="s">
        <v>10</v>
      </c>
      <c r="BK2129" s="1" t="s">
        <v>59</v>
      </c>
      <c r="CG2129" s="1" t="s">
        <v>81</v>
      </c>
      <c r="DN2129" s="1" t="s">
        <v>114</v>
      </c>
      <c r="FH2129" s="1" t="s">
        <v>160</v>
      </c>
      <c r="FI2129" s="1" t="s">
        <v>161</v>
      </c>
      <c r="GD2129" s="1" t="s">
        <v>189</v>
      </c>
      <c r="GE2129" s="1" t="s">
        <v>190</v>
      </c>
    </row>
    <row r="2130" spans="1:187" ht="11.25" customHeight="1">
      <c r="A2130" s="1" t="s">
        <v>3145</v>
      </c>
      <c r="B2130" s="1" t="str">
        <f ca="1">IFERROR(__xludf.DUMMYFUNCTION("GOOGLETRANSLATE(A2130, ""en"", ""fr"")"),"CONFÉRENCE")</f>
        <v>CONFÉRENCE</v>
      </c>
      <c r="C2130" s="1" t="s">
        <v>185</v>
      </c>
      <c r="AC2130" s="1" t="s">
        <v>25</v>
      </c>
      <c r="AG2130" s="1" t="s">
        <v>29</v>
      </c>
      <c r="AH2130" s="1" t="s">
        <v>30</v>
      </c>
      <c r="AK2130" s="1" t="s">
        <v>33</v>
      </c>
      <c r="AT2130" s="1" t="s">
        <v>42</v>
      </c>
      <c r="FH2130" s="1" t="s">
        <v>160</v>
      </c>
      <c r="FI2130" s="1" t="s">
        <v>161</v>
      </c>
      <c r="GD2130" s="1" t="s">
        <v>193</v>
      </c>
      <c r="GE2130" s="1" t="s">
        <v>3146</v>
      </c>
    </row>
    <row r="2131" spans="1:187" ht="11.25" customHeight="1">
      <c r="A2131" s="1" t="s">
        <v>3147</v>
      </c>
      <c r="B2131" s="1" t="str">
        <f ca="1">IFERROR(__xludf.DUMMYFUNCTION("GOOGLETRANSLATE(A2131, ""en"", ""fr"")"),"CONFESSER")</f>
        <v>CONFESSER</v>
      </c>
      <c r="C2131" s="1" t="s">
        <v>185</v>
      </c>
      <c r="E2131" s="1" t="s">
        <v>16613</v>
      </c>
      <c r="H2131" s="1" t="s">
        <v>4</v>
      </c>
      <c r="L2131" s="1" t="s">
        <v>8</v>
      </c>
      <c r="M2131" s="1" t="s">
        <v>9</v>
      </c>
      <c r="O2131" s="1" t="s">
        <v>11</v>
      </c>
      <c r="BK2131" s="1" t="s">
        <v>59</v>
      </c>
      <c r="DN2131" s="1" t="s">
        <v>114</v>
      </c>
      <c r="EE2131" s="1" t="s">
        <v>131</v>
      </c>
      <c r="EJ2131" s="1" t="s">
        <v>136</v>
      </c>
      <c r="GD2131" s="1" t="s">
        <v>189</v>
      </c>
      <c r="GE2131" s="1" t="s">
        <v>190</v>
      </c>
    </row>
    <row r="2132" spans="1:187" ht="11.25" customHeight="1">
      <c r="A2132" s="1" t="s">
        <v>3148</v>
      </c>
      <c r="B2132" s="1" t="str">
        <f ca="1">IFERROR(__xludf.DUMMYFUNCTION("GOOGLETRANSLATE(A2132, ""en"", ""fr"")"),"CONFESSION")</f>
        <v>CONFESSION</v>
      </c>
      <c r="C2132" s="1" t="s">
        <v>185</v>
      </c>
      <c r="E2132" s="1" t="s">
        <v>16613</v>
      </c>
      <c r="H2132" s="1" t="s">
        <v>4</v>
      </c>
      <c r="L2132" s="1" t="s">
        <v>8</v>
      </c>
      <c r="M2132" s="1" t="s">
        <v>9</v>
      </c>
      <c r="O2132" s="1" t="s">
        <v>11</v>
      </c>
      <c r="BK2132" s="1" t="s">
        <v>59</v>
      </c>
      <c r="BL2132" s="1" t="s">
        <v>60</v>
      </c>
      <c r="EE2132" s="1" t="s">
        <v>131</v>
      </c>
      <c r="EJ2132" s="1" t="s">
        <v>136</v>
      </c>
      <c r="GC2132" s="1" t="s">
        <v>181</v>
      </c>
      <c r="GD2132" s="1" t="s">
        <v>193</v>
      </c>
      <c r="GE2132" s="1" t="s">
        <v>190</v>
      </c>
    </row>
    <row r="2133" spans="1:187" ht="11.25" customHeight="1">
      <c r="A2133" s="1" t="s">
        <v>3149</v>
      </c>
      <c r="B2133" s="1" t="str">
        <f ca="1">IFERROR(__xludf.DUMMYFUNCTION("GOOGLETRANSLATE(A2133, ""en"", ""fr"")"),"CONFIDENT")</f>
        <v>CONFIDENT</v>
      </c>
      <c r="C2133" s="1" t="s">
        <v>192</v>
      </c>
      <c r="D2133" s="1" t="s">
        <v>16612</v>
      </c>
      <c r="G2133" s="1" t="s">
        <v>3</v>
      </c>
      <c r="AJ2133" s="1" t="s">
        <v>32</v>
      </c>
      <c r="AT2133" s="1" t="s">
        <v>42</v>
      </c>
      <c r="GD2133" s="1" t="s">
        <v>193</v>
      </c>
      <c r="GE2133" s="1" t="s">
        <v>190</v>
      </c>
    </row>
    <row r="2134" spans="1:187" ht="11.25" customHeight="1">
      <c r="A2134" s="1" t="s">
        <v>3150</v>
      </c>
      <c r="B2134" s="1" t="str">
        <f ca="1">IFERROR(__xludf.DUMMYFUNCTION("GOOGLETRANSLATE(A2134, ""en"", ""fr"")"),"CONFIER")</f>
        <v>CONFIER</v>
      </c>
      <c r="C2134" s="1" t="s">
        <v>185</v>
      </c>
      <c r="D2134" s="1" t="s">
        <v>16612</v>
      </c>
      <c r="F2134" s="1" t="s">
        <v>2</v>
      </c>
      <c r="G2134" s="1" t="s">
        <v>3</v>
      </c>
      <c r="O2134" s="1" t="s">
        <v>11</v>
      </c>
      <c r="W2134" s="1" t="s">
        <v>19</v>
      </c>
      <c r="BK2134" s="1" t="s">
        <v>59</v>
      </c>
      <c r="DN2134" s="1" t="s">
        <v>114</v>
      </c>
      <c r="EK2134" s="1" t="s">
        <v>137</v>
      </c>
      <c r="EN2134" s="1" t="s">
        <v>140</v>
      </c>
      <c r="GD2134" s="1" t="s">
        <v>189</v>
      </c>
      <c r="GE2134" s="1" t="s">
        <v>190</v>
      </c>
    </row>
    <row r="2135" spans="1:187" ht="11.25" customHeight="1">
      <c r="A2135" s="1" t="s">
        <v>3151</v>
      </c>
      <c r="B2135" s="1" t="str">
        <f ca="1">IFERROR(__xludf.DUMMYFUNCTION("GOOGLETRANSLATE(A2135, ""en"", ""fr"")"),"Confiance n ° 1")</f>
        <v>Confiance n ° 1</v>
      </c>
      <c r="C2135" s="1" t="s">
        <v>185</v>
      </c>
      <c r="D2135" s="1" t="s">
        <v>16612</v>
      </c>
      <c r="F2135" s="1" t="s">
        <v>2</v>
      </c>
      <c r="J2135" s="1" t="s">
        <v>6</v>
      </c>
      <c r="M2135" s="1" t="s">
        <v>9</v>
      </c>
      <c r="P2135" s="1" t="s">
        <v>12</v>
      </c>
      <c r="T2135" s="1" t="s">
        <v>16</v>
      </c>
      <c r="W2135" s="1" t="s">
        <v>19</v>
      </c>
      <c r="EM2135" s="1" t="s">
        <v>139</v>
      </c>
      <c r="EN2135" s="1" t="s">
        <v>140</v>
      </c>
      <c r="GD2135" s="1" t="s">
        <v>849</v>
      </c>
      <c r="GE2135" s="1" t="s">
        <v>3152</v>
      </c>
    </row>
    <row r="2136" spans="1:187" ht="11.25" customHeight="1">
      <c r="A2136" s="1" t="s">
        <v>3153</v>
      </c>
      <c r="B2136" s="1" t="str">
        <f ca="1">IFERROR(__xludf.DUMMYFUNCTION("GOOGLETRANSLATE(A2136, ""en"", ""fr"")"),"Confiance n ° 2")</f>
        <v>Confiance n ° 2</v>
      </c>
      <c r="C2136" s="1" t="s">
        <v>185</v>
      </c>
      <c r="G2136" s="1" t="s">
        <v>3</v>
      </c>
      <c r="BK2136" s="1" t="s">
        <v>59</v>
      </c>
      <c r="EM2136" s="1" t="s">
        <v>139</v>
      </c>
      <c r="EN2136" s="1" t="s">
        <v>140</v>
      </c>
      <c r="GC2136" s="1" t="s">
        <v>181</v>
      </c>
      <c r="GD2136" s="1" t="s">
        <v>236</v>
      </c>
      <c r="GE2136" s="1" t="s">
        <v>3154</v>
      </c>
    </row>
    <row r="2137" spans="1:187" ht="11.25" customHeight="1">
      <c r="A2137" s="1" t="s">
        <v>3155</v>
      </c>
      <c r="B2137" s="1" t="str">
        <f ca="1">IFERROR(__xludf.DUMMYFUNCTION("GOOGLETRANSLATE(A2137, ""en"", ""fr"")"),"CONFIANT")</f>
        <v>CONFIANT</v>
      </c>
      <c r="C2137" s="1" t="s">
        <v>185</v>
      </c>
      <c r="D2137" s="1" t="s">
        <v>16612</v>
      </c>
      <c r="F2137" s="1" t="s">
        <v>2</v>
      </c>
      <c r="J2137" s="1" t="s">
        <v>6</v>
      </c>
      <c r="K2137" s="1" t="s">
        <v>7</v>
      </c>
      <c r="P2137" s="1" t="s">
        <v>12</v>
      </c>
      <c r="T2137" s="1" t="s">
        <v>16</v>
      </c>
      <c r="W2137" s="1" t="s">
        <v>19</v>
      </c>
      <c r="FA2137" s="1" t="s">
        <v>153</v>
      </c>
      <c r="FC2137" s="1" t="s">
        <v>155</v>
      </c>
      <c r="GD2137" s="1" t="s">
        <v>202</v>
      </c>
      <c r="GE2137" s="1" t="s">
        <v>190</v>
      </c>
    </row>
    <row r="2138" spans="1:187" ht="11.25" customHeight="1">
      <c r="A2138" s="1" t="s">
        <v>3156</v>
      </c>
      <c r="B2138" s="1" t="str">
        <f ca="1">IFERROR(__xludf.DUMMYFUNCTION("GOOGLETRANSLATE(A2138, ""en"", ""fr"")"),"CONFIGURATION")</f>
        <v>CONFIGURATION</v>
      </c>
      <c r="C2138" s="1" t="s">
        <v>185</v>
      </c>
      <c r="DA2138" s="1" t="s">
        <v>101</v>
      </c>
      <c r="GD2138" s="1" t="s">
        <v>193</v>
      </c>
      <c r="GE2138" s="1" t="s">
        <v>190</v>
      </c>
    </row>
    <row r="2139" spans="1:187" ht="11.25" customHeight="1">
      <c r="A2139" s="1" t="s">
        <v>3157</v>
      </c>
      <c r="B2139" s="1" t="str">
        <f ca="1">IFERROR(__xludf.DUMMYFUNCTION("GOOGLETRANSLATE(A2139, ""en"", ""fr"")"),"Confiner n ° 1")</f>
        <v>Confiner n ° 1</v>
      </c>
      <c r="C2139" s="1" t="s">
        <v>185</v>
      </c>
      <c r="E2139" s="1" t="s">
        <v>16613</v>
      </c>
      <c r="H2139" s="1" t="s">
        <v>4</v>
      </c>
      <c r="J2139" s="1" t="s">
        <v>6</v>
      </c>
      <c r="N2139" s="1" t="s">
        <v>10</v>
      </c>
      <c r="DA2139" s="1" t="s">
        <v>101</v>
      </c>
      <c r="DT2139" s="1" t="s">
        <v>120</v>
      </c>
      <c r="ED2139" s="1" t="s">
        <v>130</v>
      </c>
      <c r="GD2139" s="1" t="s">
        <v>202</v>
      </c>
      <c r="GE2139" s="1" t="s">
        <v>190</v>
      </c>
    </row>
    <row r="2140" spans="1:187" ht="11.25" customHeight="1">
      <c r="A2140" s="1" t="s">
        <v>3158</v>
      </c>
      <c r="B2140" s="1" t="str">
        <f ca="1">IFERROR(__xludf.DUMMYFUNCTION("GOOGLETRANSLATE(A2140, ""en"", ""fr"")"),"Confiner n ° 2")</f>
        <v>Confiner n ° 2</v>
      </c>
      <c r="C2140" s="1" t="s">
        <v>185</v>
      </c>
      <c r="E2140" s="1" t="s">
        <v>16613</v>
      </c>
      <c r="H2140" s="1" t="s">
        <v>4</v>
      </c>
      <c r="J2140" s="1" t="s">
        <v>6</v>
      </c>
      <c r="K2140" s="1" t="s">
        <v>7</v>
      </c>
      <c r="N2140" s="1" t="s">
        <v>10</v>
      </c>
      <c r="AN2140" s="1" t="s">
        <v>36</v>
      </c>
      <c r="DN2140" s="1" t="s">
        <v>114</v>
      </c>
      <c r="DT2140" s="1" t="s">
        <v>120</v>
      </c>
      <c r="ED2140" s="1" t="s">
        <v>130</v>
      </c>
      <c r="GD2140" s="1" t="s">
        <v>189</v>
      </c>
      <c r="GE2140" s="1" t="s">
        <v>190</v>
      </c>
    </row>
    <row r="2141" spans="1:187" ht="11.25" customHeight="1">
      <c r="A2141" s="1" t="s">
        <v>3159</v>
      </c>
      <c r="B2141" s="1" t="str">
        <f ca="1">IFERROR(__xludf.DUMMYFUNCTION("GOOGLETRANSLATE(A2141, ""en"", ""fr"")"),"CONFINEMENT")</f>
        <v>CONFINEMENT</v>
      </c>
      <c r="C2141" s="1" t="s">
        <v>192</v>
      </c>
      <c r="E2141" s="1" t="s">
        <v>16613</v>
      </c>
      <c r="V2141" s="1" t="s">
        <v>18</v>
      </c>
      <c r="CA2141" s="1" t="s">
        <v>75</v>
      </c>
      <c r="GD2141" s="1" t="s">
        <v>193</v>
      </c>
      <c r="GE2141" s="1" t="s">
        <v>190</v>
      </c>
    </row>
    <row r="2142" spans="1:187" ht="11.25" customHeight="1">
      <c r="A2142" s="1" t="s">
        <v>3160</v>
      </c>
      <c r="B2142" s="1" t="str">
        <f ca="1">IFERROR(__xludf.DUMMYFUNCTION("GOOGLETRANSLATE(A2142, ""en"", ""fr"")"),"Confirmer # 1")</f>
        <v>Confirmer # 1</v>
      </c>
      <c r="C2142" s="1" t="s">
        <v>185</v>
      </c>
      <c r="J2142" s="1" t="s">
        <v>6</v>
      </c>
      <c r="W2142" s="1" t="s">
        <v>19</v>
      </c>
      <c r="FY2142" s="1" t="s">
        <v>177</v>
      </c>
      <c r="GD2142" s="1" t="s">
        <v>202</v>
      </c>
      <c r="GE2142" s="1" t="s">
        <v>190</v>
      </c>
    </row>
    <row r="2143" spans="1:187" ht="11.25" customHeight="1">
      <c r="A2143" s="1" t="s">
        <v>3161</v>
      </c>
      <c r="B2143" s="1" t="str">
        <f ca="1">IFERROR(__xludf.DUMMYFUNCTION("GOOGLETRANSLATE(A2143, ""en"", ""fr"")"),"Confirmer # 2")</f>
        <v>Confirmer # 2</v>
      </c>
      <c r="C2143" s="1" t="s">
        <v>185</v>
      </c>
      <c r="J2143" s="1" t="s">
        <v>6</v>
      </c>
      <c r="W2143" s="1" t="s">
        <v>19</v>
      </c>
      <c r="CO2143" s="1" t="s">
        <v>89</v>
      </c>
      <c r="DN2143" s="1" t="s">
        <v>114</v>
      </c>
      <c r="FN2143" s="1" t="s">
        <v>166</v>
      </c>
      <c r="GD2143" s="1" t="s">
        <v>189</v>
      </c>
      <c r="GE2143" s="1" t="s">
        <v>190</v>
      </c>
    </row>
    <row r="2144" spans="1:187" ht="11.25" customHeight="1">
      <c r="A2144" s="1" t="s">
        <v>3162</v>
      </c>
      <c r="B2144" s="1" t="str">
        <f ca="1">IFERROR(__xludf.DUMMYFUNCTION("GOOGLETRANSLATE(A2144, ""en"", ""fr"")"),"CONFIRMATION")</f>
        <v>CONFIRMATION</v>
      </c>
      <c r="C2144" s="1" t="s">
        <v>185</v>
      </c>
      <c r="J2144" s="1" t="s">
        <v>6</v>
      </c>
      <c r="W2144" s="1" t="s">
        <v>19</v>
      </c>
      <c r="BK2144" s="1" t="s">
        <v>59</v>
      </c>
      <c r="BL2144" s="1" t="s">
        <v>60</v>
      </c>
      <c r="FN2144" s="1" t="s">
        <v>166</v>
      </c>
      <c r="GC2144" s="1" t="s">
        <v>181</v>
      </c>
      <c r="GD2144" s="1" t="s">
        <v>193</v>
      </c>
      <c r="GE2144" s="1" t="s">
        <v>190</v>
      </c>
    </row>
    <row r="2145" spans="1:187" ht="11.25" customHeight="1">
      <c r="A2145" s="1" t="s">
        <v>3163</v>
      </c>
      <c r="B2145" s="1" t="str">
        <f ca="1">IFERROR(__xludf.DUMMYFUNCTION("GOOGLETRANSLATE(A2145, ""en"", ""fr"")"),"CONFISQUER")</f>
        <v>CONFISQUER</v>
      </c>
      <c r="C2145" s="1" t="s">
        <v>192</v>
      </c>
      <c r="E2145" s="1" t="s">
        <v>16613</v>
      </c>
      <c r="K2145" s="1" t="s">
        <v>7</v>
      </c>
      <c r="N2145" s="1" t="s">
        <v>10</v>
      </c>
      <c r="CD2145" s="1" t="s">
        <v>78</v>
      </c>
      <c r="DN2145" s="1" t="s">
        <v>114</v>
      </c>
      <c r="GD2145" s="1" t="s">
        <v>189</v>
      </c>
      <c r="GE2145" s="1" t="s">
        <v>190</v>
      </c>
    </row>
    <row r="2146" spans="1:187" ht="11.25" customHeight="1">
      <c r="A2146" s="1" t="s">
        <v>3164</v>
      </c>
      <c r="B2146" s="1" t="str">
        <f ca="1">IFERROR(__xludf.DUMMYFUNCTION("GOOGLETRANSLATE(A2146, ""en"", ""fr"")"),"CONFISCATION")</f>
        <v>CONFISCATION</v>
      </c>
      <c r="C2146" s="1" t="s">
        <v>192</v>
      </c>
      <c r="E2146" s="1" t="s">
        <v>16613</v>
      </c>
      <c r="K2146" s="1" t="s">
        <v>7</v>
      </c>
      <c r="V2146" s="1" t="s">
        <v>18</v>
      </c>
      <c r="CD2146" s="1" t="s">
        <v>78</v>
      </c>
      <c r="GD2146" s="1" t="s">
        <v>193</v>
      </c>
      <c r="GE2146" s="1" t="s">
        <v>190</v>
      </c>
    </row>
    <row r="2147" spans="1:187" ht="11.25" customHeight="1">
      <c r="A2147" s="1" t="s">
        <v>3165</v>
      </c>
      <c r="B2147" s="1" t="str">
        <f ca="1">IFERROR(__xludf.DUMMYFUNCTION("GOOGLETRANSLATE(A2147, ""en"", ""fr"")"),"Conflit n ° 1")</f>
        <v>Conflit n ° 1</v>
      </c>
      <c r="C2147" s="1" t="s">
        <v>185</v>
      </c>
      <c r="E2147" s="1" t="s">
        <v>16613</v>
      </c>
      <c r="H2147" s="1" t="s">
        <v>4</v>
      </c>
      <c r="I2147" s="1" t="s">
        <v>5</v>
      </c>
      <c r="N2147" s="1" t="s">
        <v>10</v>
      </c>
      <c r="AH2147" s="1" t="s">
        <v>30</v>
      </c>
      <c r="BK2147" s="1" t="s">
        <v>59</v>
      </c>
      <c r="DW2147" s="1" t="s">
        <v>123</v>
      </c>
      <c r="ED2147" s="1" t="s">
        <v>130</v>
      </c>
      <c r="GD2147" s="1" t="s">
        <v>193</v>
      </c>
      <c r="GE2147" s="1" t="s">
        <v>3166</v>
      </c>
    </row>
    <row r="2148" spans="1:187" ht="11.25" customHeight="1">
      <c r="A2148" s="1" t="s">
        <v>3167</v>
      </c>
      <c r="B2148" s="1" t="str">
        <f ca="1">IFERROR(__xludf.DUMMYFUNCTION("GOOGLETRANSLATE(A2148, ""en"", ""fr"")"),"Conflit n ° 2")</f>
        <v>Conflit n ° 2</v>
      </c>
      <c r="C2148" s="1" t="s">
        <v>185</v>
      </c>
      <c r="E2148" s="1" t="s">
        <v>16613</v>
      </c>
      <c r="H2148" s="1" t="s">
        <v>4</v>
      </c>
      <c r="Q2148" s="1" t="s">
        <v>13</v>
      </c>
      <c r="DW2148" s="1" t="s">
        <v>123</v>
      </c>
      <c r="ED2148" s="1" t="s">
        <v>130</v>
      </c>
      <c r="GD2148" s="1" t="s">
        <v>202</v>
      </c>
      <c r="GE2148" s="1" t="s">
        <v>3168</v>
      </c>
    </row>
    <row r="2149" spans="1:187" ht="11.25" customHeight="1">
      <c r="A2149" s="1" t="s">
        <v>3169</v>
      </c>
      <c r="B2149" s="1" t="str">
        <f ca="1">IFERROR(__xludf.DUMMYFUNCTION("GOOGLETRANSLATE(A2149, ""en"", ""fr"")"),"Conflit n ° 3")</f>
        <v>Conflit n ° 3</v>
      </c>
      <c r="C2149" s="1" t="s">
        <v>185</v>
      </c>
      <c r="E2149" s="1" t="s">
        <v>16613</v>
      </c>
      <c r="H2149" s="1" t="s">
        <v>4</v>
      </c>
      <c r="I2149" s="1" t="s">
        <v>5</v>
      </c>
      <c r="N2149" s="1" t="s">
        <v>10</v>
      </c>
      <c r="AN2149" s="1" t="s">
        <v>36</v>
      </c>
      <c r="DN2149" s="1" t="s">
        <v>114</v>
      </c>
      <c r="DW2149" s="1" t="s">
        <v>123</v>
      </c>
      <c r="ED2149" s="1" t="s">
        <v>130</v>
      </c>
      <c r="GD2149" s="1" t="s">
        <v>189</v>
      </c>
      <c r="GE2149" s="1" t="s">
        <v>3170</v>
      </c>
    </row>
    <row r="2150" spans="1:187" ht="11.25" customHeight="1">
      <c r="A2150" s="1" t="s">
        <v>3171</v>
      </c>
      <c r="B2150" s="1" t="str">
        <f ca="1">IFERROR(__xludf.DUMMYFUNCTION("GOOGLETRANSLATE(A2150, ""en"", ""fr"")"),"Conflit n ° 4")</f>
        <v>Conflit n ° 4</v>
      </c>
      <c r="C2150" s="1" t="s">
        <v>185</v>
      </c>
      <c r="E2150" s="1" t="s">
        <v>16613</v>
      </c>
      <c r="H2150" s="1" t="s">
        <v>4</v>
      </c>
      <c r="O2150" s="1" t="s">
        <v>11</v>
      </c>
      <c r="Q2150" s="1" t="s">
        <v>13</v>
      </c>
      <c r="DW2150" s="1" t="s">
        <v>123</v>
      </c>
      <c r="ED2150" s="1" t="s">
        <v>130</v>
      </c>
      <c r="GD2150" s="1" t="s">
        <v>202</v>
      </c>
      <c r="GE2150" s="1" t="s">
        <v>3172</v>
      </c>
    </row>
    <row r="2151" spans="1:187" ht="11.25" customHeight="1">
      <c r="A2151" s="1" t="s">
        <v>3173</v>
      </c>
      <c r="B2151" s="1" t="str">
        <f ca="1">IFERROR(__xludf.DUMMYFUNCTION("GOOGLETRANSLATE(A2151, ""en"", ""fr"")"),"SE CONFORMER")</f>
        <v>SE CONFORMER</v>
      </c>
      <c r="C2151" s="1" t="s">
        <v>185</v>
      </c>
      <c r="L2151" s="1" t="s">
        <v>8</v>
      </c>
      <c r="M2151" s="1" t="s">
        <v>9</v>
      </c>
      <c r="O2151" s="1" t="s">
        <v>11</v>
      </c>
      <c r="AN2151" s="1" t="s">
        <v>36</v>
      </c>
      <c r="DN2151" s="1" t="s">
        <v>114</v>
      </c>
      <c r="EC2151" s="1" t="s">
        <v>129</v>
      </c>
      <c r="ED2151" s="1" t="s">
        <v>130</v>
      </c>
      <c r="GD2151" s="1" t="s">
        <v>189</v>
      </c>
      <c r="GE2151" s="1" t="s">
        <v>190</v>
      </c>
    </row>
    <row r="2152" spans="1:187" ht="11.25" customHeight="1">
      <c r="A2152" s="1" t="s">
        <v>3174</v>
      </c>
      <c r="B2152" s="1" t="str">
        <f ca="1">IFERROR(__xludf.DUMMYFUNCTION("GOOGLETRANSLATE(A2152, ""en"", ""fr"")"),"CONFORMISTE")</f>
        <v>CONFORMISTE</v>
      </c>
      <c r="C2152" s="1" t="s">
        <v>196</v>
      </c>
      <c r="DZ2152" s="1" t="s">
        <v>126</v>
      </c>
      <c r="ED2152" s="1" t="s">
        <v>130</v>
      </c>
      <c r="GD2152" s="1" t="s">
        <v>193</v>
      </c>
    </row>
    <row r="2153" spans="1:187" ht="11.25" customHeight="1">
      <c r="A2153" s="1" t="s">
        <v>3175</v>
      </c>
      <c r="B2153" s="1" t="str">
        <f ca="1">IFERROR(__xludf.DUMMYFUNCTION("GOOGLETRANSLATE(A2153, ""en"", ""fr"")"),"CONFORMITÉ")</f>
        <v>CONFORMITÉ</v>
      </c>
      <c r="C2153" s="1" t="s">
        <v>185</v>
      </c>
      <c r="L2153" s="1" t="s">
        <v>8</v>
      </c>
      <c r="M2153" s="1" t="s">
        <v>9</v>
      </c>
      <c r="O2153" s="1" t="s">
        <v>11</v>
      </c>
      <c r="U2153" s="1" t="s">
        <v>17</v>
      </c>
      <c r="EC2153" s="1" t="s">
        <v>129</v>
      </c>
      <c r="ED2153" s="1" t="s">
        <v>130</v>
      </c>
      <c r="GD2153" s="1" t="s">
        <v>193</v>
      </c>
      <c r="GE2153" s="1" t="s">
        <v>190</v>
      </c>
    </row>
    <row r="2154" spans="1:187" ht="11.25" customHeight="1">
      <c r="A2154" s="1" t="s">
        <v>3176</v>
      </c>
      <c r="B2154" s="1" t="str">
        <f ca="1">IFERROR(__xludf.DUMMYFUNCTION("GOOGLETRANSLATE(A2154, ""en"", ""fr"")"),"CONFONDRE")</f>
        <v>CONFONDRE</v>
      </c>
      <c r="C2154" s="1" t="s">
        <v>185</v>
      </c>
      <c r="E2154" s="1" t="s">
        <v>16613</v>
      </c>
      <c r="H2154" s="1" t="s">
        <v>4</v>
      </c>
      <c r="S2154" s="1" t="s">
        <v>15</v>
      </c>
      <c r="X2154" s="1" t="s">
        <v>20</v>
      </c>
      <c r="DN2154" s="1" t="s">
        <v>114</v>
      </c>
      <c r="FO2154" s="1" t="s">
        <v>167</v>
      </c>
      <c r="GD2154" s="1" t="s">
        <v>189</v>
      </c>
      <c r="GE2154" s="1" t="s">
        <v>190</v>
      </c>
    </row>
    <row r="2155" spans="1:187" ht="11.25" customHeight="1">
      <c r="A2155" s="1" t="s">
        <v>3177</v>
      </c>
      <c r="B2155" s="1" t="str">
        <f ca="1">IFERROR(__xludf.DUMMYFUNCTION("GOOGLETRANSLATE(A2155, ""en"", ""fr"")"),"AFFRONTER")</f>
        <v>AFFRONTER</v>
      </c>
      <c r="C2155" s="1" t="s">
        <v>185</v>
      </c>
      <c r="E2155" s="1" t="s">
        <v>16613</v>
      </c>
      <c r="H2155" s="1" t="s">
        <v>4</v>
      </c>
      <c r="I2155" s="1" t="s">
        <v>5</v>
      </c>
      <c r="J2155" s="1" t="s">
        <v>6</v>
      </c>
      <c r="N2155" s="1" t="s">
        <v>10</v>
      </c>
      <c r="AN2155" s="1" t="s">
        <v>36</v>
      </c>
      <c r="DN2155" s="1" t="s">
        <v>114</v>
      </c>
      <c r="DW2155" s="1" t="s">
        <v>123</v>
      </c>
      <c r="ED2155" s="1" t="s">
        <v>130</v>
      </c>
      <c r="GD2155" s="1" t="s">
        <v>189</v>
      </c>
      <c r="GE2155" s="1" t="s">
        <v>3178</v>
      </c>
    </row>
    <row r="2156" spans="1:187" ht="11.25" customHeight="1">
      <c r="A2156" s="1" t="s">
        <v>3179</v>
      </c>
      <c r="B2156" s="1" t="str">
        <f ca="1">IFERROR(__xludf.DUMMYFUNCTION("GOOGLETRANSLATE(A2156, ""en"", ""fr"")"),"AFFRONTEMENT")</f>
        <v>AFFRONTEMENT</v>
      </c>
      <c r="C2156" s="1" t="s">
        <v>185</v>
      </c>
      <c r="E2156" s="1" t="s">
        <v>16613</v>
      </c>
      <c r="H2156" s="1" t="s">
        <v>4</v>
      </c>
      <c r="I2156" s="1" t="s">
        <v>5</v>
      </c>
      <c r="J2156" s="1" t="s">
        <v>6</v>
      </c>
      <c r="N2156" s="1" t="s">
        <v>10</v>
      </c>
      <c r="V2156" s="1" t="s">
        <v>18</v>
      </c>
      <c r="AH2156" s="1" t="s">
        <v>30</v>
      </c>
      <c r="DW2156" s="1" t="s">
        <v>123</v>
      </c>
      <c r="ED2156" s="1" t="s">
        <v>130</v>
      </c>
      <c r="GD2156" s="1" t="s">
        <v>193</v>
      </c>
      <c r="GE2156" s="1" t="s">
        <v>190</v>
      </c>
    </row>
    <row r="2157" spans="1:187" ht="11.25" customHeight="1">
      <c r="A2157" s="1" t="s">
        <v>3180</v>
      </c>
      <c r="B2157" s="1" t="str">
        <f ca="1">IFERROR(__xludf.DUMMYFUNCTION("GOOGLETRANSLATE(A2157, ""en"", ""fr"")"),"Confondre n ° 1")</f>
        <v>Confondre n ° 1</v>
      </c>
      <c r="C2157" s="1" t="s">
        <v>185</v>
      </c>
      <c r="E2157" s="1" t="s">
        <v>16613</v>
      </c>
      <c r="H2157" s="1" t="s">
        <v>4</v>
      </c>
      <c r="X2157" s="1" t="s">
        <v>20</v>
      </c>
      <c r="BK2157" s="1" t="s">
        <v>59</v>
      </c>
      <c r="DN2157" s="1" t="s">
        <v>114</v>
      </c>
      <c r="FZ2157" s="1" t="s">
        <v>178</v>
      </c>
      <c r="GD2157" s="1" t="s">
        <v>189</v>
      </c>
      <c r="GE2157" s="1" t="s">
        <v>3181</v>
      </c>
    </row>
    <row r="2158" spans="1:187" ht="11.25" customHeight="1">
      <c r="A2158" s="1" t="s">
        <v>3182</v>
      </c>
      <c r="B2158" s="1" t="str">
        <f ca="1">IFERROR(__xludf.DUMMYFUNCTION("GOOGLETRANSLATE(A2158, ""en"", ""fr"")"),"Confus # 2")</f>
        <v>Confus # 2</v>
      </c>
      <c r="C2158" s="1" t="s">
        <v>185</v>
      </c>
      <c r="E2158" s="1" t="s">
        <v>16613</v>
      </c>
      <c r="H2158" s="1" t="s">
        <v>4</v>
      </c>
      <c r="L2158" s="1" t="s">
        <v>8</v>
      </c>
      <c r="X2158" s="1" t="s">
        <v>20</v>
      </c>
      <c r="CO2158" s="1" t="s">
        <v>89</v>
      </c>
      <c r="DN2158" s="1" t="s">
        <v>114</v>
      </c>
      <c r="FE2158" s="1" t="s">
        <v>157</v>
      </c>
      <c r="FI2158" s="1" t="s">
        <v>161</v>
      </c>
      <c r="GD2158" s="1" t="s">
        <v>189</v>
      </c>
      <c r="GE2158" s="1" t="s">
        <v>3183</v>
      </c>
    </row>
    <row r="2159" spans="1:187" ht="11.25" customHeight="1">
      <c r="A2159" s="1" t="s">
        <v>3184</v>
      </c>
      <c r="B2159" s="1" t="str">
        <f ca="1">IFERROR(__xludf.DUMMYFUNCTION("GOOGLETRANSLATE(A2159, ""en"", ""fr"")"),"Confus # 3")</f>
        <v>Confus # 3</v>
      </c>
      <c r="C2159" s="1" t="s">
        <v>185</v>
      </c>
      <c r="E2159" s="1" t="s">
        <v>16613</v>
      </c>
      <c r="H2159" s="1" t="s">
        <v>4</v>
      </c>
      <c r="L2159" s="1" t="s">
        <v>8</v>
      </c>
      <c r="O2159" s="1" t="s">
        <v>11</v>
      </c>
      <c r="V2159" s="1" t="s">
        <v>18</v>
      </c>
      <c r="X2159" s="1" t="s">
        <v>20</v>
      </c>
      <c r="FZ2159" s="1" t="s">
        <v>178</v>
      </c>
      <c r="GD2159" s="1" t="s">
        <v>202</v>
      </c>
      <c r="GE2159" s="1" t="s">
        <v>3185</v>
      </c>
    </row>
    <row r="2160" spans="1:187" ht="11.25" customHeight="1">
      <c r="A2160" s="1" t="s">
        <v>3186</v>
      </c>
      <c r="B2160" s="1" t="str">
        <f ca="1">IFERROR(__xludf.DUMMYFUNCTION("GOOGLETRANSLATE(A2160, ""en"", ""fr"")"),"Confus # 4")</f>
        <v>Confus # 4</v>
      </c>
      <c r="C2160" s="1" t="s">
        <v>185</v>
      </c>
      <c r="E2160" s="1" t="s">
        <v>16613</v>
      </c>
      <c r="H2160" s="1" t="s">
        <v>4</v>
      </c>
      <c r="V2160" s="1" t="s">
        <v>18</v>
      </c>
      <c r="X2160" s="1" t="s">
        <v>20</v>
      </c>
      <c r="FZ2160" s="1" t="s">
        <v>178</v>
      </c>
      <c r="GD2160" s="1" t="s">
        <v>202</v>
      </c>
      <c r="GE2160" s="1" t="s">
        <v>3187</v>
      </c>
    </row>
    <row r="2161" spans="1:187" ht="11.25" customHeight="1">
      <c r="A2161" s="1" t="s">
        <v>3188</v>
      </c>
      <c r="B2161" s="1" t="str">
        <f ca="1">IFERROR(__xludf.DUMMYFUNCTION("GOOGLETRANSLATE(A2161, ""en"", ""fr"")"),"CONFUSION")</f>
        <v>CONFUSION</v>
      </c>
      <c r="C2161" s="1" t="s">
        <v>185</v>
      </c>
      <c r="E2161" s="1" t="s">
        <v>16613</v>
      </c>
      <c r="H2161" s="1" t="s">
        <v>4</v>
      </c>
      <c r="L2161" s="1" t="s">
        <v>8</v>
      </c>
      <c r="V2161" s="1" t="s">
        <v>18</v>
      </c>
      <c r="X2161" s="1" t="s">
        <v>20</v>
      </c>
      <c r="FZ2161" s="1" t="s">
        <v>178</v>
      </c>
      <c r="GD2161" s="1" t="s">
        <v>193</v>
      </c>
      <c r="GE2161" s="1" t="s">
        <v>190</v>
      </c>
    </row>
    <row r="2162" spans="1:187" ht="11.25" customHeight="1">
      <c r="A2162" s="1" t="s">
        <v>3189</v>
      </c>
      <c r="B2162" s="1" t="str">
        <f ca="1">IFERROR(__xludf.DUMMYFUNCTION("GOOGLETRANSLATE(A2162, ""en"", ""fr"")"),"AGRÉABLE")</f>
        <v>AGRÉABLE</v>
      </c>
      <c r="C2162" s="1" t="s">
        <v>185</v>
      </c>
      <c r="D2162" s="1" t="s">
        <v>16612</v>
      </c>
      <c r="G2162" s="1" t="s">
        <v>3</v>
      </c>
      <c r="U2162" s="1" t="s">
        <v>17</v>
      </c>
      <c r="DQ2162" s="1" t="s">
        <v>117</v>
      </c>
      <c r="ER2162" s="1" t="s">
        <v>144</v>
      </c>
      <c r="ES2162" s="1" t="s">
        <v>145</v>
      </c>
      <c r="GD2162" s="1" t="s">
        <v>202</v>
      </c>
      <c r="GE2162" s="1" t="s">
        <v>190</v>
      </c>
    </row>
    <row r="2163" spans="1:187" ht="11.25" customHeight="1">
      <c r="A2163" s="1" t="s">
        <v>3190</v>
      </c>
      <c r="B2163" s="1" t="str">
        <f ca="1">IFERROR(__xludf.DUMMYFUNCTION("GOOGLETRANSLATE(A2163, ""en"", ""fr"")"),"CONGESTIONNÉ")</f>
        <v>CONGESTIONNÉ</v>
      </c>
      <c r="C2163" s="1" t="s">
        <v>192</v>
      </c>
      <c r="E2163" s="1" t="s">
        <v>16613</v>
      </c>
      <c r="CA2163" s="1" t="s">
        <v>75</v>
      </c>
      <c r="DR2163" s="1" t="s">
        <v>118</v>
      </c>
      <c r="GD2163" s="1" t="s">
        <v>202</v>
      </c>
      <c r="GE2163" s="1" t="s">
        <v>190</v>
      </c>
    </row>
    <row r="2164" spans="1:187" ht="11.25" customHeight="1">
      <c r="A2164" s="1" t="s">
        <v>3191</v>
      </c>
      <c r="B2164" s="1" t="str">
        <f ca="1">IFERROR(__xludf.DUMMYFUNCTION("GOOGLETRANSLATE(A2164, ""en"", ""fr"")"),"CONGESTION")</f>
        <v>CONGESTION</v>
      </c>
      <c r="C2164" s="1" t="s">
        <v>185</v>
      </c>
      <c r="E2164" s="1" t="s">
        <v>16613</v>
      </c>
      <c r="CA2164" s="1" t="s">
        <v>75</v>
      </c>
      <c r="EZ2164" s="1" t="s">
        <v>152</v>
      </c>
      <c r="FC2164" s="1" t="s">
        <v>155</v>
      </c>
      <c r="GD2164" s="1" t="s">
        <v>193</v>
      </c>
      <c r="GE2164" s="1" t="s">
        <v>190</v>
      </c>
    </row>
    <row r="2165" spans="1:187" ht="11.25" customHeight="1">
      <c r="A2165" s="1" t="s">
        <v>3192</v>
      </c>
      <c r="B2165" s="1" t="str">
        <f ca="1">IFERROR(__xludf.DUMMYFUNCTION("GOOGLETRANSLATE(A2165, ""en"", ""fr"")"),"Congo")</f>
        <v>Congo</v>
      </c>
      <c r="C2165" s="1" t="s">
        <v>185</v>
      </c>
      <c r="AC2165" s="1" t="s">
        <v>25</v>
      </c>
      <c r="AH2165" s="1" t="s">
        <v>30</v>
      </c>
      <c r="DI2165" s="1" t="s">
        <v>109</v>
      </c>
      <c r="FU2165" s="1" t="s">
        <v>173</v>
      </c>
      <c r="GD2165" s="1" t="s">
        <v>193</v>
      </c>
      <c r="GE2165" s="1" t="s">
        <v>190</v>
      </c>
    </row>
    <row r="2166" spans="1:187" ht="11.25" customHeight="1">
      <c r="A2166" s="1" t="s">
        <v>3193</v>
      </c>
      <c r="B2166" s="1" t="str">
        <f ca="1">IFERROR(__xludf.DUMMYFUNCTION("GOOGLETRANSLATE(A2166, ""en"", ""fr"")"),"FÉLICITER")</f>
        <v>FÉLICITER</v>
      </c>
      <c r="C2166" s="1" t="s">
        <v>185</v>
      </c>
      <c r="D2166" s="1" t="s">
        <v>16612</v>
      </c>
      <c r="G2166" s="1" t="s">
        <v>3</v>
      </c>
      <c r="N2166" s="1" t="s">
        <v>10</v>
      </c>
      <c r="BK2166" s="1" t="s">
        <v>59</v>
      </c>
      <c r="DN2166" s="1" t="s">
        <v>114</v>
      </c>
      <c r="EK2166" s="1" t="s">
        <v>137</v>
      </c>
      <c r="EN2166" s="1" t="s">
        <v>140</v>
      </c>
      <c r="GD2166" s="1" t="s">
        <v>670</v>
      </c>
      <c r="GE2166" s="1" t="s">
        <v>190</v>
      </c>
    </row>
    <row r="2167" spans="1:187" ht="11.25" customHeight="1">
      <c r="A2167" s="1" t="s">
        <v>3194</v>
      </c>
      <c r="B2167" s="1" t="str">
        <f ca="1">IFERROR(__xludf.DUMMYFUNCTION("GOOGLETRANSLATE(A2167, ""en"", ""fr"")"),"Félicitations")</f>
        <v>Félicitations</v>
      </c>
      <c r="C2167" s="1" t="s">
        <v>185</v>
      </c>
      <c r="D2167" s="1" t="s">
        <v>16612</v>
      </c>
      <c r="F2167" s="1" t="s">
        <v>2</v>
      </c>
      <c r="G2167" s="1" t="s">
        <v>3</v>
      </c>
      <c r="BK2167" s="1" t="s">
        <v>59</v>
      </c>
      <c r="BL2167" s="1" t="s">
        <v>60</v>
      </c>
      <c r="EK2167" s="1" t="s">
        <v>137</v>
      </c>
      <c r="EN2167" s="1" t="s">
        <v>140</v>
      </c>
      <c r="GC2167" s="1" t="s">
        <v>181</v>
      </c>
      <c r="GD2167" s="1" t="s">
        <v>193</v>
      </c>
      <c r="GE2167" s="1" t="s">
        <v>190</v>
      </c>
    </row>
    <row r="2168" spans="1:187" ht="11.25" customHeight="1">
      <c r="A2168" s="1" t="s">
        <v>3195</v>
      </c>
      <c r="B2168" s="1" t="str">
        <f ca="1">IFERROR(__xludf.DUMMYFUNCTION("GOOGLETRANSLATE(A2168, ""en"", ""fr"")"),"DE FÉLICITATIONS")</f>
        <v>DE FÉLICITATIONS</v>
      </c>
      <c r="C2168" s="1" t="s">
        <v>192</v>
      </c>
      <c r="D2168" s="1" t="s">
        <v>16612</v>
      </c>
      <c r="G2168" s="1" t="s">
        <v>3</v>
      </c>
      <c r="BK2168" s="1" t="s">
        <v>59</v>
      </c>
      <c r="DQ2168" s="1" t="s">
        <v>117</v>
      </c>
      <c r="GD2168" s="1" t="s">
        <v>202</v>
      </c>
      <c r="GE2168" s="1" t="s">
        <v>190</v>
      </c>
    </row>
    <row r="2169" spans="1:187" ht="11.25" customHeight="1">
      <c r="A2169" s="1" t="s">
        <v>3196</v>
      </c>
      <c r="B2169" s="1" t="str">
        <f ca="1">IFERROR(__xludf.DUMMYFUNCTION("GOOGLETRANSLATE(A2169, ""en"", ""fr"")"),"SE RASSEMBLER")</f>
        <v>SE RASSEMBLER</v>
      </c>
      <c r="C2169" s="1" t="s">
        <v>192</v>
      </c>
      <c r="D2169" s="1" t="s">
        <v>16612</v>
      </c>
      <c r="G2169" s="1" t="s">
        <v>3</v>
      </c>
      <c r="N2169" s="1" t="s">
        <v>10</v>
      </c>
      <c r="AK2169" s="1" t="s">
        <v>33</v>
      </c>
      <c r="DN2169" s="1" t="s">
        <v>114</v>
      </c>
      <c r="GD2169" s="1" t="s">
        <v>189</v>
      </c>
      <c r="GE2169" s="1" t="s">
        <v>190</v>
      </c>
    </row>
    <row r="2170" spans="1:187" ht="11.25" customHeight="1">
      <c r="A2170" s="1" t="s">
        <v>3197</v>
      </c>
      <c r="B2170" s="1" t="str">
        <f ca="1">IFERROR(__xludf.DUMMYFUNCTION("GOOGLETRANSLATE(A2170, ""en"", ""fr"")"),"CONGRÉGATION")</f>
        <v>CONGRÉGATION</v>
      </c>
      <c r="C2170" s="1" t="s">
        <v>185</v>
      </c>
      <c r="J2170" s="1" t="s">
        <v>6</v>
      </c>
      <c r="AI2170" s="1" t="s">
        <v>31</v>
      </c>
      <c r="AK2170" s="1" t="s">
        <v>33</v>
      </c>
      <c r="AT2170" s="1" t="s">
        <v>42</v>
      </c>
      <c r="EF2170" s="1" t="s">
        <v>132</v>
      </c>
      <c r="EJ2170" s="1" t="s">
        <v>136</v>
      </c>
      <c r="GD2170" s="1" t="s">
        <v>193</v>
      </c>
      <c r="GE2170" s="1" t="s">
        <v>190</v>
      </c>
    </row>
    <row r="2171" spans="1:187" ht="11.25" customHeight="1">
      <c r="A2171" s="1" t="s">
        <v>3198</v>
      </c>
      <c r="B2171" s="1" t="str">
        <f ca="1">IFERROR(__xludf.DUMMYFUNCTION("GOOGLETRANSLATE(A2171, ""en"", ""fr"")"),"Congrégation")</f>
        <v>Congrégation</v>
      </c>
      <c r="C2171" s="1" t="s">
        <v>185</v>
      </c>
      <c r="AI2171" s="1" t="s">
        <v>31</v>
      </c>
      <c r="AK2171" s="1" t="s">
        <v>33</v>
      </c>
      <c r="AT2171" s="1" t="s">
        <v>42</v>
      </c>
      <c r="EF2171" s="1" t="s">
        <v>132</v>
      </c>
      <c r="EJ2171" s="1" t="s">
        <v>136</v>
      </c>
      <c r="GD2171" s="1" t="s">
        <v>202</v>
      </c>
      <c r="GE2171" s="1" t="s">
        <v>190</v>
      </c>
    </row>
    <row r="2172" spans="1:187" ht="11.25" customHeight="1">
      <c r="A2172" s="1" t="s">
        <v>3199</v>
      </c>
      <c r="B2172" s="1" t="str">
        <f ca="1">IFERROR(__xludf.DUMMYFUNCTION("GOOGLETRANSLATE(A2172, ""en"", ""fr"")"),"Congrès # 1")</f>
        <v>Congrès # 1</v>
      </c>
      <c r="C2172" s="1" t="s">
        <v>185</v>
      </c>
      <c r="J2172" s="1" t="s">
        <v>6</v>
      </c>
      <c r="K2172" s="1" t="s">
        <v>7</v>
      </c>
      <c r="AG2172" s="1" t="s">
        <v>29</v>
      </c>
      <c r="AH2172" s="1" t="s">
        <v>30</v>
      </c>
      <c r="AK2172" s="1" t="s">
        <v>33</v>
      </c>
      <c r="AT2172" s="1" t="s">
        <v>42</v>
      </c>
      <c r="DY2172" s="1" t="s">
        <v>125</v>
      </c>
      <c r="ED2172" s="1" t="s">
        <v>130</v>
      </c>
      <c r="GD2172" s="1" t="s">
        <v>849</v>
      </c>
      <c r="GE2172" s="1" t="s">
        <v>3200</v>
      </c>
    </row>
    <row r="2173" spans="1:187" ht="11.25" customHeight="1">
      <c r="A2173" s="1" t="s">
        <v>3201</v>
      </c>
      <c r="B2173" s="1" t="str">
        <f ca="1">IFERROR(__xludf.DUMMYFUNCTION("GOOGLETRANSLATE(A2173, ""en"", ""fr"")"),"Congrès # 2")</f>
        <v>Congrès # 2</v>
      </c>
      <c r="C2173" s="1" t="s">
        <v>185</v>
      </c>
      <c r="J2173" s="1" t="s">
        <v>6</v>
      </c>
      <c r="AG2173" s="1" t="s">
        <v>29</v>
      </c>
      <c r="AK2173" s="1" t="s">
        <v>33</v>
      </c>
      <c r="AT2173" s="1" t="s">
        <v>42</v>
      </c>
      <c r="FT2173" s="1" t="s">
        <v>172</v>
      </c>
      <c r="GD2173" s="1" t="s">
        <v>193</v>
      </c>
      <c r="GE2173" s="1" t="s">
        <v>3202</v>
      </c>
    </row>
    <row r="2174" spans="1:187" ht="11.25" customHeight="1">
      <c r="A2174" s="1" t="s">
        <v>3203</v>
      </c>
      <c r="B2174" s="1" t="str">
        <f ca="1">IFERROR(__xludf.DUMMYFUNCTION("GOOGLETRANSLATE(A2174, ""en"", ""fr"")"),"Congrès")</f>
        <v>Congrès</v>
      </c>
      <c r="C2174" s="1" t="s">
        <v>185</v>
      </c>
      <c r="J2174" s="1" t="s">
        <v>6</v>
      </c>
      <c r="AG2174" s="1" t="s">
        <v>29</v>
      </c>
      <c r="AH2174" s="1" t="s">
        <v>30</v>
      </c>
      <c r="AK2174" s="1" t="s">
        <v>33</v>
      </c>
      <c r="AT2174" s="1" t="s">
        <v>42</v>
      </c>
      <c r="DY2174" s="1" t="s">
        <v>125</v>
      </c>
      <c r="ED2174" s="1" t="s">
        <v>130</v>
      </c>
      <c r="GD2174" s="1" t="s">
        <v>202</v>
      </c>
      <c r="GE2174" s="1" t="s">
        <v>190</v>
      </c>
    </row>
    <row r="2175" spans="1:187" ht="11.25" customHeight="1">
      <c r="A2175" s="1" t="s">
        <v>3204</v>
      </c>
      <c r="B2175" s="1" t="str">
        <f ca="1">IFERROR(__xludf.DUMMYFUNCTION("GOOGLETRANSLATE(A2175, ""en"", ""fr"")"),"MEMBRE DU CONGRÈS")</f>
        <v>MEMBRE DU CONGRÈS</v>
      </c>
      <c r="C2175" s="1" t="s">
        <v>185</v>
      </c>
      <c r="J2175" s="1" t="s">
        <v>6</v>
      </c>
      <c r="AG2175" s="1" t="s">
        <v>29</v>
      </c>
      <c r="AH2175" s="1" t="s">
        <v>30</v>
      </c>
      <c r="AJ2175" s="1" t="s">
        <v>32</v>
      </c>
      <c r="AQ2175" s="1" t="s">
        <v>39</v>
      </c>
      <c r="AT2175" s="1" t="s">
        <v>42</v>
      </c>
      <c r="DY2175" s="1" t="s">
        <v>125</v>
      </c>
      <c r="ED2175" s="1" t="s">
        <v>130</v>
      </c>
      <c r="GD2175" s="1" t="s">
        <v>193</v>
      </c>
      <c r="GE2175" s="1" t="s">
        <v>190</v>
      </c>
    </row>
    <row r="2176" spans="1:187" ht="11.25" customHeight="1">
      <c r="A2176" s="1" t="s">
        <v>3205</v>
      </c>
      <c r="B2176" s="1" t="str">
        <f ca="1">IFERROR(__xludf.DUMMYFUNCTION("GOOGLETRANSLATE(A2176, ""en"", ""fr"")"),"Membre du Congrès")</f>
        <v>Membre du Congrès</v>
      </c>
      <c r="C2176" s="1" t="s">
        <v>185</v>
      </c>
      <c r="J2176" s="1" t="s">
        <v>6</v>
      </c>
      <c r="K2176" s="1" t="s">
        <v>7</v>
      </c>
      <c r="AG2176" s="1" t="s">
        <v>29</v>
      </c>
      <c r="AJ2176" s="1" t="s">
        <v>32</v>
      </c>
      <c r="AT2176" s="1" t="s">
        <v>42</v>
      </c>
      <c r="DY2176" s="1" t="s">
        <v>125</v>
      </c>
      <c r="ED2176" s="1" t="s">
        <v>130</v>
      </c>
      <c r="GD2176" s="1" t="s">
        <v>576</v>
      </c>
      <c r="GE2176" s="1" t="s">
        <v>190</v>
      </c>
    </row>
    <row r="2177" spans="1:187" ht="11.25" customHeight="1">
      <c r="A2177" s="1" t="s">
        <v>3206</v>
      </c>
      <c r="B2177" s="1" t="str">
        <f ca="1">IFERROR(__xludf.DUMMYFUNCTION("GOOGLETRANSLATE(A2177, ""en"", ""fr"")"),"CONJONCTION")</f>
        <v>CONJONCTION</v>
      </c>
      <c r="C2177" s="1" t="s">
        <v>185</v>
      </c>
      <c r="D2177" s="1" t="s">
        <v>16612</v>
      </c>
      <c r="DD2177" s="1" t="s">
        <v>104</v>
      </c>
      <c r="DX2177" s="1" t="s">
        <v>124</v>
      </c>
      <c r="ED2177" s="1" t="s">
        <v>130</v>
      </c>
      <c r="GD2177" s="1" t="s">
        <v>193</v>
      </c>
      <c r="GE2177" s="1" t="s">
        <v>190</v>
      </c>
    </row>
    <row r="2178" spans="1:187" ht="11.25" customHeight="1">
      <c r="A2178" s="1" t="s">
        <v>3207</v>
      </c>
      <c r="B2178" s="1" t="str">
        <f ca="1">IFERROR(__xludf.DUMMYFUNCTION("GOOGLETRANSLATE(A2178, ""en"", ""fr"")"),"CONJURER")</f>
        <v>CONJURER</v>
      </c>
      <c r="C2178" s="1" t="s">
        <v>192</v>
      </c>
      <c r="D2178" s="1" t="s">
        <v>16612</v>
      </c>
      <c r="J2178" s="1" t="s">
        <v>6</v>
      </c>
      <c r="N2178" s="1" t="s">
        <v>10</v>
      </c>
      <c r="AD2178" s="1" t="s">
        <v>26</v>
      </c>
      <c r="BV2178" s="1" t="s">
        <v>70</v>
      </c>
      <c r="DN2178" s="1" t="s">
        <v>114</v>
      </c>
      <c r="GD2178" s="1" t="s">
        <v>189</v>
      </c>
      <c r="GE2178" s="1" t="s">
        <v>190</v>
      </c>
    </row>
    <row r="2179" spans="1:187" ht="11.25" customHeight="1">
      <c r="A2179" s="1" t="s">
        <v>3208</v>
      </c>
      <c r="B2179" s="1" t="str">
        <f ca="1">IFERROR(__xludf.DUMMYFUNCTION("GOOGLETRANSLATE(A2179, ""en"", ""fr"")"),"CONNECTER")</f>
        <v>CONNECTER</v>
      </c>
      <c r="C2179" s="1" t="s">
        <v>185</v>
      </c>
      <c r="D2179" s="1" t="s">
        <v>16612</v>
      </c>
      <c r="F2179" s="1" t="s">
        <v>2</v>
      </c>
      <c r="N2179" s="1" t="s">
        <v>10</v>
      </c>
      <c r="DA2179" s="1" t="s">
        <v>101</v>
      </c>
      <c r="DN2179" s="1" t="s">
        <v>114</v>
      </c>
      <c r="GD2179" s="1" t="s">
        <v>189</v>
      </c>
      <c r="GE2179" s="1" t="s">
        <v>190</v>
      </c>
    </row>
    <row r="2180" spans="1:187" ht="11.25" customHeight="1">
      <c r="A2180" s="1" t="s">
        <v>3209</v>
      </c>
      <c r="B2180" s="1" t="str">
        <f ca="1">IFERROR(__xludf.DUMMYFUNCTION("GOOGLETRANSLATE(A2180, ""en"", ""fr"")"),"CONNECTICUT")</f>
        <v>CONNECTICUT</v>
      </c>
      <c r="C2180" s="1" t="s">
        <v>196</v>
      </c>
      <c r="GD2180" s="1" t="s">
        <v>653</v>
      </c>
    </row>
    <row r="2181" spans="1:187" ht="11.25" customHeight="1">
      <c r="A2181" s="1" t="s">
        <v>3210</v>
      </c>
      <c r="B2181" s="1" t="str">
        <f ca="1">IFERROR(__xludf.DUMMYFUNCTION("GOOGLETRANSLATE(A2181, ""en"", ""fr"")"),"CONNEXION")</f>
        <v>CONNEXION</v>
      </c>
      <c r="C2181" s="1" t="s">
        <v>185</v>
      </c>
      <c r="N2181" s="1" t="s">
        <v>10</v>
      </c>
      <c r="CP2181" s="1" t="s">
        <v>90</v>
      </c>
      <c r="CQ2181" s="1" t="s">
        <v>91</v>
      </c>
      <c r="DA2181" s="1" t="s">
        <v>101</v>
      </c>
      <c r="GD2181" s="1" t="s">
        <v>193</v>
      </c>
      <c r="GE2181" s="1" t="s">
        <v>3211</v>
      </c>
    </row>
    <row r="2182" spans="1:187" ht="11.25" customHeight="1">
      <c r="A2182" s="1" t="s">
        <v>3212</v>
      </c>
      <c r="B2182" s="1" t="str">
        <f ca="1">IFERROR(__xludf.DUMMYFUNCTION("GOOGLETRANSLATE(A2182, ""en"", ""fr"")"),"CONQUÉRIR")</f>
        <v>CONQUÉRIR</v>
      </c>
      <c r="C2182" s="1" t="s">
        <v>185</v>
      </c>
      <c r="D2182" s="1" t="s">
        <v>16612</v>
      </c>
      <c r="J2182" s="1" t="s">
        <v>6</v>
      </c>
      <c r="K2182" s="1" t="s">
        <v>7</v>
      </c>
      <c r="N2182" s="1" t="s">
        <v>10</v>
      </c>
      <c r="AN2182" s="1" t="s">
        <v>36</v>
      </c>
      <c r="CE2182" s="1" t="s">
        <v>79</v>
      </c>
      <c r="DN2182" s="1" t="s">
        <v>114</v>
      </c>
      <c r="DT2182" s="1" t="s">
        <v>120</v>
      </c>
      <c r="ED2182" s="1" t="s">
        <v>130</v>
      </c>
      <c r="GD2182" s="1" t="s">
        <v>189</v>
      </c>
      <c r="GE2182" s="1" t="s">
        <v>190</v>
      </c>
    </row>
    <row r="2183" spans="1:187" ht="11.25" customHeight="1">
      <c r="A2183" s="1" t="s">
        <v>3213</v>
      </c>
      <c r="B2183" s="1" t="str">
        <f ca="1">IFERROR(__xludf.DUMMYFUNCTION("GOOGLETRANSLATE(A2183, ""en"", ""fr"")"),"CONQUÉRANT")</f>
        <v>CONQUÉRANT</v>
      </c>
      <c r="C2183" s="1" t="s">
        <v>192</v>
      </c>
      <c r="D2183" s="1" t="s">
        <v>16612</v>
      </c>
      <c r="J2183" s="1" t="s">
        <v>6</v>
      </c>
      <c r="K2183" s="1" t="s">
        <v>7</v>
      </c>
      <c r="AJ2183" s="1" t="s">
        <v>32</v>
      </c>
      <c r="AN2183" s="1" t="s">
        <v>36</v>
      </c>
      <c r="AT2183" s="1" t="s">
        <v>42</v>
      </c>
      <c r="CE2183" s="1" t="s">
        <v>79</v>
      </c>
      <c r="GD2183" s="1" t="s">
        <v>193</v>
      </c>
      <c r="GE2183" s="1" t="s">
        <v>190</v>
      </c>
    </row>
    <row r="2184" spans="1:187" ht="11.25" customHeight="1">
      <c r="A2184" s="1" t="s">
        <v>3214</v>
      </c>
      <c r="B2184" s="1" t="str">
        <f ca="1">IFERROR(__xludf.DUMMYFUNCTION("GOOGLETRANSLATE(A2184, ""en"", ""fr"")"),"CONQUÊTE")</f>
        <v>CONQUÊTE</v>
      </c>
      <c r="C2184" s="1" t="s">
        <v>185</v>
      </c>
      <c r="D2184" s="1" t="s">
        <v>16612</v>
      </c>
      <c r="BO2184" s="1" t="s">
        <v>63</v>
      </c>
      <c r="EC2184" s="1" t="s">
        <v>129</v>
      </c>
      <c r="ED2184" s="1" t="s">
        <v>130</v>
      </c>
      <c r="GD2184" s="1" t="s">
        <v>193</v>
      </c>
      <c r="GE2184" s="1" t="s">
        <v>190</v>
      </c>
    </row>
    <row r="2185" spans="1:187" ht="11.25" customHeight="1">
      <c r="A2185" s="1" t="s">
        <v>3215</v>
      </c>
      <c r="B2185" s="1" t="str">
        <f ca="1">IFERROR(__xludf.DUMMYFUNCTION("GOOGLETRANSLATE(A2185, ""en"", ""fr"")"),"CONSCIENCE")</f>
        <v>CONSCIENCE</v>
      </c>
      <c r="C2185" s="1" t="s">
        <v>185</v>
      </c>
      <c r="D2185" s="1" t="s">
        <v>16612</v>
      </c>
      <c r="F2185" s="1" t="s">
        <v>2</v>
      </c>
      <c r="U2185" s="1" t="s">
        <v>17</v>
      </c>
      <c r="CP2185" s="1" t="s">
        <v>90</v>
      </c>
      <c r="CQ2185" s="1" t="s">
        <v>91</v>
      </c>
      <c r="EE2185" s="1" t="s">
        <v>131</v>
      </c>
      <c r="EJ2185" s="1" t="s">
        <v>136</v>
      </c>
      <c r="GD2185" s="1" t="s">
        <v>193</v>
      </c>
      <c r="GE2185" s="1" t="s">
        <v>190</v>
      </c>
    </row>
    <row r="2186" spans="1:187" ht="11.25" customHeight="1">
      <c r="A2186" s="1" t="s">
        <v>3216</v>
      </c>
      <c r="B2186" s="1" t="str">
        <f ca="1">IFERROR(__xludf.DUMMYFUNCTION("GOOGLETRANSLATE(A2186, ""en"", ""fr"")"),"CONSCIENCIEUX")</f>
        <v>CONSCIENCIEUX</v>
      </c>
      <c r="C2186" s="1" t="s">
        <v>185</v>
      </c>
      <c r="D2186" s="1" t="s">
        <v>16612</v>
      </c>
      <c r="F2186" s="1" t="s">
        <v>2</v>
      </c>
      <c r="U2186" s="1" t="s">
        <v>17</v>
      </c>
      <c r="GD2186" s="1" t="s">
        <v>202</v>
      </c>
      <c r="GE2186" s="1" t="s">
        <v>190</v>
      </c>
    </row>
    <row r="2187" spans="1:187" ht="11.25" customHeight="1">
      <c r="A2187" s="1" t="s">
        <v>3217</v>
      </c>
      <c r="B2187" s="1" t="str">
        <f ca="1">IFERROR(__xludf.DUMMYFUNCTION("GOOGLETRANSLATE(A2187, ""en"", ""fr"")"),"CONSCIENT")</f>
        <v>CONSCIENT</v>
      </c>
      <c r="C2187" s="1" t="s">
        <v>185</v>
      </c>
      <c r="CK2187" s="1" t="s">
        <v>85</v>
      </c>
      <c r="FH2187" s="1" t="s">
        <v>160</v>
      </c>
      <c r="FI2187" s="1" t="s">
        <v>161</v>
      </c>
      <c r="GD2187" s="1" t="s">
        <v>202</v>
      </c>
      <c r="GE2187" s="1" t="s">
        <v>3218</v>
      </c>
    </row>
    <row r="2188" spans="1:187" ht="11.25" customHeight="1">
      <c r="A2188" s="1" t="s">
        <v>3219</v>
      </c>
      <c r="B2188" s="1" t="str">
        <f ca="1">IFERROR(__xludf.DUMMYFUNCTION("GOOGLETRANSLATE(A2188, ""en"", ""fr"")"),"CONSCIENCE")</f>
        <v>CONSCIENCE</v>
      </c>
      <c r="C2188" s="1" t="s">
        <v>185</v>
      </c>
      <c r="CK2188" s="1" t="s">
        <v>85</v>
      </c>
      <c r="CP2188" s="1" t="s">
        <v>90</v>
      </c>
      <c r="CQ2188" s="1" t="s">
        <v>91</v>
      </c>
      <c r="FH2188" s="1" t="s">
        <v>160</v>
      </c>
      <c r="FI2188" s="1" t="s">
        <v>161</v>
      </c>
      <c r="GD2188" s="1" t="s">
        <v>193</v>
      </c>
      <c r="GE2188" s="1" t="s">
        <v>190</v>
      </c>
    </row>
    <row r="2189" spans="1:187" ht="11.25" customHeight="1">
      <c r="A2189" s="1" t="s">
        <v>3220</v>
      </c>
      <c r="B2189" s="1" t="str">
        <f ca="1">IFERROR(__xludf.DUMMYFUNCTION("GOOGLETRANSLATE(A2189, ""en"", ""fr"")"),"CONSACRER")</f>
        <v>CONSACRER</v>
      </c>
      <c r="C2189" s="1" t="s">
        <v>196</v>
      </c>
      <c r="EF2189" s="1" t="s">
        <v>132</v>
      </c>
      <c r="EJ2189" s="1" t="s">
        <v>136</v>
      </c>
      <c r="GD2189" s="1" t="s">
        <v>189</v>
      </c>
    </row>
    <row r="2190" spans="1:187" ht="11.25" customHeight="1">
      <c r="A2190" s="1" t="s">
        <v>3221</v>
      </c>
      <c r="B2190" s="1" t="str">
        <f ca="1">IFERROR(__xludf.DUMMYFUNCTION("GOOGLETRANSLATE(A2190, ""en"", ""fr"")"),"CONSENSUS")</f>
        <v>CONSENSUS</v>
      </c>
      <c r="C2190" s="1" t="s">
        <v>185</v>
      </c>
      <c r="D2190" s="1" t="s">
        <v>16612</v>
      </c>
      <c r="G2190" s="1" t="s">
        <v>3</v>
      </c>
      <c r="BK2190" s="1" t="s">
        <v>59</v>
      </c>
      <c r="BS2190" s="1" t="s">
        <v>67</v>
      </c>
      <c r="DX2190" s="1" t="s">
        <v>124</v>
      </c>
      <c r="ED2190" s="1" t="s">
        <v>130</v>
      </c>
      <c r="GD2190" s="1" t="s">
        <v>193</v>
      </c>
      <c r="GE2190" s="1" t="s">
        <v>190</v>
      </c>
    </row>
    <row r="2191" spans="1:187" ht="11.25" customHeight="1">
      <c r="A2191" s="1" t="s">
        <v>3222</v>
      </c>
      <c r="B2191" s="1" t="str">
        <f ca="1">IFERROR(__xludf.DUMMYFUNCTION("GOOGLETRANSLATE(A2191, ""en"", ""fr"")"),"Consentement n ° 1")</f>
        <v>Consentement n ° 1</v>
      </c>
      <c r="C2191" s="1" t="s">
        <v>185</v>
      </c>
      <c r="D2191" s="1" t="s">
        <v>16612</v>
      </c>
      <c r="F2191" s="1" t="s">
        <v>2</v>
      </c>
      <c r="J2191" s="1" t="s">
        <v>6</v>
      </c>
      <c r="M2191" s="1" t="s">
        <v>9</v>
      </c>
      <c r="O2191" s="1" t="s">
        <v>11</v>
      </c>
      <c r="BK2191" s="1" t="s">
        <v>59</v>
      </c>
      <c r="BL2191" s="1" t="s">
        <v>60</v>
      </c>
      <c r="DX2191" s="1" t="s">
        <v>124</v>
      </c>
      <c r="ED2191" s="1" t="s">
        <v>130</v>
      </c>
      <c r="GC2191" s="1" t="s">
        <v>181</v>
      </c>
      <c r="GD2191" s="1" t="s">
        <v>193</v>
      </c>
      <c r="GE2191" s="1" t="s">
        <v>190</v>
      </c>
    </row>
    <row r="2192" spans="1:187" ht="11.25" customHeight="1">
      <c r="A2192" s="1" t="s">
        <v>3223</v>
      </c>
      <c r="B2192" s="1" t="str">
        <f ca="1">IFERROR(__xludf.DUMMYFUNCTION("GOOGLETRANSLATE(A2192, ""en"", ""fr"")"),"Consentement n ° 2")</f>
        <v>Consentement n ° 2</v>
      </c>
      <c r="C2192" s="1" t="s">
        <v>185</v>
      </c>
      <c r="D2192" s="1" t="s">
        <v>16612</v>
      </c>
      <c r="F2192" s="1" t="s">
        <v>2</v>
      </c>
      <c r="J2192" s="1" t="s">
        <v>6</v>
      </c>
      <c r="M2192" s="1" t="s">
        <v>9</v>
      </c>
      <c r="O2192" s="1" t="s">
        <v>11</v>
      </c>
      <c r="BK2192" s="1" t="s">
        <v>59</v>
      </c>
      <c r="DO2192" s="1" t="s">
        <v>115</v>
      </c>
      <c r="DX2192" s="1" t="s">
        <v>124</v>
      </c>
      <c r="ED2192" s="1" t="s">
        <v>130</v>
      </c>
      <c r="GD2192" s="1" t="s">
        <v>189</v>
      </c>
      <c r="GE2192" s="1" t="s">
        <v>190</v>
      </c>
    </row>
    <row r="2193" spans="1:187" ht="11.25" customHeight="1">
      <c r="A2193" s="1" t="s">
        <v>3224</v>
      </c>
      <c r="B2193" s="1" t="str">
        <f ca="1">IFERROR(__xludf.DUMMYFUNCTION("GOOGLETRANSLATE(A2193, ""en"", ""fr"")"),"CONSÉQUENCE")</f>
        <v>CONSÉQUENCE</v>
      </c>
      <c r="C2193" s="1" t="s">
        <v>185</v>
      </c>
      <c r="O2193" s="1" t="s">
        <v>11</v>
      </c>
      <c r="W2193" s="1" t="s">
        <v>19</v>
      </c>
      <c r="CI2193" s="1" t="s">
        <v>83</v>
      </c>
      <c r="FR2193" s="1" t="s">
        <v>170</v>
      </c>
      <c r="GD2193" s="1" t="s">
        <v>193</v>
      </c>
      <c r="GE2193" s="1" t="s">
        <v>190</v>
      </c>
    </row>
    <row r="2194" spans="1:187" ht="11.25" customHeight="1">
      <c r="A2194" s="1" t="s">
        <v>3225</v>
      </c>
      <c r="B2194" s="1" t="str">
        <f ca="1">IFERROR(__xludf.DUMMYFUNCTION("GOOGLETRANSLATE(A2194, ""en"", ""fr"")"),"CONSÉQUENT")</f>
        <v>CONSÉQUENT</v>
      </c>
      <c r="C2194" s="1" t="s">
        <v>185</v>
      </c>
      <c r="O2194" s="1" t="s">
        <v>11</v>
      </c>
      <c r="W2194" s="1" t="s">
        <v>19</v>
      </c>
      <c r="CH2194" s="1" t="s">
        <v>82</v>
      </c>
      <c r="CI2194" s="1" t="s">
        <v>83</v>
      </c>
      <c r="FR2194" s="1" t="s">
        <v>170</v>
      </c>
      <c r="GD2194" s="1" t="s">
        <v>202</v>
      </c>
      <c r="GE2194" s="1" t="s">
        <v>190</v>
      </c>
    </row>
    <row r="2195" spans="1:187" ht="11.25" customHeight="1">
      <c r="A2195" s="1" t="s">
        <v>3226</v>
      </c>
      <c r="B2195" s="1" t="str">
        <f ca="1">IFERROR(__xludf.DUMMYFUNCTION("GOOGLETRANSLATE(A2195, ""en"", ""fr"")"),"CONSERVATION")</f>
        <v>CONSERVATION</v>
      </c>
      <c r="C2195" s="1" t="s">
        <v>185</v>
      </c>
      <c r="Z2195" s="1" t="s">
        <v>22</v>
      </c>
      <c r="FQ2195" s="1" t="s">
        <v>169</v>
      </c>
      <c r="GD2195" s="1" t="s">
        <v>193</v>
      </c>
      <c r="GE2195" s="1" t="s">
        <v>190</v>
      </c>
    </row>
    <row r="2196" spans="1:187" ht="11.25" customHeight="1">
      <c r="A2196" s="1" t="s">
        <v>3227</v>
      </c>
      <c r="B2196" s="1" t="str">
        <f ca="1">IFERROR(__xludf.DUMMYFUNCTION("GOOGLETRANSLATE(A2196, ""en"", ""fr"")"),"CONSERVATISME")</f>
        <v>CONSERVATISME</v>
      </c>
      <c r="C2196" s="1" t="s">
        <v>185</v>
      </c>
      <c r="Z2196" s="1" t="s">
        <v>22</v>
      </c>
      <c r="AG2196" s="1" t="s">
        <v>29</v>
      </c>
      <c r="AH2196" s="1" t="s">
        <v>30</v>
      </c>
      <c r="CP2196" s="1" t="s">
        <v>90</v>
      </c>
      <c r="CQ2196" s="1" t="s">
        <v>91</v>
      </c>
      <c r="EA2196" s="1" t="s">
        <v>127</v>
      </c>
      <c r="ED2196" s="1" t="s">
        <v>130</v>
      </c>
      <c r="GD2196" s="1" t="s">
        <v>193</v>
      </c>
      <c r="GE2196" s="1" t="s">
        <v>190</v>
      </c>
    </row>
    <row r="2197" spans="1:187" ht="11.25" customHeight="1">
      <c r="A2197" s="1" t="s">
        <v>3228</v>
      </c>
      <c r="B2197" s="1" t="str">
        <f ca="1">IFERROR(__xludf.DUMMYFUNCTION("GOOGLETRANSLATE(A2197, ""en"", ""fr"")"),"Conservateur # 1")</f>
        <v>Conservateur # 1</v>
      </c>
      <c r="C2197" s="1" t="s">
        <v>185</v>
      </c>
      <c r="O2197" s="1" t="s">
        <v>11</v>
      </c>
      <c r="Z2197" s="1" t="s">
        <v>22</v>
      </c>
      <c r="AC2197" s="1" t="s">
        <v>25</v>
      </c>
      <c r="AG2197" s="1" t="s">
        <v>29</v>
      </c>
      <c r="AH2197" s="1" t="s">
        <v>30</v>
      </c>
      <c r="EC2197" s="1" t="s">
        <v>129</v>
      </c>
      <c r="ED2197" s="1" t="s">
        <v>130</v>
      </c>
      <c r="GD2197" s="1" t="s">
        <v>202</v>
      </c>
      <c r="GE2197" s="1" t="s">
        <v>3229</v>
      </c>
    </row>
    <row r="2198" spans="1:187" ht="11.25" customHeight="1">
      <c r="A2198" s="1" t="s">
        <v>3230</v>
      </c>
      <c r="B2198" s="1" t="str">
        <f ca="1">IFERROR(__xludf.DUMMYFUNCTION("GOOGLETRANSLATE(A2198, ""en"", ""fr"")"),"Conservateur # 2")</f>
        <v>Conservateur # 2</v>
      </c>
      <c r="C2198" s="1" t="s">
        <v>185</v>
      </c>
      <c r="O2198" s="1" t="s">
        <v>11</v>
      </c>
      <c r="AC2198" s="1" t="s">
        <v>25</v>
      </c>
      <c r="AG2198" s="1" t="s">
        <v>29</v>
      </c>
      <c r="AH2198" s="1" t="s">
        <v>30</v>
      </c>
      <c r="AJ2198" s="1" t="s">
        <v>32</v>
      </c>
      <c r="AT2198" s="1" t="s">
        <v>42</v>
      </c>
      <c r="EC2198" s="1" t="s">
        <v>129</v>
      </c>
      <c r="ED2198" s="1" t="s">
        <v>130</v>
      </c>
      <c r="GD2198" s="1" t="s">
        <v>193</v>
      </c>
      <c r="GE2198" s="1" t="s">
        <v>3231</v>
      </c>
    </row>
    <row r="2199" spans="1:187" ht="11.25" customHeight="1">
      <c r="A2199" s="1" t="s">
        <v>3232</v>
      </c>
      <c r="B2199" s="1" t="str">
        <f ca="1">IFERROR(__xludf.DUMMYFUNCTION("GOOGLETRANSLATE(A2199, ""en"", ""fr"")"),"Conservateur # 3")</f>
        <v>Conservateur # 3</v>
      </c>
      <c r="C2199" s="1" t="s">
        <v>185</v>
      </c>
      <c r="O2199" s="1" t="s">
        <v>11</v>
      </c>
      <c r="EC2199" s="1" t="s">
        <v>129</v>
      </c>
      <c r="ED2199" s="1" t="s">
        <v>130</v>
      </c>
      <c r="GD2199" s="1" t="s">
        <v>236</v>
      </c>
      <c r="GE2199" s="1" t="s">
        <v>3233</v>
      </c>
    </row>
    <row r="2200" spans="1:187" ht="11.25" customHeight="1">
      <c r="A2200" s="1" t="s">
        <v>3234</v>
      </c>
      <c r="B2200" s="1" t="str">
        <f ca="1">IFERROR(__xludf.DUMMYFUNCTION("GOOGLETRANSLATE(A2200, ""en"", ""fr"")"),"CONSERVER")</f>
        <v>CONSERVER</v>
      </c>
      <c r="C2200" s="1" t="s">
        <v>185</v>
      </c>
      <c r="D2200" s="1" t="s">
        <v>16612</v>
      </c>
      <c r="N2200" s="1" t="s">
        <v>10</v>
      </c>
      <c r="BP2200" s="1" t="s">
        <v>64</v>
      </c>
      <c r="CD2200" s="1" t="s">
        <v>78</v>
      </c>
      <c r="DN2200" s="1" t="s">
        <v>114</v>
      </c>
      <c r="FQ2200" s="1" t="s">
        <v>169</v>
      </c>
      <c r="GD2200" s="1" t="s">
        <v>189</v>
      </c>
      <c r="GE2200" s="1" t="s">
        <v>190</v>
      </c>
    </row>
    <row r="2201" spans="1:187" ht="11.25" customHeight="1">
      <c r="A2201" s="1" t="s">
        <v>3235</v>
      </c>
      <c r="B2201" s="1" t="str">
        <f ca="1">IFERROR(__xludf.DUMMYFUNCTION("GOOGLETRANSLATE(A2201, ""en"", ""fr"")"),"Considérez le n ° 1")</f>
        <v>Considérez le n ° 1</v>
      </c>
      <c r="C2201" s="1" t="s">
        <v>185</v>
      </c>
      <c r="D2201" s="1" t="s">
        <v>16612</v>
      </c>
      <c r="F2201" s="1" t="s">
        <v>2</v>
      </c>
      <c r="CO2201" s="1" t="s">
        <v>89</v>
      </c>
      <c r="DN2201" s="1" t="s">
        <v>114</v>
      </c>
      <c r="FZ2201" s="1" t="s">
        <v>178</v>
      </c>
      <c r="GD2201" s="1" t="s">
        <v>400</v>
      </c>
      <c r="GE2201" s="1" t="s">
        <v>3236</v>
      </c>
    </row>
    <row r="2202" spans="1:187" ht="11.25" customHeight="1">
      <c r="A2202" s="1" t="s">
        <v>3237</v>
      </c>
      <c r="B2202" s="1" t="str">
        <f ca="1">IFERROR(__xludf.DUMMYFUNCTION("GOOGLETRANSLATE(A2202, ""en"", ""fr"")"),"Considérez # 2")</f>
        <v>Considérez # 2</v>
      </c>
      <c r="C2202" s="1" t="s">
        <v>185</v>
      </c>
      <c r="D2202" s="1" t="s">
        <v>16612</v>
      </c>
      <c r="F2202" s="1" t="s">
        <v>2</v>
      </c>
      <c r="BQ2202" s="1" t="s">
        <v>65</v>
      </c>
      <c r="FZ2202" s="1" t="s">
        <v>178</v>
      </c>
      <c r="GD2202" s="1" t="s">
        <v>202</v>
      </c>
      <c r="GE2202" s="1" t="s">
        <v>3238</v>
      </c>
    </row>
    <row r="2203" spans="1:187" ht="11.25" customHeight="1">
      <c r="A2203" s="1" t="s">
        <v>3239</v>
      </c>
      <c r="B2203" s="1" t="str">
        <f ca="1">IFERROR(__xludf.DUMMYFUNCTION("GOOGLETRANSLATE(A2203, ""en"", ""fr"")"),"Considérable # 1")</f>
        <v>Considérable # 1</v>
      </c>
      <c r="C2203" s="1" t="s">
        <v>185</v>
      </c>
      <c r="J2203" s="1" t="s">
        <v>6</v>
      </c>
      <c r="W2203" s="1" t="s">
        <v>19</v>
      </c>
      <c r="CS2203" s="1" t="s">
        <v>93</v>
      </c>
      <c r="DC2203" s="1" t="s">
        <v>103</v>
      </c>
      <c r="FY2203" s="1" t="s">
        <v>177</v>
      </c>
      <c r="GD2203" s="1" t="s">
        <v>202</v>
      </c>
      <c r="GE2203" s="1" t="s">
        <v>3240</v>
      </c>
    </row>
    <row r="2204" spans="1:187" ht="11.25" customHeight="1">
      <c r="A2204" s="1" t="s">
        <v>3241</v>
      </c>
      <c r="B2204" s="1" t="str">
        <f ca="1">IFERROR(__xludf.DUMMYFUNCTION("GOOGLETRANSLATE(A2204, ""en"", ""fr"")"),"Considérable # 2")</f>
        <v>Considérable # 2</v>
      </c>
      <c r="C2204" s="1" t="s">
        <v>185</v>
      </c>
      <c r="J2204" s="1" t="s">
        <v>6</v>
      </c>
      <c r="W2204" s="1" t="s">
        <v>19</v>
      </c>
      <c r="CS2204" s="1" t="s">
        <v>93</v>
      </c>
      <c r="DC2204" s="1" t="s">
        <v>103</v>
      </c>
      <c r="FY2204" s="1" t="s">
        <v>177</v>
      </c>
      <c r="GD2204" s="1" t="s">
        <v>236</v>
      </c>
      <c r="GE2204" s="1" t="s">
        <v>3242</v>
      </c>
    </row>
    <row r="2205" spans="1:187" ht="11.25" customHeight="1">
      <c r="A2205" s="1" t="s">
        <v>3243</v>
      </c>
      <c r="B2205" s="1" t="str">
        <f ca="1">IFERROR(__xludf.DUMMYFUNCTION("GOOGLETRANSLATE(A2205, ""en"", ""fr"")"),"PRÉVENANT")</f>
        <v>PRÉVENANT</v>
      </c>
      <c r="C2205" s="1" t="s">
        <v>192</v>
      </c>
      <c r="D2205" s="1" t="s">
        <v>16612</v>
      </c>
      <c r="U2205" s="1" t="s">
        <v>17</v>
      </c>
      <c r="AN2205" s="1" t="s">
        <v>36</v>
      </c>
      <c r="DQ2205" s="1" t="s">
        <v>117</v>
      </c>
      <c r="GD2205" s="1" t="s">
        <v>202</v>
      </c>
      <c r="GE2205" s="1" t="s">
        <v>190</v>
      </c>
    </row>
    <row r="2206" spans="1:187" ht="11.25" customHeight="1">
      <c r="A2206" s="1" t="s">
        <v>3244</v>
      </c>
      <c r="B2206" s="1" t="str">
        <f ca="1">IFERROR(__xludf.DUMMYFUNCTION("GOOGLETRANSLATE(A2206, ""en"", ""fr"")"),"Considération n ° 1")</f>
        <v>Considération n ° 1</v>
      </c>
      <c r="C2206" s="1" t="s">
        <v>185</v>
      </c>
      <c r="D2206" s="1" t="s">
        <v>16612</v>
      </c>
      <c r="F2206" s="1" t="s">
        <v>2</v>
      </c>
      <c r="CH2206" s="1" t="s">
        <v>82</v>
      </c>
      <c r="FH2206" s="1" t="s">
        <v>160</v>
      </c>
      <c r="FI2206" s="1" t="s">
        <v>161</v>
      </c>
      <c r="GD2206" s="1" t="s">
        <v>193</v>
      </c>
      <c r="GE2206" s="1" t="s">
        <v>3245</v>
      </c>
    </row>
    <row r="2207" spans="1:187" ht="11.25" customHeight="1">
      <c r="A2207" s="1" t="s">
        <v>3246</v>
      </c>
      <c r="B2207" s="1" t="str">
        <f ca="1">IFERROR(__xludf.DUMMYFUNCTION("GOOGLETRANSLATE(A2207, ""en"", ""fr"")"),"Considération n ° 2")</f>
        <v>Considération n ° 2</v>
      </c>
      <c r="C2207" s="1" t="s">
        <v>185</v>
      </c>
      <c r="BQ2207" s="1" t="s">
        <v>65</v>
      </c>
      <c r="FH2207" s="1" t="s">
        <v>160</v>
      </c>
      <c r="FI2207" s="1" t="s">
        <v>161</v>
      </c>
      <c r="GD2207" s="1" t="s">
        <v>193</v>
      </c>
      <c r="GE2207" s="1" t="s">
        <v>3247</v>
      </c>
    </row>
    <row r="2208" spans="1:187" ht="11.25" customHeight="1">
      <c r="A2208" s="1" t="s">
        <v>3248</v>
      </c>
      <c r="B2208" s="1" t="str">
        <f ca="1">IFERROR(__xludf.DUMMYFUNCTION("GOOGLETRANSLATE(A2208, ""en"", ""fr"")"),"EXPÉDIER")</f>
        <v>EXPÉDIER</v>
      </c>
      <c r="C2208" s="1" t="s">
        <v>192</v>
      </c>
      <c r="D2208" s="1" t="s">
        <v>16612</v>
      </c>
      <c r="N2208" s="1" t="s">
        <v>10</v>
      </c>
      <c r="CD2208" s="1" t="s">
        <v>78</v>
      </c>
      <c r="DN2208" s="1" t="s">
        <v>114</v>
      </c>
      <c r="GD2208" s="1" t="s">
        <v>189</v>
      </c>
      <c r="GE2208" s="1" t="s">
        <v>190</v>
      </c>
    </row>
    <row r="2209" spans="1:187" ht="11.25" customHeight="1">
      <c r="A2209" s="1" t="s">
        <v>3249</v>
      </c>
      <c r="B2209" s="1" t="str">
        <f ca="1">IFERROR(__xludf.DUMMYFUNCTION("GOOGLETRANSLATE(A2209, ""en"", ""fr"")"),"CONSISTER")</f>
        <v>CONSISTER</v>
      </c>
      <c r="C2209" s="1" t="s">
        <v>185</v>
      </c>
      <c r="O2209" s="1" t="s">
        <v>11</v>
      </c>
      <c r="DD2209" s="1" t="s">
        <v>104</v>
      </c>
      <c r="DN2209" s="1" t="s">
        <v>114</v>
      </c>
      <c r="GD2209" s="1" t="s">
        <v>189</v>
      </c>
      <c r="GE2209" s="1" t="s">
        <v>190</v>
      </c>
    </row>
    <row r="2210" spans="1:187" ht="11.25" customHeight="1">
      <c r="A2210" s="1" t="s">
        <v>3250</v>
      </c>
      <c r="B2210" s="1" t="str">
        <f ca="1">IFERROR(__xludf.DUMMYFUNCTION("GOOGLETRANSLATE(A2210, ""en"", ""fr"")"),"COHÉRENCE")</f>
        <v>COHÉRENCE</v>
      </c>
      <c r="C2210" s="1" t="s">
        <v>185</v>
      </c>
      <c r="D2210" s="1" t="s">
        <v>16612</v>
      </c>
      <c r="F2210" s="1" t="s">
        <v>2</v>
      </c>
      <c r="J2210" s="1" t="s">
        <v>6</v>
      </c>
      <c r="U2210" s="1" t="s">
        <v>17</v>
      </c>
      <c r="GD2210" s="1" t="s">
        <v>193</v>
      </c>
      <c r="GE2210" s="1" t="s">
        <v>190</v>
      </c>
    </row>
    <row r="2211" spans="1:187" ht="11.25" customHeight="1">
      <c r="A2211" s="1" t="s">
        <v>3251</v>
      </c>
      <c r="B2211" s="1" t="str">
        <f ca="1">IFERROR(__xludf.DUMMYFUNCTION("GOOGLETRANSLATE(A2211, ""en"", ""fr"")"),"COHÉRENT")</f>
        <v>COHÉRENT</v>
      </c>
      <c r="C2211" s="1" t="s">
        <v>185</v>
      </c>
      <c r="D2211" s="1" t="s">
        <v>16612</v>
      </c>
      <c r="F2211" s="1" t="s">
        <v>2</v>
      </c>
      <c r="J2211" s="1" t="s">
        <v>6</v>
      </c>
      <c r="U2211" s="1" t="s">
        <v>17</v>
      </c>
      <c r="FR2211" s="1" t="s">
        <v>170</v>
      </c>
      <c r="GD2211" s="1" t="s">
        <v>202</v>
      </c>
      <c r="GE2211" s="1" t="s">
        <v>3252</v>
      </c>
    </row>
    <row r="2212" spans="1:187" ht="11.25" customHeight="1">
      <c r="A2212" s="1" t="s">
        <v>3253</v>
      </c>
      <c r="B2212" s="1" t="str">
        <f ca="1">IFERROR(__xludf.DUMMYFUNCTION("GOOGLETRANSLATE(A2212, ""en"", ""fr"")"),"CONSOLATION")</f>
        <v>CONSOLATION</v>
      </c>
      <c r="C2212" s="1" t="s">
        <v>196</v>
      </c>
      <c r="EC2212" s="1" t="s">
        <v>129</v>
      </c>
      <c r="ED2212" s="1" t="s">
        <v>130</v>
      </c>
      <c r="GD2212" s="1" t="s">
        <v>193</v>
      </c>
    </row>
    <row r="2213" spans="1:187" ht="11.25" customHeight="1">
      <c r="A2213" s="1" t="s">
        <v>3254</v>
      </c>
      <c r="B2213" s="1" t="str">
        <f ca="1">IFERROR(__xludf.DUMMYFUNCTION("GOOGLETRANSLATE(A2213, ""en"", ""fr"")"),"CONSOLE")</f>
        <v>CONSOLE</v>
      </c>
      <c r="C2213" s="1" t="s">
        <v>192</v>
      </c>
      <c r="D2213" s="1" t="s">
        <v>16612</v>
      </c>
      <c r="G2213" s="1" t="s">
        <v>3</v>
      </c>
      <c r="N2213" s="1" t="s">
        <v>10</v>
      </c>
      <c r="DN2213" s="1" t="s">
        <v>114</v>
      </c>
      <c r="GD2213" s="1" t="s">
        <v>670</v>
      </c>
      <c r="GE2213" s="1" t="s">
        <v>190</v>
      </c>
    </row>
    <row r="2214" spans="1:187" ht="11.25" customHeight="1">
      <c r="A2214" s="1" t="s">
        <v>3255</v>
      </c>
      <c r="B2214" s="1" t="str">
        <f ca="1">IFERROR(__xludf.DUMMYFUNCTION("GOOGLETRANSLATE(A2214, ""en"", ""fr"")"),"CONSOLIDER")</f>
        <v>CONSOLIDER</v>
      </c>
      <c r="C2214" s="1" t="s">
        <v>185</v>
      </c>
      <c r="D2214" s="1" t="s">
        <v>16612</v>
      </c>
      <c r="F2214" s="1" t="s">
        <v>2</v>
      </c>
      <c r="J2214" s="1" t="s">
        <v>6</v>
      </c>
      <c r="BR2214" s="1" t="s">
        <v>66</v>
      </c>
      <c r="DN2214" s="1" t="s">
        <v>114</v>
      </c>
      <c r="GD2214" s="1" t="s">
        <v>189</v>
      </c>
      <c r="GE2214" s="1" t="s">
        <v>190</v>
      </c>
    </row>
    <row r="2215" spans="1:187" ht="11.25" customHeight="1">
      <c r="A2215" s="1" t="s">
        <v>3256</v>
      </c>
      <c r="B2215" s="1" t="str">
        <f ca="1">IFERROR(__xludf.DUMMYFUNCTION("GOOGLETRANSLATE(A2215, ""en"", ""fr"")"),"CONSOLIDATION")</f>
        <v>CONSOLIDATION</v>
      </c>
      <c r="C2215" s="1" t="s">
        <v>196</v>
      </c>
      <c r="FP2215" s="1" t="s">
        <v>168</v>
      </c>
      <c r="GD2215" s="1" t="s">
        <v>193</v>
      </c>
    </row>
    <row r="2216" spans="1:187" ht="11.25" customHeight="1">
      <c r="A2216" s="1" t="s">
        <v>3257</v>
      </c>
      <c r="B2216" s="1" t="str">
        <f ca="1">IFERROR(__xludf.DUMMYFUNCTION("GOOGLETRANSLATE(A2216, ""en"", ""fr"")"),"VISIBLE")</f>
        <v>VISIBLE</v>
      </c>
      <c r="C2216" s="1" t="s">
        <v>185</v>
      </c>
      <c r="W2216" s="1" t="s">
        <v>19</v>
      </c>
      <c r="CK2216" s="1" t="s">
        <v>85</v>
      </c>
      <c r="GD2216" s="1" t="s">
        <v>202</v>
      </c>
      <c r="GE2216" s="1" t="s">
        <v>190</v>
      </c>
    </row>
    <row r="2217" spans="1:187" ht="11.25" customHeight="1">
      <c r="A2217" s="1" t="s">
        <v>3258</v>
      </c>
      <c r="B2217" s="1" t="str">
        <f ca="1">IFERROR(__xludf.DUMMYFUNCTION("GOOGLETRANSLATE(A2217, ""en"", ""fr"")"),"CONSPIRATION")</f>
        <v>CONSPIRATION</v>
      </c>
      <c r="C2217" s="1" t="s">
        <v>185</v>
      </c>
      <c r="E2217" s="1" t="s">
        <v>16613</v>
      </c>
      <c r="H2217" s="1" t="s">
        <v>4</v>
      </c>
      <c r="I2217" s="1" t="s">
        <v>5</v>
      </c>
      <c r="AG2217" s="1" t="s">
        <v>29</v>
      </c>
      <c r="AH2217" s="1" t="s">
        <v>30</v>
      </c>
      <c r="AK2217" s="1" t="s">
        <v>33</v>
      </c>
      <c r="AT2217" s="1" t="s">
        <v>42</v>
      </c>
      <c r="DW2217" s="1" t="s">
        <v>123</v>
      </c>
      <c r="ED2217" s="1" t="s">
        <v>130</v>
      </c>
      <c r="GD2217" s="1" t="s">
        <v>193</v>
      </c>
      <c r="GE2217" s="1" t="s">
        <v>190</v>
      </c>
    </row>
    <row r="2218" spans="1:187" ht="11.25" customHeight="1">
      <c r="A2218" s="1" t="s">
        <v>3259</v>
      </c>
      <c r="B2218" s="1" t="str">
        <f ca="1">IFERROR(__xludf.DUMMYFUNCTION("GOOGLETRANSLATE(A2218, ""en"", ""fr"")"),"CONSPIRATEUR")</f>
        <v>CONSPIRATEUR</v>
      </c>
      <c r="C2218" s="1" t="s">
        <v>185</v>
      </c>
      <c r="E2218" s="1" t="s">
        <v>16613</v>
      </c>
      <c r="G2218" s="1" t="s">
        <v>3</v>
      </c>
      <c r="AN2218" s="1" t="s">
        <v>36</v>
      </c>
      <c r="AT2218" s="1" t="s">
        <v>42</v>
      </c>
      <c r="DZ2218" s="1" t="s">
        <v>126</v>
      </c>
      <c r="ED2218" s="1" t="s">
        <v>130</v>
      </c>
      <c r="GD2218" s="1" t="s">
        <v>193</v>
      </c>
      <c r="GE2218" s="1" t="s">
        <v>190</v>
      </c>
    </row>
    <row r="2219" spans="1:187" ht="11.25" customHeight="1">
      <c r="A2219" s="1" t="s">
        <v>3260</v>
      </c>
      <c r="B2219" s="1" t="str">
        <f ca="1">IFERROR(__xludf.DUMMYFUNCTION("GOOGLETRANSLATE(A2219, ""en"", ""fr"")"),"CONSPIRER")</f>
        <v>CONSPIRER</v>
      </c>
      <c r="C2219" s="1" t="s">
        <v>192</v>
      </c>
      <c r="E2219" s="1" t="s">
        <v>16613</v>
      </c>
      <c r="G2219" s="1" t="s">
        <v>3</v>
      </c>
      <c r="N2219" s="1" t="s">
        <v>10</v>
      </c>
      <c r="AN2219" s="1" t="s">
        <v>36</v>
      </c>
      <c r="DN2219" s="1" t="s">
        <v>114</v>
      </c>
      <c r="GD2219" s="1" t="s">
        <v>189</v>
      </c>
      <c r="GE2219" s="1" t="s">
        <v>190</v>
      </c>
    </row>
    <row r="2220" spans="1:187" ht="11.25" customHeight="1">
      <c r="A2220" s="1" t="s">
        <v>3261</v>
      </c>
      <c r="B2220" s="1" t="str">
        <f ca="1">IFERROR(__xludf.DUMMYFUNCTION("GOOGLETRANSLATE(A2220, ""en"", ""fr"")"),"GENDARME")</f>
        <v>GENDARME</v>
      </c>
      <c r="C2220" s="1" t="s">
        <v>185</v>
      </c>
      <c r="J2220" s="1" t="s">
        <v>6</v>
      </c>
      <c r="K2220" s="1" t="s">
        <v>7</v>
      </c>
      <c r="AE2220" s="1" t="s">
        <v>27</v>
      </c>
      <c r="AJ2220" s="1" t="s">
        <v>32</v>
      </c>
      <c r="AT2220" s="1" t="s">
        <v>42</v>
      </c>
      <c r="DY2220" s="1" t="s">
        <v>125</v>
      </c>
      <c r="ED2220" s="1" t="s">
        <v>130</v>
      </c>
      <c r="GD2220" s="1" t="s">
        <v>193</v>
      </c>
      <c r="GE2220" s="1" t="s">
        <v>190</v>
      </c>
    </row>
    <row r="2221" spans="1:187" ht="11.25" customHeight="1">
      <c r="A2221" s="1" t="s">
        <v>3262</v>
      </c>
      <c r="B2221" s="1" t="str">
        <f ca="1">IFERROR(__xludf.DUMMYFUNCTION("GOOGLETRANSLATE(A2221, ""en"", ""fr"")"),"CONSTANCE")</f>
        <v>CONSTANCE</v>
      </c>
      <c r="C2221" s="1" t="s">
        <v>192</v>
      </c>
      <c r="D2221" s="1" t="s">
        <v>16612</v>
      </c>
      <c r="GD2221" s="1" t="s">
        <v>3263</v>
      </c>
      <c r="GE2221" s="1" t="s">
        <v>190</v>
      </c>
    </row>
    <row r="2222" spans="1:187" ht="11.25" customHeight="1">
      <c r="A2222" s="1" t="s">
        <v>3264</v>
      </c>
      <c r="B2222" s="1" t="str">
        <f ca="1">IFERROR(__xludf.DUMMYFUNCTION("GOOGLETRANSLATE(A2222, ""en"", ""fr"")"),"Constant n ° 1")</f>
        <v>Constant n ° 1</v>
      </c>
      <c r="C2222" s="1" t="s">
        <v>185</v>
      </c>
      <c r="J2222" s="1" t="s">
        <v>6</v>
      </c>
      <c r="W2222" s="1" t="s">
        <v>19</v>
      </c>
      <c r="BR2222" s="1" t="s">
        <v>66</v>
      </c>
      <c r="FR2222" s="1" t="s">
        <v>170</v>
      </c>
      <c r="GD2222" s="1" t="s">
        <v>202</v>
      </c>
      <c r="GE2222" s="1" t="s">
        <v>3265</v>
      </c>
    </row>
    <row r="2223" spans="1:187" ht="11.25" customHeight="1">
      <c r="A2223" s="1" t="s">
        <v>3266</v>
      </c>
      <c r="B2223" s="1" t="str">
        <f ca="1">IFERROR(__xludf.DUMMYFUNCTION("GOOGLETRANSLATE(A2223, ""en"", ""fr"")"),"Constant # 2")</f>
        <v>Constant # 2</v>
      </c>
      <c r="C2223" s="1" t="s">
        <v>185</v>
      </c>
      <c r="J2223" s="1" t="s">
        <v>6</v>
      </c>
      <c r="FR2223" s="1" t="s">
        <v>170</v>
      </c>
      <c r="GD2223" s="1" t="s">
        <v>202</v>
      </c>
      <c r="GE2223" s="1" t="s">
        <v>3267</v>
      </c>
    </row>
    <row r="2224" spans="1:187" ht="11.25" customHeight="1">
      <c r="A2224" s="1" t="s">
        <v>3268</v>
      </c>
      <c r="B2224" s="1" t="str">
        <f ca="1">IFERROR(__xludf.DUMMYFUNCTION("GOOGLETRANSLATE(A2224, ""en"", ""fr"")"),"CONSTERNATION")</f>
        <v>CONSTERNATION</v>
      </c>
      <c r="C2224" s="1" t="s">
        <v>192</v>
      </c>
      <c r="E2224" s="1" t="s">
        <v>16613</v>
      </c>
      <c r="V2224" s="1" t="s">
        <v>18</v>
      </c>
      <c r="CG2224" s="1" t="s">
        <v>81</v>
      </c>
      <c r="CO2224" s="1" t="s">
        <v>89</v>
      </c>
      <c r="GD2224" s="1" t="s">
        <v>193</v>
      </c>
      <c r="GE2224" s="1" t="s">
        <v>190</v>
      </c>
    </row>
    <row r="2225" spans="1:187" ht="11.25" customHeight="1">
      <c r="A2225" s="1" t="s">
        <v>3269</v>
      </c>
      <c r="B2225" s="1" t="str">
        <f ca="1">IFERROR(__xludf.DUMMYFUNCTION("GOOGLETRANSLATE(A2225, ""en"", ""fr"")"),"CONSTITUANT")</f>
        <v>CONSTITUANT</v>
      </c>
      <c r="C2225" s="1" t="s">
        <v>196</v>
      </c>
      <c r="DY2225" s="1" t="s">
        <v>125</v>
      </c>
      <c r="ED2225" s="1" t="s">
        <v>130</v>
      </c>
      <c r="GD2225" s="1" t="s">
        <v>193</v>
      </c>
    </row>
    <row r="2226" spans="1:187" ht="11.25" customHeight="1">
      <c r="A2226" s="1" t="s">
        <v>3270</v>
      </c>
      <c r="B2226" s="1" t="str">
        <f ca="1">IFERROR(__xludf.DUMMYFUNCTION("GOOGLETRANSLATE(A2226, ""en"", ""fr"")"),"CONSTITUER")</f>
        <v>CONSTITUER</v>
      </c>
      <c r="C2226" s="1" t="s">
        <v>185</v>
      </c>
      <c r="J2226" s="1" t="s">
        <v>6</v>
      </c>
      <c r="O2226" s="1" t="s">
        <v>11</v>
      </c>
      <c r="DD2226" s="1" t="s">
        <v>104</v>
      </c>
      <c r="DN2226" s="1" t="s">
        <v>114</v>
      </c>
      <c r="GD2226" s="1" t="s">
        <v>189</v>
      </c>
      <c r="GE2226" s="1" t="s">
        <v>190</v>
      </c>
    </row>
    <row r="2227" spans="1:187" ht="11.25" customHeight="1">
      <c r="A2227" s="1" t="s">
        <v>3271</v>
      </c>
      <c r="B2227" s="1" t="str">
        <f ca="1">IFERROR(__xludf.DUMMYFUNCTION("GOOGLETRANSLATE(A2227, ""en"", ""fr"")"),"CONSTITUTION")</f>
        <v>CONSTITUTION</v>
      </c>
      <c r="C2227" s="1" t="s">
        <v>185</v>
      </c>
      <c r="J2227" s="1" t="s">
        <v>6</v>
      </c>
      <c r="AG2227" s="1" t="s">
        <v>29</v>
      </c>
      <c r="AH2227" s="1" t="s">
        <v>30</v>
      </c>
      <c r="BC2227" s="1" t="s">
        <v>51</v>
      </c>
      <c r="BH2227" s="1" t="s">
        <v>56</v>
      </c>
      <c r="BL2227" s="1" t="s">
        <v>60</v>
      </c>
      <c r="EB2227" s="1" t="s">
        <v>128</v>
      </c>
      <c r="ED2227" s="1" t="s">
        <v>130</v>
      </c>
      <c r="GD2227" s="1" t="s">
        <v>193</v>
      </c>
      <c r="GE2227" s="1" t="s">
        <v>190</v>
      </c>
    </row>
    <row r="2228" spans="1:187" ht="11.25" customHeight="1">
      <c r="A2228" s="1" t="s">
        <v>3272</v>
      </c>
      <c r="B2228" s="1" t="str">
        <f ca="1">IFERROR(__xludf.DUMMYFUNCTION("GOOGLETRANSLATE(A2228, ""en"", ""fr"")"),"CONSTITUTIONNEL")</f>
        <v>CONSTITUTIONNEL</v>
      </c>
      <c r="C2228" s="1" t="s">
        <v>185</v>
      </c>
      <c r="J2228" s="1" t="s">
        <v>6</v>
      </c>
      <c r="Z2228" s="1" t="s">
        <v>22</v>
      </c>
      <c r="AG2228" s="1" t="s">
        <v>29</v>
      </c>
      <c r="AH2228" s="1" t="s">
        <v>30</v>
      </c>
      <c r="GD2228" s="1" t="s">
        <v>202</v>
      </c>
      <c r="GE2228" s="1" t="s">
        <v>190</v>
      </c>
    </row>
    <row r="2229" spans="1:187" ht="11.25" customHeight="1">
      <c r="A2229" s="1" t="s">
        <v>3273</v>
      </c>
      <c r="B2229" s="1" t="str">
        <f ca="1">IFERROR(__xludf.DUMMYFUNCTION("GOOGLETRANSLATE(A2229, ""en"", ""fr"")"),"CONTRAINDRE")</f>
        <v>CONTRAINDRE</v>
      </c>
      <c r="C2229" s="1" t="s">
        <v>185</v>
      </c>
      <c r="E2229" s="1" t="s">
        <v>16613</v>
      </c>
      <c r="H2229" s="1" t="s">
        <v>4</v>
      </c>
      <c r="I2229" s="1" t="s">
        <v>5</v>
      </c>
      <c r="J2229" s="1" t="s">
        <v>6</v>
      </c>
      <c r="K2229" s="1" t="s">
        <v>7</v>
      </c>
      <c r="AN2229" s="1" t="s">
        <v>36</v>
      </c>
      <c r="DN2229" s="1" t="s">
        <v>114</v>
      </c>
      <c r="DT2229" s="1" t="s">
        <v>120</v>
      </c>
      <c r="ED2229" s="1" t="s">
        <v>130</v>
      </c>
      <c r="GD2229" s="1" t="s">
        <v>189</v>
      </c>
      <c r="GE2229" s="1" t="s">
        <v>190</v>
      </c>
    </row>
    <row r="2230" spans="1:187" ht="11.25" customHeight="1">
      <c r="A2230" s="1" t="s">
        <v>3274</v>
      </c>
      <c r="B2230" s="1" t="str">
        <f ca="1">IFERROR(__xludf.DUMMYFUNCTION("GOOGLETRANSLATE(A2230, ""en"", ""fr"")"),"CONTRAINTE")</f>
        <v>CONTRAINTE</v>
      </c>
      <c r="C2230" s="1" t="s">
        <v>185</v>
      </c>
      <c r="E2230" s="1" t="s">
        <v>16613</v>
      </c>
      <c r="H2230" s="1" t="s">
        <v>4</v>
      </c>
      <c r="J2230" s="1" t="s">
        <v>6</v>
      </c>
      <c r="K2230" s="1" t="s">
        <v>7</v>
      </c>
      <c r="BK2230" s="1" t="s">
        <v>59</v>
      </c>
      <c r="BL2230" s="1" t="s">
        <v>60</v>
      </c>
      <c r="DT2230" s="1" t="s">
        <v>120</v>
      </c>
      <c r="ED2230" s="1" t="s">
        <v>130</v>
      </c>
      <c r="GC2230" s="1" t="s">
        <v>181</v>
      </c>
      <c r="GD2230" s="1" t="s">
        <v>193</v>
      </c>
      <c r="GE2230" s="1" t="s">
        <v>190</v>
      </c>
    </row>
    <row r="2231" spans="1:187" ht="11.25" customHeight="1">
      <c r="A2231" s="1" t="s">
        <v>3275</v>
      </c>
      <c r="B2231" s="1" t="str">
        <f ca="1">IFERROR(__xludf.DUMMYFUNCTION("GOOGLETRANSLATE(A2231, ""en"", ""fr"")"),"CONSTRUCTION")</f>
        <v>CONSTRUCTION</v>
      </c>
      <c r="C2231" s="1" t="s">
        <v>185</v>
      </c>
      <c r="J2231" s="1" t="s">
        <v>6</v>
      </c>
      <c r="N2231" s="1" t="s">
        <v>10</v>
      </c>
      <c r="AL2231" s="1" t="s">
        <v>34</v>
      </c>
      <c r="DO2231" s="1" t="s">
        <v>115</v>
      </c>
      <c r="FL2231" s="1" t="s">
        <v>164</v>
      </c>
      <c r="FM2231" s="1" t="s">
        <v>418</v>
      </c>
      <c r="GD2231" s="1" t="s">
        <v>189</v>
      </c>
      <c r="GE2231" s="1" t="s">
        <v>190</v>
      </c>
    </row>
    <row r="2232" spans="1:187" ht="11.25" customHeight="1">
      <c r="A2232" s="1" t="s">
        <v>3276</v>
      </c>
      <c r="B2232" s="1" t="str">
        <f ca="1">IFERROR(__xludf.DUMMYFUNCTION("GOOGLETRANSLATE(A2232, ""en"", ""fr"")"),"CONSTRUCTION")</f>
        <v>CONSTRUCTION</v>
      </c>
      <c r="C2232" s="1" t="s">
        <v>185</v>
      </c>
      <c r="J2232" s="1" t="s">
        <v>6</v>
      </c>
      <c r="N2232" s="1" t="s">
        <v>10</v>
      </c>
      <c r="AC2232" s="1" t="s">
        <v>25</v>
      </c>
      <c r="BC2232" s="1" t="s">
        <v>51</v>
      </c>
      <c r="BG2232" s="1" t="s">
        <v>55</v>
      </c>
      <c r="FL2232" s="1" t="s">
        <v>164</v>
      </c>
      <c r="FM2232" s="1" t="s">
        <v>418</v>
      </c>
      <c r="GD2232" s="1" t="s">
        <v>193</v>
      </c>
      <c r="GE2232" s="1" t="s">
        <v>3277</v>
      </c>
    </row>
    <row r="2233" spans="1:187" ht="11.25" customHeight="1">
      <c r="A2233" s="1" t="s">
        <v>3278</v>
      </c>
      <c r="B2233" s="1" t="str">
        <f ca="1">IFERROR(__xludf.DUMMYFUNCTION("GOOGLETRANSLATE(A2233, ""en"", ""fr"")"),"CONSTRUCTIF")</f>
        <v>CONSTRUCTIF</v>
      </c>
      <c r="C2233" s="1" t="s">
        <v>185</v>
      </c>
      <c r="D2233" s="1" t="s">
        <v>16612</v>
      </c>
      <c r="F2233" s="1" t="s">
        <v>2</v>
      </c>
      <c r="J2233" s="1" t="s">
        <v>6</v>
      </c>
      <c r="U2233" s="1" t="s">
        <v>17</v>
      </c>
      <c r="CN2233" s="1" t="s">
        <v>88</v>
      </c>
      <c r="FR2233" s="1" t="s">
        <v>170</v>
      </c>
      <c r="GD2233" s="1" t="s">
        <v>202</v>
      </c>
      <c r="GE2233" s="1" t="s">
        <v>190</v>
      </c>
    </row>
    <row r="2234" spans="1:187" ht="11.25" customHeight="1">
      <c r="A2234" s="1" t="s">
        <v>3279</v>
      </c>
      <c r="B2234" s="1" t="str">
        <f ca="1">IFERROR(__xludf.DUMMYFUNCTION("GOOGLETRANSLATE(A2234, ""en"", ""fr"")"),"INTERPRÉTER")</f>
        <v>INTERPRÉTER</v>
      </c>
      <c r="C2234" s="1" t="s">
        <v>185</v>
      </c>
      <c r="CO2234" s="1" t="s">
        <v>89</v>
      </c>
      <c r="DN2234" s="1" t="s">
        <v>114</v>
      </c>
      <c r="FH2234" s="1" t="s">
        <v>160</v>
      </c>
      <c r="FI2234" s="1" t="s">
        <v>161</v>
      </c>
      <c r="GD2234" s="1" t="s">
        <v>189</v>
      </c>
      <c r="GE2234" s="1" t="s">
        <v>190</v>
      </c>
    </row>
    <row r="2235" spans="1:187" ht="11.25" customHeight="1">
      <c r="A2235" s="1" t="s">
        <v>3280</v>
      </c>
      <c r="B2235" s="1" t="str">
        <f ca="1">IFERROR(__xludf.DUMMYFUNCTION("GOOGLETRANSLATE(A2235, ""en"", ""fr"")"),"CONSULTER")</f>
        <v>CONSULTER</v>
      </c>
      <c r="C2235" s="1" t="s">
        <v>185</v>
      </c>
      <c r="D2235" s="1" t="s">
        <v>16612</v>
      </c>
      <c r="F2235" s="1" t="s">
        <v>2</v>
      </c>
      <c r="BK2235" s="1" t="s">
        <v>59</v>
      </c>
      <c r="DN2235" s="1" t="s">
        <v>114</v>
      </c>
      <c r="FH2235" s="1" t="s">
        <v>160</v>
      </c>
      <c r="FI2235" s="1" t="s">
        <v>161</v>
      </c>
      <c r="GD2235" s="1" t="s">
        <v>189</v>
      </c>
      <c r="GE2235" s="1" t="s">
        <v>190</v>
      </c>
    </row>
    <row r="2236" spans="1:187" ht="11.25" customHeight="1">
      <c r="A2236" s="1" t="s">
        <v>3281</v>
      </c>
      <c r="B2236" s="1" t="str">
        <f ca="1">IFERROR(__xludf.DUMMYFUNCTION("GOOGLETRANSLATE(A2236, ""en"", ""fr"")"),"CONSULTANT")</f>
        <v>CONSULTANT</v>
      </c>
      <c r="C2236" s="1" t="s">
        <v>185</v>
      </c>
      <c r="AA2236" s="1" t="s">
        <v>23</v>
      </c>
      <c r="AC2236" s="1" t="s">
        <v>25</v>
      </c>
      <c r="AJ2236" s="1" t="s">
        <v>32</v>
      </c>
      <c r="AT2236" s="1" t="s">
        <v>42</v>
      </c>
      <c r="FG2236" s="1" t="s">
        <v>159</v>
      </c>
      <c r="FI2236" s="1" t="s">
        <v>161</v>
      </c>
      <c r="GD2236" s="1" t="s">
        <v>193</v>
      </c>
      <c r="GE2236" s="1" t="s">
        <v>190</v>
      </c>
    </row>
    <row r="2237" spans="1:187" ht="11.25" customHeight="1">
      <c r="A2237" s="1" t="s">
        <v>3282</v>
      </c>
      <c r="B2237" s="1" t="str">
        <f ca="1">IFERROR(__xludf.DUMMYFUNCTION("GOOGLETRANSLATE(A2237, ""en"", ""fr"")"),"CONSULTATION")</f>
        <v>CONSULTATION</v>
      </c>
      <c r="C2237" s="1" t="s">
        <v>185</v>
      </c>
      <c r="D2237" s="1" t="s">
        <v>16612</v>
      </c>
      <c r="F2237" s="1" t="s">
        <v>2</v>
      </c>
      <c r="BK2237" s="1" t="s">
        <v>59</v>
      </c>
      <c r="BL2237" s="1" t="s">
        <v>60</v>
      </c>
      <c r="FH2237" s="1" t="s">
        <v>160</v>
      </c>
      <c r="FI2237" s="1" t="s">
        <v>161</v>
      </c>
      <c r="GD2237" s="1" t="s">
        <v>193</v>
      </c>
      <c r="GE2237" s="1" t="s">
        <v>190</v>
      </c>
    </row>
    <row r="2238" spans="1:187" ht="11.25" customHeight="1">
      <c r="A2238" s="1" t="s">
        <v>3283</v>
      </c>
      <c r="B2238" s="1" t="str">
        <f ca="1">IFERROR(__xludf.DUMMYFUNCTION("GOOGLETRANSLATE(A2238, ""en"", ""fr"")"),"CONSOMMER")</f>
        <v>CONSOMMER</v>
      </c>
      <c r="C2238" s="1" t="s">
        <v>185</v>
      </c>
      <c r="N2238" s="1" t="s">
        <v>10</v>
      </c>
      <c r="AA2238" s="1" t="s">
        <v>23</v>
      </c>
      <c r="BZ2238" s="1" t="s">
        <v>74</v>
      </c>
      <c r="DO2238" s="1" t="s">
        <v>115</v>
      </c>
      <c r="GD2238" s="1" t="s">
        <v>189</v>
      </c>
      <c r="GE2238" s="1" t="s">
        <v>190</v>
      </c>
    </row>
    <row r="2239" spans="1:187" ht="11.25" customHeight="1">
      <c r="A2239" s="1" t="s">
        <v>3284</v>
      </c>
      <c r="B2239" s="1" t="str">
        <f ca="1">IFERROR(__xludf.DUMMYFUNCTION("GOOGLETRANSLATE(A2239, ""en"", ""fr"")"),"CONSOMMATEUR")</f>
        <v>CONSOMMATEUR</v>
      </c>
      <c r="C2239" s="1" t="s">
        <v>185</v>
      </c>
      <c r="AA2239" s="1" t="s">
        <v>23</v>
      </c>
      <c r="AC2239" s="1" t="s">
        <v>25</v>
      </c>
      <c r="AJ2239" s="1" t="s">
        <v>32</v>
      </c>
      <c r="AT2239" s="1" t="s">
        <v>42</v>
      </c>
      <c r="ET2239" s="1" t="s">
        <v>146</v>
      </c>
      <c r="EW2239" s="1" t="s">
        <v>149</v>
      </c>
      <c r="GD2239" s="1" t="s">
        <v>193</v>
      </c>
      <c r="GE2239" s="1" t="s">
        <v>190</v>
      </c>
    </row>
    <row r="2240" spans="1:187" ht="11.25" customHeight="1">
      <c r="A2240" s="1" t="s">
        <v>3285</v>
      </c>
      <c r="B2240" s="1" t="str">
        <f ca="1">IFERROR(__xludf.DUMMYFUNCTION("GOOGLETRANSLATE(A2240, ""en"", ""fr"")"),"Consommé")</f>
        <v>Consommé</v>
      </c>
      <c r="C2240" s="1" t="s">
        <v>185</v>
      </c>
      <c r="D2240" s="1" t="s">
        <v>16612</v>
      </c>
      <c r="N2240" s="1" t="s">
        <v>10</v>
      </c>
      <c r="BK2240" s="1" t="s">
        <v>59</v>
      </c>
      <c r="BS2240" s="1" t="s">
        <v>67</v>
      </c>
      <c r="DN2240" s="1" t="s">
        <v>114</v>
      </c>
      <c r="FR2240" s="1" t="s">
        <v>170</v>
      </c>
      <c r="GD2240" s="1" t="s">
        <v>189</v>
      </c>
      <c r="GE2240" s="1" t="s">
        <v>190</v>
      </c>
    </row>
    <row r="2241" spans="1:187" ht="11.25" customHeight="1">
      <c r="A2241" s="1" t="s">
        <v>3286</v>
      </c>
      <c r="B2241" s="1" t="str">
        <f ca="1">IFERROR(__xludf.DUMMYFUNCTION("GOOGLETRANSLATE(A2241, ""en"", ""fr"")"),"CONSOMMATION")</f>
        <v>CONSOMMATION</v>
      </c>
      <c r="C2241" s="1" t="s">
        <v>185</v>
      </c>
      <c r="N2241" s="1" t="s">
        <v>10</v>
      </c>
      <c r="AA2241" s="1" t="s">
        <v>23</v>
      </c>
      <c r="AB2241" s="1" t="s">
        <v>24</v>
      </c>
      <c r="AC2241" s="1" t="s">
        <v>25</v>
      </c>
      <c r="GD2241" s="1" t="s">
        <v>193</v>
      </c>
      <c r="GE2241" s="1" t="s">
        <v>190</v>
      </c>
    </row>
    <row r="2242" spans="1:187" ht="11.25" customHeight="1">
      <c r="A2242" s="1" t="s">
        <v>3287</v>
      </c>
      <c r="B2242" s="1" t="str">
        <f ca="1">IFERROR(__xludf.DUMMYFUNCTION("GOOGLETRANSLATE(A2242, ""en"", ""fr"")"),"PHTISIQUE")</f>
        <v>PHTISIQUE</v>
      </c>
      <c r="C2242" s="1" t="s">
        <v>185</v>
      </c>
      <c r="E2242" s="1" t="s">
        <v>16613</v>
      </c>
      <c r="H2242" s="1" t="s">
        <v>4</v>
      </c>
      <c r="J2242" s="1" t="s">
        <v>6</v>
      </c>
      <c r="N2242" s="1" t="s">
        <v>10</v>
      </c>
      <c r="V2242" s="1" t="s">
        <v>18</v>
      </c>
      <c r="GD2242" s="1" t="s">
        <v>202</v>
      </c>
      <c r="GE2242" s="1" t="s">
        <v>190</v>
      </c>
    </row>
    <row r="2243" spans="1:187" ht="11.25" customHeight="1">
      <c r="A2243" s="1" t="s">
        <v>3288</v>
      </c>
      <c r="B2243" s="1" t="str">
        <f ca="1">IFERROR(__xludf.DUMMYFUNCTION("GOOGLETRANSLATE(A2243, ""en"", ""fr"")"),"Contact n ° 1")</f>
        <v>Contact n ° 1</v>
      </c>
      <c r="C2243" s="1" t="s">
        <v>185</v>
      </c>
      <c r="D2243" s="1" t="s">
        <v>16612</v>
      </c>
      <c r="F2243" s="1" t="s">
        <v>2</v>
      </c>
      <c r="G2243" s="1" t="s">
        <v>3</v>
      </c>
      <c r="N2243" s="1" t="s">
        <v>10</v>
      </c>
      <c r="BK2243" s="1" t="s">
        <v>59</v>
      </c>
      <c r="BL2243" s="1" t="s">
        <v>60</v>
      </c>
      <c r="FN2243" s="1" t="s">
        <v>166</v>
      </c>
      <c r="GC2243" s="1" t="s">
        <v>181</v>
      </c>
      <c r="GD2243" s="1" t="s">
        <v>849</v>
      </c>
      <c r="GE2243" s="1" t="s">
        <v>3289</v>
      </c>
    </row>
    <row r="2244" spans="1:187" ht="11.25" customHeight="1">
      <c r="A2244" s="1" t="s">
        <v>3290</v>
      </c>
      <c r="B2244" s="1" t="str">
        <f ca="1">IFERROR(__xludf.DUMMYFUNCTION("GOOGLETRANSLATE(A2244, ""en"", ""fr"")"),"Contact n ° 2")</f>
        <v>Contact n ° 2</v>
      </c>
      <c r="C2244" s="1" t="s">
        <v>185</v>
      </c>
      <c r="D2244" s="1" t="s">
        <v>16612</v>
      </c>
      <c r="F2244" s="1" t="s">
        <v>2</v>
      </c>
      <c r="N2244" s="1" t="s">
        <v>10</v>
      </c>
      <c r="BK2244" s="1" t="s">
        <v>59</v>
      </c>
      <c r="DO2244" s="1" t="s">
        <v>115</v>
      </c>
      <c r="FD2244" s="1" t="s">
        <v>156</v>
      </c>
      <c r="FI2244" s="1" t="s">
        <v>161</v>
      </c>
      <c r="GD2244" s="1" t="s">
        <v>189</v>
      </c>
      <c r="GE2244" s="1" t="s">
        <v>3291</v>
      </c>
    </row>
    <row r="2245" spans="1:187" ht="11.25" customHeight="1">
      <c r="A2245" s="1" t="s">
        <v>3292</v>
      </c>
      <c r="B2245" s="1" t="str">
        <f ca="1">IFERROR(__xludf.DUMMYFUNCTION("GOOGLETRANSLATE(A2245, ""en"", ""fr"")"),"CONTAGIEUX")</f>
        <v>CONTAGIEUX</v>
      </c>
      <c r="C2245" s="1" t="s">
        <v>192</v>
      </c>
      <c r="E2245" s="1" t="s">
        <v>16613</v>
      </c>
      <c r="DQ2245" s="1" t="s">
        <v>117</v>
      </c>
      <c r="GD2245" s="1" t="s">
        <v>202</v>
      </c>
      <c r="GE2245" s="1" t="s">
        <v>190</v>
      </c>
    </row>
    <row r="2246" spans="1:187" ht="11.25" customHeight="1">
      <c r="A2246" s="1" t="s">
        <v>3293</v>
      </c>
      <c r="B2246" s="1" t="str">
        <f ca="1">IFERROR(__xludf.DUMMYFUNCTION("GOOGLETRANSLATE(A2246, ""en"", ""fr"")"),"CONTENIR")</f>
        <v>CONTENIR</v>
      </c>
      <c r="C2246" s="1" t="s">
        <v>185</v>
      </c>
      <c r="J2246" s="1" t="s">
        <v>6</v>
      </c>
      <c r="N2246" s="1" t="s">
        <v>10</v>
      </c>
      <c r="DD2246" s="1" t="s">
        <v>104</v>
      </c>
      <c r="DO2246" s="1" t="s">
        <v>115</v>
      </c>
      <c r="GD2246" s="1" t="s">
        <v>189</v>
      </c>
      <c r="GE2246" s="1" t="s">
        <v>190</v>
      </c>
    </row>
    <row r="2247" spans="1:187" ht="11.25" customHeight="1">
      <c r="A2247" s="1" t="s">
        <v>3294</v>
      </c>
      <c r="B2247" s="1" t="str">
        <f ca="1">IFERROR(__xludf.DUMMYFUNCTION("GOOGLETRANSLATE(A2247, ""en"", ""fr"")"),"CONTAMINER")</f>
        <v>CONTAMINER</v>
      </c>
      <c r="C2247" s="1" t="s">
        <v>192</v>
      </c>
      <c r="E2247" s="1" t="s">
        <v>16613</v>
      </c>
      <c r="I2247" s="1" t="s">
        <v>5</v>
      </c>
      <c r="N2247" s="1" t="s">
        <v>10</v>
      </c>
      <c r="DN2247" s="1" t="s">
        <v>114</v>
      </c>
      <c r="GD2247" s="1" t="s">
        <v>189</v>
      </c>
      <c r="GE2247" s="1" t="s">
        <v>190</v>
      </c>
    </row>
    <row r="2248" spans="1:187" ht="11.25" customHeight="1">
      <c r="A2248" s="1" t="s">
        <v>3295</v>
      </c>
      <c r="B2248" s="1" t="str">
        <f ca="1">IFERROR(__xludf.DUMMYFUNCTION("GOOGLETRANSLATE(A2248, ""en"", ""fr"")"),"CONTAMINATION")</f>
        <v>CONTAMINATION</v>
      </c>
      <c r="C2248" s="1" t="s">
        <v>192</v>
      </c>
      <c r="E2248" s="1" t="s">
        <v>16613</v>
      </c>
      <c r="I2248" s="1" t="s">
        <v>5</v>
      </c>
      <c r="V2248" s="1" t="s">
        <v>18</v>
      </c>
      <c r="GD2248" s="1" t="s">
        <v>193</v>
      </c>
      <c r="GE2248" s="1" t="s">
        <v>190</v>
      </c>
    </row>
    <row r="2249" spans="1:187" ht="11.25" customHeight="1">
      <c r="A2249" s="1" t="s">
        <v>3296</v>
      </c>
      <c r="B2249" s="1" t="str">
        <f ca="1">IFERROR(__xludf.DUMMYFUNCTION("GOOGLETRANSLATE(A2249, ""en"", ""fr"")"),"CONTEMPLER")</f>
        <v>CONTEMPLER</v>
      </c>
      <c r="C2249" s="1" t="s">
        <v>185</v>
      </c>
      <c r="O2249" s="1" t="s">
        <v>11</v>
      </c>
      <c r="CO2249" s="1" t="s">
        <v>89</v>
      </c>
      <c r="DN2249" s="1" t="s">
        <v>114</v>
      </c>
      <c r="FF2249" s="1" t="s">
        <v>158</v>
      </c>
      <c r="FI2249" s="1" t="s">
        <v>161</v>
      </c>
      <c r="GD2249" s="1" t="s">
        <v>189</v>
      </c>
      <c r="GE2249" s="1" t="s">
        <v>190</v>
      </c>
    </row>
    <row r="2250" spans="1:187" ht="11.25" customHeight="1">
      <c r="A2250" s="1" t="s">
        <v>3297</v>
      </c>
      <c r="B2250" s="1" t="str">
        <f ca="1">IFERROR(__xludf.DUMMYFUNCTION("GOOGLETRANSLATE(A2250, ""en"", ""fr"")"),"CONTEMPLATION")</f>
        <v>CONTEMPLATION</v>
      </c>
      <c r="C2250" s="1" t="s">
        <v>185</v>
      </c>
      <c r="O2250" s="1" t="s">
        <v>11</v>
      </c>
      <c r="U2250" s="1" t="s">
        <v>17</v>
      </c>
      <c r="FH2250" s="1" t="s">
        <v>160</v>
      </c>
      <c r="FI2250" s="1" t="s">
        <v>161</v>
      </c>
      <c r="GD2250" s="1" t="s">
        <v>193</v>
      </c>
      <c r="GE2250" s="1" t="s">
        <v>190</v>
      </c>
    </row>
    <row r="2251" spans="1:187" ht="11.25" customHeight="1">
      <c r="A2251" s="1" t="s">
        <v>3298</v>
      </c>
      <c r="B2251" s="1" t="str">
        <f ca="1">IFERROR(__xludf.DUMMYFUNCTION("GOOGLETRANSLATE(A2251, ""en"", ""fr"")"),"CONTEMPORAIN")</f>
        <v>CONTEMPORAIN</v>
      </c>
      <c r="C2251" s="1" t="s">
        <v>196</v>
      </c>
      <c r="GB2251" s="1" t="s">
        <v>180</v>
      </c>
      <c r="GD2251" s="1" t="s">
        <v>202</v>
      </c>
    </row>
    <row r="2252" spans="1:187" ht="11.25" customHeight="1">
      <c r="A2252" s="1" t="s">
        <v>3299</v>
      </c>
      <c r="B2252" s="1" t="str">
        <f ca="1">IFERROR(__xludf.DUMMYFUNCTION("GOOGLETRANSLATE(A2252, ""en"", ""fr"")"),"MÉPRIS")</f>
        <v>MÉPRIS</v>
      </c>
      <c r="C2252" s="1" t="s">
        <v>192</v>
      </c>
      <c r="E2252" s="1" t="s">
        <v>16613</v>
      </c>
      <c r="I2252" s="1" t="s">
        <v>5</v>
      </c>
      <c r="T2252" s="1" t="s">
        <v>16</v>
      </c>
      <c r="V2252" s="1" t="s">
        <v>18</v>
      </c>
      <c r="AN2252" s="1" t="s">
        <v>36</v>
      </c>
      <c r="GD2252" s="1" t="s">
        <v>193</v>
      </c>
      <c r="GE2252" s="1" t="s">
        <v>190</v>
      </c>
    </row>
    <row r="2253" spans="1:187" ht="11.25" customHeight="1">
      <c r="A2253" s="1" t="s">
        <v>3300</v>
      </c>
      <c r="B2253" s="1" t="str">
        <f ca="1">IFERROR(__xludf.DUMMYFUNCTION("GOOGLETRANSLATE(A2253, ""en"", ""fr"")"),"MÉPRISABLE")</f>
        <v>MÉPRISABLE</v>
      </c>
      <c r="C2253" s="1" t="s">
        <v>192</v>
      </c>
      <c r="E2253" s="1" t="s">
        <v>16613</v>
      </c>
      <c r="I2253" s="1" t="s">
        <v>5</v>
      </c>
      <c r="V2253" s="1" t="s">
        <v>18</v>
      </c>
      <c r="AN2253" s="1" t="s">
        <v>36</v>
      </c>
      <c r="DR2253" s="1" t="s">
        <v>118</v>
      </c>
      <c r="GD2253" s="1" t="s">
        <v>202</v>
      </c>
      <c r="GE2253" s="1" t="s">
        <v>190</v>
      </c>
    </row>
    <row r="2254" spans="1:187" ht="11.25" customHeight="1">
      <c r="A2254" s="1" t="s">
        <v>3301</v>
      </c>
      <c r="B2254" s="1" t="str">
        <f ca="1">IFERROR(__xludf.DUMMYFUNCTION("GOOGLETRANSLATE(A2254, ""en"", ""fr"")"),"MÉPRISANT")</f>
        <v>MÉPRISANT</v>
      </c>
      <c r="C2254" s="1" t="s">
        <v>185</v>
      </c>
      <c r="E2254" s="1" t="s">
        <v>16613</v>
      </c>
      <c r="I2254" s="1" t="s">
        <v>5</v>
      </c>
      <c r="V2254" s="1" t="s">
        <v>18</v>
      </c>
      <c r="AN2254" s="1" t="s">
        <v>36</v>
      </c>
      <c r="DR2254" s="1" t="s">
        <v>118</v>
      </c>
      <c r="FW2254" s="1" t="s">
        <v>175</v>
      </c>
      <c r="GD2254" s="1" t="s">
        <v>202</v>
      </c>
      <c r="GE2254" s="1" t="s">
        <v>190</v>
      </c>
    </row>
    <row r="2255" spans="1:187" ht="11.25" customHeight="1">
      <c r="A2255" s="1" t="s">
        <v>3302</v>
      </c>
      <c r="B2255" s="1" t="str">
        <f ca="1">IFERROR(__xludf.DUMMYFUNCTION("GOOGLETRANSLATE(A2255, ""en"", ""fr"")"),"COMBATTRE")</f>
        <v>COMBATTRE</v>
      </c>
      <c r="C2255" s="1" t="s">
        <v>185</v>
      </c>
      <c r="E2255" s="1" t="s">
        <v>16613</v>
      </c>
      <c r="H2255" s="1" t="s">
        <v>4</v>
      </c>
      <c r="I2255" s="1" t="s">
        <v>5</v>
      </c>
      <c r="J2255" s="1" t="s">
        <v>6</v>
      </c>
      <c r="N2255" s="1" t="s">
        <v>10</v>
      </c>
      <c r="BP2255" s="1" t="s">
        <v>64</v>
      </c>
      <c r="DN2255" s="1" t="s">
        <v>114</v>
      </c>
      <c r="DW2255" s="1" t="s">
        <v>123</v>
      </c>
      <c r="ED2255" s="1" t="s">
        <v>130</v>
      </c>
      <c r="GD2255" s="1" t="s">
        <v>189</v>
      </c>
      <c r="GE2255" s="1" t="s">
        <v>190</v>
      </c>
    </row>
    <row r="2256" spans="1:187" ht="11.25" customHeight="1">
      <c r="A2256" s="1" t="s">
        <v>3303</v>
      </c>
      <c r="B2256" s="1" t="str">
        <f ca="1">IFERROR(__xludf.DUMMYFUNCTION("GOOGLETRANSLATE(A2256, ""en"", ""fr"")"),"Contenu n ° 1")</f>
        <v>Contenu n ° 1</v>
      </c>
      <c r="C2256" s="1" t="s">
        <v>185</v>
      </c>
      <c r="CH2256" s="1" t="s">
        <v>82</v>
      </c>
      <c r="GD2256" s="1" t="s">
        <v>193</v>
      </c>
      <c r="GE2256" s="1" t="s">
        <v>3304</v>
      </c>
    </row>
    <row r="2257" spans="1:187" ht="11.25" customHeight="1">
      <c r="A2257" s="1" t="s">
        <v>3305</v>
      </c>
      <c r="B2257" s="1" t="str">
        <f ca="1">IFERROR(__xludf.DUMMYFUNCTION("GOOGLETRANSLATE(A2257, ""en"", ""fr"")"),"Contenu n ° 2")</f>
        <v>Contenu n ° 2</v>
      </c>
      <c r="C2257" s="1" t="s">
        <v>185</v>
      </c>
      <c r="BC2257" s="1" t="s">
        <v>51</v>
      </c>
      <c r="BH2257" s="1" t="s">
        <v>56</v>
      </c>
      <c r="GD2257" s="1" t="s">
        <v>193</v>
      </c>
      <c r="GE2257" s="1" t="s">
        <v>3306</v>
      </c>
    </row>
    <row r="2258" spans="1:187" ht="11.25" customHeight="1">
      <c r="A2258" s="1" t="s">
        <v>3307</v>
      </c>
      <c r="B2258" s="1" t="str">
        <f ca="1">IFERROR(__xludf.DUMMYFUNCTION("GOOGLETRANSLATE(A2258, ""en"", ""fr"")"),"Contenu n ° 3")</f>
        <v>Contenu n ° 3</v>
      </c>
      <c r="C2258" s="1" t="s">
        <v>185</v>
      </c>
      <c r="D2258" s="1" t="s">
        <v>16612</v>
      </c>
      <c r="F2258" s="1" t="s">
        <v>2</v>
      </c>
      <c r="O2258" s="1" t="s">
        <v>11</v>
      </c>
      <c r="P2258" s="1" t="s">
        <v>12</v>
      </c>
      <c r="T2258" s="1" t="s">
        <v>16</v>
      </c>
      <c r="EX2258" s="1" t="s">
        <v>150</v>
      </c>
      <c r="FC2258" s="1" t="s">
        <v>155</v>
      </c>
      <c r="GD2258" s="1" t="s">
        <v>202</v>
      </c>
      <c r="GE2258" s="1" t="s">
        <v>3308</v>
      </c>
    </row>
    <row r="2259" spans="1:187" ht="11.25" customHeight="1">
      <c r="A2259" s="1" t="s">
        <v>3309</v>
      </c>
      <c r="B2259" s="1" t="str">
        <f ca="1">IFERROR(__xludf.DUMMYFUNCTION("GOOGLETRANSLATE(A2259, ""en"", ""fr"")"),"Contenu n ° 4")</f>
        <v>Contenu n ° 4</v>
      </c>
      <c r="C2259" s="1" t="s">
        <v>185</v>
      </c>
      <c r="D2259" s="1" t="s">
        <v>16612</v>
      </c>
      <c r="F2259" s="1" t="s">
        <v>2</v>
      </c>
      <c r="O2259" s="1" t="s">
        <v>11</v>
      </c>
      <c r="P2259" s="1" t="s">
        <v>12</v>
      </c>
      <c r="EX2259" s="1" t="s">
        <v>150</v>
      </c>
      <c r="FC2259" s="1" t="s">
        <v>155</v>
      </c>
      <c r="GD2259" s="1" t="s">
        <v>202</v>
      </c>
      <c r="GE2259" s="1" t="s">
        <v>3310</v>
      </c>
    </row>
    <row r="2260" spans="1:187" ht="11.25" customHeight="1">
      <c r="A2260" s="1" t="s">
        <v>3311</v>
      </c>
      <c r="B2260" s="1" t="str">
        <f ca="1">IFERROR(__xludf.DUMMYFUNCTION("GOOGLETRANSLATE(A2260, ""en"", ""fr"")"),"Contenu n ° 5")</f>
        <v>Contenu n ° 5</v>
      </c>
      <c r="C2260" s="1" t="s">
        <v>185</v>
      </c>
      <c r="D2260" s="1" t="s">
        <v>16612</v>
      </c>
      <c r="F2260" s="1" t="s">
        <v>2</v>
      </c>
      <c r="O2260" s="1" t="s">
        <v>11</v>
      </c>
      <c r="P2260" s="1" t="s">
        <v>12</v>
      </c>
      <c r="DN2260" s="1" t="s">
        <v>114</v>
      </c>
      <c r="FN2260" s="1" t="s">
        <v>166</v>
      </c>
      <c r="GD2260" s="1" t="s">
        <v>189</v>
      </c>
      <c r="GE2260" s="1" t="s">
        <v>3312</v>
      </c>
    </row>
    <row r="2261" spans="1:187" ht="11.25" customHeight="1">
      <c r="A2261" s="1" t="s">
        <v>3313</v>
      </c>
      <c r="B2261" s="1" t="str">
        <f ca="1">IFERROR(__xludf.DUMMYFUNCTION("GOOGLETRANSLATE(A2261, ""en"", ""fr"")"),"CONTENTION")</f>
        <v>CONTENTION</v>
      </c>
      <c r="C2261" s="1" t="s">
        <v>185</v>
      </c>
      <c r="J2261" s="1" t="s">
        <v>6</v>
      </c>
      <c r="N2261" s="1" t="s">
        <v>10</v>
      </c>
      <c r="BK2261" s="1" t="s">
        <v>59</v>
      </c>
      <c r="DW2261" s="1" t="s">
        <v>123</v>
      </c>
      <c r="ED2261" s="1" t="s">
        <v>130</v>
      </c>
      <c r="GD2261" s="1" t="s">
        <v>193</v>
      </c>
      <c r="GE2261" s="1" t="s">
        <v>190</v>
      </c>
    </row>
    <row r="2262" spans="1:187" ht="11.25" customHeight="1">
      <c r="A2262" s="1" t="s">
        <v>3314</v>
      </c>
      <c r="B2262" s="1" t="str">
        <f ca="1">IFERROR(__xludf.DUMMYFUNCTION("GOOGLETRANSLATE(A2262, ""en"", ""fr"")"),"CONTENTEMENT")</f>
        <v>CONTENTEMENT</v>
      </c>
      <c r="C2262" s="1" t="s">
        <v>192</v>
      </c>
      <c r="D2262" s="1" t="s">
        <v>16612</v>
      </c>
      <c r="P2262" s="1" t="s">
        <v>12</v>
      </c>
      <c r="T2262" s="1" t="s">
        <v>16</v>
      </c>
      <c r="CA2262" s="1" t="s">
        <v>75</v>
      </c>
      <c r="GD2262" s="1" t="s">
        <v>193</v>
      </c>
      <c r="GE2262" s="1" t="s">
        <v>190</v>
      </c>
    </row>
    <row r="2263" spans="1:187" ht="11.25" customHeight="1">
      <c r="A2263" s="1" t="s">
        <v>3315</v>
      </c>
      <c r="B2263" s="1" t="str">
        <f ca="1">IFERROR(__xludf.DUMMYFUNCTION("GOOGLETRANSLATE(A2263, ""en"", ""fr"")"),"Concours n ° 1")</f>
        <v>Concours n ° 1</v>
      </c>
      <c r="C2263" s="1" t="s">
        <v>185</v>
      </c>
      <c r="J2263" s="1" t="s">
        <v>6</v>
      </c>
      <c r="N2263" s="1" t="s">
        <v>10</v>
      </c>
      <c r="AM2263" s="1" t="s">
        <v>35</v>
      </c>
      <c r="DW2263" s="1" t="s">
        <v>123</v>
      </c>
      <c r="ED2263" s="1" t="s">
        <v>130</v>
      </c>
      <c r="GD2263" s="1" t="s">
        <v>193</v>
      </c>
      <c r="GE2263" s="1" t="s">
        <v>190</v>
      </c>
    </row>
    <row r="2264" spans="1:187" ht="11.25" customHeight="1">
      <c r="A2264" s="1" t="s">
        <v>3316</v>
      </c>
      <c r="B2264" s="1" t="str">
        <f ca="1">IFERROR(__xludf.DUMMYFUNCTION("GOOGLETRANSLATE(A2264, ""en"", ""fr"")"),"Concours n ° 2")</f>
        <v>Concours n ° 2</v>
      </c>
      <c r="C2264" s="1" t="s">
        <v>185</v>
      </c>
      <c r="I2264" s="1" t="s">
        <v>5</v>
      </c>
      <c r="J2264" s="1" t="s">
        <v>6</v>
      </c>
      <c r="K2264" s="1" t="s">
        <v>7</v>
      </c>
      <c r="N2264" s="1" t="s">
        <v>10</v>
      </c>
      <c r="BK2264" s="1" t="s">
        <v>59</v>
      </c>
      <c r="DN2264" s="1" t="s">
        <v>114</v>
      </c>
      <c r="DW2264" s="1" t="s">
        <v>123</v>
      </c>
      <c r="ED2264" s="1" t="s">
        <v>130</v>
      </c>
      <c r="GD2264" s="1" t="s">
        <v>189</v>
      </c>
      <c r="GE2264" s="1" t="s">
        <v>190</v>
      </c>
    </row>
    <row r="2265" spans="1:187" ht="11.25" customHeight="1">
      <c r="A2265" s="1" t="s">
        <v>3317</v>
      </c>
      <c r="B2265" s="1" t="str">
        <f ca="1">IFERROR(__xludf.DUMMYFUNCTION("GOOGLETRANSLATE(A2265, ""en"", ""fr"")"),"CONTEXTE")</f>
        <v>CONTEXTE</v>
      </c>
      <c r="C2265" s="1" t="s">
        <v>185</v>
      </c>
      <c r="CH2265" s="1" t="s">
        <v>82</v>
      </c>
      <c r="FS2265" s="1" t="s">
        <v>171</v>
      </c>
      <c r="GD2265" s="1" t="s">
        <v>193</v>
      </c>
      <c r="GE2265" s="1" t="s">
        <v>190</v>
      </c>
    </row>
    <row r="2266" spans="1:187" ht="11.25" customHeight="1">
      <c r="A2266" s="1" t="s">
        <v>3318</v>
      </c>
      <c r="B2266" s="1" t="str">
        <f ca="1">IFERROR(__xludf.DUMMYFUNCTION("GOOGLETRANSLATE(A2266, ""en"", ""fr"")"),"CONTINENT")</f>
        <v>CONTINENT</v>
      </c>
      <c r="C2266" s="1" t="s">
        <v>196</v>
      </c>
      <c r="DV2266" s="1" t="s">
        <v>122</v>
      </c>
      <c r="ED2266" s="1" t="s">
        <v>130</v>
      </c>
      <c r="GD2266" s="1" t="s">
        <v>3319</v>
      </c>
    </row>
    <row r="2267" spans="1:187" ht="11.25" customHeight="1">
      <c r="A2267" s="1" t="s">
        <v>3320</v>
      </c>
      <c r="B2267" s="1" t="str">
        <f ca="1">IFERROR(__xludf.DUMMYFUNCTION("GOOGLETRANSLATE(A2267, ""en"", ""fr"")"),"CONTINENTAL")</f>
        <v>CONTINENTAL</v>
      </c>
      <c r="C2267" s="1" t="s">
        <v>185</v>
      </c>
      <c r="AV2267" s="1" t="s">
        <v>44</v>
      </c>
      <c r="AX2267" s="1" t="s">
        <v>46</v>
      </c>
      <c r="GD2267" s="1" t="s">
        <v>202</v>
      </c>
      <c r="GE2267" s="1" t="s">
        <v>190</v>
      </c>
    </row>
    <row r="2268" spans="1:187" ht="11.25" customHeight="1">
      <c r="A2268" s="1" t="s">
        <v>3321</v>
      </c>
      <c r="B2268" s="1" t="str">
        <f ca="1">IFERROR(__xludf.DUMMYFUNCTION("GOOGLETRANSLATE(A2268, ""en"", ""fr"")"),"CONTINGENCE")</f>
        <v>CONTINGENCE</v>
      </c>
      <c r="C2268" s="1" t="s">
        <v>185</v>
      </c>
      <c r="CI2268" s="1" t="s">
        <v>83</v>
      </c>
      <c r="FZ2268" s="1" t="s">
        <v>178</v>
      </c>
      <c r="GD2268" s="1" t="s">
        <v>193</v>
      </c>
      <c r="GE2268" s="1" t="s">
        <v>190</v>
      </c>
    </row>
    <row r="2269" spans="1:187" ht="11.25" customHeight="1">
      <c r="A2269" s="1" t="s">
        <v>3322</v>
      </c>
      <c r="B2269" s="1" t="str">
        <f ca="1">IFERROR(__xludf.DUMMYFUNCTION("GOOGLETRANSLATE(A2269, ""en"", ""fr"")"),"CONTINGENT")</f>
        <v>CONTINGENT</v>
      </c>
      <c r="C2269" s="1" t="s">
        <v>185</v>
      </c>
      <c r="X2269" s="1" t="s">
        <v>20</v>
      </c>
      <c r="CI2269" s="1" t="s">
        <v>83</v>
      </c>
      <c r="FZ2269" s="1" t="s">
        <v>178</v>
      </c>
      <c r="GD2269" s="1" t="s">
        <v>202</v>
      </c>
      <c r="GE2269" s="1" t="s">
        <v>190</v>
      </c>
    </row>
    <row r="2270" spans="1:187" ht="11.25" customHeight="1">
      <c r="A2270" s="1" t="s">
        <v>3323</v>
      </c>
      <c r="B2270" s="1" t="str">
        <f ca="1">IFERROR(__xludf.DUMMYFUNCTION("GOOGLETRANSLATE(A2270, ""en"", ""fr"")"),"Continu # 1")</f>
        <v>Continu # 1</v>
      </c>
      <c r="C2270" s="1" t="s">
        <v>185</v>
      </c>
      <c r="J2270" s="1" t="s">
        <v>6</v>
      </c>
      <c r="N2270" s="1" t="s">
        <v>10</v>
      </c>
      <c r="W2270" s="1" t="s">
        <v>19</v>
      </c>
      <c r="BR2270" s="1" t="s">
        <v>66</v>
      </c>
      <c r="GD2270" s="1" t="s">
        <v>202</v>
      </c>
      <c r="GE2270" s="1" t="s">
        <v>3324</v>
      </c>
    </row>
    <row r="2271" spans="1:187" ht="11.25" customHeight="1">
      <c r="A2271" s="1" t="s">
        <v>3325</v>
      </c>
      <c r="B2271" s="1" t="str">
        <f ca="1">IFERROR(__xludf.DUMMYFUNCTION("GOOGLETRANSLATE(A2271, ""en"", ""fr"")"),"Continu # 2")</f>
        <v>Continu # 2</v>
      </c>
      <c r="C2271" s="1" t="s">
        <v>185</v>
      </c>
      <c r="J2271" s="1" t="s">
        <v>6</v>
      </c>
      <c r="N2271" s="1" t="s">
        <v>10</v>
      </c>
      <c r="W2271" s="1" t="s">
        <v>19</v>
      </c>
      <c r="BR2271" s="1" t="s">
        <v>66</v>
      </c>
      <c r="GD2271" s="1" t="s">
        <v>202</v>
      </c>
      <c r="GE2271" s="1" t="s">
        <v>3326</v>
      </c>
    </row>
    <row r="2272" spans="1:187" ht="11.25" customHeight="1">
      <c r="A2272" s="1" t="s">
        <v>3327</v>
      </c>
      <c r="B2272" s="1" t="str">
        <f ca="1">IFERROR(__xludf.DUMMYFUNCTION("GOOGLETRANSLATE(A2272, ""en"", ""fr"")"),"CONTINUATION")</f>
        <v>CONTINUATION</v>
      </c>
      <c r="C2272" s="1" t="s">
        <v>196</v>
      </c>
      <c r="GD2272" s="1" t="s">
        <v>193</v>
      </c>
    </row>
    <row r="2273" spans="1:187" ht="11.25" customHeight="1">
      <c r="A2273" s="1" t="s">
        <v>3328</v>
      </c>
      <c r="B2273" s="1" t="str">
        <f ca="1">IFERROR(__xludf.DUMMYFUNCTION("GOOGLETRANSLATE(A2273, ""en"", ""fr"")"),"Continuez n ° 1")</f>
        <v>Continuez n ° 1</v>
      </c>
      <c r="C2273" s="1" t="s">
        <v>185</v>
      </c>
      <c r="J2273" s="1" t="s">
        <v>6</v>
      </c>
      <c r="N2273" s="1" t="s">
        <v>10</v>
      </c>
      <c r="BR2273" s="1" t="s">
        <v>66</v>
      </c>
      <c r="DN2273" s="1" t="s">
        <v>114</v>
      </c>
      <c r="FR2273" s="1" t="s">
        <v>170</v>
      </c>
      <c r="GD2273" s="1" t="s">
        <v>400</v>
      </c>
      <c r="GE2273" s="1" t="s">
        <v>3329</v>
      </c>
    </row>
    <row r="2274" spans="1:187" ht="11.25" customHeight="1">
      <c r="A2274" s="1" t="s">
        <v>3330</v>
      </c>
      <c r="B2274" s="1" t="str">
        <f ca="1">IFERROR(__xludf.DUMMYFUNCTION("GOOGLETRANSLATE(A2274, ""en"", ""fr"")"),"Continuez # 2")</f>
        <v>Continuez # 2</v>
      </c>
      <c r="C2274" s="1" t="s">
        <v>185</v>
      </c>
      <c r="J2274" s="1" t="s">
        <v>6</v>
      </c>
      <c r="N2274" s="1" t="s">
        <v>10</v>
      </c>
      <c r="BR2274" s="1" t="s">
        <v>66</v>
      </c>
      <c r="GD2274" s="1" t="s">
        <v>202</v>
      </c>
      <c r="GE2274" s="1" t="s">
        <v>3331</v>
      </c>
    </row>
    <row r="2275" spans="1:187" ht="11.25" customHeight="1">
      <c r="A2275" s="1" t="s">
        <v>3332</v>
      </c>
      <c r="B2275" s="1" t="str">
        <f ca="1">IFERROR(__xludf.DUMMYFUNCTION("GOOGLETRANSLATE(A2275, ""en"", ""fr"")"),"CONTINUITÉ")</f>
        <v>CONTINUITÉ</v>
      </c>
      <c r="C2275" s="1" t="s">
        <v>185</v>
      </c>
      <c r="D2275" s="1" t="s">
        <v>16612</v>
      </c>
      <c r="J2275" s="1" t="s">
        <v>6</v>
      </c>
      <c r="N2275" s="1" t="s">
        <v>10</v>
      </c>
      <c r="BR2275" s="1" t="s">
        <v>66</v>
      </c>
      <c r="CP2275" s="1" t="s">
        <v>90</v>
      </c>
      <c r="CQ2275" s="1" t="s">
        <v>91</v>
      </c>
      <c r="DD2275" s="1" t="s">
        <v>104</v>
      </c>
      <c r="GD2275" s="1" t="s">
        <v>193</v>
      </c>
      <c r="GE2275" s="1" t="s">
        <v>190</v>
      </c>
    </row>
    <row r="2276" spans="1:187" ht="11.25" customHeight="1">
      <c r="A2276" s="1" t="s">
        <v>3333</v>
      </c>
      <c r="B2276" s="1" t="str">
        <f ca="1">IFERROR(__xludf.DUMMYFUNCTION("GOOGLETRANSLATE(A2276, ""en"", ""fr"")"),"CONTINU")</f>
        <v>CONTINU</v>
      </c>
      <c r="C2276" s="1" t="s">
        <v>185</v>
      </c>
      <c r="J2276" s="1" t="s">
        <v>6</v>
      </c>
      <c r="N2276" s="1" t="s">
        <v>10</v>
      </c>
      <c r="W2276" s="1" t="s">
        <v>19</v>
      </c>
      <c r="BR2276" s="1" t="s">
        <v>66</v>
      </c>
      <c r="GD2276" s="1" t="s">
        <v>202</v>
      </c>
      <c r="GE2276" s="1" t="s">
        <v>190</v>
      </c>
    </row>
    <row r="2277" spans="1:187" ht="11.25" customHeight="1">
      <c r="A2277" s="1" t="s">
        <v>3334</v>
      </c>
      <c r="B2277" s="1" t="str">
        <f ca="1">IFERROR(__xludf.DUMMYFUNCTION("GOOGLETRANSLATE(A2277, ""en"", ""fr"")"),"Continuum")</f>
        <v>Continuum</v>
      </c>
      <c r="C2277" s="1" t="s">
        <v>185</v>
      </c>
      <c r="CP2277" s="1" t="s">
        <v>90</v>
      </c>
      <c r="CQ2277" s="1" t="s">
        <v>91</v>
      </c>
      <c r="DA2277" s="1" t="s">
        <v>101</v>
      </c>
      <c r="GD2277" s="1" t="s">
        <v>193</v>
      </c>
      <c r="GE2277" s="1" t="s">
        <v>190</v>
      </c>
    </row>
    <row r="2278" spans="1:187" ht="11.25" customHeight="1">
      <c r="A2278" s="1" t="s">
        <v>3335</v>
      </c>
      <c r="B2278" s="1" t="str">
        <f ca="1">IFERROR(__xludf.DUMMYFUNCTION("GOOGLETRANSLATE(A2278, ""en"", ""fr"")"),"Contrat n ° 1")</f>
        <v>Contrat n ° 1</v>
      </c>
      <c r="C2278" s="1" t="s">
        <v>185</v>
      </c>
      <c r="J2278" s="1" t="s">
        <v>6</v>
      </c>
      <c r="AA2278" s="1" t="s">
        <v>23</v>
      </c>
      <c r="AC2278" s="1" t="s">
        <v>25</v>
      </c>
      <c r="AE2278" s="1" t="s">
        <v>27</v>
      </c>
      <c r="BK2278" s="1" t="s">
        <v>59</v>
      </c>
      <c r="BL2278" s="1" t="s">
        <v>60</v>
      </c>
      <c r="EB2278" s="1" t="s">
        <v>128</v>
      </c>
      <c r="ED2278" s="1" t="s">
        <v>130</v>
      </c>
      <c r="GD2278" s="1" t="s">
        <v>849</v>
      </c>
      <c r="GE2278" s="1" t="s">
        <v>3336</v>
      </c>
    </row>
    <row r="2279" spans="1:187" ht="11.25" customHeight="1">
      <c r="A2279" s="1" t="s">
        <v>3337</v>
      </c>
      <c r="B2279" s="1" t="str">
        <f ca="1">IFERROR(__xludf.DUMMYFUNCTION("GOOGLETRANSLATE(A2279, ""en"", ""fr"")"),"Contrat n ° 2")</f>
        <v>Contrat n ° 2</v>
      </c>
      <c r="C2279" s="1" t="s">
        <v>185</v>
      </c>
      <c r="AE2279" s="1" t="s">
        <v>27</v>
      </c>
      <c r="AL2279" s="1" t="s">
        <v>34</v>
      </c>
      <c r="DN2279" s="1" t="s">
        <v>114</v>
      </c>
      <c r="EB2279" s="1" t="s">
        <v>128</v>
      </c>
      <c r="ED2279" s="1" t="s">
        <v>130</v>
      </c>
      <c r="GD2279" s="1" t="s">
        <v>189</v>
      </c>
      <c r="GE2279" s="1" t="s">
        <v>3338</v>
      </c>
    </row>
    <row r="2280" spans="1:187" ht="11.25" customHeight="1">
      <c r="A2280" s="1" t="s">
        <v>3339</v>
      </c>
      <c r="B2280" s="1" t="str">
        <f ca="1">IFERROR(__xludf.DUMMYFUNCTION("GOOGLETRANSLATE(A2280, ""en"", ""fr"")"),"Contrat n ° 3")</f>
        <v>Contrat n ° 3</v>
      </c>
      <c r="C2280" s="1" t="s">
        <v>185</v>
      </c>
      <c r="O2280" s="1" t="s">
        <v>11</v>
      </c>
      <c r="BY2280" s="1" t="s">
        <v>73</v>
      </c>
      <c r="DN2280" s="1" t="s">
        <v>114</v>
      </c>
      <c r="GD2280" s="1" t="s">
        <v>189</v>
      </c>
      <c r="GE2280" s="1" t="s">
        <v>3340</v>
      </c>
    </row>
    <row r="2281" spans="1:187" ht="11.25" customHeight="1">
      <c r="A2281" s="1" t="s">
        <v>3341</v>
      </c>
      <c r="B2281" s="1" t="str">
        <f ca="1">IFERROR(__xludf.DUMMYFUNCTION("GOOGLETRANSLATE(A2281, ""en"", ""fr"")"),"CONTRACTUEL")</f>
        <v>CONTRACTUEL</v>
      </c>
      <c r="C2281" s="1" t="s">
        <v>196</v>
      </c>
      <c r="EB2281" s="1" t="s">
        <v>128</v>
      </c>
      <c r="ED2281" s="1" t="s">
        <v>130</v>
      </c>
      <c r="GD2281" s="1" t="s">
        <v>202</v>
      </c>
    </row>
    <row r="2282" spans="1:187" ht="11.25" customHeight="1">
      <c r="A2282" s="1" t="s">
        <v>3342</v>
      </c>
      <c r="B2282" s="1" t="str">
        <f ca="1">IFERROR(__xludf.DUMMYFUNCTION("GOOGLETRANSLATE(A2282, ""en"", ""fr"")"),"CONTREDIRE")</f>
        <v>CONTREDIRE</v>
      </c>
      <c r="C2282" s="1" t="s">
        <v>185</v>
      </c>
      <c r="E2282" s="1" t="s">
        <v>16613</v>
      </c>
      <c r="H2282" s="1" t="s">
        <v>4</v>
      </c>
      <c r="I2282" s="1" t="s">
        <v>5</v>
      </c>
      <c r="BK2282" s="1" t="s">
        <v>59</v>
      </c>
      <c r="DN2282" s="1" t="s">
        <v>114</v>
      </c>
      <c r="GD2282" s="1" t="s">
        <v>189</v>
      </c>
      <c r="GE2282" s="1" t="s">
        <v>190</v>
      </c>
    </row>
    <row r="2283" spans="1:187" ht="11.25" customHeight="1">
      <c r="A2283" s="1" t="s">
        <v>3343</v>
      </c>
      <c r="B2283" s="1" t="str">
        <f ca="1">IFERROR(__xludf.DUMMYFUNCTION("GOOGLETRANSLATE(A2283, ""en"", ""fr"")"),"CONTRADICTION")</f>
        <v>CONTRADICTION</v>
      </c>
      <c r="C2283" s="1" t="s">
        <v>192</v>
      </c>
      <c r="E2283" s="1" t="s">
        <v>16613</v>
      </c>
      <c r="BK2283" s="1" t="s">
        <v>59</v>
      </c>
      <c r="GD2283" s="1" t="s">
        <v>193</v>
      </c>
      <c r="GE2283" s="1" t="s">
        <v>190</v>
      </c>
    </row>
    <row r="2284" spans="1:187" ht="11.25" customHeight="1">
      <c r="A2284" s="1" t="s">
        <v>3344</v>
      </c>
      <c r="B2284" s="1" t="str">
        <f ca="1">IFERROR(__xludf.DUMMYFUNCTION("GOOGLETRANSLATE(A2284, ""en"", ""fr"")"),"CONTRADICTOIRE")</f>
        <v>CONTRADICTOIRE</v>
      </c>
      <c r="C2284" s="1" t="s">
        <v>185</v>
      </c>
      <c r="E2284" s="1" t="s">
        <v>16613</v>
      </c>
      <c r="H2284" s="1" t="s">
        <v>4</v>
      </c>
      <c r="W2284" s="1" t="s">
        <v>19</v>
      </c>
      <c r="BK2284" s="1" t="s">
        <v>59</v>
      </c>
      <c r="BL2284" s="1" t="s">
        <v>60</v>
      </c>
      <c r="DL2284" s="1" t="s">
        <v>112</v>
      </c>
      <c r="GC2284" s="1" t="s">
        <v>181</v>
      </c>
      <c r="GD2284" s="1" t="s">
        <v>193</v>
      </c>
      <c r="GE2284" s="1" t="s">
        <v>190</v>
      </c>
    </row>
    <row r="2285" spans="1:187" ht="11.25" customHeight="1">
      <c r="A2285" s="1" t="s">
        <v>3345</v>
      </c>
      <c r="B2285" s="1" t="str">
        <f ca="1">IFERROR(__xludf.DUMMYFUNCTION("GOOGLETRANSLATE(A2285, ""en"", ""fr"")"),"CONTRAIRE")</f>
        <v>CONTRAIRE</v>
      </c>
      <c r="C2285" s="1" t="s">
        <v>185</v>
      </c>
      <c r="E2285" s="1" t="s">
        <v>16613</v>
      </c>
      <c r="H2285" s="1" t="s">
        <v>4</v>
      </c>
      <c r="DL2285" s="1" t="s">
        <v>112</v>
      </c>
      <c r="GD2285" s="1" t="s">
        <v>202</v>
      </c>
      <c r="GE2285" s="1" t="s">
        <v>190</v>
      </c>
    </row>
    <row r="2286" spans="1:187" ht="11.25" customHeight="1">
      <c r="A2286" s="1" t="s">
        <v>3346</v>
      </c>
      <c r="B2286" s="1" t="str">
        <f ca="1">IFERROR(__xludf.DUMMYFUNCTION("GOOGLETRANSLATE(A2286, ""en"", ""fr"")"),"Contraste n ° 1")</f>
        <v>Contraste n ° 1</v>
      </c>
      <c r="C2286" s="1" t="s">
        <v>185</v>
      </c>
      <c r="CR2286" s="1" t="s">
        <v>92</v>
      </c>
      <c r="GD2286" s="1" t="s">
        <v>193</v>
      </c>
      <c r="GE2286" s="1" t="s">
        <v>190</v>
      </c>
    </row>
    <row r="2287" spans="1:187" ht="11.25" customHeight="1">
      <c r="A2287" s="1" t="s">
        <v>3347</v>
      </c>
      <c r="B2287" s="1" t="str">
        <f ca="1">IFERROR(__xludf.DUMMYFUNCTION("GOOGLETRANSLATE(A2287, ""en"", ""fr"")"),"Contraste n ° 2")</f>
        <v>Contraste n ° 2</v>
      </c>
      <c r="C2287" s="1" t="s">
        <v>185</v>
      </c>
      <c r="DD2287" s="1" t="s">
        <v>104</v>
      </c>
      <c r="DN2287" s="1" t="s">
        <v>114</v>
      </c>
      <c r="GD2287" s="1" t="s">
        <v>189</v>
      </c>
      <c r="GE2287" s="1" t="s">
        <v>190</v>
      </c>
    </row>
    <row r="2288" spans="1:187" ht="11.25" customHeight="1">
      <c r="A2288" s="1" t="s">
        <v>3348</v>
      </c>
      <c r="B2288" s="1" t="str">
        <f ca="1">IFERROR(__xludf.DUMMYFUNCTION("GOOGLETRANSLATE(A2288, ""en"", ""fr"")"),"Contribuer # 1")</f>
        <v>Contribuer # 1</v>
      </c>
      <c r="C2288" s="1" t="s">
        <v>185</v>
      </c>
      <c r="D2288" s="1" t="s">
        <v>16612</v>
      </c>
      <c r="F2288" s="1" t="s">
        <v>2</v>
      </c>
      <c r="G2288" s="1" t="s">
        <v>3</v>
      </c>
      <c r="J2288" s="1" t="s">
        <v>6</v>
      </c>
      <c r="N2288" s="1" t="s">
        <v>10</v>
      </c>
      <c r="AA2288" s="1" t="s">
        <v>23</v>
      </c>
      <c r="AL2288" s="1" t="s">
        <v>34</v>
      </c>
      <c r="DN2288" s="1" t="s">
        <v>114</v>
      </c>
      <c r="FN2288" s="1" t="s">
        <v>166</v>
      </c>
      <c r="GD2288" s="1" t="s">
        <v>400</v>
      </c>
      <c r="GE2288" s="1" t="s">
        <v>3349</v>
      </c>
    </row>
    <row r="2289" spans="1:187" ht="11.25" customHeight="1">
      <c r="A2289" s="1" t="s">
        <v>3350</v>
      </c>
      <c r="B2289" s="1" t="str">
        <f ca="1">IFERROR(__xludf.DUMMYFUNCTION("GOOGLETRANSLATE(A2289, ""en"", ""fr"")"),"Contribuer # 2")</f>
        <v>Contribuer # 2</v>
      </c>
      <c r="C2289" s="1" t="s">
        <v>185</v>
      </c>
      <c r="D2289" s="1" t="s">
        <v>16612</v>
      </c>
      <c r="F2289" s="1" t="s">
        <v>2</v>
      </c>
      <c r="G2289" s="1" t="s">
        <v>3</v>
      </c>
      <c r="J2289" s="1" t="s">
        <v>6</v>
      </c>
      <c r="N2289" s="1" t="s">
        <v>10</v>
      </c>
      <c r="AN2289" s="1" t="s">
        <v>36</v>
      </c>
      <c r="FN2289" s="1" t="s">
        <v>166</v>
      </c>
      <c r="GD2289" s="1" t="s">
        <v>202</v>
      </c>
      <c r="GE2289" s="1" t="s">
        <v>3351</v>
      </c>
    </row>
    <row r="2290" spans="1:187" ht="11.25" customHeight="1">
      <c r="A2290" s="1" t="s">
        <v>3352</v>
      </c>
      <c r="B2290" s="1" t="str">
        <f ca="1">IFERROR(__xludf.DUMMYFUNCTION("GOOGLETRANSLATE(A2290, ""en"", ""fr"")"),"CONTRIBUTION")</f>
        <v>CONTRIBUTION</v>
      </c>
      <c r="C2290" s="1" t="s">
        <v>185</v>
      </c>
      <c r="D2290" s="1" t="s">
        <v>16612</v>
      </c>
      <c r="F2290" s="1" t="s">
        <v>2</v>
      </c>
      <c r="G2290" s="1" t="s">
        <v>3</v>
      </c>
      <c r="J2290" s="1" t="s">
        <v>6</v>
      </c>
      <c r="N2290" s="1" t="s">
        <v>10</v>
      </c>
      <c r="AC2290" s="1" t="s">
        <v>25</v>
      </c>
      <c r="AH2290" s="1" t="s">
        <v>30</v>
      </c>
      <c r="FN2290" s="1" t="s">
        <v>166</v>
      </c>
      <c r="GD2290" s="1" t="s">
        <v>3353</v>
      </c>
      <c r="GE2290" s="1" t="s">
        <v>3354</v>
      </c>
    </row>
    <row r="2291" spans="1:187" ht="11.25" customHeight="1">
      <c r="A2291" s="1" t="s">
        <v>3355</v>
      </c>
      <c r="B2291" s="1" t="str">
        <f ca="1">IFERROR(__xludf.DUMMYFUNCTION("GOOGLETRANSLATE(A2291, ""en"", ""fr"")"),"DONATEUR")</f>
        <v>DONATEUR</v>
      </c>
      <c r="C2291" s="1" t="s">
        <v>185</v>
      </c>
      <c r="D2291" s="1" t="s">
        <v>16612</v>
      </c>
      <c r="G2291" s="1" t="s">
        <v>3</v>
      </c>
      <c r="AJ2291" s="1" t="s">
        <v>32</v>
      </c>
      <c r="AN2291" s="1" t="s">
        <v>36</v>
      </c>
      <c r="AT2291" s="1" t="s">
        <v>42</v>
      </c>
      <c r="ET2291" s="1" t="s">
        <v>146</v>
      </c>
      <c r="EW2291" s="1" t="s">
        <v>149</v>
      </c>
      <c r="GD2291" s="1" t="s">
        <v>193</v>
      </c>
      <c r="GE2291" s="1" t="s">
        <v>190</v>
      </c>
    </row>
    <row r="2292" spans="1:187" ht="11.25" customHeight="1">
      <c r="A2292" s="1" t="s">
        <v>3356</v>
      </c>
      <c r="B2292" s="1" t="str">
        <f ca="1">IFERROR(__xludf.DUMMYFUNCTION("GOOGLETRANSLATE(A2292, ""en"", ""fr"")"),"S'adapter")</f>
        <v>S'adapter</v>
      </c>
      <c r="C2292" s="1" t="s">
        <v>196</v>
      </c>
      <c r="EC2292" s="1" t="s">
        <v>129</v>
      </c>
      <c r="ED2292" s="1" t="s">
        <v>130</v>
      </c>
      <c r="GD2292" s="1" t="s">
        <v>189</v>
      </c>
    </row>
    <row r="2293" spans="1:187" ht="11.25" customHeight="1">
      <c r="A2293" s="1" t="s">
        <v>3357</v>
      </c>
      <c r="B2293" s="1" t="str">
        <f ca="1">IFERROR(__xludf.DUMMYFUNCTION("GOOGLETRANSLATE(A2293, ""en"", ""fr"")"),"Contrôle n ° 1")</f>
        <v>Contrôle n ° 1</v>
      </c>
      <c r="C2293" s="1" t="s">
        <v>185</v>
      </c>
      <c r="J2293" s="1" t="s">
        <v>6</v>
      </c>
      <c r="K2293" s="1" t="s">
        <v>7</v>
      </c>
      <c r="N2293" s="1" t="s">
        <v>10</v>
      </c>
      <c r="CC2293" s="1" t="s">
        <v>77</v>
      </c>
      <c r="EC2293" s="1" t="s">
        <v>129</v>
      </c>
      <c r="ED2293" s="1" t="s">
        <v>130</v>
      </c>
      <c r="GD2293" s="1" t="s">
        <v>193</v>
      </c>
      <c r="GE2293" s="1" t="s">
        <v>3358</v>
      </c>
    </row>
    <row r="2294" spans="1:187" ht="11.25" customHeight="1">
      <c r="A2294" s="1" t="s">
        <v>3359</v>
      </c>
      <c r="B2294" s="1" t="str">
        <f ca="1">IFERROR(__xludf.DUMMYFUNCTION("GOOGLETRANSLATE(A2294, ""en"", ""fr"")"),"Contrôle n ° 2")</f>
        <v>Contrôle n ° 2</v>
      </c>
      <c r="C2294" s="1" t="s">
        <v>185</v>
      </c>
      <c r="J2294" s="1" t="s">
        <v>6</v>
      </c>
      <c r="K2294" s="1" t="s">
        <v>7</v>
      </c>
      <c r="N2294" s="1" t="s">
        <v>10</v>
      </c>
      <c r="AN2294" s="1" t="s">
        <v>36</v>
      </c>
      <c r="DN2294" s="1" t="s">
        <v>114</v>
      </c>
      <c r="EC2294" s="1" t="s">
        <v>129</v>
      </c>
      <c r="ED2294" s="1" t="s">
        <v>130</v>
      </c>
      <c r="GD2294" s="1" t="s">
        <v>189</v>
      </c>
      <c r="GE2294" s="1" t="s">
        <v>3360</v>
      </c>
    </row>
    <row r="2295" spans="1:187" ht="11.25" customHeight="1">
      <c r="A2295" s="1" t="s">
        <v>3361</v>
      </c>
      <c r="B2295" s="1" t="str">
        <f ca="1">IFERROR(__xludf.DUMMYFUNCTION("GOOGLETRANSLATE(A2295, ""en"", ""fr"")"),"Contrôle n ° 3")</f>
        <v>Contrôle n ° 3</v>
      </c>
      <c r="C2295" s="1" t="s">
        <v>185</v>
      </c>
      <c r="K2295" s="1" t="s">
        <v>7</v>
      </c>
      <c r="L2295" s="1" t="s">
        <v>8</v>
      </c>
      <c r="O2295" s="1" t="s">
        <v>11</v>
      </c>
      <c r="U2295" s="1" t="s">
        <v>17</v>
      </c>
      <c r="EC2295" s="1" t="s">
        <v>129</v>
      </c>
      <c r="ED2295" s="1" t="s">
        <v>130</v>
      </c>
      <c r="GD2295" s="1" t="s">
        <v>202</v>
      </c>
      <c r="GE2295" s="1" t="s">
        <v>3362</v>
      </c>
    </row>
    <row r="2296" spans="1:187" ht="11.25" customHeight="1">
      <c r="A2296" s="1" t="s">
        <v>3363</v>
      </c>
      <c r="B2296" s="1" t="str">
        <f ca="1">IFERROR(__xludf.DUMMYFUNCTION("GOOGLETRANSLATE(A2296, ""en"", ""fr"")"),"Contrôle n ° 4")</f>
        <v>Contrôle n ° 4</v>
      </c>
      <c r="C2296" s="1" t="s">
        <v>185</v>
      </c>
      <c r="J2296" s="1" t="s">
        <v>6</v>
      </c>
      <c r="K2296" s="1" t="s">
        <v>7</v>
      </c>
      <c r="N2296" s="1" t="s">
        <v>10</v>
      </c>
      <c r="U2296" s="1" t="s">
        <v>17</v>
      </c>
      <c r="EC2296" s="1" t="s">
        <v>129</v>
      </c>
      <c r="ED2296" s="1" t="s">
        <v>130</v>
      </c>
      <c r="GD2296" s="1" t="s">
        <v>202</v>
      </c>
      <c r="GE2296" s="1" t="s">
        <v>3364</v>
      </c>
    </row>
    <row r="2297" spans="1:187" ht="11.25" customHeight="1">
      <c r="A2297" s="1" t="s">
        <v>3365</v>
      </c>
      <c r="B2297" s="1" t="str">
        <f ca="1">IFERROR(__xludf.DUMMYFUNCTION("GOOGLETRANSLATE(A2297, ""en"", ""fr"")"),"MANETTE")</f>
        <v>MANETTE</v>
      </c>
      <c r="C2297" s="1" t="s">
        <v>185</v>
      </c>
      <c r="J2297" s="1" t="s">
        <v>6</v>
      </c>
      <c r="K2297" s="1" t="s">
        <v>7</v>
      </c>
      <c r="AA2297" s="1" t="s">
        <v>23</v>
      </c>
      <c r="AJ2297" s="1" t="s">
        <v>32</v>
      </c>
      <c r="AT2297" s="1" t="s">
        <v>42</v>
      </c>
      <c r="ET2297" s="1" t="s">
        <v>146</v>
      </c>
      <c r="EW2297" s="1" t="s">
        <v>149</v>
      </c>
      <c r="GD2297" s="1" t="s">
        <v>193</v>
      </c>
      <c r="GE2297" s="1" t="s">
        <v>190</v>
      </c>
    </row>
    <row r="2298" spans="1:187" ht="11.25" customHeight="1">
      <c r="A2298" s="1" t="s">
        <v>3366</v>
      </c>
      <c r="B2298" s="1" t="str">
        <f ca="1">IFERROR(__xludf.DUMMYFUNCTION("GOOGLETRANSLATE(A2298, ""en"", ""fr"")"),"CONTROVERSÉ")</f>
        <v>CONTROVERSÉ</v>
      </c>
      <c r="C2298" s="1" t="s">
        <v>185</v>
      </c>
      <c r="E2298" s="1" t="s">
        <v>16613</v>
      </c>
      <c r="H2298" s="1" t="s">
        <v>4</v>
      </c>
      <c r="X2298" s="1" t="s">
        <v>20</v>
      </c>
      <c r="BK2298" s="1" t="s">
        <v>59</v>
      </c>
      <c r="BL2298" s="1" t="s">
        <v>60</v>
      </c>
      <c r="GC2298" s="1" t="s">
        <v>181</v>
      </c>
      <c r="GD2298" s="1" t="s">
        <v>193</v>
      </c>
      <c r="GE2298" s="1" t="s">
        <v>190</v>
      </c>
    </row>
    <row r="2299" spans="1:187" ht="11.25" customHeight="1">
      <c r="A2299" s="1" t="s">
        <v>3367</v>
      </c>
      <c r="B2299" s="1" t="str">
        <f ca="1">IFERROR(__xludf.DUMMYFUNCTION("GOOGLETRANSLATE(A2299, ""en"", ""fr"")"),"CONTROVERSE")</f>
        <v>CONTROVERSE</v>
      </c>
      <c r="C2299" s="1" t="s">
        <v>185</v>
      </c>
      <c r="E2299" s="1" t="s">
        <v>16613</v>
      </c>
      <c r="H2299" s="1" t="s">
        <v>4</v>
      </c>
      <c r="T2299" s="1" t="s">
        <v>16</v>
      </c>
      <c r="AH2299" s="1" t="s">
        <v>30</v>
      </c>
      <c r="BK2299" s="1" t="s">
        <v>59</v>
      </c>
      <c r="BL2299" s="1" t="s">
        <v>60</v>
      </c>
      <c r="GC2299" s="1" t="s">
        <v>181</v>
      </c>
      <c r="GD2299" s="1" t="s">
        <v>193</v>
      </c>
      <c r="GE2299" s="1" t="s">
        <v>190</v>
      </c>
    </row>
    <row r="2300" spans="1:187" ht="11.25" customHeight="1">
      <c r="A2300" s="1" t="s">
        <v>3368</v>
      </c>
      <c r="B2300" s="1" t="str">
        <f ca="1">IFERROR(__xludf.DUMMYFUNCTION("GOOGLETRANSLATE(A2300, ""en"", ""fr"")"),"CONVOQUER")</f>
        <v>CONVOQUER</v>
      </c>
      <c r="C2300" s="1" t="s">
        <v>192</v>
      </c>
      <c r="D2300" s="1" t="s">
        <v>16612</v>
      </c>
      <c r="G2300" s="1" t="s">
        <v>3</v>
      </c>
      <c r="N2300" s="1" t="s">
        <v>10</v>
      </c>
      <c r="AK2300" s="1" t="s">
        <v>33</v>
      </c>
      <c r="BV2300" s="1" t="s">
        <v>70</v>
      </c>
      <c r="CE2300" s="1" t="s">
        <v>79</v>
      </c>
      <c r="DN2300" s="1" t="s">
        <v>114</v>
      </c>
      <c r="GD2300" s="1" t="s">
        <v>189</v>
      </c>
      <c r="GE2300" s="1" t="s">
        <v>190</v>
      </c>
    </row>
    <row r="2301" spans="1:187" ht="11.25" customHeight="1">
      <c r="A2301" s="1" t="s">
        <v>3369</v>
      </c>
      <c r="B2301" s="1" t="str">
        <f ca="1">IFERROR(__xludf.DUMMYFUNCTION("GOOGLETRANSLATE(A2301, ""en"", ""fr"")"),"COMMODITÉ")</f>
        <v>COMMODITÉ</v>
      </c>
      <c r="C2301" s="1" t="s">
        <v>185</v>
      </c>
      <c r="U2301" s="1" t="s">
        <v>17</v>
      </c>
      <c r="EX2301" s="1" t="s">
        <v>150</v>
      </c>
      <c r="FC2301" s="1" t="s">
        <v>155</v>
      </c>
      <c r="GD2301" s="1" t="s">
        <v>193</v>
      </c>
      <c r="GE2301" s="1" t="s">
        <v>190</v>
      </c>
    </row>
    <row r="2302" spans="1:187" ht="11.25" customHeight="1">
      <c r="A2302" s="1" t="s">
        <v>3370</v>
      </c>
      <c r="B2302" s="1" t="str">
        <f ca="1">IFERROR(__xludf.DUMMYFUNCTION("GOOGLETRANSLATE(A2302, ""en"", ""fr"")"),"PRATIQUE")</f>
        <v>PRATIQUE</v>
      </c>
      <c r="C2302" s="1" t="s">
        <v>185</v>
      </c>
      <c r="U2302" s="1" t="s">
        <v>17</v>
      </c>
      <c r="FX2302" s="1" t="s">
        <v>176</v>
      </c>
      <c r="GD2302" s="1" t="s">
        <v>202</v>
      </c>
      <c r="GE2302" s="1" t="s">
        <v>190</v>
      </c>
    </row>
    <row r="2303" spans="1:187" ht="11.25" customHeight="1">
      <c r="A2303" s="1" t="s">
        <v>3371</v>
      </c>
      <c r="B2303" s="1" t="str">
        <f ca="1">IFERROR(__xludf.DUMMYFUNCTION("GOOGLETRANSLATE(A2303, ""en"", ""fr"")"),"COUVENT")</f>
        <v>COUVENT</v>
      </c>
      <c r="C2303" s="1" t="s">
        <v>196</v>
      </c>
      <c r="EC2303" s="1" t="s">
        <v>129</v>
      </c>
      <c r="ED2303" s="1" t="s">
        <v>130</v>
      </c>
      <c r="GD2303" s="1" t="s">
        <v>193</v>
      </c>
    </row>
    <row r="2304" spans="1:187" ht="11.25" customHeight="1">
      <c r="A2304" s="1" t="s">
        <v>3372</v>
      </c>
      <c r="B2304" s="1" t="str">
        <f ca="1">IFERROR(__xludf.DUMMYFUNCTION("GOOGLETRANSLATE(A2304, ""en"", ""fr"")"),"CONVENTION")</f>
        <v>CONVENTION</v>
      </c>
      <c r="C2304" s="1" t="s">
        <v>185</v>
      </c>
      <c r="AG2304" s="1" t="s">
        <v>29</v>
      </c>
      <c r="AH2304" s="1" t="s">
        <v>30</v>
      </c>
      <c r="AK2304" s="1" t="s">
        <v>33</v>
      </c>
      <c r="AT2304" s="1" t="s">
        <v>42</v>
      </c>
      <c r="FT2304" s="1" t="s">
        <v>172</v>
      </c>
      <c r="GD2304" s="1" t="s">
        <v>849</v>
      </c>
      <c r="GE2304" s="1" t="s">
        <v>3373</v>
      </c>
    </row>
    <row r="2305" spans="1:187" ht="11.25" customHeight="1">
      <c r="A2305" s="1" t="s">
        <v>3374</v>
      </c>
      <c r="B2305" s="1" t="str">
        <f ca="1">IFERROR(__xludf.DUMMYFUNCTION("GOOGLETRANSLATE(A2305, ""en"", ""fr"")"),"CONVENTIONNEL")</f>
        <v>CONVENTIONNEL</v>
      </c>
      <c r="C2305" s="1" t="s">
        <v>185</v>
      </c>
      <c r="U2305" s="1" t="s">
        <v>17</v>
      </c>
      <c r="GD2305" s="1" t="s">
        <v>202</v>
      </c>
      <c r="GE2305" s="1" t="s">
        <v>190</v>
      </c>
    </row>
    <row r="2306" spans="1:187" ht="11.25" customHeight="1">
      <c r="A2306" s="1" t="s">
        <v>3375</v>
      </c>
      <c r="B2306" s="1" t="str">
        <f ca="1">IFERROR(__xludf.DUMMYFUNCTION("GOOGLETRANSLATE(A2306, ""en"", ""fr"")"),"CONVERSATION")</f>
        <v>CONVERSATION</v>
      </c>
      <c r="C2306" s="1" t="s">
        <v>196</v>
      </c>
      <c r="FH2306" s="1" t="s">
        <v>160</v>
      </c>
      <c r="FI2306" s="1" t="s">
        <v>161</v>
      </c>
      <c r="GC2306" s="1" t="s">
        <v>181</v>
      </c>
      <c r="GD2306" s="1" t="s">
        <v>3376</v>
      </c>
    </row>
    <row r="2307" spans="1:187" ht="11.25" customHeight="1">
      <c r="A2307" s="1" t="s">
        <v>3377</v>
      </c>
      <c r="B2307" s="1" t="str">
        <f ca="1">IFERROR(__xludf.DUMMYFUNCTION("GOOGLETRANSLATE(A2307, ""en"", ""fr"")"),"CONVERSER")</f>
        <v>CONVERSER</v>
      </c>
      <c r="C2307" s="1" t="s">
        <v>185</v>
      </c>
      <c r="BK2307" s="1" t="s">
        <v>59</v>
      </c>
      <c r="DN2307" s="1" t="s">
        <v>114</v>
      </c>
      <c r="FD2307" s="1" t="s">
        <v>156</v>
      </c>
      <c r="FI2307" s="1" t="s">
        <v>161</v>
      </c>
      <c r="GD2307" s="1" t="s">
        <v>189</v>
      </c>
      <c r="GE2307" s="1" t="s">
        <v>190</v>
      </c>
    </row>
    <row r="2308" spans="1:187" ht="11.25" customHeight="1">
      <c r="A2308" s="1" t="s">
        <v>3378</v>
      </c>
      <c r="B2308" s="1" t="str">
        <f ca="1">IFERROR(__xludf.DUMMYFUNCTION("GOOGLETRANSLATE(A2308, ""en"", ""fr"")"),"CONVERSION")</f>
        <v>CONVERSION</v>
      </c>
      <c r="C2308" s="1" t="s">
        <v>185</v>
      </c>
      <c r="BW2308" s="1" t="s">
        <v>71</v>
      </c>
      <c r="GD2308" s="1" t="s">
        <v>193</v>
      </c>
      <c r="GE2308" s="1" t="s">
        <v>190</v>
      </c>
    </row>
    <row r="2309" spans="1:187" ht="11.25" customHeight="1">
      <c r="A2309" s="1" t="s">
        <v>3379</v>
      </c>
      <c r="B2309" s="1" t="str">
        <f ca="1">IFERROR(__xludf.DUMMYFUNCTION("GOOGLETRANSLATE(A2309, ""en"", ""fr"")"),"Convertir n ° 1")</f>
        <v>Convertir n ° 1</v>
      </c>
      <c r="C2309" s="1" t="s">
        <v>185</v>
      </c>
      <c r="N2309" s="1" t="s">
        <v>10</v>
      </c>
      <c r="AI2309" s="1" t="s">
        <v>31</v>
      </c>
      <c r="AJ2309" s="1" t="s">
        <v>32</v>
      </c>
      <c r="AT2309" s="1" t="s">
        <v>42</v>
      </c>
      <c r="GD2309" s="1" t="s">
        <v>193</v>
      </c>
      <c r="GE2309" s="1" t="s">
        <v>190</v>
      </c>
    </row>
    <row r="2310" spans="1:187" ht="11.25" customHeight="1">
      <c r="A2310" s="1" t="s">
        <v>3380</v>
      </c>
      <c r="B2310" s="1" t="str">
        <f ca="1">IFERROR(__xludf.DUMMYFUNCTION("GOOGLETRANSLATE(A2310, ""en"", ""fr"")"),"Convertir # 2")</f>
        <v>Convertir # 2</v>
      </c>
      <c r="C2310" s="1" t="s">
        <v>185</v>
      </c>
      <c r="J2310" s="1" t="s">
        <v>6</v>
      </c>
      <c r="N2310" s="1" t="s">
        <v>10</v>
      </c>
      <c r="AL2310" s="1" t="s">
        <v>34</v>
      </c>
      <c r="DN2310" s="1" t="s">
        <v>114</v>
      </c>
      <c r="GD2310" s="1" t="s">
        <v>189</v>
      </c>
      <c r="GE2310" s="1" t="s">
        <v>190</v>
      </c>
    </row>
    <row r="2311" spans="1:187" ht="11.25" customHeight="1">
      <c r="A2311" s="1" t="s">
        <v>3381</v>
      </c>
      <c r="B2311" s="1" t="str">
        <f ca="1">IFERROR(__xludf.DUMMYFUNCTION("GOOGLETRANSLATE(A2311, ""en"", ""fr"")"),"TRANSMETTRE")</f>
        <v>TRANSMETTRE</v>
      </c>
      <c r="C2311" s="1" t="s">
        <v>185</v>
      </c>
      <c r="N2311" s="1" t="s">
        <v>10</v>
      </c>
      <c r="CD2311" s="1" t="s">
        <v>78</v>
      </c>
      <c r="DN2311" s="1" t="s">
        <v>114</v>
      </c>
      <c r="EU2311" s="1" t="s">
        <v>147</v>
      </c>
      <c r="EW2311" s="1" t="s">
        <v>149</v>
      </c>
      <c r="GD2311" s="1" t="s">
        <v>189</v>
      </c>
      <c r="GE2311" s="1" t="s">
        <v>190</v>
      </c>
    </row>
    <row r="2312" spans="1:187" ht="11.25" customHeight="1">
      <c r="A2312" s="1" t="s">
        <v>3382</v>
      </c>
      <c r="B2312" s="1" t="str">
        <f ca="1">IFERROR(__xludf.DUMMYFUNCTION("GOOGLETRANSLATE(A2312, ""en"", ""fr"")"),"Condamné n ° 1")</f>
        <v>Condamné n ° 1</v>
      </c>
      <c r="C2312" s="1" t="s">
        <v>185</v>
      </c>
      <c r="E2312" s="1" t="s">
        <v>16613</v>
      </c>
      <c r="H2312" s="1" t="s">
        <v>4</v>
      </c>
      <c r="L2312" s="1" t="s">
        <v>8</v>
      </c>
      <c r="M2312" s="1" t="s">
        <v>9</v>
      </c>
      <c r="O2312" s="1" t="s">
        <v>11</v>
      </c>
      <c r="AE2312" s="1" t="s">
        <v>27</v>
      </c>
      <c r="AJ2312" s="1" t="s">
        <v>32</v>
      </c>
      <c r="AT2312" s="1" t="s">
        <v>42</v>
      </c>
      <c r="EH2312" s="1" t="s">
        <v>134</v>
      </c>
      <c r="EJ2312" s="1" t="s">
        <v>136</v>
      </c>
      <c r="GD2312" s="1" t="s">
        <v>193</v>
      </c>
      <c r="GE2312" s="1" t="s">
        <v>190</v>
      </c>
    </row>
    <row r="2313" spans="1:187" ht="11.25" customHeight="1">
      <c r="A2313" s="1" t="s">
        <v>3383</v>
      </c>
      <c r="B2313" s="1" t="str">
        <f ca="1">IFERROR(__xludf.DUMMYFUNCTION("GOOGLETRANSLATE(A2313, ""en"", ""fr"")"),"Condamné # 2")</f>
        <v>Condamné # 2</v>
      </c>
      <c r="C2313" s="1" t="s">
        <v>185</v>
      </c>
      <c r="E2313" s="1" t="s">
        <v>16613</v>
      </c>
      <c r="H2313" s="1" t="s">
        <v>4</v>
      </c>
      <c r="I2313" s="1" t="s">
        <v>5</v>
      </c>
      <c r="J2313" s="1" t="s">
        <v>6</v>
      </c>
      <c r="N2313" s="1" t="s">
        <v>10</v>
      </c>
      <c r="AE2313" s="1" t="s">
        <v>27</v>
      </c>
      <c r="AN2313" s="1" t="s">
        <v>36</v>
      </c>
      <c r="DN2313" s="1" t="s">
        <v>114</v>
      </c>
      <c r="EH2313" s="1" t="s">
        <v>134</v>
      </c>
      <c r="EJ2313" s="1" t="s">
        <v>136</v>
      </c>
      <c r="GD2313" s="1" t="s">
        <v>189</v>
      </c>
      <c r="GE2313" s="1" t="s">
        <v>190</v>
      </c>
    </row>
    <row r="2314" spans="1:187" ht="11.25" customHeight="1">
      <c r="A2314" s="1" t="s">
        <v>3384</v>
      </c>
      <c r="B2314" s="1" t="str">
        <f ca="1">IFERROR(__xludf.DUMMYFUNCTION("GOOGLETRANSLATE(A2314, ""en"", ""fr"")"),"CONVICTION")</f>
        <v>CONVICTION</v>
      </c>
      <c r="C2314" s="1" t="s">
        <v>185</v>
      </c>
      <c r="D2314" s="1" t="s">
        <v>16612</v>
      </c>
      <c r="F2314" s="1" t="s">
        <v>2</v>
      </c>
      <c r="J2314" s="1" t="s">
        <v>6</v>
      </c>
      <c r="U2314" s="1" t="s">
        <v>17</v>
      </c>
      <c r="EG2314" s="1" t="s">
        <v>133</v>
      </c>
      <c r="EJ2314" s="1" t="s">
        <v>136</v>
      </c>
      <c r="GD2314" s="1" t="s">
        <v>193</v>
      </c>
      <c r="GE2314" s="1" t="s">
        <v>190</v>
      </c>
    </row>
    <row r="2315" spans="1:187" ht="11.25" customHeight="1">
      <c r="A2315" s="1" t="s">
        <v>3385</v>
      </c>
      <c r="B2315" s="1" t="str">
        <f ca="1">IFERROR(__xludf.DUMMYFUNCTION("GOOGLETRANSLATE(A2315, ""en"", ""fr"")"),"Convaincre # 1")</f>
        <v>Convaincre # 1</v>
      </c>
      <c r="C2315" s="1" t="s">
        <v>185</v>
      </c>
      <c r="D2315" s="1" t="s">
        <v>16612</v>
      </c>
      <c r="F2315" s="1" t="s">
        <v>2</v>
      </c>
      <c r="J2315" s="1" t="s">
        <v>6</v>
      </c>
      <c r="K2315" s="1" t="s">
        <v>7</v>
      </c>
      <c r="N2315" s="1" t="s">
        <v>10</v>
      </c>
      <c r="BK2315" s="1" t="s">
        <v>59</v>
      </c>
      <c r="DN2315" s="1" t="s">
        <v>114</v>
      </c>
      <c r="FD2315" s="1" t="s">
        <v>156</v>
      </c>
      <c r="FI2315" s="1" t="s">
        <v>161</v>
      </c>
      <c r="GD2315" s="1" t="s">
        <v>189</v>
      </c>
      <c r="GE2315" s="1" t="s">
        <v>3386</v>
      </c>
    </row>
    <row r="2316" spans="1:187" ht="11.25" customHeight="1">
      <c r="A2316" s="1" t="s">
        <v>3387</v>
      </c>
      <c r="B2316" s="1" t="str">
        <f ca="1">IFERROR(__xludf.DUMMYFUNCTION("GOOGLETRANSLATE(A2316, ""en"", ""fr"")"),"Convaincre # 2")</f>
        <v>Convaincre # 2</v>
      </c>
      <c r="C2316" s="1" t="s">
        <v>185</v>
      </c>
      <c r="D2316" s="1" t="s">
        <v>16612</v>
      </c>
      <c r="F2316" s="1" t="s">
        <v>2</v>
      </c>
      <c r="J2316" s="1" t="s">
        <v>6</v>
      </c>
      <c r="K2316" s="1" t="s">
        <v>7</v>
      </c>
      <c r="N2316" s="1" t="s">
        <v>10</v>
      </c>
      <c r="BK2316" s="1" t="s">
        <v>59</v>
      </c>
      <c r="FH2316" s="1" t="s">
        <v>160</v>
      </c>
      <c r="FI2316" s="1" t="s">
        <v>161</v>
      </c>
      <c r="GC2316" s="1" t="s">
        <v>181</v>
      </c>
      <c r="GD2316" s="1" t="s">
        <v>202</v>
      </c>
      <c r="GE2316" s="1" t="s">
        <v>3388</v>
      </c>
    </row>
    <row r="2317" spans="1:187" ht="11.25" customHeight="1">
      <c r="A2317" s="1" t="s">
        <v>3389</v>
      </c>
      <c r="B2317" s="1" t="str">
        <f ca="1">IFERROR(__xludf.DUMMYFUNCTION("GOOGLETRANSLATE(A2317, ""en"", ""fr"")"),"Convaincu n ° 1")</f>
        <v>Convaincu n ° 1</v>
      </c>
      <c r="C2317" s="1" t="s">
        <v>185</v>
      </c>
      <c r="K2317" s="1" t="s">
        <v>7</v>
      </c>
      <c r="O2317" s="1" t="s">
        <v>11</v>
      </c>
      <c r="BK2317" s="1" t="s">
        <v>59</v>
      </c>
      <c r="FH2317" s="1" t="s">
        <v>160</v>
      </c>
      <c r="FI2317" s="1" t="s">
        <v>161</v>
      </c>
      <c r="GC2317" s="1" t="s">
        <v>181</v>
      </c>
      <c r="GD2317" s="1" t="s">
        <v>421</v>
      </c>
      <c r="GE2317" s="1" t="s">
        <v>3390</v>
      </c>
    </row>
    <row r="2318" spans="1:187" ht="11.25" customHeight="1">
      <c r="A2318" s="1" t="s">
        <v>3391</v>
      </c>
      <c r="B2318" s="1" t="str">
        <f ca="1">IFERROR(__xludf.DUMMYFUNCTION("GOOGLETRANSLATE(A2318, ""en"", ""fr"")"),"Convaincu n ° 2")</f>
        <v>Convaincu n ° 2</v>
      </c>
      <c r="C2318" s="1" t="s">
        <v>185</v>
      </c>
      <c r="K2318" s="1" t="s">
        <v>7</v>
      </c>
      <c r="O2318" s="1" t="s">
        <v>11</v>
      </c>
      <c r="BK2318" s="1" t="s">
        <v>59</v>
      </c>
      <c r="DN2318" s="1" t="s">
        <v>114</v>
      </c>
      <c r="FD2318" s="1" t="s">
        <v>156</v>
      </c>
      <c r="FI2318" s="1" t="s">
        <v>161</v>
      </c>
      <c r="GD2318" s="1" t="s">
        <v>1076</v>
      </c>
      <c r="GE2318" s="1" t="s">
        <v>3392</v>
      </c>
    </row>
    <row r="2319" spans="1:187" ht="11.25" customHeight="1">
      <c r="A2319" s="1" t="s">
        <v>3393</v>
      </c>
      <c r="B2319" s="1" t="str">
        <f ca="1">IFERROR(__xludf.DUMMYFUNCTION("GOOGLETRANSLATE(A2319, ""en"", ""fr"")"),"CONVULSER")</f>
        <v>CONVULSER</v>
      </c>
      <c r="C2319" s="1" t="s">
        <v>185</v>
      </c>
      <c r="BU2319" s="1" t="s">
        <v>69</v>
      </c>
      <c r="DN2319" s="1" t="s">
        <v>114</v>
      </c>
      <c r="GD2319" s="1" t="s">
        <v>189</v>
      </c>
      <c r="GE2319" s="1" t="s">
        <v>190</v>
      </c>
    </row>
    <row r="2320" spans="1:187" ht="11.25" customHeight="1">
      <c r="A2320" s="1" t="s">
        <v>3394</v>
      </c>
      <c r="B2320" s="1" t="str">
        <f ca="1">IFERROR(__xludf.DUMMYFUNCTION("GOOGLETRANSLATE(A2320, ""en"", ""fr"")"),"Cuisiner n ° 1")</f>
        <v>Cuisiner n ° 1</v>
      </c>
      <c r="C2320" s="1" t="s">
        <v>185</v>
      </c>
      <c r="AL2320" s="1" t="s">
        <v>34</v>
      </c>
      <c r="DO2320" s="1" t="s">
        <v>115</v>
      </c>
      <c r="GD2320" s="1" t="s">
        <v>189</v>
      </c>
      <c r="GE2320" s="1" t="s">
        <v>3395</v>
      </c>
    </row>
    <row r="2321" spans="1:187" ht="11.25" customHeight="1">
      <c r="A2321" s="1" t="s">
        <v>3396</v>
      </c>
      <c r="B2321" s="1" t="str">
        <f ca="1">IFERROR(__xludf.DUMMYFUNCTION("GOOGLETRANSLATE(A2321, ""en"", ""fr"")"),"Cuisiner n ° 2")</f>
        <v>Cuisiner n ° 2</v>
      </c>
      <c r="C2321" s="1" t="s">
        <v>185</v>
      </c>
      <c r="AA2321" s="1" t="s">
        <v>23</v>
      </c>
      <c r="AJ2321" s="1" t="s">
        <v>32</v>
      </c>
      <c r="AT2321" s="1" t="s">
        <v>42</v>
      </c>
      <c r="FK2321" s="1" t="s">
        <v>163</v>
      </c>
      <c r="FM2321" s="1" t="s">
        <v>418</v>
      </c>
      <c r="GD2321" s="1" t="s">
        <v>193</v>
      </c>
      <c r="GE2321" s="1" t="s">
        <v>3397</v>
      </c>
    </row>
    <row r="2322" spans="1:187" ht="11.25" customHeight="1">
      <c r="A2322" s="1" t="s">
        <v>3398</v>
      </c>
      <c r="B2322" s="1" t="str">
        <f ca="1">IFERROR(__xludf.DUMMYFUNCTION("GOOGLETRANSLATE(A2322, ""en"", ""fr"")"),"Cuisiner n ° 3")</f>
        <v>Cuisiner n ° 3</v>
      </c>
      <c r="C2322" s="1" t="s">
        <v>185</v>
      </c>
      <c r="AL2322" s="1" t="s">
        <v>34</v>
      </c>
      <c r="GD2322" s="1" t="s">
        <v>202</v>
      </c>
      <c r="GE2322" s="1" t="s">
        <v>3399</v>
      </c>
    </row>
    <row r="2323" spans="1:187" ht="11.25" customHeight="1">
      <c r="A2323" s="1" t="s">
        <v>3400</v>
      </c>
      <c r="B2323" s="1" t="str">
        <f ca="1">IFERROR(__xludf.DUMMYFUNCTION("GOOGLETRANSLATE(A2323, ""en"", ""fr"")"),"Cuisiner n ° 4")</f>
        <v>Cuisiner n ° 4</v>
      </c>
      <c r="C2323" s="1" t="s">
        <v>185</v>
      </c>
      <c r="CR2323" s="1" t="s">
        <v>92</v>
      </c>
      <c r="GD2323" s="1" t="s">
        <v>202</v>
      </c>
      <c r="GE2323" s="1" t="s">
        <v>3401</v>
      </c>
    </row>
    <row r="2324" spans="1:187" ht="11.25" customHeight="1">
      <c r="A2324" s="1" t="s">
        <v>3402</v>
      </c>
      <c r="B2324" s="1" t="str">
        <f ca="1">IFERROR(__xludf.DUMMYFUNCTION("GOOGLETRANSLATE(A2324, ""en"", ""fr"")"),"BISCUIT")</f>
        <v>BISCUIT</v>
      </c>
      <c r="C2324" s="1" t="s">
        <v>185</v>
      </c>
      <c r="BC2324" s="1" t="s">
        <v>51</v>
      </c>
      <c r="BE2324" s="1" t="s">
        <v>53</v>
      </c>
      <c r="GD2324" s="1" t="s">
        <v>193</v>
      </c>
      <c r="GE2324" s="1" t="s">
        <v>190</v>
      </c>
    </row>
    <row r="2325" spans="1:187" ht="11.25" customHeight="1">
      <c r="A2325" s="1" t="s">
        <v>3403</v>
      </c>
      <c r="B2325" s="1" t="str">
        <f ca="1">IFERROR(__xludf.DUMMYFUNCTION("GOOGLETRANSLATE(A2325, ""en"", ""fr"")"),"Cuivré")</f>
        <v>Cuivré</v>
      </c>
      <c r="C2325" s="1" t="s">
        <v>185</v>
      </c>
      <c r="BC2325" s="1" t="s">
        <v>51</v>
      </c>
      <c r="BE2325" s="1" t="s">
        <v>53</v>
      </c>
      <c r="GD2325" s="1" t="s">
        <v>193</v>
      </c>
      <c r="GE2325" s="1" t="s">
        <v>190</v>
      </c>
    </row>
    <row r="2326" spans="1:187" ht="11.25" customHeight="1">
      <c r="A2326" s="1" t="s">
        <v>3404</v>
      </c>
      <c r="B2326" s="1" t="str">
        <f ca="1">IFERROR(__xludf.DUMMYFUNCTION("GOOGLETRANSLATE(A2326, ""en"", ""fr"")"),"COOL")</f>
        <v>COOL</v>
      </c>
      <c r="C2326" s="1" t="s">
        <v>185</v>
      </c>
      <c r="E2326" s="1" t="s">
        <v>16613</v>
      </c>
      <c r="H2326" s="1" t="s">
        <v>4</v>
      </c>
      <c r="O2326" s="1" t="s">
        <v>11</v>
      </c>
      <c r="BU2326" s="1" t="s">
        <v>69</v>
      </c>
      <c r="DN2326" s="1" t="s">
        <v>114</v>
      </c>
      <c r="GD2326" s="1" t="s">
        <v>3405</v>
      </c>
      <c r="GE2326" s="1" t="s">
        <v>190</v>
      </c>
    </row>
    <row r="2327" spans="1:187" ht="11.25" customHeight="1">
      <c r="A2327" s="1" t="s">
        <v>3406</v>
      </c>
      <c r="B2327" s="1" t="str">
        <f ca="1">IFERROR(__xludf.DUMMYFUNCTION("GOOGLETRANSLATE(A2327, ""en"", ""fr"")"),"FRAÎCHEUR")</f>
        <v>FRAÎCHEUR</v>
      </c>
      <c r="C2327" s="1" t="s">
        <v>192</v>
      </c>
      <c r="E2327" s="1" t="s">
        <v>16613</v>
      </c>
      <c r="T2327" s="1" t="s">
        <v>16</v>
      </c>
      <c r="GD2327" s="1" t="s">
        <v>193</v>
      </c>
      <c r="GE2327" s="1" t="s">
        <v>190</v>
      </c>
    </row>
    <row r="2328" spans="1:187" ht="11.25" customHeight="1">
      <c r="A2328" s="1" t="s">
        <v>3407</v>
      </c>
      <c r="B2328" s="1" t="str">
        <f ca="1">IFERROR(__xludf.DUMMYFUNCTION("GOOGLETRANSLATE(A2328, ""en"", ""fr"")"),"COOPÉRER")</f>
        <v>COOPÉRER</v>
      </c>
      <c r="C2328" s="1" t="s">
        <v>185</v>
      </c>
      <c r="D2328" s="1" t="s">
        <v>16612</v>
      </c>
      <c r="F2328" s="1" t="s">
        <v>2</v>
      </c>
      <c r="G2328" s="1" t="s">
        <v>3</v>
      </c>
      <c r="J2328" s="1" t="s">
        <v>6</v>
      </c>
      <c r="N2328" s="1" t="s">
        <v>10</v>
      </c>
      <c r="AN2328" s="1" t="s">
        <v>36</v>
      </c>
      <c r="DN2328" s="1" t="s">
        <v>114</v>
      </c>
      <c r="DS2328" s="1" t="s">
        <v>119</v>
      </c>
      <c r="ED2328" s="1" t="s">
        <v>130</v>
      </c>
      <c r="GD2328" s="1" t="s">
        <v>189</v>
      </c>
      <c r="GE2328" s="1" t="s">
        <v>190</v>
      </c>
    </row>
    <row r="2329" spans="1:187" ht="11.25" customHeight="1">
      <c r="A2329" s="1" t="s">
        <v>3408</v>
      </c>
      <c r="B2329" s="1" t="str">
        <f ca="1">IFERROR(__xludf.DUMMYFUNCTION("GOOGLETRANSLATE(A2329, ""en"", ""fr"")"),"COOPÉRATION")</f>
        <v>COOPÉRATION</v>
      </c>
      <c r="C2329" s="1" t="s">
        <v>185</v>
      </c>
      <c r="D2329" s="1" t="s">
        <v>16612</v>
      </c>
      <c r="F2329" s="1" t="s">
        <v>2</v>
      </c>
      <c r="G2329" s="1" t="s">
        <v>3</v>
      </c>
      <c r="J2329" s="1" t="s">
        <v>6</v>
      </c>
      <c r="N2329" s="1" t="s">
        <v>10</v>
      </c>
      <c r="U2329" s="1" t="s">
        <v>17</v>
      </c>
      <c r="CP2329" s="1" t="s">
        <v>90</v>
      </c>
      <c r="CQ2329" s="1" t="s">
        <v>91</v>
      </c>
      <c r="DX2329" s="1" t="s">
        <v>124</v>
      </c>
      <c r="ED2329" s="1" t="s">
        <v>130</v>
      </c>
      <c r="GD2329" s="1" t="s">
        <v>193</v>
      </c>
      <c r="GE2329" s="1" t="s">
        <v>3409</v>
      </c>
    </row>
    <row r="2330" spans="1:187" ht="11.25" customHeight="1">
      <c r="A2330" s="1" t="s">
        <v>3410</v>
      </c>
      <c r="B2330" s="1" t="str">
        <f ca="1">IFERROR(__xludf.DUMMYFUNCTION("GOOGLETRANSLATE(A2330, ""en"", ""fr"")"),"Coopérative n ° 1")</f>
        <v>Coopérative n ° 1</v>
      </c>
      <c r="C2330" s="1" t="s">
        <v>185</v>
      </c>
      <c r="D2330" s="1" t="s">
        <v>16612</v>
      </c>
      <c r="F2330" s="1" t="s">
        <v>2</v>
      </c>
      <c r="G2330" s="1" t="s">
        <v>3</v>
      </c>
      <c r="J2330" s="1" t="s">
        <v>6</v>
      </c>
      <c r="AA2330" s="1" t="s">
        <v>23</v>
      </c>
      <c r="AC2330" s="1" t="s">
        <v>25</v>
      </c>
      <c r="AK2330" s="1" t="s">
        <v>33</v>
      </c>
      <c r="AT2330" s="1" t="s">
        <v>42</v>
      </c>
      <c r="DX2330" s="1" t="s">
        <v>124</v>
      </c>
      <c r="ED2330" s="1" t="s">
        <v>130</v>
      </c>
      <c r="GD2330" s="1" t="s">
        <v>193</v>
      </c>
      <c r="GE2330" s="1" t="s">
        <v>3411</v>
      </c>
    </row>
    <row r="2331" spans="1:187" ht="11.25" customHeight="1">
      <c r="A2331" s="1" t="s">
        <v>3412</v>
      </c>
      <c r="B2331" s="1" t="str">
        <f ca="1">IFERROR(__xludf.DUMMYFUNCTION("GOOGLETRANSLATE(A2331, ""en"", ""fr"")"),"Coopérative # 2")</f>
        <v>Coopérative # 2</v>
      </c>
      <c r="C2331" s="1" t="s">
        <v>185</v>
      </c>
      <c r="D2331" s="1" t="s">
        <v>16612</v>
      </c>
      <c r="F2331" s="1" t="s">
        <v>2</v>
      </c>
      <c r="G2331" s="1" t="s">
        <v>3</v>
      </c>
      <c r="N2331" s="1" t="s">
        <v>10</v>
      </c>
      <c r="U2331" s="1" t="s">
        <v>17</v>
      </c>
      <c r="DX2331" s="1" t="s">
        <v>124</v>
      </c>
      <c r="ED2331" s="1" t="s">
        <v>130</v>
      </c>
      <c r="GD2331" s="1" t="s">
        <v>202</v>
      </c>
      <c r="GE2331" s="1" t="s">
        <v>3413</v>
      </c>
    </row>
    <row r="2332" spans="1:187" ht="11.25" customHeight="1">
      <c r="A2332" s="1" t="s">
        <v>3414</v>
      </c>
      <c r="B2332" s="1" t="str">
        <f ca="1">IFERROR(__xludf.DUMMYFUNCTION("GOOGLETRANSLATE(A2332, ""en"", ""fr"")"),"Coopérative # 3")</f>
        <v>Coopérative # 3</v>
      </c>
      <c r="C2332" s="1" t="s">
        <v>185</v>
      </c>
      <c r="D2332" s="1" t="s">
        <v>16612</v>
      </c>
      <c r="F2332" s="1" t="s">
        <v>2</v>
      </c>
      <c r="G2332" s="1" t="s">
        <v>3</v>
      </c>
      <c r="J2332" s="1" t="s">
        <v>6</v>
      </c>
      <c r="N2332" s="1" t="s">
        <v>10</v>
      </c>
      <c r="U2332" s="1" t="s">
        <v>17</v>
      </c>
      <c r="DX2332" s="1" t="s">
        <v>124</v>
      </c>
      <c r="ED2332" s="1" t="s">
        <v>130</v>
      </c>
      <c r="GD2332" s="1" t="s">
        <v>236</v>
      </c>
      <c r="GE2332" s="1" t="s">
        <v>3415</v>
      </c>
    </row>
    <row r="2333" spans="1:187" ht="11.25" customHeight="1">
      <c r="A2333" s="1" t="s">
        <v>3416</v>
      </c>
      <c r="B2333" s="1" t="str">
        <f ca="1">IFERROR(__xludf.DUMMYFUNCTION("GOOGLETRANSLATE(A2333, ""en"", ""fr"")"),"COORDONNER")</f>
        <v>COORDONNER</v>
      </c>
      <c r="C2333" s="1" t="s">
        <v>185</v>
      </c>
      <c r="D2333" s="1" t="s">
        <v>16612</v>
      </c>
      <c r="F2333" s="1" t="s">
        <v>2</v>
      </c>
      <c r="J2333" s="1" t="s">
        <v>6</v>
      </c>
      <c r="K2333" s="1" t="s">
        <v>7</v>
      </c>
      <c r="N2333" s="1" t="s">
        <v>10</v>
      </c>
      <c r="AN2333" s="1" t="s">
        <v>36</v>
      </c>
      <c r="DN2333" s="1" t="s">
        <v>114</v>
      </c>
      <c r="DX2333" s="1" t="s">
        <v>124</v>
      </c>
      <c r="ED2333" s="1" t="s">
        <v>130</v>
      </c>
      <c r="GD2333" s="1" t="s">
        <v>189</v>
      </c>
      <c r="GE2333" s="1" t="s">
        <v>190</v>
      </c>
    </row>
    <row r="2334" spans="1:187" ht="11.25" customHeight="1">
      <c r="A2334" s="1" t="s">
        <v>3417</v>
      </c>
      <c r="B2334" s="1" t="str">
        <f ca="1">IFERROR(__xludf.DUMMYFUNCTION("GOOGLETRANSLATE(A2334, ""en"", ""fr"")"),"COORDINATION")</f>
        <v>COORDINATION</v>
      </c>
      <c r="C2334" s="1" t="s">
        <v>192</v>
      </c>
      <c r="D2334" s="1" t="s">
        <v>16612</v>
      </c>
      <c r="G2334" s="1" t="s">
        <v>3</v>
      </c>
      <c r="J2334" s="1" t="s">
        <v>6</v>
      </c>
      <c r="U2334" s="1" t="s">
        <v>17</v>
      </c>
      <c r="DD2334" s="1" t="s">
        <v>104</v>
      </c>
      <c r="GD2334" s="1" t="s">
        <v>193</v>
      </c>
      <c r="GE2334" s="1" t="s">
        <v>190</v>
      </c>
    </row>
    <row r="2335" spans="1:187" ht="11.25" customHeight="1">
      <c r="A2335" s="1" t="s">
        <v>3418</v>
      </c>
      <c r="B2335" s="1" t="str">
        <f ca="1">IFERROR(__xludf.DUMMYFUNCTION("GOOGLETRANSLATE(A2335, ""en"", ""fr"")"),"FLIC")</f>
        <v>FLIC</v>
      </c>
      <c r="C2335" s="1" t="s">
        <v>185</v>
      </c>
      <c r="J2335" s="1" t="s">
        <v>6</v>
      </c>
      <c r="K2335" s="1" t="s">
        <v>7</v>
      </c>
      <c r="AE2335" s="1" t="s">
        <v>27</v>
      </c>
      <c r="AH2335" s="1" t="s">
        <v>30</v>
      </c>
      <c r="AJ2335" s="1" t="s">
        <v>32</v>
      </c>
      <c r="AT2335" s="1" t="s">
        <v>42</v>
      </c>
      <c r="DY2335" s="1" t="s">
        <v>125</v>
      </c>
      <c r="ED2335" s="1" t="s">
        <v>130</v>
      </c>
      <c r="GD2335" s="1" t="s">
        <v>193</v>
      </c>
      <c r="GE2335" s="1" t="s">
        <v>190</v>
      </c>
    </row>
    <row r="2336" spans="1:187" ht="11.25" customHeight="1">
      <c r="A2336" s="1" t="s">
        <v>3419</v>
      </c>
      <c r="B2336" s="1" t="str">
        <f ca="1">IFERROR(__xludf.DUMMYFUNCTION("GOOGLETRANSLATE(A2336, ""en"", ""fr"")"),"FAIRE FACE")</f>
        <v>FAIRE FACE</v>
      </c>
      <c r="C2336" s="1" t="s">
        <v>185</v>
      </c>
      <c r="O2336" s="1" t="s">
        <v>11</v>
      </c>
      <c r="AL2336" s="1" t="s">
        <v>34</v>
      </c>
      <c r="DP2336" s="1" t="s">
        <v>116</v>
      </c>
      <c r="FA2336" s="1" t="s">
        <v>153</v>
      </c>
      <c r="FC2336" s="1" t="s">
        <v>155</v>
      </c>
      <c r="GD2336" s="1" t="s">
        <v>189</v>
      </c>
      <c r="GE2336" s="1" t="s">
        <v>190</v>
      </c>
    </row>
    <row r="2337" spans="1:187" ht="11.25" customHeight="1">
      <c r="A2337" s="1" t="s">
        <v>3420</v>
      </c>
      <c r="B2337" s="1" t="str">
        <f ca="1">IFERROR(__xludf.DUMMYFUNCTION("GOOGLETRANSLATE(A2337, ""en"", ""fr"")"),"CUIVRE")</f>
        <v>CUIVRE</v>
      </c>
      <c r="C2337" s="1" t="s">
        <v>185</v>
      </c>
      <c r="AA2337" s="1" t="s">
        <v>23</v>
      </c>
      <c r="AC2337" s="1" t="s">
        <v>25</v>
      </c>
      <c r="BC2337" s="1" t="s">
        <v>51</v>
      </c>
      <c r="BI2337" s="1" t="s">
        <v>57</v>
      </c>
      <c r="EV2337" s="1" t="s">
        <v>148</v>
      </c>
      <c r="EW2337" s="1" t="s">
        <v>149</v>
      </c>
      <c r="GD2337" s="1" t="s">
        <v>193</v>
      </c>
      <c r="GE2337" s="1" t="s">
        <v>190</v>
      </c>
    </row>
    <row r="2338" spans="1:187" ht="11.25" customHeight="1">
      <c r="A2338" s="1" t="s">
        <v>3421</v>
      </c>
      <c r="B2338" s="1" t="str">
        <f ca="1">IFERROR(__xludf.DUMMYFUNCTION("GOOGLETRANSLATE(A2338, ""en"", ""fr"")"),"Copie n ° 1")</f>
        <v>Copie n ° 1</v>
      </c>
      <c r="C2338" s="1" t="s">
        <v>185</v>
      </c>
      <c r="N2338" s="1" t="s">
        <v>10</v>
      </c>
      <c r="BC2338" s="1" t="s">
        <v>51</v>
      </c>
      <c r="BH2338" s="1" t="s">
        <v>56</v>
      </c>
      <c r="BL2338" s="1" t="s">
        <v>60</v>
      </c>
      <c r="FH2338" s="1" t="s">
        <v>160</v>
      </c>
      <c r="FI2338" s="1" t="s">
        <v>161</v>
      </c>
      <c r="GD2338" s="1" t="s">
        <v>193</v>
      </c>
      <c r="GE2338" s="1" t="s">
        <v>190</v>
      </c>
    </row>
    <row r="2339" spans="1:187" ht="11.25" customHeight="1">
      <c r="A2339" s="1" t="s">
        <v>3422</v>
      </c>
      <c r="B2339" s="1" t="str">
        <f ca="1">IFERROR(__xludf.DUMMYFUNCTION("GOOGLETRANSLATE(A2339, ""en"", ""fr"")"),"Copie n ° 2")</f>
        <v>Copie n ° 2</v>
      </c>
      <c r="C2339" s="1" t="s">
        <v>185</v>
      </c>
      <c r="N2339" s="1" t="s">
        <v>10</v>
      </c>
      <c r="BK2339" s="1" t="s">
        <v>59</v>
      </c>
      <c r="DO2339" s="1" t="s">
        <v>115</v>
      </c>
      <c r="FH2339" s="1" t="s">
        <v>160</v>
      </c>
      <c r="FI2339" s="1" t="s">
        <v>161</v>
      </c>
      <c r="GD2339" s="1" t="s">
        <v>189</v>
      </c>
      <c r="GE2339" s="1" t="s">
        <v>190</v>
      </c>
    </row>
    <row r="2340" spans="1:187" ht="11.25" customHeight="1">
      <c r="A2340" s="1" t="s">
        <v>3423</v>
      </c>
      <c r="B2340" s="1" t="str">
        <f ca="1">IFERROR(__xludf.DUMMYFUNCTION("GOOGLETRANSLATE(A2340, ""en"", ""fr"")"),"DROITS D'AUTEUR")</f>
        <v>DROITS D'AUTEUR</v>
      </c>
      <c r="C2340" s="1" t="s">
        <v>196</v>
      </c>
      <c r="EV2340" s="1" t="s">
        <v>148</v>
      </c>
      <c r="EW2340" s="1" t="s">
        <v>149</v>
      </c>
      <c r="GD2340" s="1" t="s">
        <v>193</v>
      </c>
    </row>
    <row r="2341" spans="1:187" ht="11.25" customHeight="1">
      <c r="A2341" s="1" t="s">
        <v>3424</v>
      </c>
      <c r="B2341" s="1" t="str">
        <f ca="1">IFERROR(__xludf.DUMMYFUNCTION("GOOGLETRANSLATE(A2341, ""en"", ""fr"")"),"CORDE")</f>
        <v>CORDE</v>
      </c>
      <c r="C2341" s="1" t="s">
        <v>185</v>
      </c>
      <c r="BC2341" s="1" t="s">
        <v>51</v>
      </c>
      <c r="BD2341" s="1" t="s">
        <v>52</v>
      </c>
      <c r="GD2341" s="1" t="s">
        <v>193</v>
      </c>
      <c r="GE2341" s="1" t="s">
        <v>190</v>
      </c>
    </row>
    <row r="2342" spans="1:187" ht="11.25" customHeight="1">
      <c r="A2342" s="1" t="s">
        <v>3425</v>
      </c>
      <c r="B2342" s="1" t="str">
        <f ca="1">IFERROR(__xludf.DUMMYFUNCTION("GOOGLETRANSLATE(A2342, ""en"", ""fr"")"),"CORDIAL")</f>
        <v>CORDIAL</v>
      </c>
      <c r="C2342" s="1" t="s">
        <v>185</v>
      </c>
      <c r="D2342" s="1" t="s">
        <v>16612</v>
      </c>
      <c r="U2342" s="1" t="s">
        <v>17</v>
      </c>
      <c r="DQ2342" s="1" t="s">
        <v>117</v>
      </c>
      <c r="ER2342" s="1" t="s">
        <v>144</v>
      </c>
      <c r="ES2342" s="1" t="s">
        <v>145</v>
      </c>
      <c r="GD2342" s="1" t="s">
        <v>202</v>
      </c>
      <c r="GE2342" s="1" t="s">
        <v>190</v>
      </c>
    </row>
    <row r="2343" spans="1:187" ht="11.25" customHeight="1">
      <c r="A2343" s="1" t="s">
        <v>3426</v>
      </c>
      <c r="B2343" s="1" t="str">
        <f ca="1">IFERROR(__xludf.DUMMYFUNCTION("GOOGLETRANSLATE(A2343, ""en"", ""fr"")"),"CŒUR")</f>
        <v>CŒUR</v>
      </c>
      <c r="C2343" s="1" t="s">
        <v>185</v>
      </c>
      <c r="J2343" s="1" t="s">
        <v>6</v>
      </c>
      <c r="DA2343" s="1" t="s">
        <v>101</v>
      </c>
      <c r="GD2343" s="1" t="s">
        <v>193</v>
      </c>
      <c r="GE2343" s="1" t="s">
        <v>190</v>
      </c>
    </row>
    <row r="2344" spans="1:187" ht="11.25" customHeight="1">
      <c r="A2344" s="1" t="s">
        <v>3427</v>
      </c>
      <c r="B2344" s="1" t="str">
        <f ca="1">IFERROR(__xludf.DUMMYFUNCTION("GOOGLETRANSLATE(A2344, ""en"", ""fr"")"),"MAÏS")</f>
        <v>MAÏS</v>
      </c>
      <c r="C2344" s="1" t="s">
        <v>185</v>
      </c>
      <c r="BC2344" s="1" t="s">
        <v>51</v>
      </c>
      <c r="BE2344" s="1" t="s">
        <v>53</v>
      </c>
      <c r="EV2344" s="1" t="s">
        <v>148</v>
      </c>
      <c r="EW2344" s="1" t="s">
        <v>149</v>
      </c>
      <c r="GD2344" s="1" t="s">
        <v>193</v>
      </c>
      <c r="GE2344" s="1" t="s">
        <v>190</v>
      </c>
    </row>
    <row r="2345" spans="1:187" ht="11.25" customHeight="1">
      <c r="A2345" s="1" t="s">
        <v>3428</v>
      </c>
      <c r="B2345" s="1" t="str">
        <f ca="1">IFERROR(__xludf.DUMMYFUNCTION("GOOGLETRANSLATE(A2345, ""en"", ""fr"")"),"COIN")</f>
        <v>COIN</v>
      </c>
      <c r="C2345" s="1" t="s">
        <v>185</v>
      </c>
      <c r="DA2345" s="1" t="s">
        <v>101</v>
      </c>
      <c r="GB2345" s="1" t="s">
        <v>180</v>
      </c>
      <c r="GD2345" s="1" t="s">
        <v>193</v>
      </c>
      <c r="GE2345" s="1" t="s">
        <v>3429</v>
      </c>
    </row>
    <row r="2346" spans="1:187" ht="11.25" customHeight="1">
      <c r="A2346" s="1" t="s">
        <v>3430</v>
      </c>
      <c r="B2346" s="1" t="str">
        <f ca="1">IFERROR(__xludf.DUMMYFUNCTION("GOOGLETRANSLATE(A2346, ""en"", ""fr"")"),"Corp")</f>
        <v>Corp</v>
      </c>
      <c r="C2346" s="1" t="s">
        <v>185</v>
      </c>
      <c r="AA2346" s="1" t="s">
        <v>23</v>
      </c>
      <c r="AC2346" s="1" t="s">
        <v>25</v>
      </c>
      <c r="AK2346" s="1" t="s">
        <v>33</v>
      </c>
      <c r="AT2346" s="1" t="s">
        <v>42</v>
      </c>
      <c r="DZ2346" s="1" t="s">
        <v>126</v>
      </c>
      <c r="ED2346" s="1" t="s">
        <v>130</v>
      </c>
      <c r="GD2346" s="1" t="s">
        <v>193</v>
      </c>
      <c r="GE2346" s="1" t="s">
        <v>190</v>
      </c>
    </row>
    <row r="2347" spans="1:187" ht="11.25" customHeight="1">
      <c r="A2347" s="1" t="s">
        <v>3431</v>
      </c>
      <c r="B2347" s="1" t="str">
        <f ca="1">IFERROR(__xludf.DUMMYFUNCTION("GOOGLETRANSLATE(A2347, ""en"", ""fr"")"),"CORPOREL")</f>
        <v>CORPOREL</v>
      </c>
      <c r="C2347" s="1" t="s">
        <v>185</v>
      </c>
      <c r="J2347" s="1" t="s">
        <v>6</v>
      </c>
      <c r="K2347" s="1" t="s">
        <v>7</v>
      </c>
      <c r="AF2347" s="1" t="s">
        <v>28</v>
      </c>
      <c r="AJ2347" s="1" t="s">
        <v>32</v>
      </c>
      <c r="AT2347" s="1" t="s">
        <v>42</v>
      </c>
      <c r="GD2347" s="1" t="s">
        <v>193</v>
      </c>
      <c r="GE2347" s="1" t="s">
        <v>190</v>
      </c>
    </row>
    <row r="2348" spans="1:187" ht="11.25" customHeight="1">
      <c r="A2348" s="1" t="s">
        <v>3432</v>
      </c>
      <c r="B2348" s="1" t="str">
        <f ca="1">IFERROR(__xludf.DUMMYFUNCTION("GOOGLETRANSLATE(A2348, ""en"", ""fr"")"),"Corporatif")</f>
        <v>Corporatif</v>
      </c>
      <c r="C2348" s="1" t="s">
        <v>185</v>
      </c>
      <c r="J2348" s="1" t="s">
        <v>6</v>
      </c>
      <c r="AC2348" s="1" t="s">
        <v>25</v>
      </c>
      <c r="AH2348" s="1" t="s">
        <v>30</v>
      </c>
      <c r="AK2348" s="1" t="s">
        <v>33</v>
      </c>
      <c r="AT2348" s="1" t="s">
        <v>42</v>
      </c>
      <c r="EV2348" s="1" t="s">
        <v>148</v>
      </c>
      <c r="EW2348" s="1" t="s">
        <v>149</v>
      </c>
      <c r="GD2348" s="1" t="s">
        <v>202</v>
      </c>
      <c r="GE2348" s="1" t="s">
        <v>190</v>
      </c>
    </row>
    <row r="2349" spans="1:187" ht="11.25" customHeight="1">
      <c r="A2349" s="1" t="s">
        <v>3433</v>
      </c>
      <c r="B2349" s="1" t="str">
        <f ca="1">IFERROR(__xludf.DUMMYFUNCTION("GOOGLETRANSLATE(A2349, ""en"", ""fr"")"),"SOCIÉTÉ")</f>
        <v>SOCIÉTÉ</v>
      </c>
      <c r="C2349" s="1" t="s">
        <v>185</v>
      </c>
      <c r="J2349" s="1" t="s">
        <v>6</v>
      </c>
      <c r="AA2349" s="1" t="s">
        <v>23</v>
      </c>
      <c r="AC2349" s="1" t="s">
        <v>25</v>
      </c>
      <c r="AK2349" s="1" t="s">
        <v>33</v>
      </c>
      <c r="AT2349" s="1" t="s">
        <v>42</v>
      </c>
      <c r="ET2349" s="1" t="s">
        <v>146</v>
      </c>
      <c r="EW2349" s="1" t="s">
        <v>149</v>
      </c>
      <c r="GD2349" s="1" t="s">
        <v>193</v>
      </c>
      <c r="GE2349" s="1" t="s">
        <v>190</v>
      </c>
    </row>
    <row r="2350" spans="1:187" ht="11.25" customHeight="1">
      <c r="A2350" s="1" t="s">
        <v>3434</v>
      </c>
      <c r="B2350" s="1" t="str">
        <f ca="1">IFERROR(__xludf.DUMMYFUNCTION("GOOGLETRANSLATE(A2350, ""en"", ""fr"")"),"Corps # 1")</f>
        <v>Corps # 1</v>
      </c>
      <c r="C2350" s="1" t="s">
        <v>185</v>
      </c>
      <c r="AC2350" s="1" t="s">
        <v>25</v>
      </c>
      <c r="AG2350" s="1" t="s">
        <v>29</v>
      </c>
      <c r="AH2350" s="1" t="s">
        <v>30</v>
      </c>
      <c r="AK2350" s="1" t="s">
        <v>33</v>
      </c>
      <c r="AT2350" s="1" t="s">
        <v>42</v>
      </c>
      <c r="FT2350" s="1" t="s">
        <v>172</v>
      </c>
      <c r="GD2350" s="1" t="s">
        <v>849</v>
      </c>
      <c r="GE2350" s="1" t="s">
        <v>3435</v>
      </c>
    </row>
    <row r="2351" spans="1:187" ht="11.25" customHeight="1">
      <c r="A2351" s="1" t="s">
        <v>3436</v>
      </c>
      <c r="B2351" s="1" t="str">
        <f ca="1">IFERROR(__xludf.DUMMYFUNCTION("GOOGLETRANSLATE(A2351, ""en"", ""fr"")"),"Corps # 2")</f>
        <v>Corps # 2</v>
      </c>
      <c r="C2351" s="1" t="s">
        <v>185</v>
      </c>
      <c r="AC2351" s="1" t="s">
        <v>25</v>
      </c>
      <c r="AF2351" s="1" t="s">
        <v>28</v>
      </c>
      <c r="AH2351" s="1" t="s">
        <v>30</v>
      </c>
      <c r="AK2351" s="1" t="s">
        <v>33</v>
      </c>
      <c r="AT2351" s="1" t="s">
        <v>42</v>
      </c>
      <c r="DZ2351" s="1" t="s">
        <v>126</v>
      </c>
      <c r="ED2351" s="1" t="s">
        <v>130</v>
      </c>
      <c r="GD2351" s="1" t="s">
        <v>193</v>
      </c>
      <c r="GE2351" s="1" t="s">
        <v>3437</v>
      </c>
    </row>
    <row r="2352" spans="1:187" ht="11.25" customHeight="1">
      <c r="A2352" s="1" t="s">
        <v>3438</v>
      </c>
      <c r="B2352" s="1" t="str">
        <f ca="1">IFERROR(__xludf.DUMMYFUNCTION("GOOGLETRANSLATE(A2352, ""en"", ""fr"")"),"CORPUS")</f>
        <v>CORPUS</v>
      </c>
      <c r="C2352" s="1" t="s">
        <v>185</v>
      </c>
      <c r="BC2352" s="1" t="s">
        <v>51</v>
      </c>
      <c r="BH2352" s="1" t="s">
        <v>56</v>
      </c>
      <c r="BL2352" s="1" t="s">
        <v>60</v>
      </c>
      <c r="GD2352" s="1" t="s">
        <v>193</v>
      </c>
      <c r="GE2352" s="1" t="s">
        <v>190</v>
      </c>
    </row>
    <row r="2353" spans="1:187" ht="11.25" customHeight="1">
      <c r="A2353" s="1" t="s">
        <v>3439</v>
      </c>
      <c r="B2353" s="1" t="str">
        <f ca="1">IFERROR(__xludf.DUMMYFUNCTION("GOOGLETRANSLATE(A2353, ""en"", ""fr"")"),"Correction n ° 1")</f>
        <v>Correction n ° 1</v>
      </c>
      <c r="C2353" s="1" t="s">
        <v>185</v>
      </c>
      <c r="D2353" s="1" t="s">
        <v>16612</v>
      </c>
      <c r="F2353" s="1" t="s">
        <v>2</v>
      </c>
      <c r="U2353" s="1" t="s">
        <v>17</v>
      </c>
      <c r="W2353" s="1" t="s">
        <v>19</v>
      </c>
      <c r="FX2353" s="1" t="s">
        <v>176</v>
      </c>
      <c r="GD2353" s="1" t="s">
        <v>202</v>
      </c>
      <c r="GE2353" s="1" t="s">
        <v>3440</v>
      </c>
    </row>
    <row r="2354" spans="1:187" ht="11.25" customHeight="1">
      <c r="A2354" s="1" t="s">
        <v>3441</v>
      </c>
      <c r="B2354" s="1" t="str">
        <f ca="1">IFERROR(__xludf.DUMMYFUNCTION("GOOGLETRANSLATE(A2354, ""en"", ""fr"")"),"Correct # 2")</f>
        <v>Correct # 2</v>
      </c>
      <c r="C2354" s="1" t="s">
        <v>185</v>
      </c>
      <c r="D2354" s="1" t="s">
        <v>16612</v>
      </c>
      <c r="F2354" s="1" t="s">
        <v>2</v>
      </c>
      <c r="J2354" s="1" t="s">
        <v>6</v>
      </c>
      <c r="AL2354" s="1" t="s">
        <v>34</v>
      </c>
      <c r="DN2354" s="1" t="s">
        <v>114</v>
      </c>
      <c r="FN2354" s="1" t="s">
        <v>166</v>
      </c>
      <c r="GD2354" s="1" t="s">
        <v>189</v>
      </c>
      <c r="GE2354" s="1" t="s">
        <v>3442</v>
      </c>
    </row>
    <row r="2355" spans="1:187" ht="11.25" customHeight="1">
      <c r="A2355" s="1" t="s">
        <v>3443</v>
      </c>
      <c r="B2355" s="1" t="str">
        <f ca="1">IFERROR(__xludf.DUMMYFUNCTION("GOOGLETRANSLATE(A2355, ""en"", ""fr"")"),"Correct # 3")</f>
        <v>Correct # 3</v>
      </c>
      <c r="C2355" s="1" t="s">
        <v>185</v>
      </c>
      <c r="D2355" s="1" t="s">
        <v>16612</v>
      </c>
      <c r="F2355" s="1" t="s">
        <v>2</v>
      </c>
      <c r="U2355" s="1" t="s">
        <v>17</v>
      </c>
      <c r="W2355" s="1" t="s">
        <v>19</v>
      </c>
      <c r="FX2355" s="1" t="s">
        <v>176</v>
      </c>
      <c r="GD2355" s="1" t="s">
        <v>202</v>
      </c>
      <c r="GE2355" s="1" t="s">
        <v>3444</v>
      </c>
    </row>
    <row r="2356" spans="1:187" ht="11.25" customHeight="1">
      <c r="A2356" s="1" t="s">
        <v>3445</v>
      </c>
      <c r="B2356" s="1" t="str">
        <f ca="1">IFERROR(__xludf.DUMMYFUNCTION("GOOGLETRANSLATE(A2356, ""en"", ""fr"")"),"Correct # 4")</f>
        <v>Correct # 4</v>
      </c>
      <c r="C2356" s="1" t="s">
        <v>185</v>
      </c>
      <c r="U2356" s="1" t="s">
        <v>17</v>
      </c>
      <c r="FN2356" s="1" t="s">
        <v>166</v>
      </c>
      <c r="GD2356" s="1" t="s">
        <v>202</v>
      </c>
      <c r="GE2356" s="1" t="s">
        <v>3446</v>
      </c>
    </row>
    <row r="2357" spans="1:187" ht="11.25" customHeight="1">
      <c r="A2357" s="1" t="s">
        <v>3447</v>
      </c>
      <c r="B2357" s="1" t="str">
        <f ca="1">IFERROR(__xludf.DUMMYFUNCTION("GOOGLETRANSLATE(A2357, ""en"", ""fr"")"),"CORRECTION")</f>
        <v>CORRECTION</v>
      </c>
      <c r="C2357" s="1" t="s">
        <v>192</v>
      </c>
      <c r="D2357" s="1" t="s">
        <v>16612</v>
      </c>
      <c r="GD2357" s="1" t="s">
        <v>193</v>
      </c>
      <c r="GE2357" s="1" t="s">
        <v>190</v>
      </c>
    </row>
    <row r="2358" spans="1:187" ht="11.25" customHeight="1">
      <c r="A2358" s="1" t="s">
        <v>3448</v>
      </c>
      <c r="B2358" s="1" t="str">
        <f ca="1">IFERROR(__xludf.DUMMYFUNCTION("GOOGLETRANSLATE(A2358, ""en"", ""fr"")"),"CORRECTIF")</f>
        <v>CORRECTIF</v>
      </c>
      <c r="C2358" s="1" t="s">
        <v>196</v>
      </c>
      <c r="GD2358" s="1" t="s">
        <v>202</v>
      </c>
    </row>
    <row r="2359" spans="1:187" ht="11.25" customHeight="1">
      <c r="A2359" s="1" t="s">
        <v>3449</v>
      </c>
      <c r="B2359" s="1" t="str">
        <f ca="1">IFERROR(__xludf.DUMMYFUNCTION("GOOGLETRANSLATE(A2359, ""en"", ""fr"")"),"Corrélation n ° 1")</f>
        <v>Corrélation n ° 1</v>
      </c>
      <c r="C2359" s="1" t="s">
        <v>185</v>
      </c>
      <c r="BQ2359" s="1" t="s">
        <v>65</v>
      </c>
      <c r="GD2359" s="1" t="s">
        <v>202</v>
      </c>
      <c r="GE2359" s="1" t="s">
        <v>190</v>
      </c>
    </row>
    <row r="2360" spans="1:187" ht="11.25" customHeight="1">
      <c r="A2360" s="1" t="s">
        <v>3450</v>
      </c>
      <c r="B2360" s="1" t="str">
        <f ca="1">IFERROR(__xludf.DUMMYFUNCTION("GOOGLETRANSLATE(A2360, ""en"", ""fr"")"),"Corrélation n ° 2")</f>
        <v>Corrélation n ° 2</v>
      </c>
      <c r="C2360" s="1" t="s">
        <v>185</v>
      </c>
      <c r="CO2360" s="1" t="s">
        <v>89</v>
      </c>
      <c r="DN2360" s="1" t="s">
        <v>114</v>
      </c>
      <c r="GD2360" s="1" t="s">
        <v>189</v>
      </c>
      <c r="GE2360" s="1" t="s">
        <v>190</v>
      </c>
    </row>
    <row r="2361" spans="1:187" ht="11.25" customHeight="1">
      <c r="A2361" s="1" t="s">
        <v>3451</v>
      </c>
      <c r="B2361" s="1" t="str">
        <f ca="1">IFERROR(__xludf.DUMMYFUNCTION("GOOGLETRANSLATE(A2361, ""en"", ""fr"")"),"CORRÉLATION")</f>
        <v>CORRÉLATION</v>
      </c>
      <c r="C2361" s="1" t="s">
        <v>185</v>
      </c>
      <c r="CH2361" s="1" t="s">
        <v>82</v>
      </c>
      <c r="GD2361" s="1" t="s">
        <v>193</v>
      </c>
      <c r="GE2361" s="1" t="s">
        <v>190</v>
      </c>
    </row>
    <row r="2362" spans="1:187" ht="11.25" customHeight="1">
      <c r="A2362" s="1" t="s">
        <v>3452</v>
      </c>
      <c r="B2362" s="1" t="str">
        <f ca="1">IFERROR(__xludf.DUMMYFUNCTION("GOOGLETRANSLATE(A2362, ""en"", ""fr"")"),"CORRESPONDRE")</f>
        <v>CORRESPONDRE</v>
      </c>
      <c r="C2362" s="1" t="s">
        <v>185</v>
      </c>
      <c r="BK2362" s="1" t="s">
        <v>59</v>
      </c>
      <c r="DD2362" s="1" t="s">
        <v>104</v>
      </c>
      <c r="DN2362" s="1" t="s">
        <v>114</v>
      </c>
      <c r="GD2362" s="1" t="s">
        <v>189</v>
      </c>
      <c r="GE2362" s="1" t="s">
        <v>190</v>
      </c>
    </row>
    <row r="2363" spans="1:187" ht="11.25" customHeight="1">
      <c r="A2363" s="1" t="s">
        <v>3453</v>
      </c>
      <c r="B2363" s="1" t="str">
        <f ca="1">IFERROR(__xludf.DUMMYFUNCTION("GOOGLETRANSLATE(A2363, ""en"", ""fr"")"),"CORRESPONDANCE")</f>
        <v>CORRESPONDANCE</v>
      </c>
      <c r="C2363" s="1" t="s">
        <v>185</v>
      </c>
      <c r="BK2363" s="1" t="s">
        <v>59</v>
      </c>
      <c r="BL2363" s="1" t="s">
        <v>60</v>
      </c>
      <c r="GC2363" s="1" t="s">
        <v>181</v>
      </c>
      <c r="GD2363" s="1" t="s">
        <v>193</v>
      </c>
      <c r="GE2363" s="1" t="s">
        <v>190</v>
      </c>
    </row>
    <row r="2364" spans="1:187" ht="11.25" customHeight="1">
      <c r="A2364" s="1" t="s">
        <v>3454</v>
      </c>
      <c r="B2364" s="1" t="str">
        <f ca="1">IFERROR(__xludf.DUMMYFUNCTION("GOOGLETRANSLATE(A2364, ""en"", ""fr"")"),"CORRESPONDANT")</f>
        <v>CORRESPONDANT</v>
      </c>
      <c r="C2364" s="1" t="s">
        <v>185</v>
      </c>
      <c r="AJ2364" s="1" t="s">
        <v>32</v>
      </c>
      <c r="AT2364" s="1" t="s">
        <v>42</v>
      </c>
      <c r="FG2364" s="1" t="s">
        <v>159</v>
      </c>
      <c r="FI2364" s="1" t="s">
        <v>161</v>
      </c>
      <c r="GD2364" s="1" t="s">
        <v>193</v>
      </c>
      <c r="GE2364" s="1" t="s">
        <v>190</v>
      </c>
    </row>
    <row r="2365" spans="1:187" ht="11.25" customHeight="1">
      <c r="A2365" s="1" t="s">
        <v>3455</v>
      </c>
      <c r="B2365" s="1" t="str">
        <f ca="1">IFERROR(__xludf.DUMMYFUNCTION("GOOGLETRANSLATE(A2365, ""en"", ""fr"")"),"CORRODER")</f>
        <v>CORRODER</v>
      </c>
      <c r="C2365" s="1" t="s">
        <v>192</v>
      </c>
      <c r="E2365" s="1" t="s">
        <v>16613</v>
      </c>
      <c r="O2365" s="1" t="s">
        <v>11</v>
      </c>
      <c r="BY2365" s="1" t="s">
        <v>73</v>
      </c>
      <c r="DN2365" s="1" t="s">
        <v>114</v>
      </c>
      <c r="GD2365" s="1" t="s">
        <v>189</v>
      </c>
      <c r="GE2365" s="1" t="s">
        <v>190</v>
      </c>
    </row>
    <row r="2366" spans="1:187" ht="11.25" customHeight="1">
      <c r="A2366" s="1" t="s">
        <v>3456</v>
      </c>
      <c r="B2366" s="1" t="str">
        <f ca="1">IFERROR(__xludf.DUMMYFUNCTION("GOOGLETRANSLATE(A2366, ""en"", ""fr"")"),"CORROSION")</f>
        <v>CORROSION</v>
      </c>
      <c r="C2366" s="1" t="s">
        <v>192</v>
      </c>
      <c r="E2366" s="1" t="s">
        <v>16613</v>
      </c>
      <c r="BY2366" s="1" t="s">
        <v>73</v>
      </c>
      <c r="GD2366" s="1" t="s">
        <v>193</v>
      </c>
      <c r="GE2366" s="1" t="s">
        <v>190</v>
      </c>
    </row>
    <row r="2367" spans="1:187" ht="11.25" customHeight="1">
      <c r="A2367" s="1" t="s">
        <v>3457</v>
      </c>
      <c r="B2367" s="1" t="str">
        <f ca="1">IFERROR(__xludf.DUMMYFUNCTION("GOOGLETRANSLATE(A2367, ""en"", ""fr"")"),"CORROSIF")</f>
        <v>CORROSIF</v>
      </c>
      <c r="C2367" s="1" t="s">
        <v>192</v>
      </c>
      <c r="E2367" s="1" t="s">
        <v>16613</v>
      </c>
      <c r="BY2367" s="1" t="s">
        <v>73</v>
      </c>
      <c r="DQ2367" s="1" t="s">
        <v>117</v>
      </c>
      <c r="GD2367" s="1" t="s">
        <v>202</v>
      </c>
      <c r="GE2367" s="1" t="s">
        <v>190</v>
      </c>
    </row>
    <row r="2368" spans="1:187" ht="11.25" customHeight="1">
      <c r="A2368" s="1" t="s">
        <v>3458</v>
      </c>
      <c r="B2368" s="1" t="str">
        <f ca="1">IFERROR(__xludf.DUMMYFUNCTION("GOOGLETRANSLATE(A2368, ""en"", ""fr"")"),"CORROMPU")</f>
        <v>CORROMPU</v>
      </c>
      <c r="C2368" s="1" t="s">
        <v>185</v>
      </c>
      <c r="E2368" s="1" t="s">
        <v>16613</v>
      </c>
      <c r="V2368" s="1" t="s">
        <v>18</v>
      </c>
      <c r="AA2368" s="1" t="s">
        <v>23</v>
      </c>
      <c r="DQ2368" s="1" t="s">
        <v>117</v>
      </c>
      <c r="EE2368" s="1" t="s">
        <v>131</v>
      </c>
      <c r="EJ2368" s="1" t="s">
        <v>136</v>
      </c>
      <c r="GD2368" s="1" t="s">
        <v>202</v>
      </c>
      <c r="GE2368" s="1" t="s">
        <v>190</v>
      </c>
    </row>
    <row r="2369" spans="1:187" ht="11.25" customHeight="1">
      <c r="A2369" s="1" t="s">
        <v>3459</v>
      </c>
      <c r="B2369" s="1" t="str">
        <f ca="1">IFERROR(__xludf.DUMMYFUNCTION("GOOGLETRANSLATE(A2369, ""en"", ""fr"")"),"LA CORRUPTION")</f>
        <v>LA CORRUPTION</v>
      </c>
      <c r="C2369" s="1" t="s">
        <v>185</v>
      </c>
      <c r="E2369" s="1" t="s">
        <v>16613</v>
      </c>
      <c r="H2369" s="1" t="s">
        <v>4</v>
      </c>
      <c r="I2369" s="1" t="s">
        <v>5</v>
      </c>
      <c r="V2369" s="1" t="s">
        <v>18</v>
      </c>
      <c r="AH2369" s="1" t="s">
        <v>30</v>
      </c>
      <c r="EE2369" s="1" t="s">
        <v>131</v>
      </c>
      <c r="EJ2369" s="1" t="s">
        <v>136</v>
      </c>
      <c r="GD2369" s="1" t="s">
        <v>193</v>
      </c>
      <c r="GE2369" s="1" t="s">
        <v>190</v>
      </c>
    </row>
    <row r="2370" spans="1:187" ht="11.25" customHeight="1">
      <c r="A2370" s="1" t="s">
        <v>3460</v>
      </c>
      <c r="B2370" s="1" t="str">
        <f ca="1">IFERROR(__xludf.DUMMYFUNCTION("GOOGLETRANSLATE(A2370, ""en"", ""fr"")"),"LA CORSE")</f>
        <v>LA CORSE</v>
      </c>
      <c r="C2370" s="1" t="s">
        <v>196</v>
      </c>
      <c r="FU2370" s="1" t="s">
        <v>173</v>
      </c>
      <c r="GD2370" s="1" t="s">
        <v>545</v>
      </c>
    </row>
    <row r="2371" spans="1:187" ht="11.25" customHeight="1">
      <c r="A2371" s="1" t="s">
        <v>3461</v>
      </c>
      <c r="B2371" s="1" t="str">
        <f ca="1">IFERROR(__xludf.DUMMYFUNCTION("GOOGLETRANSLATE(A2371, ""en"", ""fr"")"),"COSMIQUE")</f>
        <v>COSMIQUE</v>
      </c>
      <c r="C2371" s="1" t="s">
        <v>185</v>
      </c>
      <c r="AV2371" s="1" t="s">
        <v>44</v>
      </c>
      <c r="AX2371" s="1" t="s">
        <v>46</v>
      </c>
      <c r="EF2371" s="1" t="s">
        <v>132</v>
      </c>
      <c r="EJ2371" s="1" t="s">
        <v>136</v>
      </c>
      <c r="GD2371" s="1" t="s">
        <v>202</v>
      </c>
      <c r="GE2371" s="1" t="s">
        <v>190</v>
      </c>
    </row>
    <row r="2372" spans="1:187" ht="11.25" customHeight="1">
      <c r="A2372" s="1" t="s">
        <v>3462</v>
      </c>
      <c r="B2372" s="1" t="str">
        <f ca="1">IFERROR(__xludf.DUMMYFUNCTION("GOOGLETRANSLATE(A2372, ""en"", ""fr"")"),"Coût n ° 1")</f>
        <v>Coût n ° 1</v>
      </c>
      <c r="C2372" s="1" t="s">
        <v>185</v>
      </c>
      <c r="E2372" s="1" t="s">
        <v>16613</v>
      </c>
      <c r="H2372" s="1" t="s">
        <v>4</v>
      </c>
      <c r="AA2372" s="1" t="s">
        <v>23</v>
      </c>
      <c r="AC2372" s="1" t="s">
        <v>25</v>
      </c>
      <c r="BL2372" s="1" t="s">
        <v>60</v>
      </c>
      <c r="CS2372" s="1" t="s">
        <v>93</v>
      </c>
      <c r="FQ2372" s="1" t="s">
        <v>169</v>
      </c>
      <c r="GD2372" s="1" t="s">
        <v>193</v>
      </c>
      <c r="GE2372" s="1" t="s">
        <v>3463</v>
      </c>
    </row>
    <row r="2373" spans="1:187" ht="11.25" customHeight="1">
      <c r="A2373" s="1" t="s">
        <v>3464</v>
      </c>
      <c r="B2373" s="1" t="str">
        <f ca="1">IFERROR(__xludf.DUMMYFUNCTION("GOOGLETRANSLATE(A2373, ""en"", ""fr"")"),"Coût n ° 2")</f>
        <v>Coût n ° 2</v>
      </c>
      <c r="C2373" s="1" t="s">
        <v>185</v>
      </c>
      <c r="E2373" s="1" t="s">
        <v>16613</v>
      </c>
      <c r="H2373" s="1" t="s">
        <v>4</v>
      </c>
      <c r="AA2373" s="1" t="s">
        <v>23</v>
      </c>
      <c r="AB2373" s="1" t="s">
        <v>24</v>
      </c>
      <c r="DO2373" s="1" t="s">
        <v>115</v>
      </c>
      <c r="EU2373" s="1" t="s">
        <v>147</v>
      </c>
      <c r="EW2373" s="1" t="s">
        <v>149</v>
      </c>
      <c r="GD2373" s="1" t="s">
        <v>189</v>
      </c>
      <c r="GE2373" s="1" t="s">
        <v>3465</v>
      </c>
    </row>
    <row r="2374" spans="1:187" ht="11.25" customHeight="1">
      <c r="A2374" s="1" t="s">
        <v>3466</v>
      </c>
      <c r="B2374" s="1" t="str">
        <f ca="1">IFERROR(__xludf.DUMMYFUNCTION("GOOGLETRANSLATE(A2374, ""en"", ""fr"")"),"Costa")</f>
        <v>Costa</v>
      </c>
      <c r="C2374" s="1" t="s">
        <v>196</v>
      </c>
      <c r="FU2374" s="1" t="s">
        <v>173</v>
      </c>
      <c r="GD2374" s="1" t="s">
        <v>1022</v>
      </c>
    </row>
    <row r="2375" spans="1:187" ht="11.25" customHeight="1">
      <c r="A2375" s="1" t="s">
        <v>3467</v>
      </c>
      <c r="B2375" s="1" t="str">
        <f ca="1">IFERROR(__xludf.DUMMYFUNCTION("GOOGLETRANSLATE(A2375, ""en"", ""fr"")"),"Costa-Cosé")</f>
        <v>Costa-Cosé</v>
      </c>
      <c r="C2375" s="1" t="s">
        <v>196</v>
      </c>
      <c r="FU2375" s="1" t="s">
        <v>173</v>
      </c>
      <c r="GD2375" s="1" t="s">
        <v>545</v>
      </c>
    </row>
    <row r="2376" spans="1:187" ht="11.25" customHeight="1">
      <c r="A2376" s="1" t="s">
        <v>3468</v>
      </c>
      <c r="B2376" s="1" t="str">
        <f ca="1">IFERROR(__xludf.DUMMYFUNCTION("GOOGLETRANSLATE(A2376, ""en"", ""fr"")"),"CHERTÉ")</f>
        <v>CHERTÉ</v>
      </c>
      <c r="C2376" s="1" t="s">
        <v>192</v>
      </c>
      <c r="E2376" s="1" t="s">
        <v>16613</v>
      </c>
      <c r="AA2376" s="1" t="s">
        <v>23</v>
      </c>
      <c r="GD2376" s="1" t="s">
        <v>193</v>
      </c>
      <c r="GE2376" s="1" t="s">
        <v>190</v>
      </c>
    </row>
    <row r="2377" spans="1:187" ht="11.25" customHeight="1">
      <c r="A2377" s="1" t="s">
        <v>3469</v>
      </c>
      <c r="B2377" s="1" t="str">
        <f ca="1">IFERROR(__xludf.DUMMYFUNCTION("GOOGLETRANSLATE(A2377, ""en"", ""fr"")"),"CHER")</f>
        <v>CHER</v>
      </c>
      <c r="C2377" s="1" t="s">
        <v>185</v>
      </c>
      <c r="E2377" s="1" t="s">
        <v>16613</v>
      </c>
      <c r="H2377" s="1" t="s">
        <v>4</v>
      </c>
      <c r="V2377" s="1" t="s">
        <v>18</v>
      </c>
      <c r="AA2377" s="1" t="s">
        <v>23</v>
      </c>
      <c r="EU2377" s="1" t="s">
        <v>147</v>
      </c>
      <c r="EW2377" s="1" t="s">
        <v>149</v>
      </c>
      <c r="GD2377" s="1" t="s">
        <v>236</v>
      </c>
      <c r="GE2377" s="1" t="s">
        <v>3470</v>
      </c>
    </row>
    <row r="2378" spans="1:187" ht="11.25" customHeight="1">
      <c r="A2378" s="1" t="s">
        <v>3471</v>
      </c>
      <c r="B2378" s="1" t="str">
        <f ca="1">IFERROR(__xludf.DUMMYFUNCTION("GOOGLETRANSLATE(A2378, ""en"", ""fr"")"),"COSTUME")</f>
        <v>COSTUME</v>
      </c>
      <c r="C2378" s="1" t="s">
        <v>185</v>
      </c>
      <c r="BC2378" s="1" t="s">
        <v>51</v>
      </c>
      <c r="BD2378" s="1" t="s">
        <v>52</v>
      </c>
      <c r="GD2378" s="1" t="s">
        <v>193</v>
      </c>
      <c r="GE2378" s="1" t="s">
        <v>190</v>
      </c>
    </row>
    <row r="2379" spans="1:187" ht="11.25" customHeight="1">
      <c r="A2379" s="1" t="s">
        <v>3472</v>
      </c>
      <c r="B2379" s="1" t="str">
        <f ca="1">IFERROR(__xludf.DUMMYFUNCTION("GOOGLETRANSLATE(A2379, ""en"", ""fr"")"),"CHALET")</f>
        <v>CHALET</v>
      </c>
      <c r="C2379" s="1" t="s">
        <v>185</v>
      </c>
      <c r="AV2379" s="1" t="s">
        <v>44</v>
      </c>
      <c r="AW2379" s="1" t="s">
        <v>45</v>
      </c>
      <c r="GD2379" s="1" t="s">
        <v>193</v>
      </c>
      <c r="GE2379" s="1" t="s">
        <v>190</v>
      </c>
    </row>
    <row r="2380" spans="1:187" ht="11.25" customHeight="1">
      <c r="A2380" s="1" t="s">
        <v>3473</v>
      </c>
      <c r="B2380" s="1" t="str">
        <f ca="1">IFERROR(__xludf.DUMMYFUNCTION("GOOGLETRANSLATE(A2380, ""en"", ""fr"")"),"COTON")</f>
        <v>COTON</v>
      </c>
      <c r="C2380" s="1" t="s">
        <v>185</v>
      </c>
      <c r="AC2380" s="1" t="s">
        <v>25</v>
      </c>
      <c r="BC2380" s="1" t="s">
        <v>51</v>
      </c>
      <c r="BD2380" s="1" t="s">
        <v>52</v>
      </c>
      <c r="EV2380" s="1" t="s">
        <v>148</v>
      </c>
      <c r="EW2380" s="1" t="s">
        <v>149</v>
      </c>
      <c r="GD2380" s="1" t="s">
        <v>193</v>
      </c>
      <c r="GE2380" s="1" t="s">
        <v>190</v>
      </c>
    </row>
    <row r="2381" spans="1:187" ht="11.25" customHeight="1">
      <c r="A2381" s="1" t="s">
        <v>3474</v>
      </c>
      <c r="B2381" s="1" t="str">
        <f ca="1">IFERROR(__xludf.DUMMYFUNCTION("GOOGLETRANSLATE(A2381, ""en"", ""fr"")"),"POURRAIT")</f>
        <v>POURRAIT</v>
      </c>
      <c r="C2381" s="1" t="s">
        <v>185</v>
      </c>
      <c r="DP2381" s="1" t="s">
        <v>116</v>
      </c>
      <c r="EC2381" s="1" t="s">
        <v>129</v>
      </c>
      <c r="ED2381" s="1" t="s">
        <v>130</v>
      </c>
      <c r="GD2381" s="1" t="s">
        <v>3475</v>
      </c>
      <c r="GE2381" s="1" t="s">
        <v>3476</v>
      </c>
    </row>
    <row r="2382" spans="1:187" ht="11.25" customHeight="1">
      <c r="A2382" s="1" t="s">
        <v>3477</v>
      </c>
      <c r="B2382" s="1" t="str">
        <f ca="1">IFERROR(__xludf.DUMMYFUNCTION("GOOGLETRANSLATE(A2382, ""en"", ""fr"")"),"CONSEIL")</f>
        <v>CONSEIL</v>
      </c>
      <c r="C2382" s="1" t="s">
        <v>185</v>
      </c>
      <c r="D2382" s="1" t="s">
        <v>16612</v>
      </c>
      <c r="F2382" s="1" t="s">
        <v>2</v>
      </c>
      <c r="J2382" s="1" t="s">
        <v>6</v>
      </c>
      <c r="K2382" s="1" t="s">
        <v>7</v>
      </c>
      <c r="AG2382" s="1" t="s">
        <v>29</v>
      </c>
      <c r="AH2382" s="1" t="s">
        <v>30</v>
      </c>
      <c r="AK2382" s="1" t="s">
        <v>33</v>
      </c>
      <c r="AT2382" s="1" t="s">
        <v>42</v>
      </c>
      <c r="DY2382" s="1" t="s">
        <v>125</v>
      </c>
      <c r="ED2382" s="1" t="s">
        <v>130</v>
      </c>
      <c r="GD2382" s="1" t="s">
        <v>193</v>
      </c>
      <c r="GE2382" s="1" t="s">
        <v>3478</v>
      </c>
    </row>
    <row r="2383" spans="1:187" ht="11.25" customHeight="1">
      <c r="A2383" s="1" t="s">
        <v>3479</v>
      </c>
      <c r="B2383" s="1" t="str">
        <f ca="1">IFERROR(__xludf.DUMMYFUNCTION("GOOGLETRANSLATE(A2383, ""en"", ""fr"")"),"Conseiller n ° 1")</f>
        <v>Conseiller n ° 1</v>
      </c>
      <c r="C2383" s="1" t="s">
        <v>185</v>
      </c>
      <c r="D2383" s="1" t="s">
        <v>16612</v>
      </c>
      <c r="F2383" s="1" t="s">
        <v>2</v>
      </c>
      <c r="AE2383" s="1" t="s">
        <v>27</v>
      </c>
      <c r="AJ2383" s="1" t="s">
        <v>32</v>
      </c>
      <c r="AT2383" s="1" t="s">
        <v>42</v>
      </c>
      <c r="FH2383" s="1" t="s">
        <v>160</v>
      </c>
      <c r="FI2383" s="1" t="s">
        <v>161</v>
      </c>
      <c r="GD2383" s="1" t="s">
        <v>193</v>
      </c>
      <c r="GE2383" s="1" t="s">
        <v>190</v>
      </c>
    </row>
    <row r="2384" spans="1:187" ht="11.25" customHeight="1">
      <c r="A2384" s="1" t="s">
        <v>3480</v>
      </c>
      <c r="B2384" s="1" t="str">
        <f ca="1">IFERROR(__xludf.DUMMYFUNCTION("GOOGLETRANSLATE(A2384, ""en"", ""fr"")"),"Conseil n ° 2")</f>
        <v>Conseil n ° 2</v>
      </c>
      <c r="C2384" s="1" t="s">
        <v>185</v>
      </c>
      <c r="D2384" s="1" t="s">
        <v>16612</v>
      </c>
      <c r="F2384" s="1" t="s">
        <v>2</v>
      </c>
      <c r="G2384" s="1" t="s">
        <v>3</v>
      </c>
      <c r="K2384" s="1" t="s">
        <v>7</v>
      </c>
      <c r="BK2384" s="1" t="s">
        <v>59</v>
      </c>
      <c r="DN2384" s="1" t="s">
        <v>114</v>
      </c>
      <c r="FH2384" s="1" t="s">
        <v>160</v>
      </c>
      <c r="FI2384" s="1" t="s">
        <v>161</v>
      </c>
      <c r="GD2384" s="1" t="s">
        <v>189</v>
      </c>
      <c r="GE2384" s="1" t="s">
        <v>190</v>
      </c>
    </row>
    <row r="2385" spans="1:187" ht="11.25" customHeight="1">
      <c r="A2385" s="1" t="s">
        <v>3481</v>
      </c>
      <c r="B2385" s="1" t="str">
        <f ca="1">IFERROR(__xludf.DUMMYFUNCTION("GOOGLETRANSLATE(A2385, ""en"", ""fr"")"),"CONSEILLER")</f>
        <v>CONSEILLER</v>
      </c>
      <c r="C2385" s="1" t="s">
        <v>185</v>
      </c>
      <c r="Y2385" s="1" t="s">
        <v>21</v>
      </c>
      <c r="AJ2385" s="1" t="s">
        <v>32</v>
      </c>
      <c r="AT2385" s="1" t="s">
        <v>42</v>
      </c>
      <c r="FB2385" s="1" t="s">
        <v>154</v>
      </c>
      <c r="FC2385" s="1" t="s">
        <v>155</v>
      </c>
      <c r="GD2385" s="1" t="s">
        <v>193</v>
      </c>
      <c r="GE2385" s="1" t="s">
        <v>190</v>
      </c>
    </row>
    <row r="2386" spans="1:187" ht="11.25" customHeight="1">
      <c r="A2386" s="1" t="s">
        <v>3482</v>
      </c>
      <c r="B2386" s="1" t="str">
        <f ca="1">IFERROR(__xludf.DUMMYFUNCTION("GOOGLETRANSLATE(A2386, ""en"", ""fr"")"),"Compte n ° 1")</f>
        <v>Compte n ° 1</v>
      </c>
      <c r="C2386" s="1" t="s">
        <v>185</v>
      </c>
      <c r="CS2386" s="1" t="s">
        <v>93</v>
      </c>
      <c r="FH2386" s="1" t="s">
        <v>160</v>
      </c>
      <c r="FI2386" s="1" t="s">
        <v>161</v>
      </c>
      <c r="GD2386" s="1" t="s">
        <v>193</v>
      </c>
      <c r="GE2386" s="1" t="s">
        <v>190</v>
      </c>
    </row>
    <row r="2387" spans="1:187" ht="11.25" customHeight="1">
      <c r="A2387" s="1" t="s">
        <v>3483</v>
      </c>
      <c r="B2387" s="1" t="str">
        <f ca="1">IFERROR(__xludf.DUMMYFUNCTION("GOOGLETRANSLATE(A2387, ""en"", ""fr"")"),"Compte n ° 2")</f>
        <v>Compte n ° 2</v>
      </c>
      <c r="C2387" s="1" t="s">
        <v>185</v>
      </c>
      <c r="CO2387" s="1" t="s">
        <v>89</v>
      </c>
      <c r="DO2387" s="1" t="s">
        <v>115</v>
      </c>
      <c r="FH2387" s="1" t="s">
        <v>160</v>
      </c>
      <c r="FI2387" s="1" t="s">
        <v>161</v>
      </c>
      <c r="GD2387" s="1" t="s">
        <v>189</v>
      </c>
      <c r="GE2387" s="1" t="s">
        <v>190</v>
      </c>
    </row>
    <row r="2388" spans="1:187" ht="11.25" customHeight="1">
      <c r="A2388" s="1" t="s">
        <v>3484</v>
      </c>
      <c r="B2388" s="1" t="str">
        <f ca="1">IFERROR(__xludf.DUMMYFUNCTION("GOOGLETRANSLATE(A2388, ""en"", ""fr"")"),"CONTRER")</f>
        <v>CONTRER</v>
      </c>
      <c r="C2388" s="1" t="s">
        <v>185</v>
      </c>
      <c r="E2388" s="1" t="s">
        <v>16613</v>
      </c>
      <c r="H2388" s="1" t="s">
        <v>4</v>
      </c>
      <c r="J2388" s="1" t="s">
        <v>6</v>
      </c>
      <c r="N2388" s="1" t="s">
        <v>10</v>
      </c>
      <c r="BY2388" s="1" t="s">
        <v>73</v>
      </c>
      <c r="DL2388" s="1" t="s">
        <v>112</v>
      </c>
      <c r="DN2388" s="1" t="s">
        <v>114</v>
      </c>
      <c r="DW2388" s="1" t="s">
        <v>123</v>
      </c>
      <c r="ED2388" s="1" t="s">
        <v>130</v>
      </c>
      <c r="GD2388" s="1" t="s">
        <v>189</v>
      </c>
      <c r="GE2388" s="1" t="s">
        <v>190</v>
      </c>
    </row>
    <row r="2389" spans="1:187" ht="11.25" customHeight="1">
      <c r="A2389" s="1" t="s">
        <v>3485</v>
      </c>
      <c r="B2389" s="1" t="str">
        <f ca="1">IFERROR(__xludf.DUMMYFUNCTION("GOOGLETRANSLATE(A2389, ""en"", ""fr"")"),"NEUTRALISATION")</f>
        <v>NEUTRALISATION</v>
      </c>
      <c r="C2389" s="1" t="s">
        <v>185</v>
      </c>
      <c r="E2389" s="1" t="s">
        <v>16613</v>
      </c>
      <c r="H2389" s="1" t="s">
        <v>4</v>
      </c>
      <c r="J2389" s="1" t="s">
        <v>6</v>
      </c>
      <c r="N2389" s="1" t="s">
        <v>10</v>
      </c>
      <c r="BY2389" s="1" t="s">
        <v>73</v>
      </c>
      <c r="DL2389" s="1" t="s">
        <v>112</v>
      </c>
      <c r="DW2389" s="1" t="s">
        <v>123</v>
      </c>
      <c r="ED2389" s="1" t="s">
        <v>130</v>
      </c>
      <c r="GD2389" s="1" t="s">
        <v>193</v>
      </c>
      <c r="GE2389" s="1" t="s">
        <v>190</v>
      </c>
    </row>
    <row r="2390" spans="1:187" ht="11.25" customHeight="1">
      <c r="A2390" s="1" t="s">
        <v>3486</v>
      </c>
      <c r="B2390" s="1" t="str">
        <f ca="1">IFERROR(__xludf.DUMMYFUNCTION("GOOGLETRANSLATE(A2390, ""en"", ""fr"")"),"CONTREPOIDS")</f>
        <v>CONTREPOIDS</v>
      </c>
      <c r="C2390" s="1" t="s">
        <v>196</v>
      </c>
      <c r="DW2390" s="1" t="s">
        <v>123</v>
      </c>
      <c r="ED2390" s="1" t="s">
        <v>130</v>
      </c>
      <c r="GD2390" s="1" t="s">
        <v>189</v>
      </c>
    </row>
    <row r="2391" spans="1:187" ht="11.25" customHeight="1">
      <c r="A2391" s="1" t="s">
        <v>3487</v>
      </c>
      <c r="B2391" s="1" t="str">
        <f ca="1">IFERROR(__xludf.DUMMYFUNCTION("GOOGLETRANSLATE(A2391, ""en"", ""fr"")"),"CONTREFAIRE")</f>
        <v>CONTREFAIRE</v>
      </c>
      <c r="C2391" s="1" t="s">
        <v>192</v>
      </c>
      <c r="E2391" s="1" t="s">
        <v>16613</v>
      </c>
      <c r="V2391" s="1" t="s">
        <v>18</v>
      </c>
      <c r="CM2391" s="1" t="s">
        <v>87</v>
      </c>
      <c r="DR2391" s="1" t="s">
        <v>118</v>
      </c>
      <c r="GD2391" s="1" t="s">
        <v>202</v>
      </c>
      <c r="GE2391" s="1" t="s">
        <v>190</v>
      </c>
    </row>
    <row r="2392" spans="1:187" ht="11.25" customHeight="1">
      <c r="A2392" s="1" t="s">
        <v>3488</v>
      </c>
      <c r="B2392" s="1" t="str">
        <f ca="1">IFERROR(__xludf.DUMMYFUNCTION("GOOGLETRANSLATE(A2392, ""en"", ""fr"")"),"HOMOLOGUE")</f>
        <v>HOMOLOGUE</v>
      </c>
      <c r="C2392" s="1" t="s">
        <v>185</v>
      </c>
      <c r="CH2392" s="1" t="s">
        <v>82</v>
      </c>
      <c r="GD2392" s="1" t="s">
        <v>193</v>
      </c>
      <c r="GE2392" s="1" t="s">
        <v>3489</v>
      </c>
    </row>
    <row r="2393" spans="1:187" ht="11.25" customHeight="1">
      <c r="A2393" s="1" t="s">
        <v>3490</v>
      </c>
      <c r="B2393" s="1" t="str">
        <f ca="1">IFERROR(__xludf.DUMMYFUNCTION("GOOGLETRANSLATE(A2393, ""en"", ""fr"")"),"INNOMBRABLE")</f>
        <v>INNOMBRABLE</v>
      </c>
      <c r="C2393" s="1" t="s">
        <v>185</v>
      </c>
      <c r="J2393" s="1" t="s">
        <v>6</v>
      </c>
      <c r="W2393" s="1" t="s">
        <v>19</v>
      </c>
      <c r="CS2393" s="1" t="s">
        <v>93</v>
      </c>
      <c r="FY2393" s="1" t="s">
        <v>177</v>
      </c>
      <c r="GD2393" s="1" t="s">
        <v>2464</v>
      </c>
      <c r="GE2393" s="1" t="s">
        <v>190</v>
      </c>
    </row>
    <row r="2394" spans="1:187" ht="11.25" customHeight="1">
      <c r="A2394" s="1" t="s">
        <v>3491</v>
      </c>
      <c r="B2394" s="1" t="str">
        <f ca="1">IFERROR(__xludf.DUMMYFUNCTION("GOOGLETRANSLATE(A2394, ""en"", ""fr"")"),"Pays n ° 1")</f>
        <v>Pays n ° 1</v>
      </c>
      <c r="C2394" s="1" t="s">
        <v>185</v>
      </c>
      <c r="AC2394" s="1" t="s">
        <v>25</v>
      </c>
      <c r="AG2394" s="1" t="s">
        <v>29</v>
      </c>
      <c r="AH2394" s="1" t="s">
        <v>30</v>
      </c>
      <c r="AK2394" s="1" t="s">
        <v>33</v>
      </c>
      <c r="AT2394" s="1" t="s">
        <v>42</v>
      </c>
      <c r="DV2394" s="1" t="s">
        <v>122</v>
      </c>
      <c r="ED2394" s="1" t="s">
        <v>130</v>
      </c>
      <c r="GD2394" s="1" t="s">
        <v>849</v>
      </c>
      <c r="GE2394" s="1" t="s">
        <v>3492</v>
      </c>
    </row>
    <row r="2395" spans="1:187" ht="11.25" customHeight="1">
      <c r="A2395" s="1" t="s">
        <v>3493</v>
      </c>
      <c r="B2395" s="1" t="str">
        <f ca="1">IFERROR(__xludf.DUMMYFUNCTION("GOOGLETRANSLATE(A2395, ""en"", ""fr"")"),"Pays n ° 2")</f>
        <v>Pays n ° 2</v>
      </c>
      <c r="C2395" s="1" t="s">
        <v>185</v>
      </c>
      <c r="AV2395" s="1" t="s">
        <v>44</v>
      </c>
      <c r="AX2395" s="1" t="s">
        <v>46</v>
      </c>
      <c r="FS2395" s="1" t="s">
        <v>171</v>
      </c>
      <c r="GD2395" s="1" t="s">
        <v>193</v>
      </c>
      <c r="GE2395" s="1" t="s">
        <v>3494</v>
      </c>
    </row>
    <row r="2396" spans="1:187" ht="11.25" customHeight="1">
      <c r="A2396" s="1" t="s">
        <v>3495</v>
      </c>
      <c r="B2396" s="1" t="str">
        <f ca="1">IFERROR(__xludf.DUMMYFUNCTION("GOOGLETRANSLATE(A2396, ""en"", ""fr"")"),"Pays n ° 3")</f>
        <v>Pays n ° 3</v>
      </c>
      <c r="C2396" s="1" t="s">
        <v>185</v>
      </c>
      <c r="AV2396" s="1" t="s">
        <v>44</v>
      </c>
      <c r="AW2396" s="1" t="s">
        <v>45</v>
      </c>
      <c r="EM2396" s="1" t="s">
        <v>139</v>
      </c>
      <c r="EN2396" s="1" t="s">
        <v>140</v>
      </c>
      <c r="GD2396" s="1" t="s">
        <v>193</v>
      </c>
      <c r="GE2396" s="1" t="s">
        <v>3496</v>
      </c>
    </row>
    <row r="2397" spans="1:187" ht="11.25" customHeight="1">
      <c r="A2397" s="1" t="s">
        <v>3497</v>
      </c>
      <c r="B2397" s="1" t="str">
        <f ca="1">IFERROR(__xludf.DUMMYFUNCTION("GOOGLETRANSLATE(A2397, ""en"", ""fr"")"),"COMTÉ")</f>
        <v>COMTÉ</v>
      </c>
      <c r="C2397" s="1" t="s">
        <v>185</v>
      </c>
      <c r="AG2397" s="1" t="s">
        <v>29</v>
      </c>
      <c r="AH2397" s="1" t="s">
        <v>30</v>
      </c>
      <c r="AV2397" s="1" t="s">
        <v>44</v>
      </c>
      <c r="AX2397" s="1" t="s">
        <v>46</v>
      </c>
      <c r="DV2397" s="1" t="s">
        <v>122</v>
      </c>
      <c r="ED2397" s="1" t="s">
        <v>130</v>
      </c>
      <c r="GD2397" s="1" t="s">
        <v>193</v>
      </c>
      <c r="GE2397" s="1" t="s">
        <v>190</v>
      </c>
    </row>
    <row r="2398" spans="1:187" ht="11.25" customHeight="1">
      <c r="A2398" s="1" t="s">
        <v>3498</v>
      </c>
      <c r="B2398" s="1" t="str">
        <f ca="1">IFERROR(__xludf.DUMMYFUNCTION("GOOGLETRANSLATE(A2398, ""en"", ""fr"")"),"COUP")</f>
        <v>COUP</v>
      </c>
      <c r="C2398" s="1" t="s">
        <v>185</v>
      </c>
      <c r="I2398" s="1" t="s">
        <v>5</v>
      </c>
      <c r="AF2398" s="1" t="s">
        <v>28</v>
      </c>
      <c r="AM2398" s="1" t="s">
        <v>35</v>
      </c>
      <c r="DW2398" s="1" t="s">
        <v>123</v>
      </c>
      <c r="ED2398" s="1" t="s">
        <v>130</v>
      </c>
      <c r="GD2398" s="1" t="s">
        <v>193</v>
      </c>
      <c r="GE2398" s="1" t="s">
        <v>190</v>
      </c>
    </row>
    <row r="2399" spans="1:187" ht="11.25" customHeight="1">
      <c r="A2399" s="1" t="s">
        <v>3499</v>
      </c>
      <c r="B2399" s="1" t="str">
        <f ca="1">IFERROR(__xludf.DUMMYFUNCTION("GOOGLETRANSLATE(A2399, ""en"", ""fr"")"),"Couple # 1")</f>
        <v>Couple # 1</v>
      </c>
      <c r="C2399" s="1" t="s">
        <v>185</v>
      </c>
      <c r="CS2399" s="1" t="s">
        <v>93</v>
      </c>
      <c r="GD2399" s="1" t="s">
        <v>2464</v>
      </c>
      <c r="GE2399" s="1" t="s">
        <v>3500</v>
      </c>
    </row>
    <row r="2400" spans="1:187" ht="11.25" customHeight="1">
      <c r="A2400" s="1" t="s">
        <v>3501</v>
      </c>
      <c r="B2400" s="1" t="str">
        <f ca="1">IFERROR(__xludf.DUMMYFUNCTION("GOOGLETRANSLATE(A2400, ""en"", ""fr"")"),"Couple # 2")</f>
        <v>Couple # 2</v>
      </c>
      <c r="C2400" s="1" t="s">
        <v>185</v>
      </c>
      <c r="G2400" s="1" t="s">
        <v>3</v>
      </c>
      <c r="AK2400" s="1" t="s">
        <v>33</v>
      </c>
      <c r="AT2400" s="1" t="s">
        <v>42</v>
      </c>
      <c r="ER2400" s="1" t="s">
        <v>144</v>
      </c>
      <c r="ES2400" s="1" t="s">
        <v>145</v>
      </c>
      <c r="GD2400" s="1" t="s">
        <v>193</v>
      </c>
      <c r="GE2400" s="1" t="s">
        <v>3502</v>
      </c>
    </row>
    <row r="2401" spans="1:187" ht="11.25" customHeight="1">
      <c r="A2401" s="1" t="s">
        <v>3503</v>
      </c>
      <c r="B2401" s="1" t="str">
        <f ca="1">IFERROR(__xludf.DUMMYFUNCTION("GOOGLETRANSLATE(A2401, ""en"", ""fr"")"),"Couple # 3")</f>
        <v>Couple # 3</v>
      </c>
      <c r="C2401" s="1" t="s">
        <v>185</v>
      </c>
      <c r="DD2401" s="1" t="s">
        <v>104</v>
      </c>
      <c r="DO2401" s="1" t="s">
        <v>115</v>
      </c>
      <c r="GD2401" s="1" t="s">
        <v>189</v>
      </c>
      <c r="GE2401" s="1" t="s">
        <v>3504</v>
      </c>
    </row>
    <row r="2402" spans="1:187" ht="11.25" customHeight="1">
      <c r="A2402" s="1" t="s">
        <v>3505</v>
      </c>
      <c r="B2402" s="1" t="str">
        <f ca="1">IFERROR(__xludf.DUMMYFUNCTION("GOOGLETRANSLATE(A2402, ""en"", ""fr"")"),"COURAGE")</f>
        <v>COURAGE</v>
      </c>
      <c r="C2402" s="1" t="s">
        <v>185</v>
      </c>
      <c r="D2402" s="1" t="s">
        <v>16612</v>
      </c>
      <c r="F2402" s="1" t="s">
        <v>2</v>
      </c>
      <c r="J2402" s="1" t="s">
        <v>6</v>
      </c>
      <c r="T2402" s="1" t="s">
        <v>16</v>
      </c>
      <c r="U2402" s="1" t="s">
        <v>17</v>
      </c>
      <c r="CP2402" s="1" t="s">
        <v>90</v>
      </c>
      <c r="CQ2402" s="1" t="s">
        <v>91</v>
      </c>
      <c r="EM2402" s="1" t="s">
        <v>139</v>
      </c>
      <c r="EN2402" s="1" t="s">
        <v>140</v>
      </c>
      <c r="GD2402" s="1" t="s">
        <v>193</v>
      </c>
      <c r="GE2402" s="1" t="s">
        <v>3506</v>
      </c>
    </row>
    <row r="2403" spans="1:187" ht="11.25" customHeight="1">
      <c r="A2403" s="1" t="s">
        <v>3507</v>
      </c>
      <c r="B2403" s="1" t="str">
        <f ca="1">IFERROR(__xludf.DUMMYFUNCTION("GOOGLETRANSLATE(A2403, ""en"", ""fr"")"),"COURAGEUX")</f>
        <v>COURAGEUX</v>
      </c>
      <c r="C2403" s="1" t="s">
        <v>185</v>
      </c>
      <c r="D2403" s="1" t="s">
        <v>16612</v>
      </c>
      <c r="J2403" s="1" t="s">
        <v>6</v>
      </c>
      <c r="U2403" s="1" t="s">
        <v>17</v>
      </c>
      <c r="DR2403" s="1" t="s">
        <v>118</v>
      </c>
      <c r="EM2403" s="1" t="s">
        <v>139</v>
      </c>
      <c r="EN2403" s="1" t="s">
        <v>140</v>
      </c>
      <c r="GD2403" s="1" t="s">
        <v>202</v>
      </c>
      <c r="GE2403" s="1" t="s">
        <v>190</v>
      </c>
    </row>
    <row r="2404" spans="1:187" ht="11.25" customHeight="1">
      <c r="A2404" s="1" t="s">
        <v>3508</v>
      </c>
      <c r="B2404" s="1" t="str">
        <f ca="1">IFERROR(__xludf.DUMMYFUNCTION("GOOGLETRANSLATE(A2404, ""en"", ""fr"")"),"Cours n ° 1")</f>
        <v>Cours n ° 1</v>
      </c>
      <c r="C2404" s="1" t="s">
        <v>185</v>
      </c>
      <c r="Y2404" s="1" t="s">
        <v>21</v>
      </c>
      <c r="AM2404" s="1" t="s">
        <v>35</v>
      </c>
      <c r="FH2404" s="1" t="s">
        <v>160</v>
      </c>
      <c r="FI2404" s="1" t="s">
        <v>161</v>
      </c>
      <c r="GD2404" s="1" t="s">
        <v>193</v>
      </c>
      <c r="GE2404" s="1" t="s">
        <v>3509</v>
      </c>
    </row>
    <row r="2405" spans="1:187" ht="11.25" customHeight="1">
      <c r="A2405" s="1" t="s">
        <v>3510</v>
      </c>
      <c r="B2405" s="1" t="str">
        <f ca="1">IFERROR(__xludf.DUMMYFUNCTION("GOOGLETRANSLATE(A2405, ""en"", ""fr"")"),"Cours n ° 2")</f>
        <v>Cours n ° 2</v>
      </c>
      <c r="C2405" s="1" t="s">
        <v>185</v>
      </c>
      <c r="BR2405" s="1" t="s">
        <v>66</v>
      </c>
      <c r="CP2405" s="1" t="s">
        <v>90</v>
      </c>
      <c r="CQ2405" s="1" t="s">
        <v>91</v>
      </c>
      <c r="GD2405" s="1" t="s">
        <v>193</v>
      </c>
      <c r="GE2405" s="1" t="s">
        <v>3511</v>
      </c>
    </row>
    <row r="2406" spans="1:187" ht="11.25" customHeight="1">
      <c r="A2406" s="1" t="s">
        <v>3512</v>
      </c>
      <c r="B2406" s="1" t="str">
        <f ca="1">IFERROR(__xludf.DUMMYFUNCTION("GOOGLETRANSLATE(A2406, ""en"", ""fr"")"),"Cours n ° 3")</f>
        <v>Cours n ° 3</v>
      </c>
      <c r="C2406" s="1" t="s">
        <v>185</v>
      </c>
      <c r="W2406" s="1" t="s">
        <v>19</v>
      </c>
      <c r="DJ2406" s="1" t="s">
        <v>110</v>
      </c>
      <c r="DM2406" s="1" t="s">
        <v>113</v>
      </c>
      <c r="FY2406" s="1" t="s">
        <v>177</v>
      </c>
      <c r="GD2406" s="1" t="s">
        <v>236</v>
      </c>
      <c r="GE2406" s="1" t="s">
        <v>3513</v>
      </c>
    </row>
    <row r="2407" spans="1:187" ht="11.25" customHeight="1">
      <c r="A2407" s="1" t="s">
        <v>3514</v>
      </c>
      <c r="B2407" s="1" t="str">
        <f ca="1">IFERROR(__xludf.DUMMYFUNCTION("GOOGLETRANSLATE(A2407, ""en"", ""fr"")"),"Cour n ° 1")</f>
        <v>Cour n ° 1</v>
      </c>
      <c r="C2407" s="1" t="s">
        <v>185</v>
      </c>
      <c r="J2407" s="1" t="s">
        <v>6</v>
      </c>
      <c r="AE2407" s="1" t="s">
        <v>27</v>
      </c>
      <c r="AG2407" s="1" t="s">
        <v>29</v>
      </c>
      <c r="AH2407" s="1" t="s">
        <v>30</v>
      </c>
      <c r="AK2407" s="1" t="s">
        <v>33</v>
      </c>
      <c r="AT2407" s="1" t="s">
        <v>42</v>
      </c>
      <c r="DY2407" s="1" t="s">
        <v>125</v>
      </c>
      <c r="ED2407" s="1" t="s">
        <v>130</v>
      </c>
      <c r="GD2407" s="1" t="s">
        <v>193</v>
      </c>
      <c r="GE2407" s="1" t="s">
        <v>3515</v>
      </c>
    </row>
    <row r="2408" spans="1:187" ht="11.25" customHeight="1">
      <c r="A2408" s="1" t="s">
        <v>3516</v>
      </c>
      <c r="B2408" s="1" t="str">
        <f ca="1">IFERROR(__xludf.DUMMYFUNCTION("GOOGLETRANSLATE(A2408, ""en"", ""fr"")"),"Cour n ° 2")</f>
        <v>Cour n ° 2</v>
      </c>
      <c r="C2408" s="1" t="s">
        <v>185</v>
      </c>
      <c r="G2408" s="1" t="s">
        <v>3</v>
      </c>
      <c r="N2408" s="1" t="s">
        <v>10</v>
      </c>
      <c r="AN2408" s="1" t="s">
        <v>36</v>
      </c>
      <c r="DN2408" s="1" t="s">
        <v>114</v>
      </c>
      <c r="EO2408" s="1" t="s">
        <v>141</v>
      </c>
      <c r="ES2408" s="1" t="s">
        <v>145</v>
      </c>
      <c r="GD2408" s="1" t="s">
        <v>189</v>
      </c>
      <c r="GE2408" s="1" t="s">
        <v>3517</v>
      </c>
    </row>
    <row r="2409" spans="1:187" ht="11.25" customHeight="1">
      <c r="A2409" s="1" t="s">
        <v>3518</v>
      </c>
      <c r="B2409" s="1" t="str">
        <f ca="1">IFERROR(__xludf.DUMMYFUNCTION("GOOGLETRANSLATE(A2409, ""en"", ""fr"")"),"Cour n ° 3")</f>
        <v>Cour n ° 3</v>
      </c>
      <c r="C2409" s="1" t="s">
        <v>185</v>
      </c>
      <c r="J2409" s="1" t="s">
        <v>6</v>
      </c>
      <c r="K2409" s="1" t="s">
        <v>7</v>
      </c>
      <c r="AE2409" s="1" t="s">
        <v>27</v>
      </c>
      <c r="AG2409" s="1" t="s">
        <v>29</v>
      </c>
      <c r="AH2409" s="1" t="s">
        <v>30</v>
      </c>
      <c r="AK2409" s="1" t="s">
        <v>33</v>
      </c>
      <c r="AT2409" s="1" t="s">
        <v>42</v>
      </c>
      <c r="DY2409" s="1" t="s">
        <v>125</v>
      </c>
      <c r="ED2409" s="1" t="s">
        <v>130</v>
      </c>
      <c r="GD2409" s="1" t="s">
        <v>193</v>
      </c>
      <c r="GE2409" s="1" t="s">
        <v>3519</v>
      </c>
    </row>
    <row r="2410" spans="1:187" ht="11.25" customHeight="1">
      <c r="A2410" s="1" t="s">
        <v>3520</v>
      </c>
      <c r="B2410" s="1" t="str">
        <f ca="1">IFERROR(__xludf.DUMMYFUNCTION("GOOGLETRANSLATE(A2410, ""en"", ""fr"")"),"COURTOIS")</f>
        <v>COURTOIS</v>
      </c>
      <c r="C2410" s="1" t="s">
        <v>185</v>
      </c>
      <c r="D2410" s="1" t="s">
        <v>16612</v>
      </c>
      <c r="F2410" s="1" t="s">
        <v>2</v>
      </c>
      <c r="G2410" s="1" t="s">
        <v>3</v>
      </c>
      <c r="U2410" s="1" t="s">
        <v>17</v>
      </c>
      <c r="BK2410" s="1" t="s">
        <v>59</v>
      </c>
      <c r="GC2410" s="1" t="s">
        <v>181</v>
      </c>
      <c r="GD2410" s="1" t="s">
        <v>202</v>
      </c>
      <c r="GE2410" s="1" t="s">
        <v>190</v>
      </c>
    </row>
    <row r="2411" spans="1:187" ht="11.25" customHeight="1">
      <c r="A2411" s="1" t="s">
        <v>3521</v>
      </c>
      <c r="B2411" s="1" t="str">
        <f ca="1">IFERROR(__xludf.DUMMYFUNCTION("GOOGLETRANSLATE(A2411, ""en"", ""fr"")"),"COURTOISIE")</f>
        <v>COURTOISIE</v>
      </c>
      <c r="C2411" s="1" t="s">
        <v>185</v>
      </c>
      <c r="D2411" s="1" t="s">
        <v>16612</v>
      </c>
      <c r="F2411" s="1" t="s">
        <v>2</v>
      </c>
      <c r="G2411" s="1" t="s">
        <v>3</v>
      </c>
      <c r="U2411" s="1" t="s">
        <v>17</v>
      </c>
      <c r="AM2411" s="1" t="s">
        <v>35</v>
      </c>
      <c r="GD2411" s="1" t="s">
        <v>193</v>
      </c>
      <c r="GE2411" s="1" t="s">
        <v>190</v>
      </c>
    </row>
    <row r="2412" spans="1:187" ht="11.25" customHeight="1">
      <c r="A2412" s="1" t="s">
        <v>3522</v>
      </c>
      <c r="B2412" s="1" t="str">
        <f ca="1">IFERROR(__xludf.DUMMYFUNCTION("GOOGLETRANSLATE(A2412, ""en"", ""fr"")"),"COURTOIS")</f>
        <v>COURTOIS</v>
      </c>
      <c r="C2412" s="1" t="s">
        <v>185</v>
      </c>
      <c r="D2412" s="1" t="s">
        <v>16612</v>
      </c>
      <c r="F2412" s="1" t="s">
        <v>2</v>
      </c>
      <c r="U2412" s="1" t="s">
        <v>17</v>
      </c>
      <c r="AG2412" s="1" t="s">
        <v>29</v>
      </c>
      <c r="GD2412" s="1" t="s">
        <v>202</v>
      </c>
      <c r="GE2412" s="1" t="s">
        <v>190</v>
      </c>
    </row>
    <row r="2413" spans="1:187" ht="11.25" customHeight="1">
      <c r="A2413" s="1" t="s">
        <v>3523</v>
      </c>
      <c r="B2413" s="1" t="str">
        <f ca="1">IFERROR(__xludf.DUMMYFUNCTION("GOOGLETRANSLATE(A2413, ""en"", ""fr"")"),"COUSIN")</f>
        <v>COUSIN</v>
      </c>
      <c r="C2413" s="1" t="s">
        <v>185</v>
      </c>
      <c r="AJ2413" s="1" t="s">
        <v>32</v>
      </c>
      <c r="AP2413" s="1" t="s">
        <v>38</v>
      </c>
      <c r="AT2413" s="1" t="s">
        <v>42</v>
      </c>
      <c r="EQ2413" s="1" t="s">
        <v>143</v>
      </c>
      <c r="ES2413" s="1" t="s">
        <v>145</v>
      </c>
      <c r="GD2413" s="1" t="s">
        <v>837</v>
      </c>
      <c r="GE2413" s="1" t="s">
        <v>190</v>
      </c>
    </row>
    <row r="2414" spans="1:187" ht="11.25" customHeight="1">
      <c r="A2414" s="1" t="s">
        <v>3524</v>
      </c>
      <c r="B2414" s="1" t="str">
        <f ca="1">IFERROR(__xludf.DUMMYFUNCTION("GOOGLETRANSLATE(A2414, ""en"", ""fr"")"),"ENGAGEMENT")</f>
        <v>ENGAGEMENT</v>
      </c>
      <c r="C2414" s="1" t="s">
        <v>192</v>
      </c>
      <c r="D2414" s="1" t="s">
        <v>16612</v>
      </c>
      <c r="G2414" s="1" t="s">
        <v>3</v>
      </c>
      <c r="Z2414" s="1" t="s">
        <v>22</v>
      </c>
      <c r="BK2414" s="1" t="s">
        <v>59</v>
      </c>
      <c r="GD2414" s="1" t="s">
        <v>193</v>
      </c>
      <c r="GE2414" s="1" t="s">
        <v>190</v>
      </c>
    </row>
    <row r="2415" spans="1:187" ht="11.25" customHeight="1">
      <c r="A2415" s="1" t="s">
        <v>3525</v>
      </c>
      <c r="B2415" s="1" t="str">
        <f ca="1">IFERROR(__xludf.DUMMYFUNCTION("GOOGLETRANSLATE(A2415, ""en"", ""fr"")"),"Couverture n ° 1")</f>
        <v>Couverture n ° 1</v>
      </c>
      <c r="C2415" s="1" t="s">
        <v>185</v>
      </c>
      <c r="BC2415" s="1" t="s">
        <v>51</v>
      </c>
      <c r="BD2415" s="1" t="s">
        <v>52</v>
      </c>
      <c r="GD2415" s="1" t="s">
        <v>193</v>
      </c>
      <c r="GE2415" s="1" t="s">
        <v>3526</v>
      </c>
    </row>
    <row r="2416" spans="1:187" ht="11.25" customHeight="1">
      <c r="A2416" s="1" t="s">
        <v>3527</v>
      </c>
      <c r="B2416" s="1" t="str">
        <f ca="1">IFERROR(__xludf.DUMMYFUNCTION("GOOGLETRANSLATE(A2416, ""en"", ""fr"")"),"Couverture n ° 2")</f>
        <v>Couverture n ° 2</v>
      </c>
      <c r="C2416" s="1" t="s">
        <v>185</v>
      </c>
      <c r="K2416" s="1" t="s">
        <v>7</v>
      </c>
      <c r="N2416" s="1" t="s">
        <v>10</v>
      </c>
      <c r="AN2416" s="1" t="s">
        <v>36</v>
      </c>
      <c r="DN2416" s="1" t="s">
        <v>114</v>
      </c>
      <c r="GD2416" s="1" t="s">
        <v>189</v>
      </c>
      <c r="GE2416" s="1" t="s">
        <v>3528</v>
      </c>
    </row>
    <row r="2417" spans="1:187" ht="11.25" customHeight="1">
      <c r="A2417" s="1" t="s">
        <v>3529</v>
      </c>
      <c r="B2417" s="1" t="str">
        <f ca="1">IFERROR(__xludf.DUMMYFUNCTION("GOOGLETRANSLATE(A2417, ""en"", ""fr"")"),"Couverture n ° 3")</f>
        <v>Couverture n ° 3</v>
      </c>
      <c r="C2417" s="1" t="s">
        <v>185</v>
      </c>
      <c r="O2417" s="1" t="s">
        <v>11</v>
      </c>
      <c r="U2417" s="1" t="s">
        <v>17</v>
      </c>
      <c r="GD2417" s="1" t="s">
        <v>421</v>
      </c>
      <c r="GE2417" s="1" t="s">
        <v>3530</v>
      </c>
    </row>
    <row r="2418" spans="1:187" ht="11.25" customHeight="1">
      <c r="A2418" s="1" t="s">
        <v>3531</v>
      </c>
      <c r="B2418" s="1" t="str">
        <f ca="1">IFERROR(__xludf.DUMMYFUNCTION("GOOGLETRANSLATE(A2418, ""en"", ""fr"")"),"COUVERTURE")</f>
        <v>COUVERTURE</v>
      </c>
      <c r="C2418" s="1" t="s">
        <v>185</v>
      </c>
      <c r="AA2418" s="1" t="s">
        <v>23</v>
      </c>
      <c r="AC2418" s="1" t="s">
        <v>25</v>
      </c>
      <c r="BK2418" s="1" t="s">
        <v>59</v>
      </c>
      <c r="BL2418" s="1" t="s">
        <v>60</v>
      </c>
      <c r="GC2418" s="1" t="s">
        <v>181</v>
      </c>
      <c r="GD2418" s="1" t="s">
        <v>193</v>
      </c>
      <c r="GE2418" s="1" t="s">
        <v>190</v>
      </c>
    </row>
    <row r="2419" spans="1:187" ht="11.25" customHeight="1">
      <c r="A2419" s="1" t="s">
        <v>3532</v>
      </c>
      <c r="B2419" s="1" t="str">
        <f ca="1">IFERROR(__xludf.DUMMYFUNCTION("GOOGLETRANSLATE(A2419, ""en"", ""fr"")"),"SECRET")</f>
        <v>SECRET</v>
      </c>
      <c r="C2419" s="1" t="s">
        <v>192</v>
      </c>
      <c r="E2419" s="1" t="s">
        <v>16613</v>
      </c>
      <c r="V2419" s="1" t="s">
        <v>18</v>
      </c>
      <c r="DR2419" s="1" t="s">
        <v>118</v>
      </c>
      <c r="GD2419" s="1" t="s">
        <v>202</v>
      </c>
      <c r="GE2419" s="1" t="s">
        <v>190</v>
      </c>
    </row>
    <row r="2420" spans="1:187" ht="11.25" customHeight="1">
      <c r="A2420" s="1" t="s">
        <v>3533</v>
      </c>
      <c r="B2420" s="1" t="str">
        <f ca="1">IFERROR(__xludf.DUMMYFUNCTION("GOOGLETRANSLATE(A2420, ""en"", ""fr"")"),"CONVOITER")</f>
        <v>CONVOITER</v>
      </c>
      <c r="C2420" s="1" t="s">
        <v>192</v>
      </c>
      <c r="E2420" s="1" t="s">
        <v>16613</v>
      </c>
      <c r="L2420" s="1" t="s">
        <v>8</v>
      </c>
      <c r="O2420" s="1" t="s">
        <v>11</v>
      </c>
      <c r="R2420" s="1" t="s">
        <v>14</v>
      </c>
      <c r="BN2420" s="1" t="s">
        <v>62</v>
      </c>
      <c r="DP2420" s="1" t="s">
        <v>116</v>
      </c>
      <c r="GD2420" s="1" t="s">
        <v>189</v>
      </c>
      <c r="GE2420" s="1" t="s">
        <v>190</v>
      </c>
    </row>
    <row r="2421" spans="1:187" ht="11.25" customHeight="1">
      <c r="A2421" s="1" t="s">
        <v>3534</v>
      </c>
      <c r="B2421" s="1" t="str">
        <f ca="1">IFERROR(__xludf.DUMMYFUNCTION("GOOGLETRANSLATE(A2421, ""en"", ""fr"")"),"VACHE")</f>
        <v>VACHE</v>
      </c>
      <c r="C2421" s="1" t="s">
        <v>185</v>
      </c>
      <c r="AR2421" s="1" t="s">
        <v>40</v>
      </c>
      <c r="AU2421" s="1" t="s">
        <v>43</v>
      </c>
      <c r="GD2421" s="1" t="s">
        <v>193</v>
      </c>
      <c r="GE2421" s="1" t="s">
        <v>3535</v>
      </c>
    </row>
    <row r="2422" spans="1:187" ht="11.25" customHeight="1">
      <c r="A2422" s="1" t="s">
        <v>3536</v>
      </c>
      <c r="B2422" s="1" t="str">
        <f ca="1">IFERROR(__xludf.DUMMYFUNCTION("GOOGLETRANSLATE(A2422, ""en"", ""fr"")"),"LÂCHE")</f>
        <v>LÂCHE</v>
      </c>
      <c r="C2422" s="1" t="s">
        <v>185</v>
      </c>
      <c r="E2422" s="1" t="s">
        <v>16613</v>
      </c>
      <c r="H2422" s="1" t="s">
        <v>4</v>
      </c>
      <c r="L2422" s="1" t="s">
        <v>8</v>
      </c>
      <c r="M2422" s="1" t="s">
        <v>9</v>
      </c>
      <c r="O2422" s="1" t="s">
        <v>11</v>
      </c>
      <c r="AJ2422" s="1" t="s">
        <v>32</v>
      </c>
      <c r="AT2422" s="1" t="s">
        <v>42</v>
      </c>
      <c r="EL2422" s="1" t="s">
        <v>138</v>
      </c>
      <c r="EN2422" s="1" t="s">
        <v>140</v>
      </c>
      <c r="GD2422" s="1" t="s">
        <v>193</v>
      </c>
      <c r="GE2422" s="1" t="s">
        <v>190</v>
      </c>
    </row>
    <row r="2423" spans="1:187" ht="11.25" customHeight="1">
      <c r="A2423" s="1" t="s">
        <v>3537</v>
      </c>
      <c r="B2423" s="1" t="str">
        <f ca="1">IFERROR(__xludf.DUMMYFUNCTION("GOOGLETRANSLATE(A2423, ""en"", ""fr"")"),"COYOTE")</f>
        <v>COYOTE</v>
      </c>
      <c r="C2423" s="1" t="s">
        <v>185</v>
      </c>
      <c r="AU2423" s="1" t="s">
        <v>43</v>
      </c>
      <c r="GD2423" s="1" t="s">
        <v>193</v>
      </c>
      <c r="GE2423" s="1" t="s">
        <v>3538</v>
      </c>
    </row>
    <row r="2424" spans="1:187" ht="11.25" customHeight="1">
      <c r="A2424" s="1" t="s">
        <v>3539</v>
      </c>
      <c r="B2424" s="1" t="str">
        <f ca="1">IFERROR(__xludf.DUMMYFUNCTION("GOOGLETRANSLATE(A2424, ""en"", ""fr"")"),"CONFORTABLE")</f>
        <v>CONFORTABLE</v>
      </c>
      <c r="C2424" s="1" t="s">
        <v>192</v>
      </c>
      <c r="D2424" s="1" t="s">
        <v>16612</v>
      </c>
      <c r="P2424" s="1" t="s">
        <v>12</v>
      </c>
      <c r="CM2424" s="1" t="s">
        <v>87</v>
      </c>
      <c r="CR2424" s="1" t="s">
        <v>92</v>
      </c>
      <c r="DR2424" s="1" t="s">
        <v>118</v>
      </c>
      <c r="GD2424" s="1" t="s">
        <v>202</v>
      </c>
      <c r="GE2424" s="1" t="s">
        <v>190</v>
      </c>
    </row>
    <row r="2425" spans="1:187" ht="11.25" customHeight="1">
      <c r="A2425" s="1" t="s">
        <v>3540</v>
      </c>
      <c r="B2425" s="1" t="str">
        <f ca="1">IFERROR(__xludf.DUMMYFUNCTION("GOOGLETRANSLATE(A2425, ""en"", ""fr"")"),"Crack # 1")</f>
        <v>Crack # 1</v>
      </c>
      <c r="C2425" s="1" t="s">
        <v>185</v>
      </c>
      <c r="L2425" s="1" t="s">
        <v>8</v>
      </c>
      <c r="CR2425" s="1" t="s">
        <v>92</v>
      </c>
      <c r="GD2425" s="1" t="s">
        <v>202</v>
      </c>
      <c r="GE2425" s="1" t="s">
        <v>190</v>
      </c>
    </row>
    <row r="2426" spans="1:187" ht="11.25" customHeight="1">
      <c r="A2426" s="1" t="s">
        <v>3541</v>
      </c>
      <c r="B2426" s="1" t="str">
        <f ca="1">IFERROR(__xludf.DUMMYFUNCTION("GOOGLETRANSLATE(A2426, ""en"", ""fr"")"),"Crack # 2")</f>
        <v>Crack # 2</v>
      </c>
      <c r="C2426" s="1" t="s">
        <v>185</v>
      </c>
      <c r="L2426" s="1" t="s">
        <v>8</v>
      </c>
      <c r="N2426" s="1" t="s">
        <v>10</v>
      </c>
      <c r="AL2426" s="1" t="s">
        <v>34</v>
      </c>
      <c r="DO2426" s="1" t="s">
        <v>115</v>
      </c>
      <c r="GD2426" s="1" t="s">
        <v>189</v>
      </c>
      <c r="GE2426" s="1" t="s">
        <v>190</v>
      </c>
    </row>
    <row r="2427" spans="1:187" ht="11.25" customHeight="1">
      <c r="A2427" s="1" t="s">
        <v>3542</v>
      </c>
      <c r="B2427" s="1" t="str">
        <f ca="1">IFERROR(__xludf.DUMMYFUNCTION("GOOGLETRANSLATE(A2427, ""en"", ""fr"")"),"ARTISANAT")</f>
        <v>ARTISANAT</v>
      </c>
      <c r="C2427" s="1" t="s">
        <v>185</v>
      </c>
      <c r="Z2427" s="1" t="s">
        <v>22</v>
      </c>
      <c r="AA2427" s="1" t="s">
        <v>23</v>
      </c>
      <c r="AC2427" s="1" t="s">
        <v>25</v>
      </c>
      <c r="GD2427" s="1" t="s">
        <v>193</v>
      </c>
      <c r="GE2427" s="1" t="s">
        <v>190</v>
      </c>
    </row>
    <row r="2428" spans="1:187" ht="11.25" customHeight="1">
      <c r="A2428" s="1" t="s">
        <v>3543</v>
      </c>
      <c r="B2428" s="1" t="str">
        <f ca="1">IFERROR(__xludf.DUMMYFUNCTION("GOOGLETRANSLATE(A2428, ""en"", ""fr"")"),"RUSÉ")</f>
        <v>RUSÉ</v>
      </c>
      <c r="C2428" s="1" t="s">
        <v>192</v>
      </c>
      <c r="E2428" s="1" t="s">
        <v>16613</v>
      </c>
      <c r="V2428" s="1" t="s">
        <v>18</v>
      </c>
      <c r="CG2428" s="1" t="s">
        <v>81</v>
      </c>
      <c r="CO2428" s="1" t="s">
        <v>89</v>
      </c>
      <c r="DR2428" s="1" t="s">
        <v>118</v>
      </c>
      <c r="GD2428" s="1" t="s">
        <v>202</v>
      </c>
      <c r="GE2428" s="1" t="s">
        <v>190</v>
      </c>
    </row>
    <row r="2429" spans="1:187" ht="11.25" customHeight="1">
      <c r="A2429" s="1" t="s">
        <v>3544</v>
      </c>
      <c r="B2429" s="1" t="str">
        <f ca="1">IFERROR(__xludf.DUMMYFUNCTION("GOOGLETRANSLATE(A2429, ""en"", ""fr"")"),"FOURRER")</f>
        <v>FOURRER</v>
      </c>
      <c r="C2429" s="1" t="s">
        <v>192</v>
      </c>
      <c r="E2429" s="1" t="s">
        <v>16613</v>
      </c>
      <c r="N2429" s="1" t="s">
        <v>10</v>
      </c>
      <c r="CG2429" s="1" t="s">
        <v>81</v>
      </c>
      <c r="DN2429" s="1" t="s">
        <v>114</v>
      </c>
      <c r="GD2429" s="1" t="s">
        <v>189</v>
      </c>
      <c r="GE2429" s="1" t="s">
        <v>190</v>
      </c>
    </row>
    <row r="2430" spans="1:187" ht="11.25" customHeight="1">
      <c r="A2430" s="1" t="s">
        <v>3545</v>
      </c>
      <c r="B2430" s="1" t="str">
        <f ca="1">IFERROR(__xludf.DUMMYFUNCTION("GOOGLETRANSLATE(A2430, ""en"", ""fr"")"),"CRAMPE")</f>
        <v>CRAMPE</v>
      </c>
      <c r="C2430" s="1" t="s">
        <v>192</v>
      </c>
      <c r="E2430" s="1" t="s">
        <v>16613</v>
      </c>
      <c r="N2430" s="1" t="s">
        <v>10</v>
      </c>
      <c r="Q2430" s="1" t="s">
        <v>13</v>
      </c>
      <c r="DN2430" s="1" t="s">
        <v>114</v>
      </c>
      <c r="GD2430" s="1" t="s">
        <v>189</v>
      </c>
      <c r="GE2430" s="1" t="s">
        <v>190</v>
      </c>
    </row>
    <row r="2431" spans="1:187" ht="11.25" customHeight="1">
      <c r="A2431" s="1" t="s">
        <v>3546</v>
      </c>
      <c r="B2431" s="1" t="str">
        <f ca="1">IFERROR(__xludf.DUMMYFUNCTION("GOOGLETRANSLATE(A2431, ""en"", ""fr"")"),"GRINCHEUX")</f>
        <v>GRINCHEUX</v>
      </c>
      <c r="C2431" s="1" t="s">
        <v>192</v>
      </c>
      <c r="E2431" s="1" t="s">
        <v>16613</v>
      </c>
      <c r="I2431" s="1" t="s">
        <v>5</v>
      </c>
      <c r="R2431" s="1" t="s">
        <v>14</v>
      </c>
      <c r="DR2431" s="1" t="s">
        <v>118</v>
      </c>
      <c r="GD2431" s="1" t="s">
        <v>202</v>
      </c>
      <c r="GE2431" s="1" t="s">
        <v>190</v>
      </c>
    </row>
    <row r="2432" spans="1:187" ht="11.25" customHeight="1">
      <c r="A2432" s="1" t="s">
        <v>3547</v>
      </c>
      <c r="B2432" s="1" t="str">
        <f ca="1">IFERROR(__xludf.DUMMYFUNCTION("GOOGLETRANSLATE(A2432, ""en"", ""fr"")"),"Crash n ° 1")</f>
        <v>Crash n ° 1</v>
      </c>
      <c r="C2432" s="1" t="s">
        <v>185</v>
      </c>
      <c r="V2432" s="1" t="s">
        <v>18</v>
      </c>
      <c r="GD2432" s="1" t="s">
        <v>193</v>
      </c>
      <c r="GE2432" s="1" t="s">
        <v>190</v>
      </c>
    </row>
    <row r="2433" spans="1:187" ht="11.25" customHeight="1">
      <c r="A2433" s="1" t="s">
        <v>3548</v>
      </c>
      <c r="B2433" s="1" t="str">
        <f ca="1">IFERROR(__xludf.DUMMYFUNCTION("GOOGLETRANSLATE(A2433, ""en"", ""fr"")"),"Crash n ° 2")</f>
        <v>Crash n ° 2</v>
      </c>
      <c r="C2433" s="1" t="s">
        <v>185</v>
      </c>
      <c r="CF2433" s="1" t="s">
        <v>80</v>
      </c>
      <c r="DN2433" s="1" t="s">
        <v>114</v>
      </c>
      <c r="GD2433" s="1" t="s">
        <v>189</v>
      </c>
      <c r="GE2433" s="1" t="s">
        <v>190</v>
      </c>
    </row>
    <row r="2434" spans="1:187" ht="11.25" customHeight="1">
      <c r="A2434" s="1" t="s">
        <v>3549</v>
      </c>
      <c r="B2434" s="1" t="str">
        <f ca="1">IFERROR(__xludf.DUMMYFUNCTION("GOOGLETRANSLATE(A2434, ""en"", ""fr"")"),"GROSSIER")</f>
        <v>GROSSIER</v>
      </c>
      <c r="C2434" s="1" t="s">
        <v>192</v>
      </c>
      <c r="E2434" s="1" t="s">
        <v>16613</v>
      </c>
      <c r="I2434" s="1" t="s">
        <v>5</v>
      </c>
      <c r="V2434" s="1" t="s">
        <v>18</v>
      </c>
      <c r="DR2434" s="1" t="s">
        <v>118</v>
      </c>
      <c r="GD2434" s="1" t="s">
        <v>202</v>
      </c>
      <c r="GE2434" s="1" t="s">
        <v>190</v>
      </c>
    </row>
    <row r="2435" spans="1:187" ht="11.25" customHeight="1">
      <c r="A2435" s="1" t="s">
        <v>3550</v>
      </c>
      <c r="B2435" s="1" t="str">
        <f ca="1">IFERROR(__xludf.DUMMYFUNCTION("GOOGLETRANSLATE(A2435, ""en"", ""fr"")"),"AVOIR TRÈS ENVIE DE")</f>
        <v>AVOIR TRÈS ENVIE DE</v>
      </c>
      <c r="C2435" s="1" t="s">
        <v>192</v>
      </c>
      <c r="E2435" s="1" t="s">
        <v>16613</v>
      </c>
      <c r="L2435" s="1" t="s">
        <v>8</v>
      </c>
      <c r="O2435" s="1" t="s">
        <v>11</v>
      </c>
      <c r="R2435" s="1" t="s">
        <v>14</v>
      </c>
      <c r="BN2435" s="1" t="s">
        <v>62</v>
      </c>
      <c r="DP2435" s="1" t="s">
        <v>116</v>
      </c>
      <c r="GD2435" s="1" t="s">
        <v>189</v>
      </c>
      <c r="GE2435" s="1" t="s">
        <v>190</v>
      </c>
    </row>
    <row r="2436" spans="1:187" ht="11.25" customHeight="1">
      <c r="A2436" s="1" t="s">
        <v>3551</v>
      </c>
      <c r="B2436" s="1" t="str">
        <f ca="1">IFERROR(__xludf.DUMMYFUNCTION("GOOGLETRANSLATE(A2436, ""en"", ""fr"")"),"Crawl # 1")</f>
        <v>Crawl # 1</v>
      </c>
      <c r="C2436" s="1" t="s">
        <v>185</v>
      </c>
      <c r="L2436" s="1" t="s">
        <v>8</v>
      </c>
      <c r="N2436" s="1" t="s">
        <v>10</v>
      </c>
      <c r="CE2436" s="1" t="s">
        <v>79</v>
      </c>
      <c r="DO2436" s="1" t="s">
        <v>115</v>
      </c>
      <c r="GD2436" s="1" t="s">
        <v>400</v>
      </c>
      <c r="GE2436" s="1" t="s">
        <v>3552</v>
      </c>
    </row>
    <row r="2437" spans="1:187" ht="11.25" customHeight="1">
      <c r="A2437" s="1" t="s">
        <v>3553</v>
      </c>
      <c r="B2437" s="1" t="str">
        <f ca="1">IFERROR(__xludf.DUMMYFUNCTION("GOOGLETRANSLATE(A2437, ""en"", ""fr"")"),"Crawl # 2")</f>
        <v>Crawl # 2</v>
      </c>
      <c r="C2437" s="1" t="s">
        <v>185</v>
      </c>
      <c r="E2437" s="1" t="s">
        <v>16613</v>
      </c>
      <c r="H2437" s="1" t="s">
        <v>4</v>
      </c>
      <c r="L2437" s="1" t="s">
        <v>8</v>
      </c>
      <c r="DD2437" s="1" t="s">
        <v>104</v>
      </c>
      <c r="DN2437" s="1" t="s">
        <v>114</v>
      </c>
      <c r="GD2437" s="1" t="s">
        <v>189</v>
      </c>
      <c r="GE2437" s="1" t="s">
        <v>3554</v>
      </c>
    </row>
    <row r="2438" spans="1:187" ht="11.25" customHeight="1">
      <c r="A2438" s="1" t="s">
        <v>3555</v>
      </c>
      <c r="B2438" s="1" t="str">
        <f ca="1">IFERROR(__xludf.DUMMYFUNCTION("GOOGLETRANSLATE(A2438, ""en"", ""fr"")"),"Crawl # 3")</f>
        <v>Crawl # 3</v>
      </c>
      <c r="C2438" s="1" t="s">
        <v>185</v>
      </c>
      <c r="L2438" s="1" t="s">
        <v>8</v>
      </c>
      <c r="CE2438" s="1" t="s">
        <v>79</v>
      </c>
      <c r="GD2438" s="1" t="s">
        <v>202</v>
      </c>
      <c r="GE2438" s="1" t="s">
        <v>3556</v>
      </c>
    </row>
    <row r="2439" spans="1:187" ht="11.25" customHeight="1">
      <c r="A2439" s="1" t="s">
        <v>3557</v>
      </c>
      <c r="B2439" s="1" t="str">
        <f ca="1">IFERROR(__xludf.DUMMYFUNCTION("GOOGLETRANSLATE(A2439, ""en"", ""fr"")"),"Crampon")</f>
        <v>Crampon</v>
      </c>
      <c r="C2439" s="1" t="s">
        <v>192</v>
      </c>
      <c r="E2439" s="1" t="s">
        <v>16613</v>
      </c>
      <c r="V2439" s="1" t="s">
        <v>18</v>
      </c>
      <c r="GD2439" s="1" t="s">
        <v>193</v>
      </c>
      <c r="GE2439" s="1" t="s">
        <v>190</v>
      </c>
    </row>
    <row r="2440" spans="1:187" ht="11.25" customHeight="1">
      <c r="A2440" s="1" t="s">
        <v>3558</v>
      </c>
      <c r="B2440" s="1" t="str">
        <f ca="1">IFERROR(__xludf.DUMMYFUNCTION("GOOGLETRANSLATE(A2440, ""en"", ""fr"")"),"FOLIE")</f>
        <v>FOLIE</v>
      </c>
      <c r="C2440" s="1" t="s">
        <v>192</v>
      </c>
      <c r="E2440" s="1" t="s">
        <v>16613</v>
      </c>
      <c r="V2440" s="1" t="s">
        <v>18</v>
      </c>
      <c r="GD2440" s="1" t="s">
        <v>193</v>
      </c>
      <c r="GE2440" s="1" t="s">
        <v>190</v>
      </c>
    </row>
    <row r="2441" spans="1:187" ht="11.25" customHeight="1">
      <c r="A2441" s="1" t="s">
        <v>3559</v>
      </c>
      <c r="B2441" s="1" t="str">
        <f ca="1">IFERROR(__xludf.DUMMYFUNCTION("GOOGLETRANSLATE(A2441, ""en"", ""fr"")"),"FOU")</f>
        <v>FOU</v>
      </c>
      <c r="C2441" s="1" t="s">
        <v>185</v>
      </c>
      <c r="E2441" s="1" t="s">
        <v>16613</v>
      </c>
      <c r="H2441" s="1" t="s">
        <v>4</v>
      </c>
      <c r="T2441" s="1" t="s">
        <v>16</v>
      </c>
      <c r="V2441" s="1" t="s">
        <v>18</v>
      </c>
      <c r="CN2441" s="1" t="s">
        <v>88</v>
      </c>
      <c r="GD2441" s="1" t="s">
        <v>202</v>
      </c>
      <c r="GE2441" s="1" t="s">
        <v>190</v>
      </c>
    </row>
    <row r="2442" spans="1:187" ht="11.25" customHeight="1">
      <c r="A2442" s="1" t="s">
        <v>3560</v>
      </c>
      <c r="B2442" s="1" t="str">
        <f ca="1">IFERROR(__xludf.DUMMYFUNCTION("GOOGLETRANSLATE(A2442, ""en"", ""fr"")"),"Crème n ° 1")</f>
        <v>Crème n ° 1</v>
      </c>
      <c r="C2442" s="1" t="s">
        <v>185</v>
      </c>
      <c r="BC2442" s="1" t="s">
        <v>51</v>
      </c>
      <c r="BE2442" s="1" t="s">
        <v>53</v>
      </c>
      <c r="GD2442" s="1" t="s">
        <v>193</v>
      </c>
      <c r="GE2442" s="1" t="s">
        <v>190</v>
      </c>
    </row>
    <row r="2443" spans="1:187" ht="11.25" customHeight="1">
      <c r="A2443" s="1" t="s">
        <v>3561</v>
      </c>
      <c r="B2443" s="1" t="str">
        <f ca="1">IFERROR(__xludf.DUMMYFUNCTION("GOOGLETRANSLATE(A2443, ""en"", ""fr"")"),"Crème n ° 2")</f>
        <v>Crème n ° 2</v>
      </c>
      <c r="C2443" s="1" t="s">
        <v>185</v>
      </c>
      <c r="J2443" s="1" t="s">
        <v>6</v>
      </c>
      <c r="N2443" s="1" t="s">
        <v>10</v>
      </c>
      <c r="BS2443" s="1" t="s">
        <v>67</v>
      </c>
      <c r="DN2443" s="1" t="s">
        <v>114</v>
      </c>
      <c r="GD2443" s="1" t="s">
        <v>189</v>
      </c>
      <c r="GE2443" s="1" t="s">
        <v>190</v>
      </c>
    </row>
    <row r="2444" spans="1:187" ht="11.25" customHeight="1">
      <c r="A2444" s="1" t="s">
        <v>3562</v>
      </c>
      <c r="B2444" s="1" t="str">
        <f ca="1">IFERROR(__xludf.DUMMYFUNCTION("GOOGLETRANSLATE(A2444, ""en"", ""fr"")"),"CRÉER")</f>
        <v>CRÉER</v>
      </c>
      <c r="C2444" s="1" t="s">
        <v>185</v>
      </c>
      <c r="D2444" s="1" t="s">
        <v>16612</v>
      </c>
      <c r="F2444" s="1" t="s">
        <v>2</v>
      </c>
      <c r="J2444" s="1" t="s">
        <v>6</v>
      </c>
      <c r="N2444" s="1" t="s">
        <v>10</v>
      </c>
      <c r="AD2444" s="1" t="s">
        <v>26</v>
      </c>
      <c r="BV2444" s="1" t="s">
        <v>70</v>
      </c>
      <c r="DN2444" s="1" t="s">
        <v>114</v>
      </c>
      <c r="FR2444" s="1" t="s">
        <v>170</v>
      </c>
      <c r="GD2444" s="1" t="s">
        <v>189</v>
      </c>
      <c r="GE2444" s="1" t="s">
        <v>3563</v>
      </c>
    </row>
    <row r="2445" spans="1:187" ht="11.25" customHeight="1">
      <c r="A2445" s="1" t="s">
        <v>3564</v>
      </c>
      <c r="B2445" s="1" t="str">
        <f ca="1">IFERROR(__xludf.DUMMYFUNCTION("GOOGLETRANSLATE(A2445, ""en"", ""fr"")"),"CRÉATION")</f>
        <v>CRÉATION</v>
      </c>
      <c r="C2445" s="1" t="s">
        <v>185</v>
      </c>
      <c r="J2445" s="1" t="s">
        <v>6</v>
      </c>
      <c r="N2445" s="1" t="s">
        <v>10</v>
      </c>
      <c r="BV2445" s="1" t="s">
        <v>70</v>
      </c>
      <c r="FR2445" s="1" t="s">
        <v>170</v>
      </c>
      <c r="GD2445" s="1" t="s">
        <v>193</v>
      </c>
      <c r="GE2445" s="1" t="s">
        <v>190</v>
      </c>
    </row>
    <row r="2446" spans="1:187" ht="11.25" customHeight="1">
      <c r="A2446" s="1" t="s">
        <v>3565</v>
      </c>
      <c r="B2446" s="1" t="str">
        <f ca="1">IFERROR(__xludf.DUMMYFUNCTION("GOOGLETRANSLATE(A2446, ""en"", ""fr"")"),"CRÉATIF")</f>
        <v>CRÉATIF</v>
      </c>
      <c r="C2446" s="1" t="s">
        <v>185</v>
      </c>
      <c r="D2446" s="1" t="s">
        <v>16612</v>
      </c>
      <c r="F2446" s="1" t="s">
        <v>2</v>
      </c>
      <c r="N2446" s="1" t="s">
        <v>10</v>
      </c>
      <c r="T2446" s="1" t="s">
        <v>16</v>
      </c>
      <c r="U2446" s="1" t="s">
        <v>17</v>
      </c>
      <c r="AD2446" s="1" t="s">
        <v>26</v>
      </c>
      <c r="FR2446" s="1" t="s">
        <v>170</v>
      </c>
      <c r="GD2446" s="1" t="s">
        <v>202</v>
      </c>
      <c r="GE2446" s="1" t="s">
        <v>3566</v>
      </c>
    </row>
    <row r="2447" spans="1:187" ht="11.25" customHeight="1">
      <c r="A2447" s="1" t="s">
        <v>3567</v>
      </c>
      <c r="B2447" s="1" t="str">
        <f ca="1">IFERROR(__xludf.DUMMYFUNCTION("GOOGLETRANSLATE(A2447, ""en"", ""fr"")"),"LA CRÉATIVITÉ")</f>
        <v>LA CRÉATIVITÉ</v>
      </c>
      <c r="C2447" s="1" t="s">
        <v>185</v>
      </c>
      <c r="D2447" s="1" t="s">
        <v>16612</v>
      </c>
      <c r="F2447" s="1" t="s">
        <v>2</v>
      </c>
      <c r="N2447" s="1" t="s">
        <v>10</v>
      </c>
      <c r="U2447" s="1" t="s">
        <v>17</v>
      </c>
      <c r="CP2447" s="1" t="s">
        <v>90</v>
      </c>
      <c r="CQ2447" s="1" t="s">
        <v>91</v>
      </c>
      <c r="FR2447" s="1" t="s">
        <v>170</v>
      </c>
      <c r="GD2447" s="1" t="s">
        <v>193</v>
      </c>
      <c r="GE2447" s="1" t="s">
        <v>190</v>
      </c>
    </row>
    <row r="2448" spans="1:187" ht="11.25" customHeight="1">
      <c r="A2448" s="1" t="s">
        <v>3568</v>
      </c>
      <c r="B2448" s="1" t="str">
        <f ca="1">IFERROR(__xludf.DUMMYFUNCTION("GOOGLETRANSLATE(A2448, ""en"", ""fr"")"),"CRÉATEUR")</f>
        <v>CRÉATEUR</v>
      </c>
      <c r="C2448" s="1" t="s">
        <v>185</v>
      </c>
      <c r="J2448" s="1" t="s">
        <v>6</v>
      </c>
      <c r="N2448" s="1" t="s">
        <v>10</v>
      </c>
      <c r="AD2448" s="1" t="s">
        <v>26</v>
      </c>
      <c r="AJ2448" s="1" t="s">
        <v>32</v>
      </c>
      <c r="AT2448" s="1" t="s">
        <v>42</v>
      </c>
      <c r="EI2448" s="1" t="s">
        <v>135</v>
      </c>
      <c r="EJ2448" s="1" t="s">
        <v>136</v>
      </c>
      <c r="GD2448" s="1" t="s">
        <v>193</v>
      </c>
      <c r="GE2448" s="1" t="s">
        <v>190</v>
      </c>
    </row>
    <row r="2449" spans="1:187" ht="11.25" customHeight="1">
      <c r="A2449" s="1" t="s">
        <v>3569</v>
      </c>
      <c r="B2449" s="1" t="str">
        <f ca="1">IFERROR(__xludf.DUMMYFUNCTION("GOOGLETRANSLATE(A2449, ""en"", ""fr"")"),"CRÉATURE")</f>
        <v>CRÉATURE</v>
      </c>
      <c r="C2449" s="1" t="s">
        <v>185</v>
      </c>
      <c r="O2449" s="1" t="s">
        <v>11</v>
      </c>
      <c r="AU2449" s="1" t="s">
        <v>43</v>
      </c>
      <c r="GD2449" s="1" t="s">
        <v>193</v>
      </c>
      <c r="GE2449" s="1" t="s">
        <v>190</v>
      </c>
    </row>
    <row r="2450" spans="1:187" ht="11.25" customHeight="1">
      <c r="A2450" s="1" t="s">
        <v>3570</v>
      </c>
      <c r="B2450" s="1" t="str">
        <f ca="1">IFERROR(__xludf.DUMMYFUNCTION("GOOGLETRANSLATE(A2450, ""en"", ""fr"")"),"INFORMATIONS D'IDENTIFICATION")</f>
        <v>INFORMATIONS D'IDENTIFICATION</v>
      </c>
      <c r="C2450" s="1" t="s">
        <v>192</v>
      </c>
      <c r="D2450" s="1" t="s">
        <v>16612</v>
      </c>
      <c r="G2450" s="1" t="s">
        <v>3</v>
      </c>
      <c r="CM2450" s="1" t="s">
        <v>87</v>
      </c>
      <c r="CR2450" s="1" t="s">
        <v>92</v>
      </c>
      <c r="GD2450" s="1" t="s">
        <v>193</v>
      </c>
      <c r="GE2450" s="1" t="s">
        <v>190</v>
      </c>
    </row>
    <row r="2451" spans="1:187" ht="11.25" customHeight="1">
      <c r="A2451" s="1" t="s">
        <v>3571</v>
      </c>
      <c r="B2451" s="1" t="str">
        <f ca="1">IFERROR(__xludf.DUMMYFUNCTION("GOOGLETRANSLATE(A2451, ""en"", ""fr"")"),"CRÉDIBILITÉ")</f>
        <v>CRÉDIBILITÉ</v>
      </c>
      <c r="C2451" s="1" t="s">
        <v>192</v>
      </c>
      <c r="D2451" s="1" t="s">
        <v>16612</v>
      </c>
      <c r="CM2451" s="1" t="s">
        <v>87</v>
      </c>
      <c r="CR2451" s="1" t="s">
        <v>92</v>
      </c>
      <c r="GD2451" s="1" t="s">
        <v>193</v>
      </c>
      <c r="GE2451" s="1" t="s">
        <v>190</v>
      </c>
    </row>
    <row r="2452" spans="1:187" ht="11.25" customHeight="1">
      <c r="A2452" s="1" t="s">
        <v>3572</v>
      </c>
      <c r="B2452" s="1" t="str">
        <f ca="1">IFERROR(__xludf.DUMMYFUNCTION("GOOGLETRANSLATE(A2452, ""en"", ""fr"")"),"CRÉDIBLE")</f>
        <v>CRÉDIBLE</v>
      </c>
      <c r="C2452" s="1" t="s">
        <v>192</v>
      </c>
      <c r="D2452" s="1" t="s">
        <v>16612</v>
      </c>
      <c r="CM2452" s="1" t="s">
        <v>87</v>
      </c>
      <c r="CR2452" s="1" t="s">
        <v>92</v>
      </c>
      <c r="DR2452" s="1" t="s">
        <v>118</v>
      </c>
      <c r="GD2452" s="1" t="s">
        <v>202</v>
      </c>
      <c r="GE2452" s="1" t="s">
        <v>190</v>
      </c>
    </row>
    <row r="2453" spans="1:187" ht="11.25" customHeight="1">
      <c r="A2453" s="1" t="s">
        <v>3573</v>
      </c>
      <c r="B2453" s="1" t="str">
        <f ca="1">IFERROR(__xludf.DUMMYFUNCTION("GOOGLETRANSLATE(A2453, ""en"", ""fr"")"),"Crédit n ° 1")</f>
        <v>Crédit n ° 1</v>
      </c>
      <c r="C2453" s="1" t="s">
        <v>185</v>
      </c>
      <c r="AA2453" s="1" t="s">
        <v>23</v>
      </c>
      <c r="AC2453" s="1" t="s">
        <v>25</v>
      </c>
      <c r="BK2453" s="1" t="s">
        <v>59</v>
      </c>
      <c r="BL2453" s="1" t="s">
        <v>60</v>
      </c>
      <c r="EU2453" s="1" t="s">
        <v>147</v>
      </c>
      <c r="EW2453" s="1" t="s">
        <v>149</v>
      </c>
      <c r="GC2453" s="1" t="s">
        <v>181</v>
      </c>
      <c r="GD2453" s="1" t="s">
        <v>193</v>
      </c>
      <c r="GE2453" s="1" t="s">
        <v>3574</v>
      </c>
    </row>
    <row r="2454" spans="1:187" ht="11.25" customHeight="1">
      <c r="A2454" s="1" t="s">
        <v>3575</v>
      </c>
      <c r="B2454" s="1" t="str">
        <f ca="1">IFERROR(__xludf.DUMMYFUNCTION("GOOGLETRANSLATE(A2454, ""en"", ""fr"")"),"Crédit n ° 2")</f>
        <v>Crédit n ° 2</v>
      </c>
      <c r="C2454" s="1" t="s">
        <v>185</v>
      </c>
      <c r="D2454" s="1" t="s">
        <v>16612</v>
      </c>
      <c r="F2454" s="1" t="s">
        <v>2</v>
      </c>
      <c r="U2454" s="1" t="s">
        <v>17</v>
      </c>
      <c r="Y2454" s="1" t="s">
        <v>21</v>
      </c>
      <c r="BL2454" s="1" t="s">
        <v>60</v>
      </c>
      <c r="EK2454" s="1" t="s">
        <v>137</v>
      </c>
      <c r="EN2454" s="1" t="s">
        <v>140</v>
      </c>
      <c r="GC2454" s="1" t="s">
        <v>181</v>
      </c>
      <c r="GD2454" s="1" t="s">
        <v>193</v>
      </c>
      <c r="GE2454" s="1" t="s">
        <v>3576</v>
      </c>
    </row>
    <row r="2455" spans="1:187" ht="11.25" customHeight="1">
      <c r="A2455" s="1" t="s">
        <v>3577</v>
      </c>
      <c r="B2455" s="1" t="str">
        <f ca="1">IFERROR(__xludf.DUMMYFUNCTION("GOOGLETRANSLATE(A2455, ""en"", ""fr"")"),"Crédit n ° 3")</f>
        <v>Crédit n ° 3</v>
      </c>
      <c r="C2455" s="1" t="s">
        <v>185</v>
      </c>
      <c r="AA2455" s="1" t="s">
        <v>23</v>
      </c>
      <c r="AB2455" s="1" t="s">
        <v>24</v>
      </c>
      <c r="DN2455" s="1" t="s">
        <v>114</v>
      </c>
      <c r="EV2455" s="1" t="s">
        <v>148</v>
      </c>
      <c r="EW2455" s="1" t="s">
        <v>149</v>
      </c>
      <c r="GD2455" s="1" t="s">
        <v>189</v>
      </c>
      <c r="GE2455" s="1" t="s">
        <v>3578</v>
      </c>
    </row>
    <row r="2456" spans="1:187" ht="11.25" customHeight="1">
      <c r="A2456" s="1" t="s">
        <v>3579</v>
      </c>
      <c r="B2456" s="1" t="str">
        <f ca="1">IFERROR(__xludf.DUMMYFUNCTION("GOOGLETRANSLATE(A2456, ""en"", ""fr"")"),"Crédit n ° 4")</f>
        <v>Crédit n ° 4</v>
      </c>
      <c r="C2456" s="1" t="s">
        <v>185</v>
      </c>
      <c r="D2456" s="1" t="s">
        <v>16612</v>
      </c>
      <c r="F2456" s="1" t="s">
        <v>2</v>
      </c>
      <c r="BK2456" s="1" t="s">
        <v>59</v>
      </c>
      <c r="DN2456" s="1" t="s">
        <v>114</v>
      </c>
      <c r="EK2456" s="1" t="s">
        <v>137</v>
      </c>
      <c r="EN2456" s="1" t="s">
        <v>140</v>
      </c>
      <c r="GD2456" s="1" t="s">
        <v>189</v>
      </c>
      <c r="GE2456" s="1" t="s">
        <v>3580</v>
      </c>
    </row>
    <row r="2457" spans="1:187" ht="11.25" customHeight="1">
      <c r="A2457" s="1" t="s">
        <v>3581</v>
      </c>
      <c r="B2457" s="1" t="str">
        <f ca="1">IFERROR(__xludf.DUMMYFUNCTION("GOOGLETRANSLATE(A2457, ""en"", ""fr"")"),"HONORABLE")</f>
        <v>HONORABLE</v>
      </c>
      <c r="C2457" s="1" t="s">
        <v>196</v>
      </c>
      <c r="EM2457" s="1" t="s">
        <v>139</v>
      </c>
      <c r="EN2457" s="1" t="s">
        <v>140</v>
      </c>
      <c r="GD2457" s="1" t="s">
        <v>202</v>
      </c>
    </row>
    <row r="2458" spans="1:187" ht="11.25" customHeight="1">
      <c r="A2458" s="1" t="s">
        <v>3582</v>
      </c>
      <c r="B2458" s="1" t="str">
        <f ca="1">IFERROR(__xludf.DUMMYFUNCTION("GOOGLETRANSLATE(A2458, ""en"", ""fr"")"),"CREDO")</f>
        <v>CREDO</v>
      </c>
      <c r="C2458" s="1" t="s">
        <v>185</v>
      </c>
      <c r="Z2458" s="1" t="s">
        <v>22</v>
      </c>
      <c r="EI2458" s="1" t="s">
        <v>135</v>
      </c>
      <c r="EJ2458" s="1" t="s">
        <v>136</v>
      </c>
      <c r="GD2458" s="1" t="s">
        <v>193</v>
      </c>
      <c r="GE2458" s="1" t="s">
        <v>190</v>
      </c>
    </row>
    <row r="2459" spans="1:187" ht="11.25" customHeight="1">
      <c r="A2459" s="1" t="s">
        <v>3583</v>
      </c>
      <c r="B2459" s="1" t="str">
        <f ca="1">IFERROR(__xludf.DUMMYFUNCTION("GOOGLETRANSLATE(A2459, ""en"", ""fr"")"),"CRÉDULITÉ")</f>
        <v>CRÉDULITÉ</v>
      </c>
      <c r="C2459" s="1" t="s">
        <v>196</v>
      </c>
      <c r="FH2459" s="1" t="s">
        <v>160</v>
      </c>
      <c r="FI2459" s="1" t="s">
        <v>161</v>
      </c>
      <c r="GD2459" s="1" t="s">
        <v>193</v>
      </c>
    </row>
    <row r="2460" spans="1:187" ht="11.25" customHeight="1">
      <c r="A2460" s="1" t="s">
        <v>3584</v>
      </c>
      <c r="B2460" s="1" t="str">
        <f ca="1">IFERROR(__xludf.DUMMYFUNCTION("GOOGLETRANSLATE(A2460, ""en"", ""fr"")"),"CRÉDULE")</f>
        <v>CRÉDULE</v>
      </c>
      <c r="C2460" s="1" t="s">
        <v>192</v>
      </c>
      <c r="E2460" s="1" t="s">
        <v>16613</v>
      </c>
      <c r="L2460" s="1" t="s">
        <v>8</v>
      </c>
      <c r="M2460" s="1" t="s">
        <v>9</v>
      </c>
      <c r="DR2460" s="1" t="s">
        <v>118</v>
      </c>
      <c r="GD2460" s="1" t="s">
        <v>202</v>
      </c>
      <c r="GE2460" s="1" t="s">
        <v>190</v>
      </c>
    </row>
    <row r="2461" spans="1:187" ht="11.25" customHeight="1">
      <c r="A2461" s="1" t="s">
        <v>3585</v>
      </c>
      <c r="B2461" s="1" t="str">
        <f ca="1">IFERROR(__xludf.DUMMYFUNCTION("GOOGLETRANSLATE(A2461, ""en"", ""fr"")"),"RUISSEAU")</f>
        <v>RUISSEAU</v>
      </c>
      <c r="C2461" s="1" t="s">
        <v>185</v>
      </c>
      <c r="AV2461" s="1" t="s">
        <v>44</v>
      </c>
      <c r="AZ2461" s="1" t="s">
        <v>48</v>
      </c>
      <c r="GD2461" s="1" t="s">
        <v>193</v>
      </c>
      <c r="GE2461" s="1" t="s">
        <v>190</v>
      </c>
    </row>
    <row r="2462" spans="1:187" ht="11.25" customHeight="1">
      <c r="A2462" s="1" t="s">
        <v>3586</v>
      </c>
      <c r="B2462" s="1" t="str">
        <f ca="1">IFERROR(__xludf.DUMMYFUNCTION("GOOGLETRANSLATE(A2462, ""en"", ""fr"")"),"Fluage n ° 1")</f>
        <v>Fluage n ° 1</v>
      </c>
      <c r="C2462" s="1" t="s">
        <v>185</v>
      </c>
      <c r="L2462" s="1" t="s">
        <v>8</v>
      </c>
      <c r="N2462" s="1" t="s">
        <v>10</v>
      </c>
      <c r="V2462" s="1" t="s">
        <v>18</v>
      </c>
      <c r="GD2462" s="1" t="s">
        <v>202</v>
      </c>
      <c r="GE2462" s="1" t="s">
        <v>190</v>
      </c>
    </row>
    <row r="2463" spans="1:187" ht="11.25" customHeight="1">
      <c r="A2463" s="1" t="s">
        <v>3587</v>
      </c>
      <c r="B2463" s="1" t="str">
        <f ca="1">IFERROR(__xludf.DUMMYFUNCTION("GOOGLETRANSLATE(A2463, ""en"", ""fr"")"),"Fluage n ° 2")</f>
        <v>Fluage n ° 2</v>
      </c>
      <c r="C2463" s="1" t="s">
        <v>185</v>
      </c>
      <c r="L2463" s="1" t="s">
        <v>8</v>
      </c>
      <c r="N2463" s="1" t="s">
        <v>10</v>
      </c>
      <c r="CE2463" s="1" t="s">
        <v>79</v>
      </c>
      <c r="DO2463" s="1" t="s">
        <v>115</v>
      </c>
      <c r="GD2463" s="1" t="s">
        <v>189</v>
      </c>
      <c r="GE2463" s="1" t="s">
        <v>190</v>
      </c>
    </row>
    <row r="2464" spans="1:187" ht="11.25" customHeight="1">
      <c r="A2464" s="1" t="s">
        <v>3588</v>
      </c>
      <c r="B2464" s="1" t="str">
        <f ca="1">IFERROR(__xludf.DUMMYFUNCTION("GOOGLETRANSLATE(A2464, ""en"", ""fr"")"),"Gigantesque")</f>
        <v>Gigantesque</v>
      </c>
      <c r="C2464" s="1" t="s">
        <v>185</v>
      </c>
      <c r="L2464" s="1" t="s">
        <v>8</v>
      </c>
      <c r="N2464" s="1" t="s">
        <v>10</v>
      </c>
      <c r="CE2464" s="1" t="s">
        <v>79</v>
      </c>
      <c r="DO2464" s="1" t="s">
        <v>115</v>
      </c>
      <c r="GD2464" s="1" t="s">
        <v>1076</v>
      </c>
      <c r="GE2464" s="1" t="s">
        <v>190</v>
      </c>
    </row>
    <row r="2465" spans="1:187" ht="11.25" customHeight="1">
      <c r="A2465" s="1" t="s">
        <v>3589</v>
      </c>
      <c r="B2465" s="1" t="str">
        <f ca="1">IFERROR(__xludf.DUMMYFUNCTION("GOOGLETRANSLATE(A2465, ""en"", ""fr"")"),"CRÊTE")</f>
        <v>CRÊTE</v>
      </c>
      <c r="C2465" s="1" t="s">
        <v>185</v>
      </c>
      <c r="DA2465" s="1" t="s">
        <v>101</v>
      </c>
      <c r="GD2465" s="1" t="s">
        <v>193</v>
      </c>
      <c r="GE2465" s="1" t="s">
        <v>190</v>
      </c>
    </row>
    <row r="2466" spans="1:187" ht="11.25" customHeight="1">
      <c r="A2466" s="1" t="s">
        <v>3590</v>
      </c>
      <c r="B2466" s="1" t="str">
        <f ca="1">IFERROR(__xludf.DUMMYFUNCTION("GOOGLETRANSLATE(A2466, ""en"", ""fr"")"),"CRÈTE")</f>
        <v>CRÈTE</v>
      </c>
      <c r="C2466" s="1" t="s">
        <v>196</v>
      </c>
      <c r="FU2466" s="1" t="s">
        <v>173</v>
      </c>
      <c r="GD2466" s="1" t="s">
        <v>3591</v>
      </c>
    </row>
    <row r="2467" spans="1:187" ht="11.25" customHeight="1">
      <c r="A2467" s="1" t="s">
        <v>3592</v>
      </c>
      <c r="B2467" s="1" t="str">
        <f ca="1">IFERROR(__xludf.DUMMYFUNCTION("GOOGLETRANSLATE(A2467, ""en"", ""fr"")"),"ÉQUIPAGE")</f>
        <v>ÉQUIPAGE</v>
      </c>
      <c r="C2467" s="1" t="s">
        <v>185</v>
      </c>
      <c r="AK2467" s="1" t="s">
        <v>33</v>
      </c>
      <c r="AT2467" s="1" t="s">
        <v>42</v>
      </c>
      <c r="FT2467" s="1" t="s">
        <v>172</v>
      </c>
      <c r="GD2467" s="1" t="s">
        <v>193</v>
      </c>
      <c r="GE2467" s="1" t="s">
        <v>190</v>
      </c>
    </row>
    <row r="2468" spans="1:187" ht="11.25" customHeight="1">
      <c r="A2468" s="1" t="s">
        <v>3593</v>
      </c>
      <c r="B2468" s="1" t="str">
        <f ca="1">IFERROR(__xludf.DUMMYFUNCTION("GOOGLETRANSLATE(A2468, ""en"", ""fr"")"),"CRIME")</f>
        <v>CRIME</v>
      </c>
      <c r="C2468" s="1" t="s">
        <v>185</v>
      </c>
      <c r="E2468" s="1" t="s">
        <v>16613</v>
      </c>
      <c r="H2468" s="1" t="s">
        <v>4</v>
      </c>
      <c r="V2468" s="1" t="s">
        <v>18</v>
      </c>
      <c r="AE2468" s="1" t="s">
        <v>27</v>
      </c>
      <c r="AH2468" s="1" t="s">
        <v>30</v>
      </c>
      <c r="EE2468" s="1" t="s">
        <v>131</v>
      </c>
      <c r="EJ2468" s="1" t="s">
        <v>136</v>
      </c>
      <c r="GD2468" s="1" t="s">
        <v>193</v>
      </c>
      <c r="GE2468" s="1" t="s">
        <v>190</v>
      </c>
    </row>
    <row r="2469" spans="1:187" ht="11.25" customHeight="1">
      <c r="A2469" s="1" t="s">
        <v>3594</v>
      </c>
      <c r="B2469" s="1" t="str">
        <f ca="1">IFERROR(__xludf.DUMMYFUNCTION("GOOGLETRANSLATE(A2469, ""en"", ""fr"")"),"CRIMINEL")</f>
        <v>CRIMINEL</v>
      </c>
      <c r="C2469" s="1" t="s">
        <v>185</v>
      </c>
      <c r="E2469" s="1" t="s">
        <v>16613</v>
      </c>
      <c r="H2469" s="1" t="s">
        <v>4</v>
      </c>
      <c r="I2469" s="1" t="s">
        <v>5</v>
      </c>
      <c r="AE2469" s="1" t="s">
        <v>27</v>
      </c>
      <c r="AJ2469" s="1" t="s">
        <v>32</v>
      </c>
      <c r="AT2469" s="1" t="s">
        <v>42</v>
      </c>
      <c r="EE2469" s="1" t="s">
        <v>131</v>
      </c>
      <c r="EJ2469" s="1" t="s">
        <v>136</v>
      </c>
      <c r="GD2469" s="1" t="s">
        <v>1446</v>
      </c>
      <c r="GE2469" s="1" t="s">
        <v>190</v>
      </c>
    </row>
    <row r="2470" spans="1:187" ht="11.25" customHeight="1">
      <c r="A2470" s="1" t="s">
        <v>3595</v>
      </c>
      <c r="B2470" s="1" t="str">
        <f ca="1">IFERROR(__xludf.DUMMYFUNCTION("GOOGLETRANSLATE(A2470, ""en"", ""fr"")"),"GRINCER DES DENTS")</f>
        <v>GRINCER DES DENTS</v>
      </c>
      <c r="C2470" s="1" t="s">
        <v>192</v>
      </c>
      <c r="E2470" s="1" t="s">
        <v>16613</v>
      </c>
      <c r="O2470" s="1" t="s">
        <v>11</v>
      </c>
      <c r="Q2470" s="1" t="s">
        <v>13</v>
      </c>
      <c r="R2470" s="1" t="s">
        <v>14</v>
      </c>
      <c r="DN2470" s="1" t="s">
        <v>114</v>
      </c>
      <c r="GD2470" s="1" t="s">
        <v>189</v>
      </c>
      <c r="GE2470" s="1" t="s">
        <v>190</v>
      </c>
    </row>
    <row r="2471" spans="1:187" ht="11.25" customHeight="1">
      <c r="A2471" s="1" t="s">
        <v>3596</v>
      </c>
      <c r="B2471" s="1" t="str">
        <f ca="1">IFERROR(__xludf.DUMMYFUNCTION("GOOGLETRANSLATE(A2471, ""en"", ""fr"")"),"PARALYSER")</f>
        <v>PARALYSER</v>
      </c>
      <c r="C2471" s="1" t="s">
        <v>192</v>
      </c>
      <c r="E2471" s="1" t="s">
        <v>16613</v>
      </c>
      <c r="I2471" s="1" t="s">
        <v>5</v>
      </c>
      <c r="N2471" s="1" t="s">
        <v>10</v>
      </c>
      <c r="Q2471" s="1" t="s">
        <v>13</v>
      </c>
      <c r="CA2471" s="1" t="s">
        <v>75</v>
      </c>
      <c r="CC2471" s="1" t="s">
        <v>77</v>
      </c>
      <c r="DN2471" s="1" t="s">
        <v>114</v>
      </c>
      <c r="GD2471" s="1" t="s">
        <v>189</v>
      </c>
      <c r="GE2471" s="1" t="s">
        <v>190</v>
      </c>
    </row>
    <row r="2472" spans="1:187" ht="11.25" customHeight="1">
      <c r="A2472" s="1" t="s">
        <v>3597</v>
      </c>
      <c r="B2472" s="1" t="str">
        <f ca="1">IFERROR(__xludf.DUMMYFUNCTION("GOOGLETRANSLATE(A2472, ""en"", ""fr"")"),"CRISE")</f>
        <v>CRISE</v>
      </c>
      <c r="C2472" s="1" t="s">
        <v>185</v>
      </c>
      <c r="E2472" s="1" t="s">
        <v>16613</v>
      </c>
      <c r="H2472" s="1" t="s">
        <v>4</v>
      </c>
      <c r="V2472" s="1" t="s">
        <v>18</v>
      </c>
      <c r="AC2472" s="1" t="s">
        <v>25</v>
      </c>
      <c r="AH2472" s="1" t="s">
        <v>30</v>
      </c>
      <c r="FR2472" s="1" t="s">
        <v>170</v>
      </c>
      <c r="GD2472" s="1" t="s">
        <v>193</v>
      </c>
      <c r="GE2472" s="1" t="s">
        <v>190</v>
      </c>
    </row>
    <row r="2473" spans="1:187" ht="11.25" customHeight="1">
      <c r="A2473" s="1" t="s">
        <v>3598</v>
      </c>
      <c r="B2473" s="1" t="str">
        <f ca="1">IFERROR(__xludf.DUMMYFUNCTION("GOOGLETRANSLATE(A2473, ""en"", ""fr"")"),"CROUSTILLANT")</f>
        <v>CROUSTILLANT</v>
      </c>
      <c r="C2473" s="1" t="s">
        <v>185</v>
      </c>
      <c r="CR2473" s="1" t="s">
        <v>92</v>
      </c>
      <c r="GD2473" s="1" t="s">
        <v>202</v>
      </c>
      <c r="GE2473" s="1" t="s">
        <v>190</v>
      </c>
    </row>
    <row r="2474" spans="1:187" ht="11.25" customHeight="1">
      <c r="A2474" s="1" t="s">
        <v>3599</v>
      </c>
      <c r="B2474" s="1" t="str">
        <f ca="1">IFERROR(__xludf.DUMMYFUNCTION("GOOGLETRANSLATE(A2474, ""en"", ""fr"")"),"CRITÈRES")</f>
        <v>CRITÈRES</v>
      </c>
      <c r="C2474" s="1" t="s">
        <v>185</v>
      </c>
      <c r="CH2474" s="1" t="s">
        <v>82</v>
      </c>
      <c r="CP2474" s="1" t="s">
        <v>90</v>
      </c>
      <c r="CQ2474" s="1" t="s">
        <v>91</v>
      </c>
      <c r="FH2474" s="1" t="s">
        <v>160</v>
      </c>
      <c r="FI2474" s="1" t="s">
        <v>161</v>
      </c>
      <c r="GD2474" s="1" t="s">
        <v>193</v>
      </c>
      <c r="GE2474" s="1" t="s">
        <v>190</v>
      </c>
    </row>
    <row r="2475" spans="1:187" ht="11.25" customHeight="1">
      <c r="A2475" s="1" t="s">
        <v>3600</v>
      </c>
      <c r="B2475" s="1" t="str">
        <f ca="1">IFERROR(__xludf.DUMMYFUNCTION("GOOGLETRANSLATE(A2475, ""en"", ""fr"")"),"CRITÈRE")</f>
        <v>CRITÈRE</v>
      </c>
      <c r="C2475" s="1" t="s">
        <v>196</v>
      </c>
      <c r="FH2475" s="1" t="s">
        <v>160</v>
      </c>
      <c r="FI2475" s="1" t="s">
        <v>161</v>
      </c>
      <c r="GD2475" s="1" t="s">
        <v>193</v>
      </c>
    </row>
    <row r="2476" spans="1:187" ht="11.25" customHeight="1">
      <c r="A2476" s="1" t="s">
        <v>3601</v>
      </c>
      <c r="B2476" s="1" t="str">
        <f ca="1">IFERROR(__xludf.DUMMYFUNCTION("GOOGLETRANSLATE(A2476, ""en"", ""fr"")"),"CRITIQUE")</f>
        <v>CRITIQUE</v>
      </c>
      <c r="C2476" s="1" t="s">
        <v>185</v>
      </c>
      <c r="E2476" s="1" t="s">
        <v>16613</v>
      </c>
      <c r="H2476" s="1" t="s">
        <v>4</v>
      </c>
      <c r="I2476" s="1" t="s">
        <v>5</v>
      </c>
      <c r="AD2476" s="1" t="s">
        <v>26</v>
      </c>
      <c r="AJ2476" s="1" t="s">
        <v>32</v>
      </c>
      <c r="AT2476" s="1" t="s">
        <v>42</v>
      </c>
      <c r="FG2476" s="1" t="s">
        <v>159</v>
      </c>
      <c r="FI2476" s="1" t="s">
        <v>161</v>
      </c>
      <c r="GD2476" s="1" t="s">
        <v>193</v>
      </c>
      <c r="GE2476" s="1" t="s">
        <v>190</v>
      </c>
    </row>
    <row r="2477" spans="1:187" ht="11.25" customHeight="1">
      <c r="A2477" s="1" t="s">
        <v>3602</v>
      </c>
      <c r="B2477" s="1" t="str">
        <f ca="1">IFERROR(__xludf.DUMMYFUNCTION("GOOGLETRANSLATE(A2477, ""en"", ""fr"")"),"CRITIQUE")</f>
        <v>CRITIQUE</v>
      </c>
      <c r="C2477" s="1" t="s">
        <v>185</v>
      </c>
      <c r="W2477" s="1" t="s">
        <v>19</v>
      </c>
      <c r="BQ2477" s="1" t="s">
        <v>65</v>
      </c>
      <c r="FH2477" s="1" t="s">
        <v>160</v>
      </c>
      <c r="FI2477" s="1" t="s">
        <v>161</v>
      </c>
      <c r="GD2477" s="1" t="s">
        <v>202</v>
      </c>
      <c r="GE2477" s="1" t="s">
        <v>190</v>
      </c>
    </row>
    <row r="2478" spans="1:187" ht="11.25" customHeight="1">
      <c r="A2478" s="1" t="s">
        <v>3603</v>
      </c>
      <c r="B2478" s="1" t="str">
        <f ca="1">IFERROR(__xludf.DUMMYFUNCTION("GOOGLETRANSLATE(A2478, ""en"", ""fr"")"),"Critiquer # 1")</f>
        <v>Critiquer # 1</v>
      </c>
      <c r="C2478" s="1" t="s">
        <v>192</v>
      </c>
      <c r="GE2478" s="1" t="s">
        <v>190</v>
      </c>
    </row>
    <row r="2479" spans="1:187" ht="11.25" customHeight="1">
      <c r="A2479" s="1" t="s">
        <v>3604</v>
      </c>
      <c r="B2479" s="1" t="str">
        <f ca="1">IFERROR(__xludf.DUMMYFUNCTION("GOOGLETRANSLATE(A2479, ""en"", ""fr"")"),"CRITIQUE")</f>
        <v>CRITIQUE</v>
      </c>
      <c r="C2479" s="1" t="s">
        <v>196</v>
      </c>
      <c r="EM2479" s="1" t="s">
        <v>139</v>
      </c>
      <c r="EN2479" s="1" t="s">
        <v>140</v>
      </c>
      <c r="GC2479" s="1" t="s">
        <v>181</v>
      </c>
      <c r="GD2479" s="1" t="s">
        <v>3376</v>
      </c>
    </row>
    <row r="2480" spans="1:187" ht="11.25" customHeight="1">
      <c r="A2480" s="1" t="s">
        <v>3605</v>
      </c>
      <c r="B2480" s="1" t="str">
        <f ca="1">IFERROR(__xludf.DUMMYFUNCTION("GOOGLETRANSLATE(A2480, ""en"", ""fr"")"),"CRITIQUER")</f>
        <v>CRITIQUER</v>
      </c>
      <c r="C2480" s="1" t="s">
        <v>185</v>
      </c>
      <c r="E2480" s="1" t="s">
        <v>16613</v>
      </c>
      <c r="H2480" s="1" t="s">
        <v>4</v>
      </c>
      <c r="I2480" s="1" t="s">
        <v>5</v>
      </c>
      <c r="BK2480" s="1" t="s">
        <v>59</v>
      </c>
      <c r="DN2480" s="1" t="s">
        <v>114</v>
      </c>
      <c r="EM2480" s="1" t="s">
        <v>139</v>
      </c>
      <c r="EN2480" s="1" t="s">
        <v>140</v>
      </c>
      <c r="GD2480" s="1" t="s">
        <v>189</v>
      </c>
      <c r="GE2480" s="1" t="s">
        <v>190</v>
      </c>
    </row>
    <row r="2481" spans="1:187" ht="11.25" customHeight="1">
      <c r="A2481" s="1" t="s">
        <v>3606</v>
      </c>
      <c r="B2481" s="1" t="str">
        <f ca="1">IFERROR(__xludf.DUMMYFUNCTION("GOOGLETRANSLATE(A2481, ""en"", ""fr"")"),"CREVER")</f>
        <v>CREVER</v>
      </c>
      <c r="C2481" s="1" t="s">
        <v>192</v>
      </c>
      <c r="E2481" s="1" t="s">
        <v>16613</v>
      </c>
      <c r="O2481" s="1" t="s">
        <v>11</v>
      </c>
      <c r="BU2481" s="1" t="s">
        <v>69</v>
      </c>
      <c r="BZ2481" s="1" t="s">
        <v>74</v>
      </c>
      <c r="DN2481" s="1" t="s">
        <v>114</v>
      </c>
      <c r="GD2481" s="1" t="s">
        <v>189</v>
      </c>
      <c r="GE2481" s="1" t="s">
        <v>190</v>
      </c>
    </row>
    <row r="2482" spans="1:187" ht="11.25" customHeight="1">
      <c r="A2482" s="1" t="s">
        <v>3607</v>
      </c>
      <c r="B2482" s="1" t="str">
        <f ca="1">IFERROR(__xludf.DUMMYFUNCTION("GOOGLETRANSLATE(A2482, ""en"", ""fr"")"),"ESCROC")</f>
        <v>ESCROC</v>
      </c>
      <c r="C2482" s="1" t="s">
        <v>192</v>
      </c>
      <c r="E2482" s="1" t="s">
        <v>16613</v>
      </c>
      <c r="V2482" s="1" t="s">
        <v>18</v>
      </c>
      <c r="AT2482" s="1" t="s">
        <v>42</v>
      </c>
      <c r="GD2482" s="1" t="s">
        <v>193</v>
      </c>
      <c r="GE2482" s="1" t="s">
        <v>190</v>
      </c>
    </row>
    <row r="2483" spans="1:187" ht="11.25" customHeight="1">
      <c r="A2483" s="1" t="s">
        <v>3608</v>
      </c>
      <c r="B2483" s="1" t="str">
        <f ca="1">IFERROR(__xludf.DUMMYFUNCTION("GOOGLETRANSLATE(A2483, ""en"", ""fr"")"),"COURBÉ")</f>
        <v>COURBÉ</v>
      </c>
      <c r="C2483" s="1" t="s">
        <v>192</v>
      </c>
      <c r="E2483" s="1" t="s">
        <v>16613</v>
      </c>
      <c r="I2483" s="1" t="s">
        <v>5</v>
      </c>
      <c r="V2483" s="1" t="s">
        <v>18</v>
      </c>
      <c r="DR2483" s="1" t="s">
        <v>118</v>
      </c>
      <c r="GD2483" s="1" t="s">
        <v>202</v>
      </c>
      <c r="GE2483" s="1" t="s">
        <v>190</v>
      </c>
    </row>
    <row r="2484" spans="1:187" ht="11.25" customHeight="1">
      <c r="A2484" s="1" t="s">
        <v>3609</v>
      </c>
      <c r="B2484" s="1" t="str">
        <f ca="1">IFERROR(__xludf.DUMMYFUNCTION("GOOGLETRANSLATE(A2484, ""en"", ""fr"")"),"Crop # 1")</f>
        <v>Crop # 1</v>
      </c>
      <c r="C2484" s="1" t="s">
        <v>185</v>
      </c>
      <c r="AC2484" s="1" t="s">
        <v>25</v>
      </c>
      <c r="BC2484" s="1" t="s">
        <v>51</v>
      </c>
      <c r="BE2484" s="1" t="s">
        <v>53</v>
      </c>
      <c r="EV2484" s="1" t="s">
        <v>148</v>
      </c>
      <c r="EW2484" s="1" t="s">
        <v>149</v>
      </c>
      <c r="GD2484" s="1" t="s">
        <v>849</v>
      </c>
      <c r="GE2484" s="1" t="s">
        <v>3610</v>
      </c>
    </row>
    <row r="2485" spans="1:187" ht="11.25" customHeight="1">
      <c r="A2485" s="1" t="s">
        <v>3611</v>
      </c>
      <c r="B2485" s="1" t="str">
        <f ca="1">IFERROR(__xludf.DUMMYFUNCTION("GOOGLETRANSLATE(A2485, ""en"", ""fr"")"),"Crop # 2")</f>
        <v>Crop # 2</v>
      </c>
      <c r="C2485" s="1" t="s">
        <v>185</v>
      </c>
      <c r="I2485" s="1" t="s">
        <v>5</v>
      </c>
      <c r="CC2485" s="1" t="s">
        <v>77</v>
      </c>
      <c r="DO2485" s="1" t="s">
        <v>115</v>
      </c>
      <c r="GD2485" s="1" t="s">
        <v>189</v>
      </c>
      <c r="GE2485" s="1" t="s">
        <v>3612</v>
      </c>
    </row>
    <row r="2486" spans="1:187" ht="11.25" customHeight="1">
      <c r="A2486" s="1" t="s">
        <v>3613</v>
      </c>
      <c r="B2486" s="1" t="str">
        <f ca="1">IFERROR(__xludf.DUMMYFUNCTION("GOOGLETRANSLATE(A2486, ""en"", ""fr"")"),"Croix n ° 1")</f>
        <v>Croix n ° 1</v>
      </c>
      <c r="C2486" s="1" t="s">
        <v>185</v>
      </c>
      <c r="AI2486" s="1" t="s">
        <v>31</v>
      </c>
      <c r="DA2486" s="1" t="s">
        <v>101</v>
      </c>
      <c r="GD2486" s="1" t="s">
        <v>193</v>
      </c>
      <c r="GE2486" s="1" t="s">
        <v>3614</v>
      </c>
    </row>
    <row r="2487" spans="1:187" ht="11.25" customHeight="1">
      <c r="A2487" s="1" t="s">
        <v>3615</v>
      </c>
      <c r="B2487" s="1" t="str">
        <f ca="1">IFERROR(__xludf.DUMMYFUNCTION("GOOGLETRANSLATE(A2487, ""en"", ""fr"")"),"Croix n ° 10")</f>
        <v>Croix n ° 10</v>
      </c>
      <c r="C2487" s="1" t="s">
        <v>196</v>
      </c>
      <c r="FB2487" s="1" t="s">
        <v>154</v>
      </c>
      <c r="FC2487" s="1" t="s">
        <v>155</v>
      </c>
      <c r="GD2487" s="1" t="s">
        <v>193</v>
      </c>
    </row>
    <row r="2488" spans="1:187" ht="11.25" customHeight="1">
      <c r="A2488" s="1" t="s">
        <v>3616</v>
      </c>
      <c r="B2488" s="1" t="str">
        <f ca="1">IFERROR(__xludf.DUMMYFUNCTION("GOOGLETRANSLATE(A2488, ""en"", ""fr"")"),"Croix n ° 11")</f>
        <v>Croix n ° 11</v>
      </c>
      <c r="C2488" s="1" t="s">
        <v>196</v>
      </c>
      <c r="FB2488" s="1" t="s">
        <v>154</v>
      </c>
      <c r="FC2488" s="1" t="s">
        <v>155</v>
      </c>
      <c r="GD2488" s="1" t="s">
        <v>3617</v>
      </c>
    </row>
    <row r="2489" spans="1:187" ht="11.25" customHeight="1">
      <c r="A2489" s="1" t="s">
        <v>3618</v>
      </c>
      <c r="B2489" s="1" t="str">
        <f ca="1">IFERROR(__xludf.DUMMYFUNCTION("GOOGLETRANSLATE(A2489, ""en"", ""fr"")"),"Croix n ° 12")</f>
        <v>Croix n ° 12</v>
      </c>
      <c r="C2489" s="1" t="s">
        <v>196</v>
      </c>
      <c r="GD2489" s="1" t="s">
        <v>225</v>
      </c>
    </row>
    <row r="2490" spans="1:187" ht="11.25" customHeight="1">
      <c r="A2490" s="1" t="s">
        <v>3619</v>
      </c>
      <c r="B2490" s="1" t="str">
        <f ca="1">IFERROR(__xludf.DUMMYFUNCTION("GOOGLETRANSLATE(A2490, ""en"", ""fr"")"),"Croix n ° 2")</f>
        <v>Croix n ° 2</v>
      </c>
      <c r="C2490" s="1" t="s">
        <v>185</v>
      </c>
      <c r="CE2490" s="1" t="s">
        <v>79</v>
      </c>
      <c r="DN2490" s="1" t="s">
        <v>114</v>
      </c>
      <c r="GD2490" s="1" t="s">
        <v>189</v>
      </c>
      <c r="GE2490" s="1" t="s">
        <v>3620</v>
      </c>
    </row>
    <row r="2491" spans="1:187" ht="11.25" customHeight="1">
      <c r="A2491" s="1" t="s">
        <v>3621</v>
      </c>
      <c r="B2491" s="1" t="str">
        <f ca="1">IFERROR(__xludf.DUMMYFUNCTION("GOOGLETRANSLATE(A2491, ""en"", ""fr"")"),"Croix n ° 3")</f>
        <v>Croix n ° 3</v>
      </c>
      <c r="C2491" s="1" t="s">
        <v>185</v>
      </c>
      <c r="E2491" s="1" t="s">
        <v>16613</v>
      </c>
      <c r="H2491" s="1" t="s">
        <v>4</v>
      </c>
      <c r="I2491" s="1" t="s">
        <v>5</v>
      </c>
      <c r="N2491" s="1" t="s">
        <v>10</v>
      </c>
      <c r="AN2491" s="1" t="s">
        <v>36</v>
      </c>
      <c r="DN2491" s="1" t="s">
        <v>114</v>
      </c>
      <c r="FO2491" s="1" t="s">
        <v>167</v>
      </c>
      <c r="GD2491" s="1" t="s">
        <v>189</v>
      </c>
      <c r="GE2491" s="1" t="s">
        <v>3622</v>
      </c>
    </row>
    <row r="2492" spans="1:187" ht="11.25" customHeight="1">
      <c r="A2492" s="1" t="s">
        <v>3623</v>
      </c>
      <c r="B2492" s="1" t="str">
        <f ca="1">IFERROR(__xludf.DUMMYFUNCTION("GOOGLETRANSLATE(A2492, ""en"", ""fr"")"),"Croix n ° 4")</f>
        <v>Croix n ° 4</v>
      </c>
      <c r="C2492" s="1" t="s">
        <v>185</v>
      </c>
      <c r="AI2492" s="1" t="s">
        <v>31</v>
      </c>
      <c r="BK2492" s="1" t="s">
        <v>59</v>
      </c>
      <c r="DO2492" s="1" t="s">
        <v>115</v>
      </c>
      <c r="EF2492" s="1" t="s">
        <v>132</v>
      </c>
      <c r="EJ2492" s="1" t="s">
        <v>136</v>
      </c>
      <c r="GD2492" s="1" t="s">
        <v>189</v>
      </c>
      <c r="GE2492" s="1" t="s">
        <v>3624</v>
      </c>
    </row>
    <row r="2493" spans="1:187" ht="11.25" customHeight="1">
      <c r="A2493" s="1" t="s">
        <v>3625</v>
      </c>
      <c r="B2493" s="1" t="str">
        <f ca="1">IFERROR(__xludf.DUMMYFUNCTION("GOOGLETRANSLATE(A2493, ""en"", ""fr"")"),"Croix # 5")</f>
        <v>Croix # 5</v>
      </c>
      <c r="C2493" s="1" t="s">
        <v>185</v>
      </c>
      <c r="DA2493" s="1" t="s">
        <v>101</v>
      </c>
      <c r="GD2493" s="1" t="s">
        <v>202</v>
      </c>
      <c r="GE2493" s="1" t="s">
        <v>3626</v>
      </c>
    </row>
    <row r="2494" spans="1:187" ht="11.25" customHeight="1">
      <c r="A2494" s="1" t="s">
        <v>3627</v>
      </c>
      <c r="B2494" s="1" t="str">
        <f ca="1">IFERROR(__xludf.DUMMYFUNCTION("GOOGLETRANSLATE(A2494, ""en"", ""fr"")"),"Croix # 6")</f>
        <v>Croix # 6</v>
      </c>
      <c r="C2494" s="1" t="s">
        <v>185</v>
      </c>
      <c r="E2494" s="1" t="s">
        <v>16613</v>
      </c>
      <c r="H2494" s="1" t="s">
        <v>4</v>
      </c>
      <c r="I2494" s="1" t="s">
        <v>5</v>
      </c>
      <c r="N2494" s="1" t="s">
        <v>10</v>
      </c>
      <c r="S2494" s="1" t="s">
        <v>15</v>
      </c>
      <c r="T2494" s="1" t="s">
        <v>16</v>
      </c>
      <c r="FW2494" s="1" t="s">
        <v>175</v>
      </c>
      <c r="GD2494" s="1" t="s">
        <v>202</v>
      </c>
      <c r="GE2494" s="1" t="s">
        <v>3628</v>
      </c>
    </row>
    <row r="2495" spans="1:187" ht="11.25" customHeight="1">
      <c r="A2495" s="1" t="s">
        <v>3629</v>
      </c>
      <c r="B2495" s="1" t="str">
        <f ca="1">IFERROR(__xludf.DUMMYFUNCTION("GOOGLETRANSLATE(A2495, ""en"", ""fr"")"),"Croix n ° 7")</f>
        <v>Croix n ° 7</v>
      </c>
      <c r="C2495" s="1" t="s">
        <v>185</v>
      </c>
      <c r="E2495" s="1" t="s">
        <v>16613</v>
      </c>
      <c r="H2495" s="1" t="s">
        <v>4</v>
      </c>
      <c r="I2495" s="1" t="s">
        <v>5</v>
      </c>
      <c r="N2495" s="1" t="s">
        <v>10</v>
      </c>
      <c r="S2495" s="1" t="s">
        <v>15</v>
      </c>
      <c r="FW2495" s="1" t="s">
        <v>175</v>
      </c>
      <c r="GD2495" s="1" t="s">
        <v>202</v>
      </c>
      <c r="GE2495" s="1" t="s">
        <v>3630</v>
      </c>
    </row>
    <row r="2496" spans="1:187" ht="11.25" customHeight="1">
      <c r="A2496" s="1" t="s">
        <v>3631</v>
      </c>
      <c r="B2496" s="1" t="str">
        <f ca="1">IFERROR(__xludf.DUMMYFUNCTION("GOOGLETRANSLATE(A2496, ""en"", ""fr"")"),"Croix # 8")</f>
        <v>Croix # 8</v>
      </c>
      <c r="C2496" s="1" t="s">
        <v>185</v>
      </c>
      <c r="AV2496" s="1" t="s">
        <v>44</v>
      </c>
      <c r="AY2496" s="1" t="s">
        <v>47</v>
      </c>
      <c r="GD2496" s="1" t="s">
        <v>193</v>
      </c>
      <c r="GE2496" s="1" t="s">
        <v>3632</v>
      </c>
    </row>
    <row r="2497" spans="1:187" ht="11.25" customHeight="1">
      <c r="A2497" s="1" t="s">
        <v>3633</v>
      </c>
      <c r="B2497" s="1" t="str">
        <f ca="1">IFERROR(__xludf.DUMMYFUNCTION("GOOGLETRANSLATE(A2497, ""en"", ""fr"")"),"Croix n ° 9")</f>
        <v>Croix n ° 9</v>
      </c>
      <c r="C2497" s="1" t="s">
        <v>185</v>
      </c>
      <c r="GD2497" s="1" t="s">
        <v>225</v>
      </c>
      <c r="GE2497" s="1" t="s">
        <v>3634</v>
      </c>
    </row>
    <row r="2498" spans="1:187" ht="11.25" customHeight="1">
      <c r="A2498" s="1" t="s">
        <v>3635</v>
      </c>
      <c r="B2498" s="1" t="str">
        <f ca="1">IFERROR(__xludf.DUMMYFUNCTION("GOOGLETRANSLATE(A2498, ""en"", ""fr"")"),"Croix # _10")</f>
        <v>Croix # _10</v>
      </c>
      <c r="C2498" s="1" t="s">
        <v>192</v>
      </c>
      <c r="G2498" s="1" t="s">
        <v>3</v>
      </c>
      <c r="AK2498" s="1" t="s">
        <v>33</v>
      </c>
      <c r="AT2498" s="1" t="s">
        <v>42</v>
      </c>
      <c r="GD2498" s="1" t="s">
        <v>193</v>
      </c>
      <c r="GE2498" s="1" t="s">
        <v>3636</v>
      </c>
    </row>
    <row r="2499" spans="1:187" ht="11.25" customHeight="1">
      <c r="A2499" s="1" t="s">
        <v>3637</v>
      </c>
      <c r="B2499" s="1" t="str">
        <f ca="1">IFERROR(__xludf.DUMMYFUNCTION("GOOGLETRANSLATE(A2499, ""en"", ""fr"")"),"Croix # _11")</f>
        <v>Croix # _11</v>
      </c>
      <c r="C2499" s="1" t="s">
        <v>192</v>
      </c>
      <c r="AK2499" s="1" t="s">
        <v>33</v>
      </c>
      <c r="AT2499" s="1" t="s">
        <v>42</v>
      </c>
      <c r="GD2499" s="1" t="s">
        <v>193</v>
      </c>
      <c r="GE2499" s="1" t="s">
        <v>3638</v>
      </c>
    </row>
    <row r="2500" spans="1:187" ht="11.25" customHeight="1">
      <c r="A2500" s="1" t="s">
        <v>3639</v>
      </c>
      <c r="B2500" s="1" t="str">
        <f ca="1">IFERROR(__xludf.DUMMYFUNCTION("GOOGLETRANSLATE(A2500, ""en"", ""fr"")"),"Croix # _12")</f>
        <v>Croix # _12</v>
      </c>
      <c r="C2500" s="1" t="s">
        <v>192</v>
      </c>
      <c r="GD2500" s="1" t="s">
        <v>225</v>
      </c>
      <c r="GE2500" s="1" t="s">
        <v>3640</v>
      </c>
    </row>
    <row r="2501" spans="1:187" ht="11.25" customHeight="1">
      <c r="A2501" s="1" t="s">
        <v>3641</v>
      </c>
      <c r="B2501" s="1" t="str">
        <f ca="1">IFERROR(__xludf.DUMMYFUNCTION("GOOGLETRANSLATE(A2501, ""en"", ""fr"")"),"En coupe")</f>
        <v>En coupe</v>
      </c>
      <c r="C2501" s="1" t="s">
        <v>196</v>
      </c>
      <c r="GD2501" s="1" t="s">
        <v>202</v>
      </c>
    </row>
    <row r="2502" spans="1:187" ht="11.25" customHeight="1">
      <c r="A2502" s="1" t="s">
        <v>3642</v>
      </c>
      <c r="B2502" s="1" t="str">
        <f ca="1">IFERROR(__xludf.DUMMYFUNCTION("GOOGLETRANSLATE(A2502, ""en"", ""fr"")"),"CARREFOUR")</f>
        <v>CARREFOUR</v>
      </c>
      <c r="C2502" s="1" t="s">
        <v>185</v>
      </c>
      <c r="AV2502" s="1" t="s">
        <v>44</v>
      </c>
      <c r="AY2502" s="1" t="s">
        <v>47</v>
      </c>
      <c r="GD2502" s="1" t="s">
        <v>193</v>
      </c>
      <c r="GE2502" s="1" t="s">
        <v>190</v>
      </c>
    </row>
    <row r="2503" spans="1:187" ht="11.25" customHeight="1">
      <c r="A2503" s="1" t="s">
        <v>3643</v>
      </c>
      <c r="B2503" s="1" t="str">
        <f ca="1">IFERROR(__xludf.DUMMYFUNCTION("GOOGLETRANSLATE(A2503, ""en"", ""fr"")"),"Accroupi n ° 1")</f>
        <v>Accroupi n ° 1</v>
      </c>
      <c r="C2503" s="1" t="s">
        <v>185</v>
      </c>
      <c r="CA2503" s="1" t="s">
        <v>75</v>
      </c>
      <c r="GD2503" s="1" t="s">
        <v>202</v>
      </c>
      <c r="GE2503" s="1" t="s">
        <v>190</v>
      </c>
    </row>
    <row r="2504" spans="1:187" ht="11.25" customHeight="1">
      <c r="A2504" s="1" t="s">
        <v>3644</v>
      </c>
      <c r="B2504" s="1" t="str">
        <f ca="1">IFERROR(__xludf.DUMMYFUNCTION("GOOGLETRANSLATE(A2504, ""en"", ""fr"")"),"Crouch # 2")</f>
        <v>Crouch # 2</v>
      </c>
      <c r="C2504" s="1" t="s">
        <v>185</v>
      </c>
      <c r="M2504" s="1" t="s">
        <v>9</v>
      </c>
      <c r="CA2504" s="1" t="s">
        <v>75</v>
      </c>
      <c r="DO2504" s="1" t="s">
        <v>115</v>
      </c>
      <c r="GD2504" s="1" t="s">
        <v>189</v>
      </c>
      <c r="GE2504" s="1" t="s">
        <v>190</v>
      </c>
    </row>
    <row r="2505" spans="1:187" ht="11.25" customHeight="1">
      <c r="A2505" s="1" t="s">
        <v>3645</v>
      </c>
      <c r="B2505" s="1" t="str">
        <f ca="1">IFERROR(__xludf.DUMMYFUNCTION("GOOGLETRANSLATE(A2505, ""en"", ""fr"")"),"Foule n ° 1")</f>
        <v>Foule n ° 1</v>
      </c>
      <c r="C2505" s="1" t="s">
        <v>185</v>
      </c>
      <c r="J2505" s="1" t="s">
        <v>6</v>
      </c>
      <c r="AK2505" s="1" t="s">
        <v>33</v>
      </c>
      <c r="AT2505" s="1" t="s">
        <v>42</v>
      </c>
      <c r="FT2505" s="1" t="s">
        <v>172</v>
      </c>
      <c r="GD2505" s="1" t="s">
        <v>193</v>
      </c>
      <c r="GE2505" s="1" t="s">
        <v>3646</v>
      </c>
    </row>
    <row r="2506" spans="1:187" ht="11.25" customHeight="1">
      <c r="A2506" s="1" t="s">
        <v>3647</v>
      </c>
      <c r="B2506" s="1" t="str">
        <f ca="1">IFERROR(__xludf.DUMMYFUNCTION("GOOGLETRANSLATE(A2506, ""en"", ""fr"")"),"Crowd # 2")</f>
        <v>Crowd # 2</v>
      </c>
      <c r="C2506" s="1" t="s">
        <v>185</v>
      </c>
      <c r="DA2506" s="1" t="s">
        <v>101</v>
      </c>
      <c r="GD2506" s="1" t="s">
        <v>202</v>
      </c>
      <c r="GE2506" s="1" t="s">
        <v>3648</v>
      </c>
    </row>
    <row r="2507" spans="1:187" ht="11.25" customHeight="1">
      <c r="A2507" s="1" t="s">
        <v>3649</v>
      </c>
      <c r="B2507" s="1" t="str">
        <f ca="1">IFERROR(__xludf.DUMMYFUNCTION("GOOGLETRANSLATE(A2507, ""en"", ""fr"")"),"Crowd # 3")</f>
        <v>Crowd # 3</v>
      </c>
      <c r="C2507" s="1" t="s">
        <v>185</v>
      </c>
      <c r="J2507" s="1" t="s">
        <v>6</v>
      </c>
      <c r="N2507" s="1" t="s">
        <v>10</v>
      </c>
      <c r="DD2507" s="1" t="s">
        <v>104</v>
      </c>
      <c r="DN2507" s="1" t="s">
        <v>114</v>
      </c>
      <c r="GD2507" s="1" t="s">
        <v>189</v>
      </c>
      <c r="GE2507" s="1" t="s">
        <v>3650</v>
      </c>
    </row>
    <row r="2508" spans="1:187" ht="11.25" customHeight="1">
      <c r="A2508" s="1" t="s">
        <v>3651</v>
      </c>
      <c r="B2508" s="1" t="str">
        <f ca="1">IFERROR(__xludf.DUMMYFUNCTION("GOOGLETRANSLATE(A2508, ""en"", ""fr"")"),"Couronne n ° 1")</f>
        <v>Couronne n ° 1</v>
      </c>
      <c r="C2508" s="1" t="s">
        <v>185</v>
      </c>
      <c r="K2508" s="1" t="s">
        <v>7</v>
      </c>
      <c r="AG2508" s="1" t="s">
        <v>29</v>
      </c>
      <c r="AH2508" s="1" t="s">
        <v>30</v>
      </c>
      <c r="BC2508" s="1" t="s">
        <v>51</v>
      </c>
      <c r="BD2508" s="1" t="s">
        <v>52</v>
      </c>
      <c r="EM2508" s="1" t="s">
        <v>139</v>
      </c>
      <c r="EN2508" s="1" t="s">
        <v>140</v>
      </c>
      <c r="GD2508" s="1" t="s">
        <v>193</v>
      </c>
      <c r="GE2508" s="1" t="s">
        <v>190</v>
      </c>
    </row>
    <row r="2509" spans="1:187" ht="11.25" customHeight="1">
      <c r="A2509" s="1" t="s">
        <v>3652</v>
      </c>
      <c r="B2509" s="1" t="str">
        <f ca="1">IFERROR(__xludf.DUMMYFUNCTION("GOOGLETRANSLATE(A2509, ""en"", ""fr"")"),"Crown # 2")</f>
        <v>Crown # 2</v>
      </c>
      <c r="C2509" s="1" t="s">
        <v>185</v>
      </c>
      <c r="K2509" s="1" t="s">
        <v>7</v>
      </c>
      <c r="AG2509" s="1" t="s">
        <v>29</v>
      </c>
      <c r="BS2509" s="1" t="s">
        <v>67</v>
      </c>
      <c r="DO2509" s="1" t="s">
        <v>115</v>
      </c>
      <c r="DY2509" s="1" t="s">
        <v>125</v>
      </c>
      <c r="ED2509" s="1" t="s">
        <v>130</v>
      </c>
      <c r="GD2509" s="1" t="s">
        <v>189</v>
      </c>
      <c r="GE2509" s="1" t="s">
        <v>190</v>
      </c>
    </row>
    <row r="2510" spans="1:187" ht="11.25" customHeight="1">
      <c r="A2510" s="1" t="s">
        <v>3653</v>
      </c>
      <c r="B2510" s="1" t="str">
        <f ca="1">IFERROR(__xludf.DUMMYFUNCTION("GOOGLETRANSLATE(A2510, ""en"", ""fr"")"),"CRUCIAL")</f>
        <v>CRUCIAL</v>
      </c>
      <c r="C2510" s="1" t="s">
        <v>185</v>
      </c>
      <c r="W2510" s="1" t="s">
        <v>19</v>
      </c>
      <c r="BQ2510" s="1" t="s">
        <v>65</v>
      </c>
      <c r="FY2510" s="1" t="s">
        <v>177</v>
      </c>
      <c r="GD2510" s="1" t="s">
        <v>193</v>
      </c>
      <c r="GE2510" s="1" t="s">
        <v>190</v>
      </c>
    </row>
    <row r="2511" spans="1:187" ht="11.25" customHeight="1">
      <c r="A2511" s="1" t="s">
        <v>3654</v>
      </c>
      <c r="B2511" s="1" t="str">
        <f ca="1">IFERROR(__xludf.DUMMYFUNCTION("GOOGLETRANSLATE(A2511, ""en"", ""fr"")"),"CRUCIFIX")</f>
        <v>CRUCIFIX</v>
      </c>
      <c r="C2511" s="1" t="s">
        <v>185</v>
      </c>
      <c r="AI2511" s="1" t="s">
        <v>31</v>
      </c>
      <c r="BC2511" s="1" t="s">
        <v>51</v>
      </c>
      <c r="BD2511" s="1" t="s">
        <v>52</v>
      </c>
      <c r="EF2511" s="1" t="s">
        <v>132</v>
      </c>
      <c r="EJ2511" s="1" t="s">
        <v>136</v>
      </c>
      <c r="GD2511" s="1" t="s">
        <v>193</v>
      </c>
      <c r="GE2511" s="1" t="s">
        <v>190</v>
      </c>
    </row>
    <row r="2512" spans="1:187" ht="11.25" customHeight="1">
      <c r="A2512" s="1" t="s">
        <v>3655</v>
      </c>
      <c r="B2512" s="1" t="str">
        <f ca="1">IFERROR(__xludf.DUMMYFUNCTION("GOOGLETRANSLATE(A2512, ""en"", ""fr"")"),"BRUT")</f>
        <v>BRUT</v>
      </c>
      <c r="C2512" s="1" t="s">
        <v>185</v>
      </c>
      <c r="E2512" s="1" t="s">
        <v>16613</v>
      </c>
      <c r="W2512" s="1" t="s">
        <v>19</v>
      </c>
      <c r="CM2512" s="1" t="s">
        <v>87</v>
      </c>
      <c r="DR2512" s="1" t="s">
        <v>118</v>
      </c>
      <c r="FL2512" s="1" t="s">
        <v>164</v>
      </c>
      <c r="FM2512" s="1" t="s">
        <v>418</v>
      </c>
      <c r="GD2512" s="1" t="s">
        <v>202</v>
      </c>
      <c r="GE2512" s="1" t="s">
        <v>190</v>
      </c>
    </row>
    <row r="2513" spans="1:187" ht="11.25" customHeight="1">
      <c r="A2513" s="1" t="s">
        <v>3656</v>
      </c>
      <c r="B2513" s="1" t="str">
        <f ca="1">IFERROR(__xludf.DUMMYFUNCTION("GOOGLETRANSLATE(A2513, ""en"", ""fr"")"),"CRUEL")</f>
        <v>CRUEL</v>
      </c>
      <c r="C2513" s="1" t="s">
        <v>185</v>
      </c>
      <c r="E2513" s="1" t="s">
        <v>16613</v>
      </c>
      <c r="H2513" s="1" t="s">
        <v>4</v>
      </c>
      <c r="I2513" s="1" t="s">
        <v>5</v>
      </c>
      <c r="V2513" s="1" t="s">
        <v>18</v>
      </c>
      <c r="CN2513" s="1" t="s">
        <v>88</v>
      </c>
      <c r="FW2513" s="1" t="s">
        <v>175</v>
      </c>
      <c r="GD2513" s="1" t="s">
        <v>202</v>
      </c>
      <c r="GE2513" s="1" t="s">
        <v>190</v>
      </c>
    </row>
    <row r="2514" spans="1:187" ht="11.25" customHeight="1">
      <c r="A2514" s="1" t="s">
        <v>3657</v>
      </c>
      <c r="B2514" s="1" t="str">
        <f ca="1">IFERROR(__xludf.DUMMYFUNCTION("GOOGLETRANSLATE(A2514, ""en"", ""fr"")"),"CRUAUTÉ")</f>
        <v>CRUAUTÉ</v>
      </c>
      <c r="C2514" s="1" t="s">
        <v>185</v>
      </c>
      <c r="E2514" s="1" t="s">
        <v>16613</v>
      </c>
      <c r="H2514" s="1" t="s">
        <v>4</v>
      </c>
      <c r="I2514" s="1" t="s">
        <v>5</v>
      </c>
      <c r="V2514" s="1" t="s">
        <v>18</v>
      </c>
      <c r="FW2514" s="1" t="s">
        <v>175</v>
      </c>
      <c r="GD2514" s="1" t="s">
        <v>193</v>
      </c>
      <c r="GE2514" s="1" t="s">
        <v>190</v>
      </c>
    </row>
    <row r="2515" spans="1:187" ht="11.25" customHeight="1">
      <c r="A2515" s="1" t="s">
        <v>3658</v>
      </c>
      <c r="B2515" s="1" t="str">
        <f ca="1">IFERROR(__xludf.DUMMYFUNCTION("GOOGLETRANSLATE(A2515, ""en"", ""fr"")"),"ÉMIETTER")</f>
        <v>ÉMIETTER</v>
      </c>
      <c r="C2515" s="1" t="s">
        <v>192</v>
      </c>
      <c r="E2515" s="1" t="s">
        <v>16613</v>
      </c>
      <c r="L2515" s="1" t="s">
        <v>8</v>
      </c>
      <c r="M2515" s="1" t="s">
        <v>9</v>
      </c>
      <c r="O2515" s="1" t="s">
        <v>11</v>
      </c>
      <c r="BZ2515" s="1" t="s">
        <v>74</v>
      </c>
      <c r="DN2515" s="1" t="s">
        <v>114</v>
      </c>
      <c r="GD2515" s="1" t="s">
        <v>189</v>
      </c>
      <c r="GE2515" s="1" t="s">
        <v>190</v>
      </c>
    </row>
    <row r="2516" spans="1:187" ht="11.25" customHeight="1">
      <c r="A2516" s="1" t="s">
        <v>3659</v>
      </c>
      <c r="B2516" s="1" t="str">
        <f ca="1">IFERROR(__xludf.DUMMYFUNCTION("GOOGLETRANSLATE(A2516, ""en"", ""fr"")"),"FROISSER")</f>
        <v>FROISSER</v>
      </c>
      <c r="C2516" s="1" t="s">
        <v>192</v>
      </c>
      <c r="E2516" s="1" t="s">
        <v>16613</v>
      </c>
      <c r="L2516" s="1" t="s">
        <v>8</v>
      </c>
      <c r="M2516" s="1" t="s">
        <v>9</v>
      </c>
      <c r="O2516" s="1" t="s">
        <v>11</v>
      </c>
      <c r="BZ2516" s="1" t="s">
        <v>74</v>
      </c>
      <c r="DN2516" s="1" t="s">
        <v>114</v>
      </c>
      <c r="GD2516" s="1" t="s">
        <v>189</v>
      </c>
      <c r="GE2516" s="1" t="s">
        <v>190</v>
      </c>
    </row>
    <row r="2517" spans="1:187" ht="11.25" customHeight="1">
      <c r="A2517" s="1" t="s">
        <v>3660</v>
      </c>
      <c r="B2517" s="1" t="str">
        <f ca="1">IFERROR(__xludf.DUMMYFUNCTION("GOOGLETRANSLATE(A2517, ""en"", ""fr"")"),"CROISADE")</f>
        <v>CROISADE</v>
      </c>
      <c r="C2517" s="1" t="s">
        <v>192</v>
      </c>
      <c r="D2517" s="1" t="s">
        <v>16612</v>
      </c>
      <c r="G2517" s="1" t="s">
        <v>3</v>
      </c>
      <c r="AG2517" s="1" t="s">
        <v>29</v>
      </c>
      <c r="CE2517" s="1" t="s">
        <v>79</v>
      </c>
      <c r="GD2517" s="1" t="s">
        <v>193</v>
      </c>
      <c r="GE2517" s="1" t="s">
        <v>190</v>
      </c>
    </row>
    <row r="2518" spans="1:187" ht="11.25" customHeight="1">
      <c r="A2518" s="1" t="s">
        <v>3661</v>
      </c>
      <c r="B2518" s="1" t="str">
        <f ca="1">IFERROR(__xludf.DUMMYFUNCTION("GOOGLETRANSLATE(A2518, ""en"", ""fr"")"),"CROISÉ")</f>
        <v>CROISÉ</v>
      </c>
      <c r="C2518" s="1" t="s">
        <v>192</v>
      </c>
      <c r="D2518" s="1" t="s">
        <v>16612</v>
      </c>
      <c r="G2518" s="1" t="s">
        <v>3</v>
      </c>
      <c r="AG2518" s="1" t="s">
        <v>29</v>
      </c>
      <c r="AJ2518" s="1" t="s">
        <v>32</v>
      </c>
      <c r="AT2518" s="1" t="s">
        <v>42</v>
      </c>
      <c r="CE2518" s="1" t="s">
        <v>79</v>
      </c>
      <c r="GD2518" s="1" t="s">
        <v>193</v>
      </c>
      <c r="GE2518" s="1" t="s">
        <v>190</v>
      </c>
    </row>
    <row r="2519" spans="1:187" ht="11.25" customHeight="1">
      <c r="A2519" s="1" t="s">
        <v>3662</v>
      </c>
      <c r="B2519" s="1" t="str">
        <f ca="1">IFERROR(__xludf.DUMMYFUNCTION("GOOGLETRANSLATE(A2519, ""en"", ""fr"")"),"Crush # 1")</f>
        <v>Crush # 1</v>
      </c>
      <c r="C2519" s="1" t="s">
        <v>185</v>
      </c>
      <c r="E2519" s="1" t="s">
        <v>16613</v>
      </c>
      <c r="H2519" s="1" t="s">
        <v>4</v>
      </c>
      <c r="J2519" s="1" t="s">
        <v>6</v>
      </c>
      <c r="N2519" s="1" t="s">
        <v>10</v>
      </c>
      <c r="CR2519" s="1" t="s">
        <v>92</v>
      </c>
      <c r="DT2519" s="1" t="s">
        <v>120</v>
      </c>
      <c r="ED2519" s="1" t="s">
        <v>130</v>
      </c>
      <c r="GD2519" s="1" t="s">
        <v>202</v>
      </c>
      <c r="GE2519" s="1" t="s">
        <v>190</v>
      </c>
    </row>
    <row r="2520" spans="1:187" ht="11.25" customHeight="1">
      <c r="A2520" s="1" t="s">
        <v>3663</v>
      </c>
      <c r="B2520" s="1" t="str">
        <f ca="1">IFERROR(__xludf.DUMMYFUNCTION("GOOGLETRANSLATE(A2520, ""en"", ""fr"")"),"Crush # 2")</f>
        <v>Crush # 2</v>
      </c>
      <c r="C2520" s="1" t="s">
        <v>185</v>
      </c>
      <c r="E2520" s="1" t="s">
        <v>16613</v>
      </c>
      <c r="H2520" s="1" t="s">
        <v>4</v>
      </c>
      <c r="I2520" s="1" t="s">
        <v>5</v>
      </c>
      <c r="J2520" s="1" t="s">
        <v>6</v>
      </c>
      <c r="N2520" s="1" t="s">
        <v>10</v>
      </c>
      <c r="CC2520" s="1" t="s">
        <v>77</v>
      </c>
      <c r="DN2520" s="1" t="s">
        <v>114</v>
      </c>
      <c r="DT2520" s="1" t="s">
        <v>120</v>
      </c>
      <c r="ED2520" s="1" t="s">
        <v>130</v>
      </c>
      <c r="GD2520" s="1" t="s">
        <v>189</v>
      </c>
      <c r="GE2520" s="1" t="s">
        <v>190</v>
      </c>
    </row>
    <row r="2521" spans="1:187" ht="11.25" customHeight="1">
      <c r="A2521" s="1" t="s">
        <v>3664</v>
      </c>
      <c r="B2521" s="1" t="str">
        <f ca="1">IFERROR(__xludf.DUMMYFUNCTION("GOOGLETRANSLATE(A2521, ""en"", ""fr"")"),"ÉCRASEMENT")</f>
        <v>ÉCRASEMENT</v>
      </c>
      <c r="C2521" s="1" t="s">
        <v>192</v>
      </c>
      <c r="E2521" s="1" t="s">
        <v>16613</v>
      </c>
      <c r="I2521" s="1" t="s">
        <v>5</v>
      </c>
      <c r="J2521" s="1" t="s">
        <v>6</v>
      </c>
      <c r="K2521" s="1" t="s">
        <v>7</v>
      </c>
      <c r="CC2521" s="1" t="s">
        <v>77</v>
      </c>
      <c r="DR2521" s="1" t="s">
        <v>118</v>
      </c>
      <c r="GD2521" s="1" t="s">
        <v>202</v>
      </c>
      <c r="GE2521" s="1" t="s">
        <v>190</v>
      </c>
    </row>
    <row r="2522" spans="1:187" ht="11.25" customHeight="1">
      <c r="A2522" s="1" t="s">
        <v>3665</v>
      </c>
      <c r="B2522" s="1" t="str">
        <f ca="1">IFERROR(__xludf.DUMMYFUNCTION("GOOGLETRANSLATE(A2522, ""en"", ""fr"")"),"BÉQUILLE")</f>
        <v>BÉQUILLE</v>
      </c>
      <c r="C2522" s="1" t="s">
        <v>185</v>
      </c>
      <c r="BC2522" s="1" t="s">
        <v>51</v>
      </c>
      <c r="BD2522" s="1" t="s">
        <v>52</v>
      </c>
      <c r="GD2522" s="1" t="s">
        <v>193</v>
      </c>
      <c r="GE2522" s="1" t="s">
        <v>190</v>
      </c>
    </row>
    <row r="2523" spans="1:187" ht="11.25" customHeight="1">
      <c r="A2523" s="1" t="s">
        <v>3666</v>
      </c>
      <c r="B2523" s="1" t="str">
        <f ca="1">IFERROR(__xludf.DUMMYFUNCTION("GOOGLETRANSLATE(A2523, ""en"", ""fr"")"),"Cry # 1")</f>
        <v>Cry # 1</v>
      </c>
      <c r="C2523" s="1" t="s">
        <v>185</v>
      </c>
      <c r="O2523" s="1" t="s">
        <v>11</v>
      </c>
      <c r="BK2523" s="1" t="s">
        <v>59</v>
      </c>
      <c r="DO2523" s="1" t="s">
        <v>115</v>
      </c>
      <c r="FA2523" s="1" t="s">
        <v>153</v>
      </c>
      <c r="FC2523" s="1" t="s">
        <v>155</v>
      </c>
      <c r="GD2523" s="1" t="s">
        <v>400</v>
      </c>
      <c r="GE2523" s="1" t="s">
        <v>3667</v>
      </c>
    </row>
    <row r="2524" spans="1:187" ht="11.25" customHeight="1">
      <c r="A2524" s="1" t="s">
        <v>3668</v>
      </c>
      <c r="B2524" s="1" t="str">
        <f ca="1">IFERROR(__xludf.DUMMYFUNCTION("GOOGLETRANSLATE(A2524, ""en"", ""fr"")"),"Cry # 2")</f>
        <v>Cry # 2</v>
      </c>
      <c r="C2524" s="1" t="s">
        <v>185</v>
      </c>
      <c r="O2524" s="1" t="s">
        <v>11</v>
      </c>
      <c r="BK2524" s="1" t="s">
        <v>59</v>
      </c>
      <c r="FW2524" s="1" t="s">
        <v>175</v>
      </c>
      <c r="GC2524" s="1" t="s">
        <v>181</v>
      </c>
      <c r="GD2524" s="1" t="s">
        <v>193</v>
      </c>
      <c r="GE2524" s="1" t="s">
        <v>3669</v>
      </c>
    </row>
    <row r="2525" spans="1:187" ht="11.25" customHeight="1">
      <c r="A2525" s="1" t="s">
        <v>3670</v>
      </c>
      <c r="B2525" s="1" t="str">
        <f ca="1">IFERROR(__xludf.DUMMYFUNCTION("GOOGLETRANSLATE(A2525, ""en"", ""fr"")"),"CUBA")</f>
        <v>CUBA</v>
      </c>
      <c r="C2525" s="1" t="s">
        <v>185</v>
      </c>
      <c r="AC2525" s="1" t="s">
        <v>25</v>
      </c>
      <c r="AH2525" s="1" t="s">
        <v>30</v>
      </c>
      <c r="DI2525" s="1" t="s">
        <v>109</v>
      </c>
      <c r="DY2525" s="1" t="s">
        <v>125</v>
      </c>
      <c r="ED2525" s="1" t="s">
        <v>130</v>
      </c>
      <c r="GD2525" s="1" t="s">
        <v>193</v>
      </c>
      <c r="GE2525" s="1" t="s">
        <v>190</v>
      </c>
    </row>
    <row r="2526" spans="1:187" ht="11.25" customHeight="1">
      <c r="A2526" s="1" t="s">
        <v>3671</v>
      </c>
      <c r="B2526" s="1" t="str">
        <f ca="1">IFERROR(__xludf.DUMMYFUNCTION("GOOGLETRANSLATE(A2526, ""en"", ""fr"")"),"CUBAIN")</f>
        <v>CUBAIN</v>
      </c>
      <c r="C2526" s="1" t="s">
        <v>185</v>
      </c>
      <c r="AC2526" s="1" t="s">
        <v>25</v>
      </c>
      <c r="AH2526" s="1" t="s">
        <v>30</v>
      </c>
      <c r="DI2526" s="1" t="s">
        <v>109</v>
      </c>
      <c r="FU2526" s="1" t="s">
        <v>173</v>
      </c>
      <c r="GD2526" s="1" t="s">
        <v>193</v>
      </c>
      <c r="GE2526" s="1" t="s">
        <v>190</v>
      </c>
    </row>
    <row r="2527" spans="1:187" ht="11.25" customHeight="1">
      <c r="A2527" s="1" t="s">
        <v>3672</v>
      </c>
      <c r="B2527" s="1" t="str">
        <f ca="1">IFERROR(__xludf.DUMMYFUNCTION("GOOGLETRANSLATE(A2527, ""en"", ""fr"")"),"CUBIQUE")</f>
        <v>CUBIQUE</v>
      </c>
      <c r="C2527" s="1" t="s">
        <v>185</v>
      </c>
      <c r="CR2527" s="1" t="s">
        <v>92</v>
      </c>
      <c r="GB2527" s="1" t="s">
        <v>180</v>
      </c>
      <c r="GD2527" s="1" t="s">
        <v>202</v>
      </c>
      <c r="GE2527" s="1" t="s">
        <v>190</v>
      </c>
    </row>
    <row r="2528" spans="1:187" ht="11.25" customHeight="1">
      <c r="A2528" s="1" t="s">
        <v>3673</v>
      </c>
      <c r="B2528" s="1" t="str">
        <f ca="1">IFERROR(__xludf.DUMMYFUNCTION("GOOGLETRANSLATE(A2528, ""en"", ""fr"")"),"CUBISME")</f>
        <v>CUBISME</v>
      </c>
      <c r="C2528" s="1" t="s">
        <v>185</v>
      </c>
      <c r="Z2528" s="1" t="s">
        <v>22</v>
      </c>
      <c r="AD2528" s="1" t="s">
        <v>26</v>
      </c>
      <c r="FJ2528" s="1" t="s">
        <v>162</v>
      </c>
      <c r="FM2528" s="1" t="s">
        <v>418</v>
      </c>
      <c r="GD2528" s="1" t="s">
        <v>193</v>
      </c>
      <c r="GE2528" s="1" t="s">
        <v>190</v>
      </c>
    </row>
    <row r="2529" spans="1:187" ht="11.25" customHeight="1">
      <c r="A2529" s="1" t="s">
        <v>3674</v>
      </c>
      <c r="B2529" s="1" t="str">
        <f ca="1">IFERROR(__xludf.DUMMYFUNCTION("GOOGLETRANSLATE(A2529, ""en"", ""fr"")"),"CÂLIN")</f>
        <v>CÂLIN</v>
      </c>
      <c r="C2529" s="1" t="s">
        <v>192</v>
      </c>
      <c r="D2529" s="1" t="s">
        <v>16612</v>
      </c>
      <c r="N2529" s="1" t="s">
        <v>10</v>
      </c>
      <c r="P2529" s="1" t="s">
        <v>12</v>
      </c>
      <c r="DN2529" s="1" t="s">
        <v>114</v>
      </c>
      <c r="GD2529" s="1" t="s">
        <v>670</v>
      </c>
      <c r="GE2529" s="1" t="s">
        <v>190</v>
      </c>
    </row>
    <row r="2530" spans="1:187" ht="11.25" customHeight="1">
      <c r="A2530" s="1" t="s">
        <v>3675</v>
      </c>
      <c r="B2530" s="1" t="str">
        <f ca="1">IFERROR(__xludf.DUMMYFUNCTION("GOOGLETRANSLATE(A2530, ""en"", ""fr"")"),"CULMINER")</f>
        <v>CULMINER</v>
      </c>
      <c r="C2530" s="1" t="s">
        <v>192</v>
      </c>
      <c r="D2530" s="1" t="s">
        <v>16612</v>
      </c>
      <c r="N2530" s="1" t="s">
        <v>10</v>
      </c>
      <c r="AK2530" s="1" t="s">
        <v>33</v>
      </c>
      <c r="BS2530" s="1" t="s">
        <v>67</v>
      </c>
      <c r="DN2530" s="1" t="s">
        <v>114</v>
      </c>
      <c r="GD2530" s="1" t="s">
        <v>189</v>
      </c>
      <c r="GE2530" s="1" t="s">
        <v>190</v>
      </c>
    </row>
    <row r="2531" spans="1:187" ht="11.25" customHeight="1">
      <c r="A2531" s="1" t="s">
        <v>3676</v>
      </c>
      <c r="B2531" s="1" t="str">
        <f ca="1">IFERROR(__xludf.DUMMYFUNCTION("GOOGLETRANSLATE(A2531, ""en"", ""fr"")"),"CULMINATION")</f>
        <v>CULMINATION</v>
      </c>
      <c r="C2531" s="1" t="s">
        <v>192</v>
      </c>
      <c r="D2531" s="1" t="s">
        <v>16612</v>
      </c>
      <c r="AK2531" s="1" t="s">
        <v>33</v>
      </c>
      <c r="BS2531" s="1" t="s">
        <v>67</v>
      </c>
      <c r="DD2531" s="1" t="s">
        <v>104</v>
      </c>
      <c r="GD2531" s="1" t="s">
        <v>193</v>
      </c>
      <c r="GE2531" s="1" t="s">
        <v>190</v>
      </c>
    </row>
    <row r="2532" spans="1:187" ht="11.25" customHeight="1">
      <c r="A2532" s="1" t="s">
        <v>3677</v>
      </c>
      <c r="B2532" s="1" t="str">
        <f ca="1">IFERROR(__xludf.DUMMYFUNCTION("GOOGLETRANSLATE(A2532, ""en"", ""fr"")"),"COUPABLE")</f>
        <v>COUPABLE</v>
      </c>
      <c r="C2532" s="1" t="s">
        <v>192</v>
      </c>
      <c r="E2532" s="1" t="s">
        <v>16613</v>
      </c>
      <c r="CI2532" s="1" t="s">
        <v>83</v>
      </c>
      <c r="DR2532" s="1" t="s">
        <v>118</v>
      </c>
      <c r="GD2532" s="1" t="s">
        <v>202</v>
      </c>
      <c r="GE2532" s="1" t="s">
        <v>190</v>
      </c>
    </row>
    <row r="2533" spans="1:187" ht="11.25" customHeight="1">
      <c r="A2533" s="1" t="s">
        <v>3678</v>
      </c>
      <c r="B2533" s="1" t="str">
        <f ca="1">IFERROR(__xludf.DUMMYFUNCTION("GOOGLETRANSLATE(A2533, ""en"", ""fr"")"),"COUPABLE")</f>
        <v>COUPABLE</v>
      </c>
      <c r="C2533" s="1" t="s">
        <v>192</v>
      </c>
      <c r="E2533" s="1" t="s">
        <v>16613</v>
      </c>
      <c r="V2533" s="1" t="s">
        <v>18</v>
      </c>
      <c r="AT2533" s="1" t="s">
        <v>42</v>
      </c>
      <c r="CI2533" s="1" t="s">
        <v>83</v>
      </c>
      <c r="GD2533" s="1" t="s">
        <v>193</v>
      </c>
      <c r="GE2533" s="1" t="s">
        <v>190</v>
      </c>
    </row>
    <row r="2534" spans="1:187" ht="11.25" customHeight="1">
      <c r="A2534" s="1" t="s">
        <v>3679</v>
      </c>
      <c r="B2534" s="1" t="str">
        <f ca="1">IFERROR(__xludf.DUMMYFUNCTION("GOOGLETRANSLATE(A2534, ""en"", ""fr"")"),"CULTE")</f>
        <v>CULTE</v>
      </c>
      <c r="C2534" s="1" t="s">
        <v>185</v>
      </c>
      <c r="AI2534" s="1" t="s">
        <v>31</v>
      </c>
      <c r="AK2534" s="1" t="s">
        <v>33</v>
      </c>
      <c r="AT2534" s="1" t="s">
        <v>42</v>
      </c>
      <c r="EF2534" s="1" t="s">
        <v>132</v>
      </c>
      <c r="EJ2534" s="1" t="s">
        <v>136</v>
      </c>
      <c r="GD2534" s="1" t="s">
        <v>193</v>
      </c>
      <c r="GE2534" s="1" t="s">
        <v>190</v>
      </c>
    </row>
    <row r="2535" spans="1:187" ht="11.25" customHeight="1">
      <c r="A2535" s="1" t="s">
        <v>3680</v>
      </c>
      <c r="B2535" s="1" t="str">
        <f ca="1">IFERROR(__xludf.DUMMYFUNCTION("GOOGLETRANSLATE(A2535, ""en"", ""fr"")"),"Cultiver # 1")</f>
        <v>Cultiver # 1</v>
      </c>
      <c r="C2535" s="1" t="s">
        <v>185</v>
      </c>
      <c r="D2535" s="1" t="s">
        <v>16612</v>
      </c>
      <c r="F2535" s="1" t="s">
        <v>2</v>
      </c>
      <c r="N2535" s="1" t="s">
        <v>10</v>
      </c>
      <c r="U2535" s="1" t="s">
        <v>17</v>
      </c>
      <c r="EM2535" s="1" t="s">
        <v>139</v>
      </c>
      <c r="EN2535" s="1" t="s">
        <v>140</v>
      </c>
      <c r="GD2535" s="1" t="s">
        <v>202</v>
      </c>
      <c r="GE2535" s="1" t="s">
        <v>190</v>
      </c>
    </row>
    <row r="2536" spans="1:187" ht="11.25" customHeight="1">
      <c r="A2536" s="1" t="s">
        <v>3681</v>
      </c>
      <c r="B2536" s="1" t="str">
        <f ca="1">IFERROR(__xludf.DUMMYFUNCTION("GOOGLETRANSLATE(A2536, ""en"", ""fr"")"),"Cultiver # 2")</f>
        <v>Cultiver # 2</v>
      </c>
      <c r="C2536" s="1" t="s">
        <v>185</v>
      </c>
      <c r="D2536" s="1" t="s">
        <v>16612</v>
      </c>
      <c r="F2536" s="1" t="s">
        <v>2</v>
      </c>
      <c r="N2536" s="1" t="s">
        <v>10</v>
      </c>
      <c r="AL2536" s="1" t="s">
        <v>34</v>
      </c>
      <c r="DN2536" s="1" t="s">
        <v>114</v>
      </c>
      <c r="FP2536" s="1" t="s">
        <v>168</v>
      </c>
      <c r="GD2536" s="1" t="s">
        <v>189</v>
      </c>
      <c r="GE2536" s="1" t="s">
        <v>190</v>
      </c>
    </row>
    <row r="2537" spans="1:187" ht="11.25" customHeight="1">
      <c r="A2537" s="1" t="s">
        <v>3682</v>
      </c>
      <c r="B2537" s="1" t="str">
        <f ca="1">IFERROR(__xludf.DUMMYFUNCTION("GOOGLETRANSLATE(A2537, ""en"", ""fr"")"),"CULTIVATION")</f>
        <v>CULTIVATION</v>
      </c>
      <c r="C2537" s="1" t="s">
        <v>192</v>
      </c>
      <c r="D2537" s="1" t="s">
        <v>16612</v>
      </c>
      <c r="BV2537" s="1" t="s">
        <v>70</v>
      </c>
      <c r="BX2537" s="1" t="s">
        <v>72</v>
      </c>
      <c r="DD2537" s="1" t="s">
        <v>104</v>
      </c>
      <c r="GD2537" s="1" t="s">
        <v>193</v>
      </c>
      <c r="GE2537" s="1" t="s">
        <v>190</v>
      </c>
    </row>
    <row r="2538" spans="1:187" ht="11.25" customHeight="1">
      <c r="A2538" s="1" t="s">
        <v>3683</v>
      </c>
      <c r="B2538" s="1" t="str">
        <f ca="1">IFERROR(__xludf.DUMMYFUNCTION("GOOGLETRANSLATE(A2538, ""en"", ""fr"")"),"CULTUREL")</f>
        <v>CULTUREL</v>
      </c>
      <c r="C2538" s="1" t="s">
        <v>185</v>
      </c>
      <c r="Z2538" s="1" t="s">
        <v>22</v>
      </c>
      <c r="FH2538" s="1" t="s">
        <v>160</v>
      </c>
      <c r="FI2538" s="1" t="s">
        <v>161</v>
      </c>
      <c r="GD2538" s="1" t="s">
        <v>202</v>
      </c>
      <c r="GE2538" s="1" t="s">
        <v>190</v>
      </c>
    </row>
    <row r="2539" spans="1:187" ht="11.25" customHeight="1">
      <c r="A2539" s="1" t="s">
        <v>3684</v>
      </c>
      <c r="B2539" s="1" t="str">
        <f ca="1">IFERROR(__xludf.DUMMYFUNCTION("GOOGLETRANSLATE(A2539, ""en"", ""fr"")"),"Culture n ° 1")</f>
        <v>Culture n ° 1</v>
      </c>
      <c r="C2539" s="1" t="s">
        <v>185</v>
      </c>
      <c r="Z2539" s="1" t="s">
        <v>22</v>
      </c>
      <c r="CP2539" s="1" t="s">
        <v>90</v>
      </c>
      <c r="CQ2539" s="1" t="s">
        <v>91</v>
      </c>
      <c r="FH2539" s="1" t="s">
        <v>160</v>
      </c>
      <c r="FI2539" s="1" t="s">
        <v>161</v>
      </c>
      <c r="GD2539" s="1" t="s">
        <v>849</v>
      </c>
      <c r="GE2539" s="1" t="s">
        <v>3685</v>
      </c>
    </row>
    <row r="2540" spans="1:187" ht="11.25" customHeight="1">
      <c r="A2540" s="1" t="s">
        <v>3686</v>
      </c>
      <c r="B2540" s="1" t="str">
        <f ca="1">IFERROR(__xludf.DUMMYFUNCTION("GOOGLETRANSLATE(A2540, ""en"", ""fr"")"),"Culture n ° 2")</f>
        <v>Culture n ° 2</v>
      </c>
      <c r="C2540" s="1" t="s">
        <v>185</v>
      </c>
      <c r="D2540" s="1" t="s">
        <v>16612</v>
      </c>
      <c r="F2540" s="1" t="s">
        <v>2</v>
      </c>
      <c r="U2540" s="1" t="s">
        <v>17</v>
      </c>
      <c r="FH2540" s="1" t="s">
        <v>160</v>
      </c>
      <c r="FI2540" s="1" t="s">
        <v>161</v>
      </c>
      <c r="GD2540" s="1" t="s">
        <v>202</v>
      </c>
      <c r="GE2540" s="1" t="s">
        <v>3687</v>
      </c>
    </row>
    <row r="2541" spans="1:187" ht="11.25" customHeight="1">
      <c r="A2541" s="1" t="s">
        <v>3688</v>
      </c>
      <c r="B2541" s="1" t="str">
        <f ca="1">IFERROR(__xludf.DUMMYFUNCTION("GOOGLETRANSLATE(A2541, ""en"", ""fr"")"),"LOURD")</f>
        <v>LOURD</v>
      </c>
      <c r="C2541" s="1" t="s">
        <v>192</v>
      </c>
      <c r="E2541" s="1" t="s">
        <v>16613</v>
      </c>
      <c r="J2541" s="1" t="s">
        <v>6</v>
      </c>
      <c r="CM2541" s="1" t="s">
        <v>87</v>
      </c>
      <c r="CR2541" s="1" t="s">
        <v>92</v>
      </c>
      <c r="DR2541" s="1" t="s">
        <v>118</v>
      </c>
      <c r="GD2541" s="1" t="s">
        <v>202</v>
      </c>
      <c r="GE2541" s="1" t="s">
        <v>190</v>
      </c>
    </row>
    <row r="2542" spans="1:187" ht="11.25" customHeight="1">
      <c r="A2542" s="1" t="s">
        <v>3689</v>
      </c>
      <c r="B2542" s="1" t="str">
        <f ca="1">IFERROR(__xludf.DUMMYFUNCTION("GOOGLETRANSLATE(A2542, ""en"", ""fr"")"),"Cumulatif")</f>
        <v>Cumulatif</v>
      </c>
      <c r="C2542" s="1" t="s">
        <v>185</v>
      </c>
      <c r="J2542" s="1" t="s">
        <v>6</v>
      </c>
      <c r="CS2542" s="1" t="s">
        <v>93</v>
      </c>
      <c r="GD2542" s="1" t="s">
        <v>202</v>
      </c>
      <c r="GE2542" s="1" t="s">
        <v>190</v>
      </c>
    </row>
    <row r="2543" spans="1:187" ht="11.25" customHeight="1">
      <c r="A2543" s="1" t="s">
        <v>3690</v>
      </c>
      <c r="B2543" s="1" t="str">
        <f ca="1">IFERROR(__xludf.DUMMYFUNCTION("GOOGLETRANSLATE(A2543, ""en"", ""fr"")"),"TASSE")</f>
        <v>TASSE</v>
      </c>
      <c r="C2543" s="1" t="s">
        <v>185</v>
      </c>
      <c r="BC2543" s="1" t="s">
        <v>51</v>
      </c>
      <c r="BD2543" s="1" t="s">
        <v>52</v>
      </c>
      <c r="GD2543" s="1" t="s">
        <v>193</v>
      </c>
      <c r="GE2543" s="1" t="s">
        <v>3691</v>
      </c>
    </row>
    <row r="2544" spans="1:187" ht="11.25" customHeight="1">
      <c r="A2544" s="1" t="s">
        <v>3692</v>
      </c>
      <c r="B2544" s="1" t="str">
        <f ca="1">IFERROR(__xludf.DUMMYFUNCTION("GOOGLETRANSLATE(A2544, ""en"", ""fr"")"),"CUPIDON")</f>
        <v>CUPIDON</v>
      </c>
      <c r="C2544" s="1" t="s">
        <v>192</v>
      </c>
      <c r="D2544" s="1" t="s">
        <v>16612</v>
      </c>
      <c r="P2544" s="1" t="s">
        <v>12</v>
      </c>
      <c r="T2544" s="1" t="s">
        <v>16</v>
      </c>
      <c r="AT2544" s="1" t="s">
        <v>42</v>
      </c>
      <c r="GD2544" s="1" t="s">
        <v>193</v>
      </c>
      <c r="GE2544" s="1" t="s">
        <v>190</v>
      </c>
    </row>
    <row r="2545" spans="1:187" ht="11.25" customHeight="1">
      <c r="A2545" s="1" t="s">
        <v>3693</v>
      </c>
      <c r="B2545" s="1" t="str">
        <f ca="1">IFERROR(__xludf.DUMMYFUNCTION("GOOGLETRANSLATE(A2545, ""en"", ""fr"")"),"Curb # 1")</f>
        <v>Curb # 1</v>
      </c>
      <c r="C2545" s="1" t="s">
        <v>185</v>
      </c>
      <c r="BC2545" s="1" t="s">
        <v>51</v>
      </c>
      <c r="BD2545" s="1" t="s">
        <v>52</v>
      </c>
      <c r="EC2545" s="1" t="s">
        <v>129</v>
      </c>
      <c r="ED2545" s="1" t="s">
        <v>130</v>
      </c>
      <c r="GD2545" s="1" t="s">
        <v>193</v>
      </c>
      <c r="GE2545" s="1" t="s">
        <v>190</v>
      </c>
    </row>
    <row r="2546" spans="1:187" ht="11.25" customHeight="1">
      <c r="A2546" s="1" t="s">
        <v>3694</v>
      </c>
      <c r="B2546" s="1" t="str">
        <f ca="1">IFERROR(__xludf.DUMMYFUNCTION("GOOGLETRANSLATE(A2546, ""en"", ""fr"")"),"Curb # 2")</f>
        <v>Curb # 2</v>
      </c>
      <c r="C2546" s="1" t="s">
        <v>185</v>
      </c>
      <c r="J2546" s="1" t="s">
        <v>6</v>
      </c>
      <c r="K2546" s="1" t="s">
        <v>7</v>
      </c>
      <c r="N2546" s="1" t="s">
        <v>10</v>
      </c>
      <c r="AN2546" s="1" t="s">
        <v>36</v>
      </c>
      <c r="DN2546" s="1" t="s">
        <v>114</v>
      </c>
      <c r="EC2546" s="1" t="s">
        <v>129</v>
      </c>
      <c r="ED2546" s="1" t="s">
        <v>130</v>
      </c>
      <c r="GD2546" s="1" t="s">
        <v>189</v>
      </c>
      <c r="GE2546" s="1" t="s">
        <v>190</v>
      </c>
    </row>
    <row r="2547" spans="1:187" ht="11.25" customHeight="1">
      <c r="A2547" s="1" t="s">
        <v>3695</v>
      </c>
      <c r="B2547" s="1" t="str">
        <f ca="1">IFERROR(__xludf.DUMMYFUNCTION("GOOGLETRANSLATE(A2547, ""en"", ""fr"")"),"Cure n ° 1")</f>
        <v>Cure n ° 1</v>
      </c>
      <c r="C2547" s="1" t="s">
        <v>185</v>
      </c>
      <c r="D2547" s="1" t="s">
        <v>16612</v>
      </c>
      <c r="F2547" s="1" t="s">
        <v>2</v>
      </c>
      <c r="BQ2547" s="1" t="s">
        <v>65</v>
      </c>
      <c r="FH2547" s="1" t="s">
        <v>160</v>
      </c>
      <c r="FI2547" s="1" t="s">
        <v>161</v>
      </c>
      <c r="GD2547" s="1" t="s">
        <v>193</v>
      </c>
      <c r="GE2547" s="1" t="s">
        <v>3696</v>
      </c>
    </row>
    <row r="2548" spans="1:187" ht="11.25" customHeight="1">
      <c r="A2548" s="1" t="s">
        <v>3697</v>
      </c>
      <c r="B2548" s="1" t="str">
        <f ca="1">IFERROR(__xludf.DUMMYFUNCTION("GOOGLETRANSLATE(A2548, ""en"", ""fr"")"),"Cure n ° 2")</f>
        <v>Cure n ° 2</v>
      </c>
      <c r="C2548" s="1" t="s">
        <v>185</v>
      </c>
      <c r="D2548" s="1" t="s">
        <v>16612</v>
      </c>
      <c r="F2548" s="1" t="s">
        <v>2</v>
      </c>
      <c r="G2548" s="1" t="s">
        <v>3</v>
      </c>
      <c r="K2548" s="1" t="s">
        <v>7</v>
      </c>
      <c r="BS2548" s="1" t="s">
        <v>67</v>
      </c>
      <c r="DN2548" s="1" t="s">
        <v>114</v>
      </c>
      <c r="EX2548" s="1" t="s">
        <v>150</v>
      </c>
      <c r="FC2548" s="1" t="s">
        <v>155</v>
      </c>
      <c r="GD2548" s="1" t="s">
        <v>400</v>
      </c>
      <c r="GE2548" s="1" t="s">
        <v>3698</v>
      </c>
    </row>
    <row r="2549" spans="1:187" ht="11.25" customHeight="1">
      <c r="A2549" s="1" t="s">
        <v>3699</v>
      </c>
      <c r="B2549" s="1" t="str">
        <f ca="1">IFERROR(__xludf.DUMMYFUNCTION("GOOGLETRANSLATE(A2549, ""en"", ""fr"")"),"CURIOSITÉ")</f>
        <v>CURIOSITÉ</v>
      </c>
      <c r="C2549" s="1" t="s">
        <v>185</v>
      </c>
      <c r="O2549" s="1" t="s">
        <v>11</v>
      </c>
      <c r="T2549" s="1" t="s">
        <v>16</v>
      </c>
      <c r="BN2549" s="1" t="s">
        <v>62</v>
      </c>
      <c r="FH2549" s="1" t="s">
        <v>160</v>
      </c>
      <c r="FI2549" s="1" t="s">
        <v>161</v>
      </c>
      <c r="GD2549" s="1" t="s">
        <v>193</v>
      </c>
      <c r="GE2549" s="1" t="s">
        <v>190</v>
      </c>
    </row>
    <row r="2550" spans="1:187" ht="11.25" customHeight="1">
      <c r="A2550" s="1" t="s">
        <v>3700</v>
      </c>
      <c r="B2550" s="1" t="str">
        <f ca="1">IFERROR(__xludf.DUMMYFUNCTION("GOOGLETRANSLATE(A2550, ""en"", ""fr"")"),"CURIEUX")</f>
        <v>CURIEUX</v>
      </c>
      <c r="C2550" s="1" t="s">
        <v>185</v>
      </c>
      <c r="O2550" s="1" t="s">
        <v>11</v>
      </c>
      <c r="T2550" s="1" t="s">
        <v>16</v>
      </c>
      <c r="BN2550" s="1" t="s">
        <v>62</v>
      </c>
      <c r="FH2550" s="1" t="s">
        <v>160</v>
      </c>
      <c r="FI2550" s="1" t="s">
        <v>161</v>
      </c>
      <c r="GD2550" s="1" t="s">
        <v>202</v>
      </c>
      <c r="GE2550" s="1" t="s">
        <v>190</v>
      </c>
    </row>
    <row r="2551" spans="1:187" ht="11.25" customHeight="1">
      <c r="A2551" s="1" t="s">
        <v>3701</v>
      </c>
      <c r="B2551" s="1" t="str">
        <f ca="1">IFERROR(__xludf.DUMMYFUNCTION("GOOGLETRANSLATE(A2551, ""en"", ""fr"")"),"Curl # 1")</f>
        <v>Curl # 1</v>
      </c>
      <c r="C2551" s="1" t="s">
        <v>185</v>
      </c>
      <c r="CR2551" s="1" t="s">
        <v>92</v>
      </c>
      <c r="GD2551" s="1" t="s">
        <v>202</v>
      </c>
      <c r="GE2551" s="1" t="s">
        <v>190</v>
      </c>
    </row>
    <row r="2552" spans="1:187" ht="11.25" customHeight="1">
      <c r="A2552" s="1" t="s">
        <v>3702</v>
      </c>
      <c r="B2552" s="1" t="str">
        <f ca="1">IFERROR(__xludf.DUMMYFUNCTION("GOOGLETRANSLATE(A2552, ""en"", ""fr"")"),"Curl # 2")</f>
        <v>Curl # 2</v>
      </c>
      <c r="C2552" s="1" t="s">
        <v>185</v>
      </c>
      <c r="AL2552" s="1" t="s">
        <v>34</v>
      </c>
      <c r="DO2552" s="1" t="s">
        <v>115</v>
      </c>
      <c r="GD2552" s="1" t="s">
        <v>189</v>
      </c>
      <c r="GE2552" s="1" t="s">
        <v>190</v>
      </c>
    </row>
    <row r="2553" spans="1:187" ht="11.25" customHeight="1">
      <c r="A2553" s="1" t="s">
        <v>3703</v>
      </c>
      <c r="B2553" s="1" t="str">
        <f ca="1">IFERROR(__xludf.DUMMYFUNCTION("GOOGLETRANSLATE(A2553, ""en"", ""fr"")"),"DEVISE")</f>
        <v>DEVISE</v>
      </c>
      <c r="C2553" s="1" t="s">
        <v>185</v>
      </c>
      <c r="AA2553" s="1" t="s">
        <v>23</v>
      </c>
      <c r="AC2553" s="1" t="s">
        <v>25</v>
      </c>
      <c r="BC2553" s="1" t="s">
        <v>51</v>
      </c>
      <c r="BH2553" s="1" t="s">
        <v>56</v>
      </c>
      <c r="BL2553" s="1" t="s">
        <v>60</v>
      </c>
      <c r="EV2553" s="1" t="s">
        <v>148</v>
      </c>
      <c r="EW2553" s="1" t="s">
        <v>149</v>
      </c>
      <c r="GD2553" s="1" t="s">
        <v>193</v>
      </c>
      <c r="GE2553" s="1" t="s">
        <v>190</v>
      </c>
    </row>
    <row r="2554" spans="1:187" ht="11.25" customHeight="1">
      <c r="A2554" s="1" t="s">
        <v>3704</v>
      </c>
      <c r="B2554" s="1" t="str">
        <f ca="1">IFERROR(__xludf.DUMMYFUNCTION("GOOGLETRANSLATE(A2554, ""en"", ""fr"")"),"Actuel n ° 1")</f>
        <v>Actuel n ° 1</v>
      </c>
      <c r="C2554" s="1" t="s">
        <v>185</v>
      </c>
      <c r="CY2554" s="1" t="s">
        <v>99</v>
      </c>
      <c r="GB2554" s="1" t="s">
        <v>180</v>
      </c>
      <c r="GD2554" s="1" t="s">
        <v>193</v>
      </c>
      <c r="GE2554" s="1" t="s">
        <v>3705</v>
      </c>
    </row>
    <row r="2555" spans="1:187" ht="11.25" customHeight="1">
      <c r="A2555" s="1" t="s">
        <v>3706</v>
      </c>
      <c r="B2555" s="1" t="str">
        <f ca="1">IFERROR(__xludf.DUMMYFUNCTION("GOOGLETRANSLATE(A2555, ""en"", ""fr"")"),"Actuel n ° 2")</f>
        <v>Actuel n ° 2</v>
      </c>
      <c r="C2555" s="1" t="s">
        <v>185</v>
      </c>
      <c r="CE2555" s="1" t="s">
        <v>79</v>
      </c>
      <c r="GD2555" s="1" t="s">
        <v>193</v>
      </c>
      <c r="GE2555" s="1" t="s">
        <v>3707</v>
      </c>
    </row>
    <row r="2556" spans="1:187" ht="11.25" customHeight="1">
      <c r="A2556" s="1" t="s">
        <v>3708</v>
      </c>
      <c r="B2556" s="1" t="str">
        <f ca="1">IFERROR(__xludf.DUMMYFUNCTION("GOOGLETRANSLATE(A2556, ""en"", ""fr"")"),"Actuel n ° 3")</f>
        <v>Actuel n ° 3</v>
      </c>
      <c r="C2556" s="1" t="s">
        <v>185</v>
      </c>
      <c r="CY2556" s="1" t="s">
        <v>99</v>
      </c>
      <c r="GB2556" s="1" t="s">
        <v>180</v>
      </c>
      <c r="GD2556" s="1" t="s">
        <v>236</v>
      </c>
      <c r="GE2556" s="1" t="s">
        <v>3709</v>
      </c>
    </row>
    <row r="2557" spans="1:187" ht="11.25" customHeight="1">
      <c r="A2557" s="1" t="s">
        <v>3710</v>
      </c>
      <c r="B2557" s="1" t="str">
        <f ca="1">IFERROR(__xludf.DUMMYFUNCTION("GOOGLETRANSLATE(A2557, ""en"", ""fr"")"),"Malédiction n ° 1")</f>
        <v>Malédiction n ° 1</v>
      </c>
      <c r="C2557" s="1" t="s">
        <v>185</v>
      </c>
      <c r="E2557" s="1" t="s">
        <v>16613</v>
      </c>
      <c r="H2557" s="1" t="s">
        <v>4</v>
      </c>
      <c r="I2557" s="1" t="s">
        <v>5</v>
      </c>
      <c r="BK2557" s="1" t="s">
        <v>59</v>
      </c>
      <c r="BL2557" s="1" t="s">
        <v>60</v>
      </c>
      <c r="EF2557" s="1" t="s">
        <v>132</v>
      </c>
      <c r="EJ2557" s="1" t="s">
        <v>136</v>
      </c>
      <c r="GC2557" s="1" t="s">
        <v>181</v>
      </c>
      <c r="GD2557" s="1" t="s">
        <v>193</v>
      </c>
      <c r="GE2557" s="1" t="s">
        <v>190</v>
      </c>
    </row>
    <row r="2558" spans="1:187" ht="11.25" customHeight="1">
      <c r="A2558" s="1" t="s">
        <v>3711</v>
      </c>
      <c r="B2558" s="1" t="str">
        <f ca="1">IFERROR(__xludf.DUMMYFUNCTION("GOOGLETRANSLATE(A2558, ""en"", ""fr"")"),"Malédiction n ° 2")</f>
        <v>Malédiction n ° 2</v>
      </c>
      <c r="C2558" s="1" t="s">
        <v>185</v>
      </c>
      <c r="E2558" s="1" t="s">
        <v>16613</v>
      </c>
      <c r="H2558" s="1" t="s">
        <v>4</v>
      </c>
      <c r="I2558" s="1" t="s">
        <v>5</v>
      </c>
      <c r="BK2558" s="1" t="s">
        <v>59</v>
      </c>
      <c r="DN2558" s="1" t="s">
        <v>114</v>
      </c>
      <c r="EF2558" s="1" t="s">
        <v>132</v>
      </c>
      <c r="EJ2558" s="1" t="s">
        <v>136</v>
      </c>
      <c r="GD2558" s="1" t="s">
        <v>189</v>
      </c>
      <c r="GE2558" s="1" t="s">
        <v>190</v>
      </c>
    </row>
    <row r="2559" spans="1:187" ht="11.25" customHeight="1">
      <c r="A2559" s="1" t="s">
        <v>3712</v>
      </c>
      <c r="B2559" s="1" t="str">
        <f ca="1">IFERROR(__xludf.DUMMYFUNCTION("GOOGLETRANSLATE(A2559, ""en"", ""fr"")"),"SUPERFICIEL")</f>
        <v>SUPERFICIEL</v>
      </c>
      <c r="C2559" s="1" t="s">
        <v>192</v>
      </c>
      <c r="E2559" s="1" t="s">
        <v>16613</v>
      </c>
      <c r="O2559" s="1" t="s">
        <v>11</v>
      </c>
      <c r="V2559" s="1" t="s">
        <v>18</v>
      </c>
      <c r="X2559" s="1" t="s">
        <v>20</v>
      </c>
      <c r="DR2559" s="1" t="s">
        <v>118</v>
      </c>
      <c r="GD2559" s="1" t="s">
        <v>202</v>
      </c>
      <c r="GE2559" s="1" t="s">
        <v>190</v>
      </c>
    </row>
    <row r="2560" spans="1:187" ht="11.25" customHeight="1">
      <c r="A2560" s="1" t="s">
        <v>3713</v>
      </c>
      <c r="B2560" s="1" t="str">
        <f ca="1">IFERROR(__xludf.DUMMYFUNCTION("GOOGLETRANSLATE(A2560, ""en"", ""fr"")"),"SEC")</f>
        <v>SEC</v>
      </c>
      <c r="C2560" s="1" t="s">
        <v>185</v>
      </c>
      <c r="E2560" s="1" t="s">
        <v>16613</v>
      </c>
      <c r="H2560" s="1" t="s">
        <v>4</v>
      </c>
      <c r="I2560" s="1" t="s">
        <v>5</v>
      </c>
      <c r="BK2560" s="1" t="s">
        <v>59</v>
      </c>
      <c r="FW2560" s="1" t="s">
        <v>175</v>
      </c>
      <c r="GC2560" s="1" t="s">
        <v>181</v>
      </c>
      <c r="GD2560" s="1" t="s">
        <v>202</v>
      </c>
      <c r="GE2560" s="1" t="s">
        <v>190</v>
      </c>
    </row>
    <row r="2561" spans="1:187" ht="11.25" customHeight="1">
      <c r="A2561" s="1" t="s">
        <v>3714</v>
      </c>
      <c r="B2561" s="1" t="str">
        <f ca="1">IFERROR(__xludf.DUMMYFUNCTION("GOOGLETRANSLATE(A2561, ""en"", ""fr"")"),"RÉDUIRE")</f>
        <v>RÉDUIRE</v>
      </c>
      <c r="C2561" s="1" t="s">
        <v>192</v>
      </c>
      <c r="E2561" s="1" t="s">
        <v>16613</v>
      </c>
      <c r="N2561" s="1" t="s">
        <v>10</v>
      </c>
      <c r="CA2561" s="1" t="s">
        <v>75</v>
      </c>
      <c r="DN2561" s="1" t="s">
        <v>114</v>
      </c>
      <c r="GD2561" s="1" t="s">
        <v>189</v>
      </c>
      <c r="GE2561" s="1" t="s">
        <v>190</v>
      </c>
    </row>
    <row r="2562" spans="1:187" ht="11.25" customHeight="1">
      <c r="A2562" s="1" t="s">
        <v>3715</v>
      </c>
      <c r="B2562" s="1" t="str">
        <f ca="1">IFERROR(__xludf.DUMMYFUNCTION("GOOGLETRANSLATE(A2562, ""en"", ""fr"")"),"RIDEAU")</f>
        <v>RIDEAU</v>
      </c>
      <c r="C2562" s="1" t="s">
        <v>185</v>
      </c>
      <c r="BC2562" s="1" t="s">
        <v>51</v>
      </c>
      <c r="BD2562" s="1" t="s">
        <v>52</v>
      </c>
      <c r="GD2562" s="1" t="s">
        <v>193</v>
      </c>
      <c r="GE2562" s="1" t="s">
        <v>190</v>
      </c>
    </row>
    <row r="2563" spans="1:187" ht="11.25" customHeight="1">
      <c r="A2563" s="1" t="s">
        <v>3716</v>
      </c>
      <c r="B2563" s="1" t="str">
        <f ca="1">IFERROR(__xludf.DUMMYFUNCTION("GOOGLETRANSLATE(A2563, ""en"", ""fr"")"),"RÉVÉRENCE")</f>
        <v>RÉVÉRENCE</v>
      </c>
      <c r="C2563" s="1" t="s">
        <v>192</v>
      </c>
      <c r="D2563" s="1" t="s">
        <v>16612</v>
      </c>
      <c r="N2563" s="1" t="s">
        <v>10</v>
      </c>
      <c r="AN2563" s="1" t="s">
        <v>36</v>
      </c>
      <c r="DO2563" s="1" t="s">
        <v>115</v>
      </c>
      <c r="GD2563" s="1" t="s">
        <v>189</v>
      </c>
      <c r="GE2563" s="1" t="s">
        <v>190</v>
      </c>
    </row>
    <row r="2564" spans="1:187" ht="11.25" customHeight="1">
      <c r="A2564" s="1" t="s">
        <v>3717</v>
      </c>
      <c r="B2564" s="1" t="str">
        <f ca="1">IFERROR(__xludf.DUMMYFUNCTION("GOOGLETRANSLATE(A2564, ""en"", ""fr"")"),"COURBE")</f>
        <v>COURBE</v>
      </c>
      <c r="C2564" s="1" t="s">
        <v>185</v>
      </c>
      <c r="CR2564" s="1" t="s">
        <v>92</v>
      </c>
      <c r="GB2564" s="1" t="s">
        <v>180</v>
      </c>
      <c r="GD2564" s="1" t="s">
        <v>202</v>
      </c>
      <c r="GE2564" s="1" t="s">
        <v>190</v>
      </c>
    </row>
    <row r="2565" spans="1:187" ht="11.25" customHeight="1">
      <c r="A2565" s="1" t="s">
        <v>3718</v>
      </c>
      <c r="B2565" s="1" t="str">
        <f ca="1">IFERROR(__xludf.DUMMYFUNCTION("GOOGLETRANSLATE(A2565, ""en"", ""fr"")"),"Custom # 1")</f>
        <v>Custom # 1</v>
      </c>
      <c r="C2565" s="1" t="s">
        <v>185</v>
      </c>
      <c r="W2565" s="1" t="s">
        <v>19</v>
      </c>
      <c r="AM2565" s="1" t="s">
        <v>35</v>
      </c>
      <c r="EI2565" s="1" t="s">
        <v>135</v>
      </c>
      <c r="EJ2565" s="1" t="s">
        <v>136</v>
      </c>
      <c r="GD2565" s="1" t="s">
        <v>193</v>
      </c>
      <c r="GE2565" s="1" t="s">
        <v>3719</v>
      </c>
    </row>
    <row r="2566" spans="1:187" ht="11.25" customHeight="1">
      <c r="A2566" s="1" t="s">
        <v>3720</v>
      </c>
      <c r="B2566" s="1" t="str">
        <f ca="1">IFERROR(__xludf.DUMMYFUNCTION("GOOGLETRANSLATE(A2566, ""en"", ""fr"")"),"Custom # 2")</f>
        <v>Custom # 2</v>
      </c>
      <c r="C2566" s="1" t="s">
        <v>185</v>
      </c>
      <c r="AA2566" s="1" t="s">
        <v>23</v>
      </c>
      <c r="AC2566" s="1" t="s">
        <v>25</v>
      </c>
      <c r="AH2566" s="1" t="s">
        <v>30</v>
      </c>
      <c r="BK2566" s="1" t="s">
        <v>59</v>
      </c>
      <c r="BL2566" s="1" t="s">
        <v>60</v>
      </c>
      <c r="EV2566" s="1" t="s">
        <v>148</v>
      </c>
      <c r="EW2566" s="1" t="s">
        <v>149</v>
      </c>
      <c r="GD2566" s="1" t="s">
        <v>193</v>
      </c>
      <c r="GE2566" s="1" t="s">
        <v>3721</v>
      </c>
    </row>
    <row r="2567" spans="1:187" ht="11.25" customHeight="1">
      <c r="A2567" s="1" t="s">
        <v>3722</v>
      </c>
      <c r="B2567" s="1" t="str">
        <f ca="1">IFERROR(__xludf.DUMMYFUNCTION("GOOGLETRANSLATE(A2567, ""en"", ""fr"")"),"COUTUMIER")</f>
        <v>COUTUMIER</v>
      </c>
      <c r="C2567" s="1" t="s">
        <v>185</v>
      </c>
      <c r="X2567" s="1" t="s">
        <v>20</v>
      </c>
      <c r="CH2567" s="1" t="s">
        <v>82</v>
      </c>
      <c r="EI2567" s="1" t="s">
        <v>135</v>
      </c>
      <c r="EJ2567" s="1" t="s">
        <v>136</v>
      </c>
      <c r="GD2567" s="1" t="s">
        <v>202</v>
      </c>
      <c r="GE2567" s="1" t="s">
        <v>190</v>
      </c>
    </row>
    <row r="2568" spans="1:187" ht="11.25" customHeight="1">
      <c r="A2568" s="1" t="s">
        <v>3723</v>
      </c>
      <c r="B2568" s="1" t="str">
        <f ca="1">IFERROR(__xludf.DUMMYFUNCTION("GOOGLETRANSLATE(A2568, ""en"", ""fr"")"),"CLIENT")</f>
        <v>CLIENT</v>
      </c>
      <c r="C2568" s="1" t="s">
        <v>185</v>
      </c>
      <c r="AA2568" s="1" t="s">
        <v>23</v>
      </c>
      <c r="AC2568" s="1" t="s">
        <v>25</v>
      </c>
      <c r="AJ2568" s="1" t="s">
        <v>32</v>
      </c>
      <c r="AT2568" s="1" t="s">
        <v>42</v>
      </c>
      <c r="ET2568" s="1" t="s">
        <v>146</v>
      </c>
      <c r="EW2568" s="1" t="s">
        <v>149</v>
      </c>
      <c r="GD2568" s="1" t="s">
        <v>193</v>
      </c>
      <c r="GE2568" s="1" t="s">
        <v>190</v>
      </c>
    </row>
    <row r="2569" spans="1:187" ht="11.25" customHeight="1">
      <c r="A2569" s="1" t="s">
        <v>3724</v>
      </c>
      <c r="B2569" s="1" t="str">
        <f ca="1">IFERROR(__xludf.DUMMYFUNCTION("GOOGLETRANSLATE(A2569, ""en"", ""fr"")"),"Couper n ° 1")</f>
        <v>Couper n ° 1</v>
      </c>
      <c r="C2569" s="1" t="s">
        <v>185</v>
      </c>
      <c r="E2569" s="1" t="s">
        <v>16613</v>
      </c>
      <c r="H2569" s="1" t="s">
        <v>4</v>
      </c>
      <c r="I2569" s="1" t="s">
        <v>5</v>
      </c>
      <c r="J2569" s="1" t="s">
        <v>6</v>
      </c>
      <c r="N2569" s="1" t="s">
        <v>10</v>
      </c>
      <c r="CC2569" s="1" t="s">
        <v>77</v>
      </c>
      <c r="DO2569" s="1" t="s">
        <v>115</v>
      </c>
      <c r="GD2569" s="1" t="s">
        <v>400</v>
      </c>
      <c r="GE2569" s="1" t="s">
        <v>3725</v>
      </c>
    </row>
    <row r="2570" spans="1:187" ht="11.25" customHeight="1">
      <c r="A2570" s="1" t="s">
        <v>3726</v>
      </c>
      <c r="B2570" s="1" t="str">
        <f ca="1">IFERROR(__xludf.DUMMYFUNCTION("GOOGLETRANSLATE(A2570, ""en"", ""fr"")"),"Couper # 2")</f>
        <v>Couper # 2</v>
      </c>
      <c r="C2570" s="1" t="s">
        <v>185</v>
      </c>
      <c r="E2570" s="1" t="s">
        <v>16613</v>
      </c>
      <c r="H2570" s="1" t="s">
        <v>4</v>
      </c>
      <c r="J2570" s="1" t="s">
        <v>6</v>
      </c>
      <c r="N2570" s="1" t="s">
        <v>10</v>
      </c>
      <c r="BY2570" s="1" t="s">
        <v>73</v>
      </c>
      <c r="DN2570" s="1" t="s">
        <v>114</v>
      </c>
      <c r="FO2570" s="1" t="s">
        <v>167</v>
      </c>
      <c r="GD2570" s="1" t="s">
        <v>189</v>
      </c>
      <c r="GE2570" s="1" t="s">
        <v>3727</v>
      </c>
    </row>
    <row r="2571" spans="1:187" ht="11.25" customHeight="1">
      <c r="A2571" s="1" t="s">
        <v>3728</v>
      </c>
      <c r="B2571" s="1" t="str">
        <f ca="1">IFERROR(__xludf.DUMMYFUNCTION("GOOGLETRANSLATE(A2571, ""en"", ""fr"")"),"Couper # 3")</f>
        <v>Couper # 3</v>
      </c>
      <c r="C2571" s="1" t="s">
        <v>185</v>
      </c>
      <c r="U2571" s="1" t="s">
        <v>17</v>
      </c>
      <c r="FL2571" s="1" t="s">
        <v>164</v>
      </c>
      <c r="FM2571" s="1" t="s">
        <v>418</v>
      </c>
      <c r="GD2571" s="1" t="s">
        <v>202</v>
      </c>
      <c r="GE2571" s="1" t="s">
        <v>3729</v>
      </c>
    </row>
    <row r="2572" spans="1:187" ht="11.25" customHeight="1">
      <c r="A2572" s="1" t="s">
        <v>3730</v>
      </c>
      <c r="B2572" s="1" t="str">
        <f ca="1">IFERROR(__xludf.DUMMYFUNCTION("GOOGLETRANSLATE(A2572, ""en"", ""fr"")"),"MIGNON")</f>
        <v>MIGNON</v>
      </c>
      <c r="C2572" s="1" t="s">
        <v>192</v>
      </c>
      <c r="D2572" s="1" t="s">
        <v>16612</v>
      </c>
      <c r="U2572" s="1" t="s">
        <v>17</v>
      </c>
      <c r="CM2572" s="1" t="s">
        <v>87</v>
      </c>
      <c r="DR2572" s="1" t="s">
        <v>118</v>
      </c>
      <c r="GD2572" s="1" t="s">
        <v>202</v>
      </c>
      <c r="GE2572" s="1" t="s">
        <v>190</v>
      </c>
    </row>
    <row r="2573" spans="1:187" ht="11.25" customHeight="1">
      <c r="A2573" s="1" t="s">
        <v>3731</v>
      </c>
      <c r="B2573" s="1" t="str">
        <f ca="1">IFERROR(__xludf.DUMMYFUNCTION("GOOGLETRANSLATE(A2573, ""en"", ""fr"")"),"FAIRE DU VÉLO")</f>
        <v>FAIRE DU VÉLO</v>
      </c>
      <c r="C2573" s="1" t="s">
        <v>185</v>
      </c>
      <c r="BU2573" s="1" t="s">
        <v>69</v>
      </c>
      <c r="CP2573" s="1" t="s">
        <v>90</v>
      </c>
      <c r="CQ2573" s="1" t="s">
        <v>91</v>
      </c>
      <c r="GB2573" s="1" t="s">
        <v>180</v>
      </c>
      <c r="GD2573" s="1" t="s">
        <v>193</v>
      </c>
      <c r="GE2573" s="1" t="s">
        <v>190</v>
      </c>
    </row>
    <row r="2574" spans="1:187" ht="11.25" customHeight="1">
      <c r="A2574" s="1" t="s">
        <v>3732</v>
      </c>
      <c r="B2574" s="1" t="str">
        <f ca="1">IFERROR(__xludf.DUMMYFUNCTION("GOOGLETRANSLATE(A2574, ""en"", ""fr"")"),"CYLINDRE")</f>
        <v>CYLINDRE</v>
      </c>
      <c r="C2574" s="1" t="s">
        <v>185</v>
      </c>
      <c r="BC2574" s="1" t="s">
        <v>51</v>
      </c>
      <c r="BD2574" s="1" t="s">
        <v>52</v>
      </c>
      <c r="GD2574" s="1" t="s">
        <v>193</v>
      </c>
      <c r="GE2574" s="1" t="s">
        <v>190</v>
      </c>
    </row>
    <row r="2575" spans="1:187" ht="11.25" customHeight="1">
      <c r="A2575" s="1" t="s">
        <v>3733</v>
      </c>
      <c r="B2575" s="1" t="str">
        <f ca="1">IFERROR(__xludf.DUMMYFUNCTION("GOOGLETRANSLATE(A2575, ""en"", ""fr"")"),"CYNIQUE")</f>
        <v>CYNIQUE</v>
      </c>
      <c r="C2575" s="1" t="s">
        <v>185</v>
      </c>
      <c r="E2575" s="1" t="s">
        <v>16613</v>
      </c>
      <c r="H2575" s="1" t="s">
        <v>4</v>
      </c>
      <c r="I2575" s="1" t="s">
        <v>5</v>
      </c>
      <c r="V2575" s="1" t="s">
        <v>18</v>
      </c>
      <c r="GD2575" s="1" t="s">
        <v>202</v>
      </c>
      <c r="GE2575" s="1" t="s">
        <v>190</v>
      </c>
    </row>
    <row r="2576" spans="1:187" ht="11.25" customHeight="1">
      <c r="A2576" s="1" t="s">
        <v>3734</v>
      </c>
      <c r="B2576" s="1" t="str">
        <f ca="1">IFERROR(__xludf.DUMMYFUNCTION("GOOGLETRANSLATE(A2576, ""en"", ""fr"")"),"CYNISME")</f>
        <v>CYNISME</v>
      </c>
      <c r="C2576" s="1" t="s">
        <v>192</v>
      </c>
      <c r="E2576" s="1" t="s">
        <v>16613</v>
      </c>
      <c r="V2576" s="1" t="s">
        <v>18</v>
      </c>
      <c r="W2576" s="1" t="s">
        <v>19</v>
      </c>
      <c r="DR2576" s="1" t="s">
        <v>118</v>
      </c>
      <c r="GD2576" s="1" t="s">
        <v>202</v>
      </c>
      <c r="GE2576" s="1" t="s">
        <v>190</v>
      </c>
    </row>
    <row r="2577" spans="1:187" ht="11.25" customHeight="1">
      <c r="A2577" s="1" t="s">
        <v>3735</v>
      </c>
      <c r="B2577" s="1" t="str">
        <f ca="1">IFERROR(__xludf.DUMMYFUNCTION("GOOGLETRANSLATE(A2577, ""en"", ""fr"")"),"CHYPRE")</f>
        <v>CHYPRE</v>
      </c>
      <c r="C2577" s="1" t="s">
        <v>196</v>
      </c>
      <c r="FU2577" s="1" t="s">
        <v>173</v>
      </c>
      <c r="GD2577" s="1" t="s">
        <v>3591</v>
      </c>
    </row>
    <row r="2578" spans="1:187" ht="11.25" customHeight="1">
      <c r="A2578" s="1" t="s">
        <v>3736</v>
      </c>
      <c r="B2578" s="1" t="str">
        <f ca="1">IFERROR(__xludf.DUMMYFUNCTION("GOOGLETRANSLATE(A2578, ""en"", ""fr"")"),"TCHÈQUE")</f>
        <v>TCHÈQUE</v>
      </c>
      <c r="C2578" s="1" t="s">
        <v>196</v>
      </c>
      <c r="FU2578" s="1" t="s">
        <v>173</v>
      </c>
      <c r="GD2578" s="1" t="s">
        <v>545</v>
      </c>
    </row>
    <row r="2579" spans="1:187" ht="11.25" customHeight="1">
      <c r="A2579" s="1" t="s">
        <v>3737</v>
      </c>
      <c r="B2579" s="1" t="str">
        <f ca="1">IFERROR(__xludf.DUMMYFUNCTION("GOOGLETRANSLATE(A2579, ""en"", ""fr"")"),"Tchécoslovaquie")</f>
        <v>Tchécoslovaquie</v>
      </c>
      <c r="C2579" s="1" t="s">
        <v>196</v>
      </c>
      <c r="FU2579" s="1" t="s">
        <v>173</v>
      </c>
      <c r="GD2579" s="1" t="s">
        <v>545</v>
      </c>
    </row>
    <row r="2580" spans="1:187" ht="11.25" customHeight="1">
      <c r="A2580" s="1" t="s">
        <v>3738</v>
      </c>
      <c r="B2580" s="1" t="str">
        <f ca="1">IFERROR(__xludf.DUMMYFUNCTION("GOOGLETRANSLATE(A2580, ""en"", ""fr"")"),"PAPA")</f>
        <v>PAPA</v>
      </c>
      <c r="C2580" s="1" t="s">
        <v>185</v>
      </c>
      <c r="AJ2580" s="1" t="s">
        <v>32</v>
      </c>
      <c r="AP2580" s="1" t="s">
        <v>38</v>
      </c>
      <c r="AQ2580" s="1" t="s">
        <v>39</v>
      </c>
      <c r="AT2580" s="1" t="s">
        <v>42</v>
      </c>
      <c r="EQ2580" s="1" t="s">
        <v>143</v>
      </c>
      <c r="ES2580" s="1" t="s">
        <v>145</v>
      </c>
      <c r="GD2580" s="1" t="s">
        <v>837</v>
      </c>
      <c r="GE2580" s="1" t="s">
        <v>3739</v>
      </c>
    </row>
    <row r="2581" spans="1:187" ht="11.25" customHeight="1">
      <c r="A2581" s="1" t="s">
        <v>3740</v>
      </c>
      <c r="B2581" s="1" t="str">
        <f ca="1">IFERROR(__xludf.DUMMYFUNCTION("GOOGLETRANSLATE(A2581, ""en"", ""fr"")"),"PAPA")</f>
        <v>PAPA</v>
      </c>
      <c r="C2581" s="1" t="s">
        <v>185</v>
      </c>
      <c r="AJ2581" s="1" t="s">
        <v>32</v>
      </c>
      <c r="AP2581" s="1" t="s">
        <v>38</v>
      </c>
      <c r="AQ2581" s="1" t="s">
        <v>39</v>
      </c>
      <c r="AT2581" s="1" t="s">
        <v>42</v>
      </c>
      <c r="EQ2581" s="1" t="s">
        <v>143</v>
      </c>
      <c r="ES2581" s="1" t="s">
        <v>145</v>
      </c>
      <c r="GD2581" s="1" t="s">
        <v>837</v>
      </c>
      <c r="GE2581" s="1" t="s">
        <v>3741</v>
      </c>
    </row>
    <row r="2582" spans="1:187" ht="11.25" customHeight="1">
      <c r="A2582" s="1" t="s">
        <v>3742</v>
      </c>
      <c r="B2582" s="1" t="str">
        <f ca="1">IFERROR(__xludf.DUMMYFUNCTION("GOOGLETRANSLATE(A2582, ""en"", ""fr"")"),"DAGUE")</f>
        <v>DAGUE</v>
      </c>
      <c r="C2582" s="1" t="s">
        <v>185</v>
      </c>
      <c r="I2582" s="1" t="s">
        <v>5</v>
      </c>
      <c r="BC2582" s="1" t="s">
        <v>51</v>
      </c>
      <c r="BD2582" s="1" t="s">
        <v>52</v>
      </c>
      <c r="FW2582" s="1" t="s">
        <v>175</v>
      </c>
      <c r="GD2582" s="1" t="s">
        <v>193</v>
      </c>
      <c r="GE2582" s="1" t="s">
        <v>190</v>
      </c>
    </row>
    <row r="2583" spans="1:187" ht="11.25" customHeight="1">
      <c r="A2583" s="1" t="s">
        <v>3743</v>
      </c>
      <c r="B2583" s="1" t="str">
        <f ca="1">IFERROR(__xludf.DUMMYFUNCTION("GOOGLETRANSLATE(A2583, ""en"", ""fr"")"),"Dahomey")</f>
        <v>Dahomey</v>
      </c>
      <c r="C2583" s="1" t="s">
        <v>196</v>
      </c>
      <c r="FU2583" s="1" t="s">
        <v>173</v>
      </c>
      <c r="GD2583" s="1" t="s">
        <v>545</v>
      </c>
    </row>
    <row r="2584" spans="1:187" ht="11.25" customHeight="1">
      <c r="A2584" s="1" t="s">
        <v>3744</v>
      </c>
      <c r="B2584" s="1" t="str">
        <f ca="1">IFERROR(__xludf.DUMMYFUNCTION("GOOGLETRANSLATE(A2584, ""en"", ""fr"")"),"TOUS LES JOURS")</f>
        <v>TOUS LES JOURS</v>
      </c>
      <c r="C2584" s="1" t="s">
        <v>185</v>
      </c>
      <c r="W2584" s="1" t="s">
        <v>19</v>
      </c>
      <c r="CW2584" s="1" t="s">
        <v>97</v>
      </c>
      <c r="GB2584" s="1" t="s">
        <v>180</v>
      </c>
      <c r="GD2584" s="1" t="s">
        <v>236</v>
      </c>
      <c r="GE2584" s="1" t="s">
        <v>190</v>
      </c>
    </row>
    <row r="2585" spans="1:187" ht="11.25" customHeight="1">
      <c r="A2585" s="1" t="s">
        <v>3745</v>
      </c>
      <c r="B2585" s="1" t="str">
        <f ca="1">IFERROR(__xludf.DUMMYFUNCTION("GOOGLETRANSLATE(A2585, ""en"", ""fr"")"),"LAITIER")</f>
        <v>LAITIER</v>
      </c>
      <c r="C2585" s="1" t="s">
        <v>185</v>
      </c>
      <c r="AC2585" s="1" t="s">
        <v>25</v>
      </c>
      <c r="AV2585" s="1" t="s">
        <v>44</v>
      </c>
      <c r="AW2585" s="1" t="s">
        <v>45</v>
      </c>
      <c r="GD2585" s="1" t="s">
        <v>193</v>
      </c>
      <c r="GE2585" s="1" t="s">
        <v>190</v>
      </c>
    </row>
    <row r="2586" spans="1:187" ht="11.25" customHeight="1">
      <c r="A2586" s="1" t="s">
        <v>3746</v>
      </c>
      <c r="B2586" s="1" t="str">
        <f ca="1">IFERROR(__xludf.DUMMYFUNCTION("GOOGLETRANSLATE(A2586, ""en"", ""fr"")"),"Dakota")</f>
        <v>Dakota</v>
      </c>
      <c r="C2586" s="1" t="s">
        <v>196</v>
      </c>
      <c r="GD2586" s="1" t="s">
        <v>653</v>
      </c>
    </row>
    <row r="2587" spans="1:187" ht="11.25" customHeight="1">
      <c r="A2587" s="1" t="s">
        <v>3747</v>
      </c>
      <c r="B2587" s="1" t="str">
        <f ca="1">IFERROR(__xludf.DUMMYFUNCTION("GOOGLETRANSLATE(A2587, ""en"", ""fr"")"),"Dommages n ° 1")</f>
        <v>Dommages n ° 1</v>
      </c>
      <c r="C2587" s="1" t="s">
        <v>185</v>
      </c>
      <c r="E2587" s="1" t="s">
        <v>16613</v>
      </c>
      <c r="H2587" s="1" t="s">
        <v>4</v>
      </c>
      <c r="J2587" s="1" t="s">
        <v>6</v>
      </c>
      <c r="N2587" s="1" t="s">
        <v>10</v>
      </c>
      <c r="V2587" s="1" t="s">
        <v>18</v>
      </c>
      <c r="FO2587" s="1" t="s">
        <v>167</v>
      </c>
      <c r="GD2587" s="1" t="s">
        <v>193</v>
      </c>
      <c r="GE2587" s="1" t="s">
        <v>190</v>
      </c>
    </row>
    <row r="2588" spans="1:187" ht="11.25" customHeight="1">
      <c r="A2588" s="1" t="s">
        <v>3748</v>
      </c>
      <c r="B2588" s="1" t="str">
        <f ca="1">IFERROR(__xludf.DUMMYFUNCTION("GOOGLETRANSLATE(A2588, ""en"", ""fr"")"),"Dommages n ° 2")</f>
        <v>Dommages n ° 2</v>
      </c>
      <c r="C2588" s="1" t="s">
        <v>185</v>
      </c>
      <c r="E2588" s="1" t="s">
        <v>16613</v>
      </c>
      <c r="H2588" s="1" t="s">
        <v>4</v>
      </c>
      <c r="I2588" s="1" t="s">
        <v>5</v>
      </c>
      <c r="J2588" s="1" t="s">
        <v>6</v>
      </c>
      <c r="N2588" s="1" t="s">
        <v>10</v>
      </c>
      <c r="CC2588" s="1" t="s">
        <v>77</v>
      </c>
      <c r="DN2588" s="1" t="s">
        <v>114</v>
      </c>
      <c r="FO2588" s="1" t="s">
        <v>167</v>
      </c>
      <c r="GD2588" s="1" t="s">
        <v>189</v>
      </c>
      <c r="GE2588" s="1" t="s">
        <v>190</v>
      </c>
    </row>
    <row r="2589" spans="1:187" ht="11.25" customHeight="1">
      <c r="A2589" s="1" t="s">
        <v>3749</v>
      </c>
      <c r="B2589" s="1" t="str">
        <f ca="1">IFERROR(__xludf.DUMMYFUNCTION("GOOGLETRANSLATE(A2589, ""en"", ""fr"")"),"CONDAMNER")</f>
        <v>CONDAMNER</v>
      </c>
      <c r="C2589" s="1" t="s">
        <v>185</v>
      </c>
      <c r="E2589" s="1" t="s">
        <v>16613</v>
      </c>
      <c r="H2589" s="1" t="s">
        <v>4</v>
      </c>
      <c r="I2589" s="1" t="s">
        <v>5</v>
      </c>
      <c r="DM2589" s="1" t="s">
        <v>113</v>
      </c>
      <c r="FW2589" s="1" t="s">
        <v>175</v>
      </c>
      <c r="GD2589" s="1" t="s">
        <v>3750</v>
      </c>
      <c r="GE2589" s="1" t="s">
        <v>190</v>
      </c>
    </row>
    <row r="2590" spans="1:187" ht="11.25" customHeight="1">
      <c r="A2590" s="1" t="s">
        <v>3751</v>
      </c>
      <c r="B2590" s="1" t="str">
        <f ca="1">IFERROR(__xludf.DUMMYFUNCTION("GOOGLETRANSLATE(A2590, ""en"", ""fr"")"),"Damable")</f>
        <v>Damable</v>
      </c>
      <c r="C2590" s="1" t="s">
        <v>192</v>
      </c>
      <c r="E2590" s="1" t="s">
        <v>16613</v>
      </c>
      <c r="I2590" s="1" t="s">
        <v>5</v>
      </c>
      <c r="V2590" s="1" t="s">
        <v>18</v>
      </c>
      <c r="CM2590" s="1" t="s">
        <v>87</v>
      </c>
      <c r="DR2590" s="1" t="s">
        <v>118</v>
      </c>
      <c r="GD2590" s="1" t="s">
        <v>202</v>
      </c>
      <c r="GE2590" s="1" t="s">
        <v>190</v>
      </c>
    </row>
    <row r="2591" spans="1:187" ht="11.25" customHeight="1">
      <c r="A2591" s="1" t="s">
        <v>3752</v>
      </c>
      <c r="B2591" s="1" t="str">
        <f ca="1">IFERROR(__xludf.DUMMYFUNCTION("GOOGLETRANSLATE(A2591, ""en"", ""fr"")"),"DAMNÉ")</f>
        <v>DAMNÉ</v>
      </c>
      <c r="C2591" s="1" t="s">
        <v>192</v>
      </c>
      <c r="E2591" s="1" t="s">
        <v>16613</v>
      </c>
      <c r="I2591" s="1" t="s">
        <v>5</v>
      </c>
      <c r="V2591" s="1" t="s">
        <v>18</v>
      </c>
      <c r="CM2591" s="1" t="s">
        <v>87</v>
      </c>
      <c r="DR2591" s="1" t="s">
        <v>118</v>
      </c>
      <c r="GD2591" s="1" t="s">
        <v>202</v>
      </c>
      <c r="GE2591" s="1" t="s">
        <v>190</v>
      </c>
    </row>
    <row r="2592" spans="1:187" ht="11.25" customHeight="1">
      <c r="A2592" s="1" t="s">
        <v>3753</v>
      </c>
      <c r="B2592" s="1" t="str">
        <f ca="1">IFERROR(__xludf.DUMMYFUNCTION("GOOGLETRANSLATE(A2592, ""en"", ""fr"")"),"HUMIDE")</f>
        <v>HUMIDE</v>
      </c>
      <c r="C2592" s="1" t="s">
        <v>185</v>
      </c>
      <c r="CR2592" s="1" t="s">
        <v>92</v>
      </c>
      <c r="GD2592" s="1" t="s">
        <v>202</v>
      </c>
      <c r="GE2592" s="1" t="s">
        <v>190</v>
      </c>
    </row>
    <row r="2593" spans="1:187" ht="11.25" customHeight="1">
      <c r="A2593" s="1" t="s">
        <v>3754</v>
      </c>
      <c r="B2593" s="1" t="str">
        <f ca="1">IFERROR(__xludf.DUMMYFUNCTION("GOOGLETRANSLATE(A2593, ""en"", ""fr"")"),"Danse # 1")</f>
        <v>Danse # 1</v>
      </c>
      <c r="C2593" s="1" t="s">
        <v>185</v>
      </c>
      <c r="D2593" s="1" t="s">
        <v>16612</v>
      </c>
      <c r="F2593" s="1" t="s">
        <v>2</v>
      </c>
      <c r="AD2593" s="1" t="s">
        <v>26</v>
      </c>
      <c r="AM2593" s="1" t="s">
        <v>35</v>
      </c>
      <c r="ER2593" s="1" t="s">
        <v>144</v>
      </c>
      <c r="ES2593" s="1" t="s">
        <v>145</v>
      </c>
      <c r="GD2593" s="1" t="s">
        <v>193</v>
      </c>
      <c r="GE2593" s="1" t="s">
        <v>3755</v>
      </c>
    </row>
    <row r="2594" spans="1:187" ht="11.25" customHeight="1">
      <c r="A2594" s="1" t="s">
        <v>3756</v>
      </c>
      <c r="B2594" s="1" t="str">
        <f ca="1">IFERROR(__xludf.DUMMYFUNCTION("GOOGLETRANSLATE(A2594, ""en"", ""fr"")"),"Danse # 2")</f>
        <v>Danse # 2</v>
      </c>
      <c r="C2594" s="1" t="s">
        <v>185</v>
      </c>
      <c r="D2594" s="1" t="s">
        <v>16612</v>
      </c>
      <c r="F2594" s="1" t="s">
        <v>2</v>
      </c>
      <c r="N2594" s="1" t="s">
        <v>10</v>
      </c>
      <c r="AD2594" s="1" t="s">
        <v>26</v>
      </c>
      <c r="CE2594" s="1" t="s">
        <v>79</v>
      </c>
      <c r="DO2594" s="1" t="s">
        <v>115</v>
      </c>
      <c r="EO2594" s="1" t="s">
        <v>141</v>
      </c>
      <c r="ES2594" s="1" t="s">
        <v>145</v>
      </c>
      <c r="GD2594" s="1" t="s">
        <v>189</v>
      </c>
      <c r="GE2594" s="1" t="s">
        <v>3757</v>
      </c>
    </row>
    <row r="2595" spans="1:187" ht="11.25" customHeight="1">
      <c r="A2595" s="1" t="s">
        <v>3758</v>
      </c>
      <c r="B2595" s="1" t="str">
        <f ca="1">IFERROR(__xludf.DUMMYFUNCTION("GOOGLETRANSLATE(A2595, ""en"", ""fr"")"),"Danse # 3")</f>
        <v>Danse # 3</v>
      </c>
      <c r="C2595" s="1" t="s">
        <v>185</v>
      </c>
      <c r="D2595" s="1" t="s">
        <v>16612</v>
      </c>
      <c r="F2595" s="1" t="s">
        <v>2</v>
      </c>
      <c r="N2595" s="1" t="s">
        <v>10</v>
      </c>
      <c r="AD2595" s="1" t="s">
        <v>26</v>
      </c>
      <c r="CE2595" s="1" t="s">
        <v>79</v>
      </c>
      <c r="ER2595" s="1" t="s">
        <v>144</v>
      </c>
      <c r="ES2595" s="1" t="s">
        <v>145</v>
      </c>
      <c r="GD2595" s="1" t="s">
        <v>202</v>
      </c>
      <c r="GE2595" s="1" t="s">
        <v>3759</v>
      </c>
    </row>
    <row r="2596" spans="1:187" ht="11.25" customHeight="1">
      <c r="A2596" s="1" t="s">
        <v>3760</v>
      </c>
      <c r="B2596" s="1" t="str">
        <f ca="1">IFERROR(__xludf.DUMMYFUNCTION("GOOGLETRANSLATE(A2596, ""en"", ""fr"")"),"DANSEUR")</f>
        <v>DANSEUR</v>
      </c>
      <c r="C2596" s="1" t="s">
        <v>185</v>
      </c>
      <c r="AD2596" s="1" t="s">
        <v>26</v>
      </c>
      <c r="AJ2596" s="1" t="s">
        <v>32</v>
      </c>
      <c r="AT2596" s="1" t="s">
        <v>42</v>
      </c>
      <c r="FK2596" s="1" t="s">
        <v>163</v>
      </c>
      <c r="FM2596" s="1" t="s">
        <v>418</v>
      </c>
      <c r="GD2596" s="1" t="s">
        <v>193</v>
      </c>
      <c r="GE2596" s="1" t="s">
        <v>190</v>
      </c>
    </row>
    <row r="2597" spans="1:187" ht="11.25" customHeight="1">
      <c r="A2597" s="1" t="s">
        <v>3761</v>
      </c>
      <c r="B2597" s="1" t="str">
        <f ca="1">IFERROR(__xludf.DUMMYFUNCTION("GOOGLETRANSLATE(A2597, ""en"", ""fr"")"),"DANGER")</f>
        <v>DANGER</v>
      </c>
      <c r="C2597" s="1" t="s">
        <v>185</v>
      </c>
      <c r="E2597" s="1" t="s">
        <v>16613</v>
      </c>
      <c r="H2597" s="1" t="s">
        <v>4</v>
      </c>
      <c r="V2597" s="1" t="s">
        <v>18</v>
      </c>
      <c r="W2597" s="1" t="s">
        <v>19</v>
      </c>
      <c r="FW2597" s="1" t="s">
        <v>175</v>
      </c>
      <c r="GD2597" s="1" t="s">
        <v>193</v>
      </c>
      <c r="GE2597" s="1" t="s">
        <v>3762</v>
      </c>
    </row>
    <row r="2598" spans="1:187" ht="11.25" customHeight="1">
      <c r="A2598" s="1" t="s">
        <v>3763</v>
      </c>
      <c r="B2598" s="1" t="str">
        <f ca="1">IFERROR(__xludf.DUMMYFUNCTION("GOOGLETRANSLATE(A2598, ""en"", ""fr"")"),"DANGEREUX")</f>
        <v>DANGEREUX</v>
      </c>
      <c r="C2598" s="1" t="s">
        <v>185</v>
      </c>
      <c r="E2598" s="1" t="s">
        <v>16613</v>
      </c>
      <c r="H2598" s="1" t="s">
        <v>4</v>
      </c>
      <c r="V2598" s="1" t="s">
        <v>18</v>
      </c>
      <c r="W2598" s="1" t="s">
        <v>19</v>
      </c>
      <c r="CN2598" s="1" t="s">
        <v>88</v>
      </c>
      <c r="FW2598" s="1" t="s">
        <v>175</v>
      </c>
      <c r="GD2598" s="1" t="s">
        <v>202</v>
      </c>
      <c r="GE2598" s="1" t="s">
        <v>3764</v>
      </c>
    </row>
    <row r="2599" spans="1:187" ht="11.25" customHeight="1">
      <c r="A2599" s="1" t="s">
        <v>3765</v>
      </c>
      <c r="B2599" s="1" t="str">
        <f ca="1">IFERROR(__xludf.DUMMYFUNCTION("GOOGLETRANSLATE(A2599, ""en"", ""fr"")"),"DANOIS")</f>
        <v>DANOIS</v>
      </c>
      <c r="C2599" s="1" t="s">
        <v>196</v>
      </c>
      <c r="FU2599" s="1" t="s">
        <v>173</v>
      </c>
      <c r="GD2599" s="1" t="s">
        <v>1049</v>
      </c>
    </row>
    <row r="2600" spans="1:187" ht="11.25" customHeight="1">
      <c r="A2600" s="1" t="s">
        <v>3766</v>
      </c>
      <c r="B2600" s="1" t="str">
        <f ca="1">IFERROR(__xludf.DUMMYFUNCTION("GOOGLETRANSLATE(A2600, ""en"", ""fr"")"),"OSER")</f>
        <v>OSER</v>
      </c>
      <c r="C2600" s="1" t="s">
        <v>185</v>
      </c>
      <c r="D2600" s="1" t="s">
        <v>16612</v>
      </c>
      <c r="F2600" s="1" t="s">
        <v>2</v>
      </c>
      <c r="BP2600" s="1" t="s">
        <v>64</v>
      </c>
      <c r="DN2600" s="1" t="s">
        <v>114</v>
      </c>
      <c r="FR2600" s="1" t="s">
        <v>170</v>
      </c>
      <c r="GD2600" s="1" t="s">
        <v>189</v>
      </c>
      <c r="GE2600" s="1" t="s">
        <v>190</v>
      </c>
    </row>
    <row r="2601" spans="1:187" ht="11.25" customHeight="1">
      <c r="A2601" s="1" t="s">
        <v>3767</v>
      </c>
      <c r="B2601" s="1" t="str">
        <f ca="1">IFERROR(__xludf.DUMMYFUNCTION("GOOGLETRANSLATE(A2601, ""en"", ""fr"")"),"AUDACIEUX")</f>
        <v>AUDACIEUX</v>
      </c>
      <c r="C2601" s="1" t="s">
        <v>185</v>
      </c>
      <c r="D2601" s="1" t="s">
        <v>16612</v>
      </c>
      <c r="F2601" s="1" t="s">
        <v>2</v>
      </c>
      <c r="J2601" s="1" t="s">
        <v>6</v>
      </c>
      <c r="U2601" s="1" t="s">
        <v>17</v>
      </c>
      <c r="CM2601" s="1" t="s">
        <v>87</v>
      </c>
      <c r="CR2601" s="1" t="s">
        <v>92</v>
      </c>
      <c r="DR2601" s="1" t="s">
        <v>118</v>
      </c>
      <c r="GD2601" s="1" t="s">
        <v>202</v>
      </c>
      <c r="GE2601" s="1" t="s">
        <v>190</v>
      </c>
    </row>
    <row r="2602" spans="1:187" ht="11.25" customHeight="1">
      <c r="A2602" s="1" t="s">
        <v>3768</v>
      </c>
      <c r="B2602" s="1" t="str">
        <f ca="1">IFERROR(__xludf.DUMMYFUNCTION("GOOGLETRANSLATE(A2602, ""en"", ""fr"")"),"SOMBRE")</f>
        <v>SOMBRE</v>
      </c>
      <c r="C2602" s="1" t="s">
        <v>185</v>
      </c>
      <c r="E2602" s="1" t="s">
        <v>16613</v>
      </c>
      <c r="H2602" s="1" t="s">
        <v>4</v>
      </c>
      <c r="CR2602" s="1" t="s">
        <v>92</v>
      </c>
      <c r="GD2602" s="1" t="s">
        <v>202</v>
      </c>
      <c r="GE2602" s="1" t="s">
        <v>3769</v>
      </c>
    </row>
    <row r="2603" spans="1:187" ht="11.25" customHeight="1">
      <c r="A2603" s="1" t="s">
        <v>3770</v>
      </c>
      <c r="B2603" s="1" t="str">
        <f ca="1">IFERROR(__xludf.DUMMYFUNCTION("GOOGLETRANSLATE(A2603, ""en"", ""fr"")"),"ASSOMBRIR")</f>
        <v>ASSOMBRIR</v>
      </c>
      <c r="C2603" s="1" t="s">
        <v>185</v>
      </c>
      <c r="E2603" s="1" t="s">
        <v>16613</v>
      </c>
      <c r="H2603" s="1" t="s">
        <v>4</v>
      </c>
      <c r="BU2603" s="1" t="s">
        <v>69</v>
      </c>
      <c r="DN2603" s="1" t="s">
        <v>114</v>
      </c>
      <c r="GD2603" s="1" t="s">
        <v>189</v>
      </c>
      <c r="GE2603" s="1" t="s">
        <v>190</v>
      </c>
    </row>
    <row r="2604" spans="1:187" ht="11.25" customHeight="1">
      <c r="A2604" s="1" t="s">
        <v>3771</v>
      </c>
      <c r="B2604" s="1" t="str">
        <f ca="1">IFERROR(__xludf.DUMMYFUNCTION("GOOGLETRANSLATE(A2604, ""en"", ""fr"")"),"OBSCURITÉ")</f>
        <v>OBSCURITÉ</v>
      </c>
      <c r="C2604" s="1" t="s">
        <v>185</v>
      </c>
      <c r="E2604" s="1" t="s">
        <v>16613</v>
      </c>
      <c r="H2604" s="1" t="s">
        <v>4</v>
      </c>
      <c r="CR2604" s="1" t="s">
        <v>92</v>
      </c>
      <c r="GD2604" s="1" t="s">
        <v>193</v>
      </c>
      <c r="GE2604" s="1" t="s">
        <v>190</v>
      </c>
    </row>
    <row r="2605" spans="1:187" ht="11.25" customHeight="1">
      <c r="A2605" s="1" t="s">
        <v>3772</v>
      </c>
      <c r="B2605" s="1" t="str">
        <f ca="1">IFERROR(__xludf.DUMMYFUNCTION("GOOGLETRANSLATE(A2605, ""en"", ""fr"")"),"CHÉRI")</f>
        <v>CHÉRI</v>
      </c>
      <c r="C2605" s="1" t="s">
        <v>185</v>
      </c>
      <c r="D2605" s="1" t="s">
        <v>16612</v>
      </c>
      <c r="F2605" s="1" t="s">
        <v>2</v>
      </c>
      <c r="G2605" s="1" t="s">
        <v>3</v>
      </c>
      <c r="U2605" s="1" t="s">
        <v>17</v>
      </c>
      <c r="AJ2605" s="1" t="s">
        <v>32</v>
      </c>
      <c r="AT2605" s="1" t="s">
        <v>42</v>
      </c>
      <c r="CM2605" s="1" t="s">
        <v>87</v>
      </c>
      <c r="DR2605" s="1" t="s">
        <v>118</v>
      </c>
      <c r="ER2605" s="1" t="s">
        <v>144</v>
      </c>
      <c r="ES2605" s="1" t="s">
        <v>145</v>
      </c>
      <c r="GD2605" s="1" t="s">
        <v>193</v>
      </c>
      <c r="GE2605" s="1" t="s">
        <v>190</v>
      </c>
    </row>
    <row r="2606" spans="1:187" ht="11.25" customHeight="1">
      <c r="A2606" s="1" t="s">
        <v>3773</v>
      </c>
      <c r="B2606" s="1" t="str">
        <f ca="1">IFERROR(__xludf.DUMMYFUNCTION("GOOGLETRANSLATE(A2606, ""en"", ""fr"")"),"ZUT")</f>
        <v>ZUT</v>
      </c>
      <c r="C2606" s="1" t="s">
        <v>192</v>
      </c>
      <c r="E2606" s="1" t="s">
        <v>16613</v>
      </c>
      <c r="DM2606" s="1" t="s">
        <v>113</v>
      </c>
      <c r="GE2606" s="1" t="s">
        <v>190</v>
      </c>
    </row>
    <row r="2607" spans="1:187" ht="11.25" customHeight="1">
      <c r="A2607" s="1" t="s">
        <v>3774</v>
      </c>
      <c r="B2607" s="1" t="str">
        <f ca="1">IFERROR(__xludf.DUMMYFUNCTION("GOOGLETRANSLATE(A2607, ""en"", ""fr"")"),"TIRET")</f>
        <v>TIRET</v>
      </c>
      <c r="C2607" s="1" t="s">
        <v>185</v>
      </c>
      <c r="N2607" s="1" t="s">
        <v>10</v>
      </c>
      <c r="W2607" s="1" t="s">
        <v>19</v>
      </c>
      <c r="CE2607" s="1" t="s">
        <v>79</v>
      </c>
      <c r="DN2607" s="1" t="s">
        <v>114</v>
      </c>
      <c r="GD2607" s="1" t="s">
        <v>189</v>
      </c>
      <c r="GE2607" s="1" t="s">
        <v>190</v>
      </c>
    </row>
    <row r="2608" spans="1:187" ht="11.25" customHeight="1">
      <c r="A2608" s="1" t="s">
        <v>3775</v>
      </c>
      <c r="B2608" s="1" t="str">
        <f ca="1">IFERROR(__xludf.DUMMYFUNCTION("GOOGLETRANSLATE(A2608, ""en"", ""fr"")"),"DONNÉES")</f>
        <v>DONNÉES</v>
      </c>
      <c r="C2608" s="1" t="s">
        <v>185</v>
      </c>
      <c r="BQ2608" s="1" t="s">
        <v>65</v>
      </c>
      <c r="FH2608" s="1" t="s">
        <v>160</v>
      </c>
      <c r="FI2608" s="1" t="s">
        <v>161</v>
      </c>
      <c r="GD2608" s="1" t="s">
        <v>576</v>
      </c>
      <c r="GE2608" s="1" t="s">
        <v>190</v>
      </c>
    </row>
    <row r="2609" spans="1:187" ht="11.25" customHeight="1">
      <c r="A2609" s="1" t="s">
        <v>3776</v>
      </c>
      <c r="B2609" s="1" t="str">
        <f ca="1">IFERROR(__xludf.DUMMYFUNCTION("GOOGLETRANSLATE(A2609, ""en"", ""fr"")"),"Date n ° 1")</f>
        <v>Date n ° 1</v>
      </c>
      <c r="C2609" s="1" t="s">
        <v>185</v>
      </c>
      <c r="CQ2609" s="1" t="s">
        <v>91</v>
      </c>
      <c r="CY2609" s="1" t="s">
        <v>99</v>
      </c>
      <c r="CZ2609" s="1" t="s">
        <v>100</v>
      </c>
      <c r="GB2609" s="1" t="s">
        <v>180</v>
      </c>
      <c r="GD2609" s="1" t="s">
        <v>193</v>
      </c>
      <c r="GE2609" s="1" t="s">
        <v>3777</v>
      </c>
    </row>
    <row r="2610" spans="1:187" ht="11.25" customHeight="1">
      <c r="A2610" s="1" t="s">
        <v>3778</v>
      </c>
      <c r="B2610" s="1" t="str">
        <f ca="1">IFERROR(__xludf.DUMMYFUNCTION("GOOGLETRANSLATE(A2610, ""en"", ""fr"")"),"Date n ° 2")</f>
        <v>Date n ° 2</v>
      </c>
      <c r="C2610" s="1" t="s">
        <v>196</v>
      </c>
      <c r="ER2610" s="1" t="s">
        <v>144</v>
      </c>
      <c r="ES2610" s="1" t="s">
        <v>145</v>
      </c>
      <c r="GD2610" s="1" t="s">
        <v>193</v>
      </c>
    </row>
    <row r="2611" spans="1:187" ht="11.25" customHeight="1">
      <c r="A2611" s="1" t="s">
        <v>3779</v>
      </c>
      <c r="B2611" s="1" t="str">
        <f ca="1">IFERROR(__xludf.DUMMYFUNCTION("GOOGLETRANSLATE(A2611, ""en"", ""fr"")"),"Date n ° 3")</f>
        <v>Date n ° 3</v>
      </c>
      <c r="C2611" s="1" t="s">
        <v>185</v>
      </c>
      <c r="CY2611" s="1" t="s">
        <v>99</v>
      </c>
      <c r="DN2611" s="1" t="s">
        <v>114</v>
      </c>
      <c r="GB2611" s="1" t="s">
        <v>180</v>
      </c>
      <c r="GD2611" s="1" t="s">
        <v>189</v>
      </c>
      <c r="GE2611" s="1" t="s">
        <v>3780</v>
      </c>
    </row>
    <row r="2612" spans="1:187" ht="11.25" customHeight="1">
      <c r="A2612" s="1" t="s">
        <v>3781</v>
      </c>
      <c r="B2612" s="1" t="str">
        <f ca="1">IFERROR(__xludf.DUMMYFUNCTION("GOOGLETRANSLATE(A2612, ""en"", ""fr"")"),"Date n ° 4")</f>
        <v>Date n ° 4</v>
      </c>
      <c r="C2612" s="1" t="s">
        <v>185</v>
      </c>
      <c r="G2612" s="1" t="s">
        <v>3</v>
      </c>
      <c r="AN2612" s="1" t="s">
        <v>36</v>
      </c>
      <c r="DN2612" s="1" t="s">
        <v>114</v>
      </c>
      <c r="EO2612" s="1" t="s">
        <v>141</v>
      </c>
      <c r="ES2612" s="1" t="s">
        <v>145</v>
      </c>
      <c r="GD2612" s="1" t="s">
        <v>189</v>
      </c>
      <c r="GE2612" s="1" t="s">
        <v>3782</v>
      </c>
    </row>
    <row r="2613" spans="1:187" ht="11.25" customHeight="1">
      <c r="A2613" s="1" t="s">
        <v>3783</v>
      </c>
      <c r="B2613" s="1" t="str">
        <f ca="1">IFERROR(__xludf.DUMMYFUNCTION("GOOGLETRANSLATE(A2613, ""en"", ""fr"")"),"FILLE")</f>
        <v>FILLE</v>
      </c>
      <c r="C2613" s="1" t="s">
        <v>185</v>
      </c>
      <c r="AJ2613" s="1" t="s">
        <v>32</v>
      </c>
      <c r="AP2613" s="1" t="s">
        <v>38</v>
      </c>
      <c r="AR2613" s="1" t="s">
        <v>40</v>
      </c>
      <c r="AT2613" s="1" t="s">
        <v>42</v>
      </c>
      <c r="EQ2613" s="1" t="s">
        <v>143</v>
      </c>
      <c r="ES2613" s="1" t="s">
        <v>145</v>
      </c>
      <c r="GD2613" s="1" t="s">
        <v>837</v>
      </c>
      <c r="GE2613" s="1" t="s">
        <v>3784</v>
      </c>
    </row>
    <row r="2614" spans="1:187" ht="11.25" customHeight="1">
      <c r="A2614" s="1" t="s">
        <v>3785</v>
      </c>
      <c r="B2614" s="1" t="str">
        <f ca="1">IFERROR(__xludf.DUMMYFUNCTION("GOOGLETRANSLATE(A2614, ""en"", ""fr"")"),"Intimidant")</f>
        <v>Intimidant</v>
      </c>
      <c r="C2614" s="1" t="s">
        <v>192</v>
      </c>
      <c r="E2614" s="1" t="s">
        <v>16613</v>
      </c>
      <c r="CA2614" s="1" t="s">
        <v>75</v>
      </c>
      <c r="DR2614" s="1" t="s">
        <v>118</v>
      </c>
      <c r="GD2614" s="1" t="s">
        <v>202</v>
      </c>
      <c r="GE2614" s="1" t="s">
        <v>190</v>
      </c>
    </row>
    <row r="2615" spans="1:187" ht="11.25" customHeight="1">
      <c r="A2615" s="1" t="s">
        <v>3786</v>
      </c>
      <c r="B2615" s="1" t="str">
        <f ca="1">IFERROR(__xludf.DUMMYFUNCTION("GOOGLETRANSLATE(A2615, ""en"", ""fr"")"),"INTRÉPIDE")</f>
        <v>INTRÉPIDE</v>
      </c>
      <c r="C2615" s="1" t="s">
        <v>192</v>
      </c>
      <c r="D2615" s="1" t="s">
        <v>16612</v>
      </c>
      <c r="J2615" s="1" t="s">
        <v>6</v>
      </c>
      <c r="K2615" s="1" t="s">
        <v>7</v>
      </c>
      <c r="CW2615" s="1" t="s">
        <v>97</v>
      </c>
      <c r="DR2615" s="1" t="s">
        <v>118</v>
      </c>
      <c r="GD2615" s="1" t="s">
        <v>202</v>
      </c>
      <c r="GE2615" s="1" t="s">
        <v>190</v>
      </c>
    </row>
    <row r="2616" spans="1:187" ht="11.25" customHeight="1">
      <c r="A2616" s="1" t="s">
        <v>3787</v>
      </c>
      <c r="B2616" s="1" t="str">
        <f ca="1">IFERROR(__xludf.DUMMYFUNCTION("GOOGLETRANSLATE(A2616, ""en"", ""fr"")"),"LAMBINER")</f>
        <v>LAMBINER</v>
      </c>
      <c r="C2616" s="1" t="s">
        <v>192</v>
      </c>
      <c r="E2616" s="1" t="s">
        <v>16613</v>
      </c>
      <c r="N2616" s="1" t="s">
        <v>10</v>
      </c>
      <c r="DN2616" s="1" t="s">
        <v>114</v>
      </c>
      <c r="GD2616" s="1" t="s">
        <v>189</v>
      </c>
      <c r="GE2616" s="1" t="s">
        <v>190</v>
      </c>
    </row>
    <row r="2617" spans="1:187" ht="11.25" customHeight="1">
      <c r="A2617" s="1" t="s">
        <v>3788</v>
      </c>
      <c r="B2617" s="1" t="str">
        <f ca="1">IFERROR(__xludf.DUMMYFUNCTION("GOOGLETRANSLATE(A2617, ""en"", ""fr"")"),"Dawn # 1")</f>
        <v>Dawn # 1</v>
      </c>
      <c r="C2617" s="1" t="s">
        <v>185</v>
      </c>
      <c r="CQ2617" s="1" t="s">
        <v>91</v>
      </c>
      <c r="CY2617" s="1" t="s">
        <v>99</v>
      </c>
      <c r="CZ2617" s="1" t="s">
        <v>100</v>
      </c>
      <c r="GB2617" s="1" t="s">
        <v>180</v>
      </c>
      <c r="GD2617" s="1" t="s">
        <v>193</v>
      </c>
      <c r="GE2617" s="1" t="s">
        <v>3789</v>
      </c>
    </row>
    <row r="2618" spans="1:187" ht="11.25" customHeight="1">
      <c r="A2618" s="1" t="s">
        <v>3790</v>
      </c>
      <c r="B2618" s="1" t="str">
        <f ca="1">IFERROR(__xludf.DUMMYFUNCTION("GOOGLETRANSLATE(A2618, ""en"", ""fr"")"),"Dawn # 2")</f>
        <v>Dawn # 2</v>
      </c>
      <c r="C2618" s="1" t="s">
        <v>185</v>
      </c>
      <c r="D2618" s="1" t="s">
        <v>16612</v>
      </c>
      <c r="F2618" s="1" t="s">
        <v>2</v>
      </c>
      <c r="BV2618" s="1" t="s">
        <v>70</v>
      </c>
      <c r="DO2618" s="1" t="s">
        <v>115</v>
      </c>
      <c r="GD2618" s="1" t="s">
        <v>189</v>
      </c>
      <c r="GE2618" s="1" t="s">
        <v>3791</v>
      </c>
    </row>
    <row r="2619" spans="1:187" ht="11.25" customHeight="1">
      <c r="A2619" s="1" t="s">
        <v>3792</v>
      </c>
      <c r="B2619" s="1" t="str">
        <f ca="1">IFERROR(__xludf.DUMMYFUNCTION("GOOGLETRANSLATE(A2619, ""en"", ""fr"")"),"Dawn # 3")</f>
        <v>Dawn # 3</v>
      </c>
      <c r="C2619" s="1" t="s">
        <v>185</v>
      </c>
      <c r="CO2619" s="1" t="s">
        <v>89</v>
      </c>
      <c r="DN2619" s="1" t="s">
        <v>114</v>
      </c>
      <c r="FH2619" s="1" t="s">
        <v>160</v>
      </c>
      <c r="FI2619" s="1" t="s">
        <v>161</v>
      </c>
      <c r="GD2619" s="1" t="s">
        <v>189</v>
      </c>
      <c r="GE2619" s="1" t="s">
        <v>3793</v>
      </c>
    </row>
    <row r="2620" spans="1:187" ht="11.25" customHeight="1">
      <c r="A2620" s="1" t="s">
        <v>3794</v>
      </c>
      <c r="B2620" s="1" t="str">
        <f ca="1">IFERROR(__xludf.DUMMYFUNCTION("GOOGLETRANSLATE(A2620, ""en"", ""fr"")"),"JOUR")</f>
        <v>JOUR</v>
      </c>
      <c r="C2620" s="1" t="s">
        <v>185</v>
      </c>
      <c r="CQ2620" s="1" t="s">
        <v>91</v>
      </c>
      <c r="CY2620" s="1" t="s">
        <v>99</v>
      </c>
      <c r="CZ2620" s="1" t="s">
        <v>100</v>
      </c>
      <c r="GB2620" s="1" t="s">
        <v>180</v>
      </c>
      <c r="GD2620" s="1" t="s">
        <v>193</v>
      </c>
      <c r="GE2620" s="1" t="s">
        <v>3795</v>
      </c>
    </row>
    <row r="2621" spans="1:187" ht="11.25" customHeight="1">
      <c r="A2621" s="1" t="s">
        <v>3796</v>
      </c>
      <c r="B2621" s="1" t="str">
        <f ca="1">IFERROR(__xludf.DUMMYFUNCTION("GOOGLETRANSLATE(A2621, ""en"", ""fr"")"),"LUMIÈRE DU JOUR")</f>
        <v>LUMIÈRE DU JOUR</v>
      </c>
      <c r="C2621" s="1" t="s">
        <v>185</v>
      </c>
      <c r="CY2621" s="1" t="s">
        <v>99</v>
      </c>
      <c r="GB2621" s="1" t="s">
        <v>180</v>
      </c>
      <c r="GD2621" s="1" t="s">
        <v>193</v>
      </c>
      <c r="GE2621" s="1" t="s">
        <v>190</v>
      </c>
    </row>
    <row r="2622" spans="1:187" ht="11.25" customHeight="1">
      <c r="A2622" s="1" t="s">
        <v>3797</v>
      </c>
      <c r="B2622" s="1" t="str">
        <f ca="1">IFERROR(__xludf.DUMMYFUNCTION("GOOGLETRANSLATE(A2622, ""en"", ""fr"")"),"JOUR")</f>
        <v>JOUR</v>
      </c>
      <c r="C2622" s="1" t="s">
        <v>185</v>
      </c>
      <c r="CQ2622" s="1" t="s">
        <v>91</v>
      </c>
      <c r="CY2622" s="1" t="s">
        <v>99</v>
      </c>
      <c r="CZ2622" s="1" t="s">
        <v>100</v>
      </c>
      <c r="GB2622" s="1" t="s">
        <v>180</v>
      </c>
      <c r="GD2622" s="1" t="s">
        <v>193</v>
      </c>
      <c r="GE2622" s="1" t="s">
        <v>190</v>
      </c>
    </row>
    <row r="2623" spans="1:187" ht="11.25" customHeight="1">
      <c r="A2623" s="1" t="s">
        <v>3798</v>
      </c>
      <c r="B2623" s="1" t="str">
        <f ca="1">IFERROR(__xludf.DUMMYFUNCTION("GOOGLETRANSLATE(A2623, ""en"", ""fr"")"),"HÉBÉTER")</f>
        <v>HÉBÉTER</v>
      </c>
      <c r="C2623" s="1" t="s">
        <v>192</v>
      </c>
      <c r="E2623" s="1" t="s">
        <v>16613</v>
      </c>
      <c r="X2623" s="1" t="s">
        <v>20</v>
      </c>
      <c r="GD2623" s="1" t="s">
        <v>193</v>
      </c>
      <c r="GE2623" s="1" t="s">
        <v>190</v>
      </c>
    </row>
    <row r="2624" spans="1:187" ht="11.25" customHeight="1">
      <c r="A2624" s="1" t="s">
        <v>3799</v>
      </c>
      <c r="B2624" s="1" t="str">
        <f ca="1">IFERROR(__xludf.DUMMYFUNCTION("GOOGLETRANSLATE(A2624, ""en"", ""fr"")"),"ÉBLOUIR")</f>
        <v>ÉBLOUIR</v>
      </c>
      <c r="C2624" s="1" t="s">
        <v>192</v>
      </c>
      <c r="D2624" s="1" t="s">
        <v>16612</v>
      </c>
      <c r="J2624" s="1" t="s">
        <v>6</v>
      </c>
      <c r="N2624" s="1" t="s">
        <v>10</v>
      </c>
      <c r="CK2624" s="1" t="s">
        <v>85</v>
      </c>
      <c r="DN2624" s="1" t="s">
        <v>114</v>
      </c>
      <c r="GD2624" s="1" t="s">
        <v>670</v>
      </c>
      <c r="GE2624" s="1" t="s">
        <v>190</v>
      </c>
    </row>
    <row r="2625" spans="1:187" ht="11.25" customHeight="1">
      <c r="A2625" s="1" t="s">
        <v>3800</v>
      </c>
      <c r="B2625" s="1" t="str">
        <f ca="1">IFERROR(__xludf.DUMMYFUNCTION("GOOGLETRANSLATE(A2625, ""en"", ""fr"")"),"MORT")</f>
        <v>MORT</v>
      </c>
      <c r="C2625" s="1" t="s">
        <v>185</v>
      </c>
      <c r="E2625" s="1" t="s">
        <v>16613</v>
      </c>
      <c r="H2625" s="1" t="s">
        <v>4</v>
      </c>
      <c r="L2625" s="1" t="s">
        <v>8</v>
      </c>
      <c r="O2625" s="1" t="s">
        <v>11</v>
      </c>
      <c r="BU2625" s="1" t="s">
        <v>69</v>
      </c>
      <c r="EZ2625" s="1" t="s">
        <v>152</v>
      </c>
      <c r="FC2625" s="1" t="s">
        <v>155</v>
      </c>
      <c r="GD2625" s="1" t="s">
        <v>202</v>
      </c>
      <c r="GE2625" s="1" t="s">
        <v>3801</v>
      </c>
    </row>
    <row r="2626" spans="1:187" ht="11.25" customHeight="1">
      <c r="A2626" s="1" t="s">
        <v>3802</v>
      </c>
      <c r="B2626" s="1" t="str">
        <f ca="1">IFERROR(__xludf.DUMMYFUNCTION("GOOGLETRANSLATE(A2626, ""en"", ""fr"")"),"IMPASSE")</f>
        <v>IMPASSE</v>
      </c>
      <c r="C2626" s="1" t="s">
        <v>185</v>
      </c>
      <c r="E2626" s="1" t="s">
        <v>16613</v>
      </c>
      <c r="H2626" s="1" t="s">
        <v>4</v>
      </c>
      <c r="I2626" s="1" t="s">
        <v>5</v>
      </c>
      <c r="L2626" s="1" t="s">
        <v>8</v>
      </c>
      <c r="BR2626" s="1" t="s">
        <v>66</v>
      </c>
      <c r="DW2626" s="1" t="s">
        <v>123</v>
      </c>
      <c r="ED2626" s="1" t="s">
        <v>130</v>
      </c>
      <c r="GD2626" s="1" t="s">
        <v>193</v>
      </c>
      <c r="GE2626" s="1" t="s">
        <v>190</v>
      </c>
    </row>
    <row r="2627" spans="1:187" ht="11.25" customHeight="1">
      <c r="A2627" s="1" t="s">
        <v>3803</v>
      </c>
      <c r="B2627" s="1" t="str">
        <f ca="1">IFERROR(__xludf.DUMMYFUNCTION("GOOGLETRANSLATE(A2627, ""en"", ""fr"")"),"MORTEL")</f>
        <v>MORTEL</v>
      </c>
      <c r="C2627" s="1" t="s">
        <v>185</v>
      </c>
      <c r="E2627" s="1" t="s">
        <v>16613</v>
      </c>
      <c r="H2627" s="1" t="s">
        <v>4</v>
      </c>
      <c r="I2627" s="1" t="s">
        <v>5</v>
      </c>
      <c r="J2627" s="1" t="s">
        <v>6</v>
      </c>
      <c r="V2627" s="1" t="s">
        <v>18</v>
      </c>
      <c r="CN2627" s="1" t="s">
        <v>88</v>
      </c>
      <c r="EZ2627" s="1" t="s">
        <v>152</v>
      </c>
      <c r="FC2627" s="1" t="s">
        <v>155</v>
      </c>
      <c r="GD2627" s="1" t="s">
        <v>202</v>
      </c>
      <c r="GE2627" s="1" t="s">
        <v>190</v>
      </c>
    </row>
    <row r="2628" spans="1:187" ht="11.25" customHeight="1">
      <c r="A2628" s="1" t="s">
        <v>3804</v>
      </c>
      <c r="B2628" s="1" t="str">
        <f ca="1">IFERROR(__xludf.DUMMYFUNCTION("GOOGLETRANSLATE(A2628, ""en"", ""fr"")"),"Poids mort")</f>
        <v>Poids mort</v>
      </c>
      <c r="C2628" s="1" t="s">
        <v>192</v>
      </c>
      <c r="E2628" s="1" t="s">
        <v>16613</v>
      </c>
      <c r="V2628" s="1" t="s">
        <v>18</v>
      </c>
      <c r="CA2628" s="1" t="s">
        <v>75</v>
      </c>
      <c r="GD2628" s="1" t="s">
        <v>193</v>
      </c>
      <c r="GE2628" s="1" t="s">
        <v>190</v>
      </c>
    </row>
    <row r="2629" spans="1:187" ht="11.25" customHeight="1">
      <c r="A2629" s="1" t="s">
        <v>3805</v>
      </c>
      <c r="B2629" s="1" t="str">
        <f ca="1">IFERROR(__xludf.DUMMYFUNCTION("GOOGLETRANSLATE(A2629, ""en"", ""fr"")"),"SOURD")</f>
        <v>SOURD</v>
      </c>
      <c r="C2629" s="1" t="s">
        <v>192</v>
      </c>
      <c r="E2629" s="1" t="s">
        <v>16613</v>
      </c>
      <c r="V2629" s="1" t="s">
        <v>18</v>
      </c>
      <c r="DR2629" s="1" t="s">
        <v>118</v>
      </c>
      <c r="GD2629" s="1" t="s">
        <v>202</v>
      </c>
      <c r="GE2629" s="1" t="s">
        <v>190</v>
      </c>
    </row>
    <row r="2630" spans="1:187" ht="11.25" customHeight="1">
      <c r="A2630" s="1" t="s">
        <v>3806</v>
      </c>
      <c r="B2630" s="1" t="str">
        <f ca="1">IFERROR(__xludf.DUMMYFUNCTION("GOOGLETRANSLATE(A2630, ""en"", ""fr"")"),"SURDITÉ")</f>
        <v>SURDITÉ</v>
      </c>
      <c r="C2630" s="1" t="s">
        <v>192</v>
      </c>
      <c r="E2630" s="1" t="s">
        <v>16613</v>
      </c>
      <c r="V2630" s="1" t="s">
        <v>18</v>
      </c>
      <c r="GD2630" s="1" t="s">
        <v>193</v>
      </c>
      <c r="GE2630" s="1" t="s">
        <v>190</v>
      </c>
    </row>
    <row r="2631" spans="1:187" ht="11.25" customHeight="1">
      <c r="A2631" s="1" t="s">
        <v>3807</v>
      </c>
      <c r="B2631" s="1" t="str">
        <f ca="1">IFERROR(__xludf.DUMMYFUNCTION("GOOGLETRANSLATE(A2631, ""en"", ""fr"")"),"Deal # 1")</f>
        <v>Deal # 1</v>
      </c>
      <c r="C2631" s="1" t="s">
        <v>185</v>
      </c>
      <c r="D2631" s="1" t="s">
        <v>16612</v>
      </c>
      <c r="F2631" s="1" t="s">
        <v>2</v>
      </c>
      <c r="CS2631" s="1" t="s">
        <v>93</v>
      </c>
      <c r="GD2631" s="1" t="s">
        <v>193</v>
      </c>
      <c r="GE2631" s="1" t="s">
        <v>3808</v>
      </c>
    </row>
    <row r="2632" spans="1:187" ht="11.25" customHeight="1">
      <c r="A2632" s="1" t="s">
        <v>3809</v>
      </c>
      <c r="B2632" s="1" t="str">
        <f ca="1">IFERROR(__xludf.DUMMYFUNCTION("GOOGLETRANSLATE(A2632, ""en"", ""fr"")"),"Deal # 2")</f>
        <v>Deal # 2</v>
      </c>
      <c r="C2632" s="1" t="s">
        <v>185</v>
      </c>
      <c r="N2632" s="1" t="s">
        <v>10</v>
      </c>
      <c r="AL2632" s="1" t="s">
        <v>34</v>
      </c>
      <c r="DN2632" s="1" t="s">
        <v>114</v>
      </c>
      <c r="FP2632" s="1" t="s">
        <v>168</v>
      </c>
      <c r="GD2632" s="1" t="s">
        <v>189</v>
      </c>
      <c r="GE2632" s="1" t="s">
        <v>3810</v>
      </c>
    </row>
    <row r="2633" spans="1:187" ht="11.25" customHeight="1">
      <c r="A2633" s="1" t="s">
        <v>3811</v>
      </c>
      <c r="B2633" s="1" t="str">
        <f ca="1">IFERROR(__xludf.DUMMYFUNCTION("GOOGLETRANSLATE(A2633, ""en"", ""fr"")"),"Deal # 3")</f>
        <v>Deal # 3</v>
      </c>
      <c r="C2633" s="1" t="s">
        <v>185</v>
      </c>
      <c r="BQ2633" s="1" t="s">
        <v>65</v>
      </c>
      <c r="EC2633" s="1" t="s">
        <v>129</v>
      </c>
      <c r="ED2633" s="1" t="s">
        <v>130</v>
      </c>
      <c r="GD2633" s="1" t="s">
        <v>193</v>
      </c>
      <c r="GE2633" s="1" t="s">
        <v>3812</v>
      </c>
    </row>
    <row r="2634" spans="1:187" ht="11.25" customHeight="1">
      <c r="A2634" s="1" t="s">
        <v>3813</v>
      </c>
      <c r="B2634" s="1" t="str">
        <f ca="1">IFERROR(__xludf.DUMMYFUNCTION("GOOGLETRANSLATE(A2634, ""en"", ""fr"")"),"Deal # 4")</f>
        <v>Deal # 4</v>
      </c>
      <c r="C2634" s="1" t="s">
        <v>185</v>
      </c>
      <c r="BK2634" s="1" t="s">
        <v>59</v>
      </c>
      <c r="BL2634" s="1" t="s">
        <v>60</v>
      </c>
      <c r="FP2634" s="1" t="s">
        <v>168</v>
      </c>
      <c r="GC2634" s="1" t="s">
        <v>181</v>
      </c>
      <c r="GD2634" s="1" t="s">
        <v>193</v>
      </c>
      <c r="GE2634" s="1" t="s">
        <v>3814</v>
      </c>
    </row>
    <row r="2635" spans="1:187" ht="11.25" customHeight="1">
      <c r="A2635" s="1" t="s">
        <v>3815</v>
      </c>
      <c r="B2635" s="1" t="str">
        <f ca="1">IFERROR(__xludf.DUMMYFUNCTION("GOOGLETRANSLATE(A2635, ""en"", ""fr"")"),"Deal # 5")</f>
        <v>Deal # 5</v>
      </c>
      <c r="C2635" s="1" t="s">
        <v>185</v>
      </c>
      <c r="AA2635" s="1" t="s">
        <v>23</v>
      </c>
      <c r="AC2635" s="1" t="s">
        <v>25</v>
      </c>
      <c r="AG2635" s="1" t="s">
        <v>29</v>
      </c>
      <c r="AH2635" s="1" t="s">
        <v>30</v>
      </c>
      <c r="AM2635" s="1" t="s">
        <v>35</v>
      </c>
      <c r="EA2635" s="1" t="s">
        <v>127</v>
      </c>
      <c r="ED2635" s="1" t="s">
        <v>130</v>
      </c>
      <c r="GD2635" s="1" t="s">
        <v>193</v>
      </c>
      <c r="GE2635" s="1" t="s">
        <v>3816</v>
      </c>
    </row>
    <row r="2636" spans="1:187" ht="11.25" customHeight="1">
      <c r="A2636" s="1" t="s">
        <v>3817</v>
      </c>
      <c r="B2636" s="1" t="str">
        <f ca="1">IFERROR(__xludf.DUMMYFUNCTION("GOOGLETRANSLATE(A2636, ""en"", ""fr"")"),"Deal # 6")</f>
        <v>Deal # 6</v>
      </c>
      <c r="C2636" s="1" t="s">
        <v>185</v>
      </c>
      <c r="E2636" s="1" t="s">
        <v>16613</v>
      </c>
      <c r="H2636" s="1" t="s">
        <v>4</v>
      </c>
      <c r="I2636" s="1" t="s">
        <v>5</v>
      </c>
      <c r="DM2636" s="1" t="s">
        <v>113</v>
      </c>
      <c r="FW2636" s="1" t="s">
        <v>175</v>
      </c>
      <c r="GD2636" s="1" t="s">
        <v>3750</v>
      </c>
      <c r="GE2636" s="1" t="s">
        <v>3818</v>
      </c>
    </row>
    <row r="2637" spans="1:187" ht="11.25" customHeight="1">
      <c r="A2637" s="1" t="s">
        <v>3819</v>
      </c>
      <c r="B2637" s="1" t="str">
        <f ca="1">IFERROR(__xludf.DUMMYFUNCTION("GOOGLETRANSLATE(A2637, ""en"", ""fr"")"),"MARCHAND")</f>
        <v>MARCHAND</v>
      </c>
      <c r="C2637" s="1" t="s">
        <v>185</v>
      </c>
      <c r="AA2637" s="1" t="s">
        <v>23</v>
      </c>
      <c r="AC2637" s="1" t="s">
        <v>25</v>
      </c>
      <c r="AJ2637" s="1" t="s">
        <v>32</v>
      </c>
      <c r="AT2637" s="1" t="s">
        <v>42</v>
      </c>
      <c r="ET2637" s="1" t="s">
        <v>146</v>
      </c>
      <c r="EW2637" s="1" t="s">
        <v>149</v>
      </c>
      <c r="GD2637" s="1" t="s">
        <v>193</v>
      </c>
      <c r="GE2637" s="1" t="s">
        <v>190</v>
      </c>
    </row>
    <row r="2638" spans="1:187" ht="11.25" customHeight="1">
      <c r="A2638" s="1" t="s">
        <v>3820</v>
      </c>
      <c r="B2638" s="1" t="str">
        <f ca="1">IFERROR(__xludf.DUMMYFUNCTION("GOOGLETRANSLATE(A2638, ""en"", ""fr"")"),"Traité n ° 1")</f>
        <v>Traité n ° 1</v>
      </c>
      <c r="C2638" s="1" t="s">
        <v>192</v>
      </c>
      <c r="GD2638" s="1" t="s">
        <v>1085</v>
      </c>
      <c r="GE2638" s="1" t="s">
        <v>190</v>
      </c>
    </row>
    <row r="2639" spans="1:187" ht="11.25" customHeight="1">
      <c r="A2639" s="1" t="s">
        <v>3821</v>
      </c>
      <c r="B2639" s="1" t="str">
        <f ca="1">IFERROR(__xludf.DUMMYFUNCTION("GOOGLETRANSLATE(A2639, ""en"", ""fr"")"),"DOYEN")</f>
        <v>DOYEN</v>
      </c>
      <c r="C2639" s="1" t="s">
        <v>185</v>
      </c>
      <c r="J2639" s="1" t="s">
        <v>6</v>
      </c>
      <c r="K2639" s="1" t="s">
        <v>7</v>
      </c>
      <c r="Y2639" s="1" t="s">
        <v>21</v>
      </c>
      <c r="AJ2639" s="1" t="s">
        <v>32</v>
      </c>
      <c r="AT2639" s="1" t="s">
        <v>42</v>
      </c>
      <c r="FG2639" s="1" t="s">
        <v>159</v>
      </c>
      <c r="FI2639" s="1" t="s">
        <v>161</v>
      </c>
      <c r="GD2639" s="1" t="s">
        <v>193</v>
      </c>
      <c r="GE2639" s="1" t="s">
        <v>190</v>
      </c>
    </row>
    <row r="2640" spans="1:187" ht="11.25" customHeight="1">
      <c r="A2640" s="1" t="s">
        <v>3822</v>
      </c>
      <c r="B2640" s="1" t="str">
        <f ca="1">IFERROR(__xludf.DUMMYFUNCTION("GOOGLETRANSLATE(A2640, ""en"", ""fr"")"),"Cher # 1")</f>
        <v>Cher # 1</v>
      </c>
      <c r="C2640" s="1" t="s">
        <v>185</v>
      </c>
      <c r="D2640" s="1" t="s">
        <v>16612</v>
      </c>
      <c r="F2640" s="1" t="s">
        <v>2</v>
      </c>
      <c r="G2640" s="1" t="s">
        <v>3</v>
      </c>
      <c r="U2640" s="1" t="s">
        <v>17</v>
      </c>
      <c r="ER2640" s="1" t="s">
        <v>144</v>
      </c>
      <c r="ES2640" s="1" t="s">
        <v>145</v>
      </c>
      <c r="GD2640" s="1" t="s">
        <v>421</v>
      </c>
      <c r="GE2640" s="1" t="s">
        <v>3823</v>
      </c>
    </row>
    <row r="2641" spans="1:187" ht="11.25" customHeight="1">
      <c r="A2641" s="1" t="s">
        <v>3824</v>
      </c>
      <c r="B2641" s="1" t="str">
        <f ca="1">IFERROR(__xludf.DUMMYFUNCTION("GOOGLETRANSLATE(A2641, ""en"", ""fr"")"),"Cher # 2")</f>
        <v>Cher # 2</v>
      </c>
      <c r="C2641" s="1" t="s">
        <v>185</v>
      </c>
      <c r="D2641" s="1" t="s">
        <v>16612</v>
      </c>
      <c r="F2641" s="1" t="s">
        <v>2</v>
      </c>
      <c r="G2641" s="1" t="s">
        <v>3</v>
      </c>
      <c r="U2641" s="1" t="s">
        <v>17</v>
      </c>
      <c r="FY2641" s="1" t="s">
        <v>177</v>
      </c>
      <c r="GD2641" s="1" t="s">
        <v>202</v>
      </c>
      <c r="GE2641" s="1" t="s">
        <v>3825</v>
      </c>
    </row>
    <row r="2642" spans="1:187" ht="11.25" customHeight="1">
      <c r="A2642" s="1" t="s">
        <v>3826</v>
      </c>
      <c r="B2642" s="1" t="str">
        <f ca="1">IFERROR(__xludf.DUMMYFUNCTION("GOOGLETRANSLATE(A2642, ""en"", ""fr"")"),"DISETTE")</f>
        <v>DISETTE</v>
      </c>
      <c r="C2642" s="1" t="s">
        <v>192</v>
      </c>
      <c r="E2642" s="1" t="s">
        <v>16613</v>
      </c>
      <c r="L2642" s="1" t="s">
        <v>8</v>
      </c>
      <c r="O2642" s="1" t="s">
        <v>11</v>
      </c>
      <c r="V2642" s="1" t="s">
        <v>18</v>
      </c>
      <c r="GD2642" s="1" t="s">
        <v>193</v>
      </c>
      <c r="GE2642" s="1" t="s">
        <v>190</v>
      </c>
    </row>
    <row r="2643" spans="1:187" ht="11.25" customHeight="1">
      <c r="A2643" s="1" t="s">
        <v>3827</v>
      </c>
      <c r="B2643" s="1" t="str">
        <f ca="1">IFERROR(__xludf.DUMMYFUNCTION("GOOGLETRANSLATE(A2643, ""en"", ""fr"")"),"LA MORT")</f>
        <v>LA MORT</v>
      </c>
      <c r="C2643" s="1" t="s">
        <v>185</v>
      </c>
      <c r="E2643" s="1" t="s">
        <v>16613</v>
      </c>
      <c r="H2643" s="1" t="s">
        <v>4</v>
      </c>
      <c r="L2643" s="1" t="s">
        <v>8</v>
      </c>
      <c r="O2643" s="1" t="s">
        <v>11</v>
      </c>
      <c r="BU2643" s="1" t="s">
        <v>69</v>
      </c>
      <c r="CP2643" s="1" t="s">
        <v>90</v>
      </c>
      <c r="CQ2643" s="1" t="s">
        <v>91</v>
      </c>
      <c r="EZ2643" s="1" t="s">
        <v>152</v>
      </c>
      <c r="FC2643" s="1" t="s">
        <v>155</v>
      </c>
      <c r="GD2643" s="1" t="s">
        <v>193</v>
      </c>
      <c r="GE2643" s="1" t="s">
        <v>3828</v>
      </c>
    </row>
    <row r="2644" spans="1:187" ht="11.25" customHeight="1">
      <c r="A2644" s="1" t="s">
        <v>3829</v>
      </c>
      <c r="B2644" s="1" t="str">
        <f ca="1">IFERROR(__xludf.DUMMYFUNCTION("GOOGLETRANSLATE(A2644, ""en"", ""fr"")"),"DISCUTABLE")</f>
        <v>DISCUTABLE</v>
      </c>
      <c r="C2644" s="1" t="s">
        <v>185</v>
      </c>
      <c r="E2644" s="1" t="s">
        <v>16613</v>
      </c>
      <c r="W2644" s="1" t="s">
        <v>19</v>
      </c>
      <c r="BK2644" s="1" t="s">
        <v>59</v>
      </c>
      <c r="DQ2644" s="1" t="s">
        <v>117</v>
      </c>
      <c r="FH2644" s="1" t="s">
        <v>160</v>
      </c>
      <c r="FI2644" s="1" t="s">
        <v>161</v>
      </c>
      <c r="GD2644" s="1" t="s">
        <v>202</v>
      </c>
      <c r="GE2644" s="1" t="s">
        <v>190</v>
      </c>
    </row>
    <row r="2645" spans="1:187" ht="11.25" customHeight="1">
      <c r="A2645" s="1" t="s">
        <v>3830</v>
      </c>
      <c r="B2645" s="1" t="str">
        <f ca="1">IFERROR(__xludf.DUMMYFUNCTION("GOOGLETRANSLATE(A2645, ""en"", ""fr"")"),"Débat # 1")</f>
        <v>Débat # 1</v>
      </c>
      <c r="C2645" s="1" t="s">
        <v>185</v>
      </c>
      <c r="N2645" s="1" t="s">
        <v>10</v>
      </c>
      <c r="AG2645" s="1" t="s">
        <v>29</v>
      </c>
      <c r="BK2645" s="1" t="s">
        <v>59</v>
      </c>
      <c r="BL2645" s="1" t="s">
        <v>60</v>
      </c>
      <c r="FZ2645" s="1" t="s">
        <v>178</v>
      </c>
      <c r="GC2645" s="1" t="s">
        <v>181</v>
      </c>
      <c r="GD2645" s="1" t="s">
        <v>193</v>
      </c>
      <c r="GE2645" s="1" t="s">
        <v>3831</v>
      </c>
    </row>
    <row r="2646" spans="1:187" ht="11.25" customHeight="1">
      <c r="A2646" s="1" t="s">
        <v>3832</v>
      </c>
      <c r="B2646" s="1" t="str">
        <f ca="1">IFERROR(__xludf.DUMMYFUNCTION("GOOGLETRANSLATE(A2646, ""en"", ""fr"")"),"Débat n ° 2")</f>
        <v>Débat n ° 2</v>
      </c>
      <c r="C2646" s="1" t="s">
        <v>185</v>
      </c>
      <c r="N2646" s="1" t="s">
        <v>10</v>
      </c>
      <c r="AG2646" s="1" t="s">
        <v>29</v>
      </c>
      <c r="BK2646" s="1" t="s">
        <v>59</v>
      </c>
      <c r="DN2646" s="1" t="s">
        <v>114</v>
      </c>
      <c r="FZ2646" s="1" t="s">
        <v>178</v>
      </c>
      <c r="GD2646" s="1" t="s">
        <v>189</v>
      </c>
      <c r="GE2646" s="1" t="s">
        <v>3833</v>
      </c>
    </row>
    <row r="2647" spans="1:187" ht="11.25" customHeight="1">
      <c r="A2647" s="1" t="s">
        <v>3834</v>
      </c>
      <c r="B2647" s="1" t="str">
        <f ca="1">IFERROR(__xludf.DUMMYFUNCTION("GOOGLETRANSLATE(A2647, ""en"", ""fr"")"),"DETTE")</f>
        <v>DETTE</v>
      </c>
      <c r="C2647" s="1" t="s">
        <v>185</v>
      </c>
      <c r="L2647" s="1" t="s">
        <v>8</v>
      </c>
      <c r="AA2647" s="1" t="s">
        <v>23</v>
      </c>
      <c r="AC2647" s="1" t="s">
        <v>25</v>
      </c>
      <c r="BQ2647" s="1" t="s">
        <v>65</v>
      </c>
      <c r="EV2647" s="1" t="s">
        <v>148</v>
      </c>
      <c r="EW2647" s="1" t="s">
        <v>149</v>
      </c>
      <c r="GD2647" s="1" t="s">
        <v>193</v>
      </c>
      <c r="GE2647" s="1" t="s">
        <v>190</v>
      </c>
    </row>
    <row r="2648" spans="1:187" ht="11.25" customHeight="1">
      <c r="A2648" s="1" t="s">
        <v>3835</v>
      </c>
      <c r="B2648" s="1" t="str">
        <f ca="1">IFERROR(__xludf.DUMMYFUNCTION("GOOGLETRANSLATE(A2648, ""en"", ""fr"")"),"DÉBITEUR")</f>
        <v>DÉBITEUR</v>
      </c>
      <c r="C2648" s="1" t="s">
        <v>185</v>
      </c>
      <c r="E2648" s="1" t="s">
        <v>16613</v>
      </c>
      <c r="L2648" s="1" t="s">
        <v>8</v>
      </c>
      <c r="AA2648" s="1" t="s">
        <v>23</v>
      </c>
      <c r="AT2648" s="1" t="s">
        <v>42</v>
      </c>
      <c r="ET2648" s="1" t="s">
        <v>146</v>
      </c>
      <c r="EW2648" s="1" t="s">
        <v>149</v>
      </c>
      <c r="GD2648" s="1" t="s">
        <v>193</v>
      </c>
      <c r="GE2648" s="1" t="s">
        <v>190</v>
      </c>
    </row>
    <row r="2649" spans="1:187" ht="11.25" customHeight="1">
      <c r="A2649" s="1" t="s">
        <v>3836</v>
      </c>
      <c r="B2649" s="1" t="str">
        <f ca="1">IFERROR(__xludf.DUMMYFUNCTION("GOOGLETRANSLATE(A2649, ""en"", ""fr"")"),"DÉBUT")</f>
        <v>DÉBUT</v>
      </c>
      <c r="C2649" s="1" t="s">
        <v>185</v>
      </c>
      <c r="AM2649" s="1" t="s">
        <v>35</v>
      </c>
      <c r="GD2649" s="1" t="s">
        <v>193</v>
      </c>
      <c r="GE2649" s="1" t="s">
        <v>190</v>
      </c>
    </row>
    <row r="2650" spans="1:187" ht="11.25" customHeight="1">
      <c r="A2650" s="1" t="s">
        <v>3837</v>
      </c>
      <c r="B2650" s="1" t="str">
        <f ca="1">IFERROR(__xludf.DUMMYFUNCTION("GOOGLETRANSLATE(A2650, ""en"", ""fr"")"),"DÉCENNIE")</f>
        <v>DÉCENNIE</v>
      </c>
      <c r="C2650" s="1" t="s">
        <v>185</v>
      </c>
      <c r="CQ2650" s="1" t="s">
        <v>91</v>
      </c>
      <c r="CY2650" s="1" t="s">
        <v>99</v>
      </c>
      <c r="CZ2650" s="1" t="s">
        <v>100</v>
      </c>
      <c r="GB2650" s="1" t="s">
        <v>180</v>
      </c>
      <c r="GD2650" s="1" t="s">
        <v>193</v>
      </c>
      <c r="GE2650" s="1" t="s">
        <v>190</v>
      </c>
    </row>
    <row r="2651" spans="1:187" ht="11.25" customHeight="1">
      <c r="A2651" s="1" t="s">
        <v>3838</v>
      </c>
      <c r="B2651" s="1" t="str">
        <f ca="1">IFERROR(__xludf.DUMMYFUNCTION("GOOGLETRANSLATE(A2651, ""en"", ""fr"")"),"DÉCADENCE")</f>
        <v>DÉCADENCE</v>
      </c>
      <c r="C2651" s="1" t="s">
        <v>192</v>
      </c>
      <c r="E2651" s="1" t="s">
        <v>16613</v>
      </c>
      <c r="V2651" s="1" t="s">
        <v>18</v>
      </c>
      <c r="W2651" s="1" t="s">
        <v>19</v>
      </c>
      <c r="BN2651" s="1" t="s">
        <v>62</v>
      </c>
      <c r="GD2651" s="1" t="s">
        <v>193</v>
      </c>
      <c r="GE2651" s="1" t="s">
        <v>190</v>
      </c>
    </row>
    <row r="2652" spans="1:187" ht="11.25" customHeight="1">
      <c r="A2652" s="1" t="s">
        <v>3839</v>
      </c>
      <c r="B2652" s="1" t="str">
        <f ca="1">IFERROR(__xludf.DUMMYFUNCTION("GOOGLETRANSLATE(A2652, ""en"", ""fr"")"),"DÉCADENT")</f>
        <v>DÉCADENT</v>
      </c>
      <c r="C2652" s="1" t="s">
        <v>192</v>
      </c>
      <c r="E2652" s="1" t="s">
        <v>16613</v>
      </c>
      <c r="V2652" s="1" t="s">
        <v>18</v>
      </c>
      <c r="W2652" s="1" t="s">
        <v>19</v>
      </c>
      <c r="BN2652" s="1" t="s">
        <v>62</v>
      </c>
      <c r="DR2652" s="1" t="s">
        <v>118</v>
      </c>
      <c r="GD2652" s="1" t="s">
        <v>202</v>
      </c>
      <c r="GE2652" s="1" t="s">
        <v>190</v>
      </c>
    </row>
    <row r="2653" spans="1:187" ht="11.25" customHeight="1">
      <c r="A2653" s="1" t="s">
        <v>3840</v>
      </c>
      <c r="B2653" s="1" t="str">
        <f ca="1">IFERROR(__xludf.DUMMYFUNCTION("GOOGLETRANSLATE(A2653, ""en"", ""fr"")"),"Décriture n ° 1")</f>
        <v>Décriture n ° 1</v>
      </c>
      <c r="C2653" s="1" t="s">
        <v>185</v>
      </c>
      <c r="E2653" s="1" t="s">
        <v>16613</v>
      </c>
      <c r="H2653" s="1" t="s">
        <v>4</v>
      </c>
      <c r="L2653" s="1" t="s">
        <v>8</v>
      </c>
      <c r="O2653" s="1" t="s">
        <v>11</v>
      </c>
      <c r="BY2653" s="1" t="s">
        <v>73</v>
      </c>
      <c r="GD2653" s="1" t="s">
        <v>193</v>
      </c>
      <c r="GE2653" s="1" t="s">
        <v>190</v>
      </c>
    </row>
    <row r="2654" spans="1:187" ht="11.25" customHeight="1">
      <c r="A2654" s="1" t="s">
        <v>3841</v>
      </c>
      <c r="B2654" s="1" t="str">
        <f ca="1">IFERROR(__xludf.DUMMYFUNCTION("GOOGLETRANSLATE(A2654, ""en"", ""fr"")"),"Décriture n ° 2")</f>
        <v>Décriture n ° 2</v>
      </c>
      <c r="C2654" s="1" t="s">
        <v>185</v>
      </c>
      <c r="E2654" s="1" t="s">
        <v>16613</v>
      </c>
      <c r="H2654" s="1" t="s">
        <v>4</v>
      </c>
      <c r="L2654" s="1" t="s">
        <v>8</v>
      </c>
      <c r="O2654" s="1" t="s">
        <v>11</v>
      </c>
      <c r="BY2654" s="1" t="s">
        <v>73</v>
      </c>
      <c r="DO2654" s="1" t="s">
        <v>115</v>
      </c>
      <c r="GD2654" s="1" t="s">
        <v>189</v>
      </c>
      <c r="GE2654" s="1" t="s">
        <v>190</v>
      </c>
    </row>
    <row r="2655" spans="1:187" ht="11.25" customHeight="1">
      <c r="A2655" s="1" t="s">
        <v>3842</v>
      </c>
      <c r="B2655" s="1" t="str">
        <f ca="1">IFERROR(__xludf.DUMMYFUNCTION("GOOGLETRANSLATE(A2655, ""en"", ""fr"")"),"DÉCÈS")</f>
        <v>DÉCÈS</v>
      </c>
      <c r="C2655" s="1" t="s">
        <v>192</v>
      </c>
      <c r="E2655" s="1" t="s">
        <v>16613</v>
      </c>
      <c r="N2655" s="1" t="s">
        <v>10</v>
      </c>
      <c r="BZ2655" s="1" t="s">
        <v>74</v>
      </c>
      <c r="DN2655" s="1" t="s">
        <v>114</v>
      </c>
      <c r="GD2655" s="1" t="s">
        <v>189</v>
      </c>
      <c r="GE2655" s="1" t="s">
        <v>190</v>
      </c>
    </row>
    <row r="2656" spans="1:187" ht="11.25" customHeight="1">
      <c r="A2656" s="1" t="s">
        <v>3843</v>
      </c>
      <c r="B2656" s="1" t="str">
        <f ca="1">IFERROR(__xludf.DUMMYFUNCTION("GOOGLETRANSLATE(A2656, ""en"", ""fr"")"),"TROMPERIE")</f>
        <v>TROMPERIE</v>
      </c>
      <c r="C2656" s="1" t="s">
        <v>192</v>
      </c>
      <c r="E2656" s="1" t="s">
        <v>16613</v>
      </c>
      <c r="I2656" s="1" t="s">
        <v>5</v>
      </c>
      <c r="V2656" s="1" t="s">
        <v>18</v>
      </c>
      <c r="CM2656" s="1" t="s">
        <v>87</v>
      </c>
      <c r="GD2656" s="1" t="s">
        <v>193</v>
      </c>
      <c r="GE2656" s="1" t="s">
        <v>190</v>
      </c>
    </row>
    <row r="2657" spans="1:187" ht="11.25" customHeight="1">
      <c r="A2657" s="1" t="s">
        <v>3844</v>
      </c>
      <c r="B2657" s="1" t="str">
        <f ca="1">IFERROR(__xludf.DUMMYFUNCTION("GOOGLETRANSLATE(A2657, ""en"", ""fr"")"),"TROMPEUR")</f>
        <v>TROMPEUR</v>
      </c>
      <c r="C2657" s="1" t="s">
        <v>192</v>
      </c>
      <c r="E2657" s="1" t="s">
        <v>16613</v>
      </c>
      <c r="I2657" s="1" t="s">
        <v>5</v>
      </c>
      <c r="V2657" s="1" t="s">
        <v>18</v>
      </c>
      <c r="CM2657" s="1" t="s">
        <v>87</v>
      </c>
      <c r="DQ2657" s="1" t="s">
        <v>117</v>
      </c>
      <c r="GD2657" s="1" t="s">
        <v>202</v>
      </c>
      <c r="GE2657" s="1" t="s">
        <v>190</v>
      </c>
    </row>
    <row r="2658" spans="1:187" ht="11.25" customHeight="1">
      <c r="A2658" s="1" t="s">
        <v>3845</v>
      </c>
      <c r="B2658" s="1" t="str">
        <f ca="1">IFERROR(__xludf.DUMMYFUNCTION("GOOGLETRANSLATE(A2658, ""en"", ""fr"")"),"Trompe # 1")</f>
        <v>Trompe # 1</v>
      </c>
      <c r="C2658" s="1" t="s">
        <v>185</v>
      </c>
      <c r="E2658" s="1" t="s">
        <v>16613</v>
      </c>
      <c r="H2658" s="1" t="s">
        <v>4</v>
      </c>
      <c r="I2658" s="1" t="s">
        <v>5</v>
      </c>
      <c r="N2658" s="1" t="s">
        <v>10</v>
      </c>
      <c r="V2658" s="1" t="s">
        <v>18</v>
      </c>
      <c r="FH2658" s="1" t="s">
        <v>160</v>
      </c>
      <c r="FI2658" s="1" t="s">
        <v>161</v>
      </c>
      <c r="GD2658" s="1" t="s">
        <v>202</v>
      </c>
      <c r="GE2658" s="1" t="s">
        <v>190</v>
      </c>
    </row>
    <row r="2659" spans="1:187" ht="11.25" customHeight="1">
      <c r="A2659" s="1" t="s">
        <v>3846</v>
      </c>
      <c r="B2659" s="1" t="str">
        <f ca="1">IFERROR(__xludf.DUMMYFUNCTION("GOOGLETRANSLATE(A2659, ""en"", ""fr"")"),"Trompe # 2")</f>
        <v>Trompe # 2</v>
      </c>
      <c r="C2659" s="1" t="s">
        <v>185</v>
      </c>
      <c r="E2659" s="1" t="s">
        <v>16613</v>
      </c>
      <c r="H2659" s="1" t="s">
        <v>4</v>
      </c>
      <c r="I2659" s="1" t="s">
        <v>5</v>
      </c>
      <c r="N2659" s="1" t="s">
        <v>10</v>
      </c>
      <c r="BK2659" s="1" t="s">
        <v>59</v>
      </c>
      <c r="DN2659" s="1" t="s">
        <v>114</v>
      </c>
      <c r="FH2659" s="1" t="s">
        <v>160</v>
      </c>
      <c r="FI2659" s="1" t="s">
        <v>161</v>
      </c>
      <c r="GD2659" s="1" t="s">
        <v>189</v>
      </c>
      <c r="GE2659" s="1" t="s">
        <v>190</v>
      </c>
    </row>
    <row r="2660" spans="1:187" ht="11.25" customHeight="1">
      <c r="A2660" s="1" t="s">
        <v>3847</v>
      </c>
      <c r="B2660" s="1" t="str">
        <f ca="1">IFERROR(__xludf.DUMMYFUNCTION("GOOGLETRANSLATE(A2660, ""en"", ""fr"")"),"DÉCEMBRE")</f>
        <v>DÉCEMBRE</v>
      </c>
      <c r="C2660" s="1" t="s">
        <v>185</v>
      </c>
      <c r="CQ2660" s="1" t="s">
        <v>91</v>
      </c>
      <c r="CY2660" s="1" t="s">
        <v>99</v>
      </c>
      <c r="CZ2660" s="1" t="s">
        <v>100</v>
      </c>
      <c r="GB2660" s="1" t="s">
        <v>180</v>
      </c>
      <c r="GD2660" s="1" t="s">
        <v>193</v>
      </c>
      <c r="GE2660" s="1" t="s">
        <v>190</v>
      </c>
    </row>
    <row r="2661" spans="1:187" ht="11.25" customHeight="1">
      <c r="A2661" s="1" t="s">
        <v>3848</v>
      </c>
      <c r="B2661" s="1" t="str">
        <f ca="1">IFERROR(__xludf.DUMMYFUNCTION("GOOGLETRANSLATE(A2661, ""en"", ""fr"")"),"DÉCENCE")</f>
        <v>DÉCENCE</v>
      </c>
      <c r="C2661" s="1" t="s">
        <v>185</v>
      </c>
      <c r="D2661" s="1" t="s">
        <v>16612</v>
      </c>
      <c r="F2661" s="1" t="s">
        <v>2</v>
      </c>
      <c r="U2661" s="1" t="s">
        <v>17</v>
      </c>
      <c r="EE2661" s="1" t="s">
        <v>131</v>
      </c>
      <c r="EJ2661" s="1" t="s">
        <v>136</v>
      </c>
      <c r="GD2661" s="1" t="s">
        <v>193</v>
      </c>
      <c r="GE2661" s="1" t="s">
        <v>190</v>
      </c>
    </row>
    <row r="2662" spans="1:187" ht="11.25" customHeight="1">
      <c r="A2662" s="1" t="s">
        <v>3849</v>
      </c>
      <c r="B2662" s="1" t="str">
        <f ca="1">IFERROR(__xludf.DUMMYFUNCTION("GOOGLETRANSLATE(A2662, ""en"", ""fr"")"),"DÉCENT")</f>
        <v>DÉCENT</v>
      </c>
      <c r="C2662" s="1" t="s">
        <v>185</v>
      </c>
      <c r="D2662" s="1" t="s">
        <v>16612</v>
      </c>
      <c r="F2662" s="1" t="s">
        <v>2</v>
      </c>
      <c r="U2662" s="1" t="s">
        <v>17</v>
      </c>
      <c r="CN2662" s="1" t="s">
        <v>88</v>
      </c>
      <c r="FX2662" s="1" t="s">
        <v>176</v>
      </c>
      <c r="GD2662" s="1" t="s">
        <v>202</v>
      </c>
      <c r="GE2662" s="1" t="s">
        <v>190</v>
      </c>
    </row>
    <row r="2663" spans="1:187" ht="11.25" customHeight="1">
      <c r="A2663" s="1" t="s">
        <v>3850</v>
      </c>
      <c r="B2663" s="1" t="str">
        <f ca="1">IFERROR(__xludf.DUMMYFUNCTION("GOOGLETRANSLATE(A2663, ""en"", ""fr"")"),"DÉCENTRALISER")</f>
        <v>DÉCENTRALISER</v>
      </c>
      <c r="C2663" s="1" t="s">
        <v>196</v>
      </c>
      <c r="EC2663" s="1" t="s">
        <v>129</v>
      </c>
      <c r="ED2663" s="1" t="s">
        <v>130</v>
      </c>
      <c r="GD2663" s="1" t="s">
        <v>189</v>
      </c>
    </row>
    <row r="2664" spans="1:187" ht="11.25" customHeight="1">
      <c r="A2664" s="1" t="s">
        <v>3851</v>
      </c>
      <c r="B2664" s="1" t="str">
        <f ca="1">IFERROR(__xludf.DUMMYFUNCTION("GOOGLETRANSLATE(A2664, ""en"", ""fr"")"),"TROMPERIE")</f>
        <v>TROMPERIE</v>
      </c>
      <c r="C2664" s="1" t="s">
        <v>185</v>
      </c>
      <c r="E2664" s="1" t="s">
        <v>16613</v>
      </c>
      <c r="H2664" s="1" t="s">
        <v>4</v>
      </c>
      <c r="I2664" s="1" t="s">
        <v>5</v>
      </c>
      <c r="N2664" s="1" t="s">
        <v>10</v>
      </c>
      <c r="V2664" s="1" t="s">
        <v>18</v>
      </c>
      <c r="FE2664" s="1" t="s">
        <v>157</v>
      </c>
      <c r="FI2664" s="1" t="s">
        <v>161</v>
      </c>
      <c r="GD2664" s="1" t="s">
        <v>193</v>
      </c>
      <c r="GE2664" s="1" t="s">
        <v>190</v>
      </c>
    </row>
    <row r="2665" spans="1:187" ht="11.25" customHeight="1">
      <c r="A2665" s="1" t="s">
        <v>3852</v>
      </c>
      <c r="B2665" s="1" t="str">
        <f ca="1">IFERROR(__xludf.DUMMYFUNCTION("GOOGLETRANSLATE(A2665, ""en"", ""fr"")"),"TROMPEUR")</f>
        <v>TROMPEUR</v>
      </c>
      <c r="C2665" s="1" t="s">
        <v>185</v>
      </c>
      <c r="E2665" s="1" t="s">
        <v>16613</v>
      </c>
      <c r="H2665" s="1" t="s">
        <v>4</v>
      </c>
      <c r="I2665" s="1" t="s">
        <v>5</v>
      </c>
      <c r="CK2665" s="1" t="s">
        <v>85</v>
      </c>
      <c r="FE2665" s="1" t="s">
        <v>157</v>
      </c>
      <c r="FI2665" s="1" t="s">
        <v>161</v>
      </c>
      <c r="GD2665" s="1" t="s">
        <v>202</v>
      </c>
      <c r="GE2665" s="1" t="s">
        <v>190</v>
      </c>
    </row>
    <row r="2666" spans="1:187" ht="11.25" customHeight="1">
      <c r="A2666" s="1" t="s">
        <v>3853</v>
      </c>
      <c r="B2666" s="1" t="str">
        <f ca="1">IFERROR(__xludf.DUMMYFUNCTION("GOOGLETRANSLATE(A2666, ""en"", ""fr"")"),"Décider n ° 1")</f>
        <v>Décider n ° 1</v>
      </c>
      <c r="C2666" s="1" t="s">
        <v>185</v>
      </c>
      <c r="J2666" s="1" t="s">
        <v>6</v>
      </c>
      <c r="N2666" s="1" t="s">
        <v>10</v>
      </c>
      <c r="CO2666" s="1" t="s">
        <v>89</v>
      </c>
      <c r="DN2666" s="1" t="s">
        <v>114</v>
      </c>
      <c r="FH2666" s="1" t="s">
        <v>160</v>
      </c>
      <c r="FI2666" s="1" t="s">
        <v>161</v>
      </c>
      <c r="GD2666" s="1" t="s">
        <v>400</v>
      </c>
      <c r="GE2666" s="1" t="s">
        <v>3854</v>
      </c>
    </row>
    <row r="2667" spans="1:187" ht="11.25" customHeight="1">
      <c r="A2667" s="1" t="s">
        <v>3855</v>
      </c>
      <c r="B2667" s="1" t="str">
        <f ca="1">IFERROR(__xludf.DUMMYFUNCTION("GOOGLETRANSLATE(A2667, ""en"", ""fr"")"),"Décider n ° 2")</f>
        <v>Décider n ° 2</v>
      </c>
      <c r="C2667" s="1" t="s">
        <v>185</v>
      </c>
      <c r="J2667" s="1" t="s">
        <v>6</v>
      </c>
      <c r="W2667" s="1" t="s">
        <v>19</v>
      </c>
      <c r="BQ2667" s="1" t="s">
        <v>65</v>
      </c>
      <c r="FY2667" s="1" t="s">
        <v>177</v>
      </c>
      <c r="GD2667" s="1" t="s">
        <v>202</v>
      </c>
      <c r="GE2667" s="1" t="s">
        <v>3856</v>
      </c>
    </row>
    <row r="2668" spans="1:187" ht="11.25" customHeight="1">
      <c r="A2668" s="1" t="s">
        <v>3857</v>
      </c>
      <c r="B2668" s="1" t="str">
        <f ca="1">IFERROR(__xludf.DUMMYFUNCTION("GOOGLETRANSLATE(A2668, ""en"", ""fr"")"),"Décider # 3")</f>
        <v>Décider # 3</v>
      </c>
      <c r="C2668" s="1" t="s">
        <v>185</v>
      </c>
      <c r="J2668" s="1" t="s">
        <v>6</v>
      </c>
      <c r="W2668" s="1" t="s">
        <v>19</v>
      </c>
      <c r="FY2668" s="1" t="s">
        <v>177</v>
      </c>
      <c r="GD2668" s="1" t="s">
        <v>236</v>
      </c>
      <c r="GE2668" s="1" t="s">
        <v>3858</v>
      </c>
    </row>
    <row r="2669" spans="1:187" ht="11.25" customHeight="1">
      <c r="A2669" s="1" t="s">
        <v>3859</v>
      </c>
      <c r="B2669" s="1" t="str">
        <f ca="1">IFERROR(__xludf.DUMMYFUNCTION("GOOGLETRANSLATE(A2669, ""en"", ""fr"")"),"DÉCIMAL")</f>
        <v>DÉCIMAL</v>
      </c>
      <c r="C2669" s="1" t="s">
        <v>185</v>
      </c>
      <c r="CS2669" s="1" t="s">
        <v>93</v>
      </c>
      <c r="GD2669" s="1" t="s">
        <v>202</v>
      </c>
      <c r="GE2669" s="1" t="s">
        <v>190</v>
      </c>
    </row>
    <row r="2670" spans="1:187" ht="11.25" customHeight="1">
      <c r="A2670" s="1" t="s">
        <v>3860</v>
      </c>
      <c r="B2670" s="1" t="str">
        <f ca="1">IFERROR(__xludf.DUMMYFUNCTION("GOOGLETRANSLATE(A2670, ""en"", ""fr"")"),"DÉCHIFFRER")</f>
        <v>DÉCHIFFRER</v>
      </c>
      <c r="C2670" s="1" t="s">
        <v>192</v>
      </c>
      <c r="D2670" s="1" t="s">
        <v>16612</v>
      </c>
      <c r="N2670" s="1" t="s">
        <v>10</v>
      </c>
      <c r="BK2670" s="1" t="s">
        <v>59</v>
      </c>
      <c r="CO2670" s="1" t="s">
        <v>89</v>
      </c>
      <c r="DN2670" s="1" t="s">
        <v>114</v>
      </c>
      <c r="GD2670" s="1" t="s">
        <v>189</v>
      </c>
      <c r="GE2670" s="1" t="s">
        <v>190</v>
      </c>
    </row>
    <row r="2671" spans="1:187" ht="11.25" customHeight="1">
      <c r="A2671" s="1" t="s">
        <v>3861</v>
      </c>
      <c r="B2671" s="1" t="str">
        <f ca="1">IFERROR(__xludf.DUMMYFUNCTION("GOOGLETRANSLATE(A2671, ""en"", ""fr"")"),"DÉCISION")</f>
        <v>DÉCISION</v>
      </c>
      <c r="C2671" s="1" t="s">
        <v>185</v>
      </c>
      <c r="J2671" s="1" t="s">
        <v>6</v>
      </c>
      <c r="N2671" s="1" t="s">
        <v>10</v>
      </c>
      <c r="BO2671" s="1" t="s">
        <v>63</v>
      </c>
      <c r="CP2671" s="1" t="s">
        <v>90</v>
      </c>
      <c r="CQ2671" s="1" t="s">
        <v>91</v>
      </c>
      <c r="FH2671" s="1" t="s">
        <v>160</v>
      </c>
      <c r="FI2671" s="1" t="s">
        <v>161</v>
      </c>
      <c r="GD2671" s="1" t="s">
        <v>193</v>
      </c>
      <c r="GE2671" s="1" t="s">
        <v>3862</v>
      </c>
    </row>
    <row r="2672" spans="1:187" ht="11.25" customHeight="1">
      <c r="A2672" s="1" t="s">
        <v>3863</v>
      </c>
      <c r="B2672" s="1" t="str">
        <f ca="1">IFERROR(__xludf.DUMMYFUNCTION("GOOGLETRANSLATE(A2672, ""en"", ""fr"")"),"DÉCISIF")</f>
        <v>DÉCISIF</v>
      </c>
      <c r="C2672" s="1" t="s">
        <v>185</v>
      </c>
      <c r="J2672" s="1" t="s">
        <v>6</v>
      </c>
      <c r="K2672" s="1" t="s">
        <v>7</v>
      </c>
      <c r="N2672" s="1" t="s">
        <v>10</v>
      </c>
      <c r="U2672" s="1" t="s">
        <v>17</v>
      </c>
      <c r="W2672" s="1" t="s">
        <v>19</v>
      </c>
      <c r="FY2672" s="1" t="s">
        <v>177</v>
      </c>
      <c r="GD2672" s="1" t="s">
        <v>202</v>
      </c>
      <c r="GE2672" s="1" t="s">
        <v>190</v>
      </c>
    </row>
    <row r="2673" spans="1:187" ht="11.25" customHeight="1">
      <c r="A2673" s="1" t="s">
        <v>3864</v>
      </c>
      <c r="B2673" s="1" t="str">
        <f ca="1">IFERROR(__xludf.DUMMYFUNCTION("GOOGLETRANSLATE(A2673, ""en"", ""fr"")"),"PONT")</f>
        <v>PONT</v>
      </c>
      <c r="C2673" s="1" t="s">
        <v>185</v>
      </c>
      <c r="BC2673" s="1" t="s">
        <v>51</v>
      </c>
      <c r="BG2673" s="1" t="s">
        <v>55</v>
      </c>
      <c r="GD2673" s="1" t="s">
        <v>193</v>
      </c>
      <c r="GE2673" s="1" t="s">
        <v>190</v>
      </c>
    </row>
    <row r="2674" spans="1:187" ht="11.25" customHeight="1">
      <c r="A2674" s="1" t="s">
        <v>3865</v>
      </c>
      <c r="B2674" s="1" t="str">
        <f ca="1">IFERROR(__xludf.DUMMYFUNCTION("GOOGLETRANSLATE(A2674, ""en"", ""fr"")"),"DÉCLARATION")</f>
        <v>DÉCLARATION</v>
      </c>
      <c r="C2674" s="1" t="s">
        <v>185</v>
      </c>
      <c r="J2674" s="1" t="s">
        <v>6</v>
      </c>
      <c r="BK2674" s="1" t="s">
        <v>59</v>
      </c>
      <c r="BL2674" s="1" t="s">
        <v>60</v>
      </c>
      <c r="EC2674" s="1" t="s">
        <v>129</v>
      </c>
      <c r="ED2674" s="1" t="s">
        <v>130</v>
      </c>
      <c r="GC2674" s="1" t="s">
        <v>181</v>
      </c>
      <c r="GD2674" s="1" t="s">
        <v>193</v>
      </c>
      <c r="GE2674" s="1" t="s">
        <v>190</v>
      </c>
    </row>
    <row r="2675" spans="1:187" ht="11.25" customHeight="1">
      <c r="A2675" s="1" t="s">
        <v>3866</v>
      </c>
      <c r="B2675" s="1" t="str">
        <f ca="1">IFERROR(__xludf.DUMMYFUNCTION("GOOGLETRANSLATE(A2675, ""en"", ""fr"")"),"DÉCLARER")</f>
        <v>DÉCLARER</v>
      </c>
      <c r="C2675" s="1" t="s">
        <v>185</v>
      </c>
      <c r="J2675" s="1" t="s">
        <v>6</v>
      </c>
      <c r="BK2675" s="1" t="s">
        <v>59</v>
      </c>
      <c r="DN2675" s="1" t="s">
        <v>114</v>
      </c>
      <c r="EC2675" s="1" t="s">
        <v>129</v>
      </c>
      <c r="ED2675" s="1" t="s">
        <v>130</v>
      </c>
      <c r="GD2675" s="1" t="s">
        <v>189</v>
      </c>
      <c r="GE2675" s="1" t="s">
        <v>3867</v>
      </c>
    </row>
    <row r="2676" spans="1:187" ht="11.25" customHeight="1">
      <c r="A2676" s="1" t="s">
        <v>3868</v>
      </c>
      <c r="B2676" s="1" t="str">
        <f ca="1">IFERROR(__xludf.DUMMYFUNCTION("GOOGLETRANSLATE(A2676, ""en"", ""fr"")"),"Déclin n ° 1")</f>
        <v>Déclin n ° 1</v>
      </c>
      <c r="C2676" s="1" t="s">
        <v>185</v>
      </c>
      <c r="E2676" s="1" t="s">
        <v>16613</v>
      </c>
      <c r="H2676" s="1" t="s">
        <v>4</v>
      </c>
      <c r="L2676" s="1" t="s">
        <v>8</v>
      </c>
      <c r="O2676" s="1" t="s">
        <v>11</v>
      </c>
      <c r="BY2676" s="1" t="s">
        <v>73</v>
      </c>
      <c r="FO2676" s="1" t="s">
        <v>167</v>
      </c>
      <c r="GD2676" s="1" t="s">
        <v>193</v>
      </c>
      <c r="GE2676" s="1" t="s">
        <v>190</v>
      </c>
    </row>
    <row r="2677" spans="1:187" ht="11.25" customHeight="1">
      <c r="A2677" s="1" t="s">
        <v>3869</v>
      </c>
      <c r="B2677" s="1" t="str">
        <f ca="1">IFERROR(__xludf.DUMMYFUNCTION("GOOGLETRANSLATE(A2677, ""en"", ""fr"")"),"Déclin n ° 2")</f>
        <v>Déclin n ° 2</v>
      </c>
      <c r="C2677" s="1" t="s">
        <v>185</v>
      </c>
      <c r="E2677" s="1" t="s">
        <v>16613</v>
      </c>
      <c r="H2677" s="1" t="s">
        <v>4</v>
      </c>
      <c r="L2677" s="1" t="s">
        <v>8</v>
      </c>
      <c r="O2677" s="1" t="s">
        <v>11</v>
      </c>
      <c r="BY2677" s="1" t="s">
        <v>73</v>
      </c>
      <c r="DN2677" s="1" t="s">
        <v>114</v>
      </c>
      <c r="FO2677" s="1" t="s">
        <v>167</v>
      </c>
      <c r="GD2677" s="1" t="s">
        <v>189</v>
      </c>
      <c r="GE2677" s="1" t="s">
        <v>190</v>
      </c>
    </row>
    <row r="2678" spans="1:187" ht="11.25" customHeight="1">
      <c r="A2678" s="1" t="s">
        <v>3870</v>
      </c>
      <c r="B2678" s="1" t="str">
        <f ca="1">IFERROR(__xludf.DUMMYFUNCTION("GOOGLETRANSLATE(A2678, ""en"", ""fr"")"),"DÉCOMPOSER")</f>
        <v>DÉCOMPOSER</v>
      </c>
      <c r="C2678" s="1" t="s">
        <v>192</v>
      </c>
      <c r="E2678" s="1" t="s">
        <v>16613</v>
      </c>
      <c r="O2678" s="1" t="s">
        <v>11</v>
      </c>
      <c r="BU2678" s="1" t="s">
        <v>69</v>
      </c>
      <c r="BY2678" s="1" t="s">
        <v>73</v>
      </c>
      <c r="DN2678" s="1" t="s">
        <v>114</v>
      </c>
      <c r="GD2678" s="1" t="s">
        <v>189</v>
      </c>
      <c r="GE2678" s="1" t="s">
        <v>190</v>
      </c>
    </row>
    <row r="2679" spans="1:187" ht="11.25" customHeight="1">
      <c r="A2679" s="1" t="s">
        <v>3871</v>
      </c>
      <c r="B2679" s="1" t="str">
        <f ca="1">IFERROR(__xludf.DUMMYFUNCTION("GOOGLETRANSLATE(A2679, ""en"", ""fr"")"),"DÉCORER")</f>
        <v>DÉCORER</v>
      </c>
      <c r="C2679" s="1" t="s">
        <v>192</v>
      </c>
      <c r="D2679" s="1" t="s">
        <v>16612</v>
      </c>
      <c r="N2679" s="1" t="s">
        <v>10</v>
      </c>
      <c r="P2679" s="1" t="s">
        <v>12</v>
      </c>
      <c r="BX2679" s="1" t="s">
        <v>72</v>
      </c>
      <c r="CM2679" s="1" t="s">
        <v>87</v>
      </c>
      <c r="DN2679" s="1" t="s">
        <v>114</v>
      </c>
      <c r="GD2679" s="1" t="s">
        <v>189</v>
      </c>
      <c r="GE2679" s="1" t="s">
        <v>190</v>
      </c>
    </row>
    <row r="2680" spans="1:187" ht="11.25" customHeight="1">
      <c r="A2680" s="1" t="s">
        <v>3872</v>
      </c>
      <c r="B2680" s="1" t="str">
        <f ca="1">IFERROR(__xludf.DUMMYFUNCTION("GOOGLETRANSLATE(A2680, ""en"", ""fr"")"),"DÉCORATION")</f>
        <v>DÉCORATION</v>
      </c>
      <c r="C2680" s="1" t="s">
        <v>192</v>
      </c>
      <c r="D2680" s="1" t="s">
        <v>16612</v>
      </c>
      <c r="P2680" s="1" t="s">
        <v>12</v>
      </c>
      <c r="BC2680" s="1" t="s">
        <v>51</v>
      </c>
      <c r="GD2680" s="1" t="s">
        <v>193</v>
      </c>
      <c r="GE2680" s="1" t="s">
        <v>190</v>
      </c>
    </row>
    <row r="2681" spans="1:187" ht="11.25" customHeight="1">
      <c r="A2681" s="1" t="s">
        <v>3873</v>
      </c>
      <c r="B2681" s="1" t="str">
        <f ca="1">IFERROR(__xludf.DUMMYFUNCTION("GOOGLETRANSLATE(A2681, ""en"", ""fr"")"),"DÉCORATIF")</f>
        <v>DÉCORATIF</v>
      </c>
      <c r="C2681" s="1" t="s">
        <v>192</v>
      </c>
      <c r="D2681" s="1" t="s">
        <v>16612</v>
      </c>
      <c r="P2681" s="1" t="s">
        <v>12</v>
      </c>
      <c r="CM2681" s="1" t="s">
        <v>87</v>
      </c>
      <c r="DR2681" s="1" t="s">
        <v>118</v>
      </c>
      <c r="GD2681" s="1" t="s">
        <v>202</v>
      </c>
      <c r="GE2681" s="1" t="s">
        <v>190</v>
      </c>
    </row>
    <row r="2682" spans="1:187" ht="11.25" customHeight="1">
      <c r="A2682" s="1" t="s">
        <v>3874</v>
      </c>
      <c r="B2682" s="1" t="str">
        <f ca="1">IFERROR(__xludf.DUMMYFUNCTION("GOOGLETRANSLATE(A2682, ""en"", ""fr"")"),"Diminution n ° 1")</f>
        <v>Diminution n ° 1</v>
      </c>
      <c r="C2682" s="1" t="s">
        <v>185</v>
      </c>
      <c r="E2682" s="1" t="s">
        <v>16613</v>
      </c>
      <c r="H2682" s="1" t="s">
        <v>4</v>
      </c>
      <c r="L2682" s="1" t="s">
        <v>8</v>
      </c>
      <c r="O2682" s="1" t="s">
        <v>11</v>
      </c>
      <c r="BY2682" s="1" t="s">
        <v>73</v>
      </c>
      <c r="FO2682" s="1" t="s">
        <v>167</v>
      </c>
      <c r="GD2682" s="1" t="s">
        <v>193</v>
      </c>
      <c r="GE2682" s="1" t="s">
        <v>190</v>
      </c>
    </row>
    <row r="2683" spans="1:187" ht="11.25" customHeight="1">
      <c r="A2683" s="1" t="s">
        <v>3875</v>
      </c>
      <c r="B2683" s="1" t="str">
        <f ca="1">IFERROR(__xludf.DUMMYFUNCTION("GOOGLETRANSLATE(A2683, ""en"", ""fr"")"),"Diminution n ° 2")</f>
        <v>Diminution n ° 2</v>
      </c>
      <c r="C2683" s="1" t="s">
        <v>185</v>
      </c>
      <c r="E2683" s="1" t="s">
        <v>16613</v>
      </c>
      <c r="H2683" s="1" t="s">
        <v>4</v>
      </c>
      <c r="L2683" s="1" t="s">
        <v>8</v>
      </c>
      <c r="O2683" s="1" t="s">
        <v>11</v>
      </c>
      <c r="BY2683" s="1" t="s">
        <v>73</v>
      </c>
      <c r="DO2683" s="1" t="s">
        <v>115</v>
      </c>
      <c r="FO2683" s="1" t="s">
        <v>167</v>
      </c>
      <c r="GD2683" s="1" t="s">
        <v>189</v>
      </c>
      <c r="GE2683" s="1" t="s">
        <v>190</v>
      </c>
    </row>
    <row r="2684" spans="1:187" ht="11.25" customHeight="1">
      <c r="A2684" s="1" t="s">
        <v>3876</v>
      </c>
      <c r="B2684" s="1" t="str">
        <f ca="1">IFERROR(__xludf.DUMMYFUNCTION("GOOGLETRANSLATE(A2684, ""en"", ""fr"")"),"DÉCRET")</f>
        <v>DÉCRET</v>
      </c>
      <c r="C2684" s="1" t="s">
        <v>196</v>
      </c>
      <c r="EB2684" s="1" t="s">
        <v>128</v>
      </c>
      <c r="ED2684" s="1" t="s">
        <v>130</v>
      </c>
      <c r="GD2684" s="1" t="s">
        <v>470</v>
      </c>
    </row>
    <row r="2685" spans="1:187" ht="11.25" customHeight="1">
      <c r="A2685" s="1" t="s">
        <v>3877</v>
      </c>
      <c r="B2685" s="1" t="str">
        <f ca="1">IFERROR(__xludf.DUMMYFUNCTION("GOOGLETRANSLATE(A2685, ""en"", ""fr"")"),"Dédicace # 1")</f>
        <v>Dédicace # 1</v>
      </c>
      <c r="C2685" s="1" t="s">
        <v>185</v>
      </c>
      <c r="D2685" s="1" t="s">
        <v>16612</v>
      </c>
      <c r="F2685" s="1" t="s">
        <v>2</v>
      </c>
      <c r="J2685" s="1" t="s">
        <v>6</v>
      </c>
      <c r="BN2685" s="1" t="s">
        <v>62</v>
      </c>
      <c r="FX2685" s="1" t="s">
        <v>176</v>
      </c>
      <c r="GD2685" s="1" t="s">
        <v>202</v>
      </c>
      <c r="GE2685" s="1" t="s">
        <v>190</v>
      </c>
    </row>
    <row r="2686" spans="1:187" ht="11.25" customHeight="1">
      <c r="A2686" s="1" t="s">
        <v>3878</v>
      </c>
      <c r="B2686" s="1" t="str">
        <f ca="1">IFERROR(__xludf.DUMMYFUNCTION("GOOGLETRANSLATE(A2686, ""en"", ""fr"")"),"Dédicace # 2")</f>
        <v>Dédicace # 2</v>
      </c>
      <c r="C2686" s="1" t="s">
        <v>185</v>
      </c>
      <c r="D2686" s="1" t="s">
        <v>16612</v>
      </c>
      <c r="F2686" s="1" t="s">
        <v>2</v>
      </c>
      <c r="J2686" s="1" t="s">
        <v>6</v>
      </c>
      <c r="U2686" s="1" t="s">
        <v>17</v>
      </c>
      <c r="DN2686" s="1" t="s">
        <v>114</v>
      </c>
      <c r="FX2686" s="1" t="s">
        <v>176</v>
      </c>
      <c r="GD2686" s="1" t="s">
        <v>189</v>
      </c>
      <c r="GE2686" s="1" t="s">
        <v>190</v>
      </c>
    </row>
    <row r="2687" spans="1:187" ht="11.25" customHeight="1">
      <c r="A2687" s="1" t="s">
        <v>3879</v>
      </c>
      <c r="B2687" s="1" t="str">
        <f ca="1">IFERROR(__xludf.DUMMYFUNCTION("GOOGLETRANSLATE(A2687, ""en"", ""fr"")"),"DÉVOUEMENT")</f>
        <v>DÉVOUEMENT</v>
      </c>
      <c r="C2687" s="1" t="s">
        <v>185</v>
      </c>
      <c r="D2687" s="1" t="s">
        <v>16612</v>
      </c>
      <c r="F2687" s="1" t="s">
        <v>2</v>
      </c>
      <c r="J2687" s="1" t="s">
        <v>6</v>
      </c>
      <c r="U2687" s="1" t="s">
        <v>17</v>
      </c>
      <c r="CP2687" s="1" t="s">
        <v>90</v>
      </c>
      <c r="CQ2687" s="1" t="s">
        <v>91</v>
      </c>
      <c r="FX2687" s="1" t="s">
        <v>176</v>
      </c>
      <c r="GD2687" s="1" t="s">
        <v>193</v>
      </c>
      <c r="GE2687" s="1" t="s">
        <v>190</v>
      </c>
    </row>
    <row r="2688" spans="1:187" ht="11.25" customHeight="1">
      <c r="A2688" s="1" t="s">
        <v>3880</v>
      </c>
      <c r="B2688" s="1" t="str">
        <f ca="1">IFERROR(__xludf.DUMMYFUNCTION("GOOGLETRANSLATE(A2688, ""en"", ""fr"")"),"DÉDUIRE")</f>
        <v>DÉDUIRE</v>
      </c>
      <c r="C2688" s="1" t="s">
        <v>192</v>
      </c>
      <c r="D2688" s="1" t="s">
        <v>16612</v>
      </c>
      <c r="N2688" s="1" t="s">
        <v>10</v>
      </c>
      <c r="CG2688" s="1" t="s">
        <v>81</v>
      </c>
      <c r="CO2688" s="1" t="s">
        <v>89</v>
      </c>
      <c r="DN2688" s="1" t="s">
        <v>114</v>
      </c>
      <c r="GD2688" s="1" t="s">
        <v>189</v>
      </c>
      <c r="GE2688" s="1" t="s">
        <v>190</v>
      </c>
    </row>
    <row r="2689" spans="1:187" ht="11.25" customHeight="1">
      <c r="A2689" s="1" t="s">
        <v>3881</v>
      </c>
      <c r="B2689" s="1" t="str">
        <f ca="1">IFERROR(__xludf.DUMMYFUNCTION("GOOGLETRANSLATE(A2689, ""en"", ""fr"")"),"DÉDUIRE")</f>
        <v>DÉDUIRE</v>
      </c>
      <c r="C2689" s="1" t="s">
        <v>185</v>
      </c>
      <c r="N2689" s="1" t="s">
        <v>10</v>
      </c>
      <c r="CO2689" s="1" t="s">
        <v>89</v>
      </c>
      <c r="DN2689" s="1" t="s">
        <v>114</v>
      </c>
      <c r="GD2689" s="1" t="s">
        <v>189</v>
      </c>
      <c r="GE2689" s="1" t="s">
        <v>190</v>
      </c>
    </row>
    <row r="2690" spans="1:187" ht="11.25" customHeight="1">
      <c r="A2690" s="1" t="s">
        <v>3882</v>
      </c>
      <c r="B2690" s="1" t="str">
        <f ca="1">IFERROR(__xludf.DUMMYFUNCTION("GOOGLETRANSLATE(A2690, ""en"", ""fr"")"),"CONSIDÉRER")</f>
        <v>CONSIDÉRER</v>
      </c>
      <c r="C2690" s="1" t="s">
        <v>185</v>
      </c>
      <c r="O2690" s="1" t="s">
        <v>11</v>
      </c>
      <c r="CO2690" s="1" t="s">
        <v>89</v>
      </c>
      <c r="DN2690" s="1" t="s">
        <v>114</v>
      </c>
      <c r="GD2690" s="1" t="s">
        <v>189</v>
      </c>
      <c r="GE2690" s="1" t="s">
        <v>190</v>
      </c>
    </row>
    <row r="2691" spans="1:187" ht="11.25" customHeight="1">
      <c r="A2691" s="1" t="s">
        <v>3883</v>
      </c>
      <c r="B2691" s="1" t="str">
        <f ca="1">IFERROR(__xludf.DUMMYFUNCTION("GOOGLETRANSLATE(A2691, ""en"", ""fr"")"),"Deep # 1")</f>
        <v>Deep # 1</v>
      </c>
      <c r="C2691" s="1" t="s">
        <v>185</v>
      </c>
      <c r="J2691" s="1" t="s">
        <v>6</v>
      </c>
      <c r="DA2691" s="1" t="s">
        <v>101</v>
      </c>
      <c r="DC2691" s="1" t="s">
        <v>103</v>
      </c>
      <c r="GD2691" s="1" t="s">
        <v>202</v>
      </c>
      <c r="GE2691" s="1" t="s">
        <v>3884</v>
      </c>
    </row>
    <row r="2692" spans="1:187" ht="11.25" customHeight="1">
      <c r="A2692" s="1" t="s">
        <v>3885</v>
      </c>
      <c r="B2692" s="1" t="str">
        <f ca="1">IFERROR(__xludf.DUMMYFUNCTION("GOOGLETRANSLATE(A2692, ""en"", ""fr"")"),"Deep # 2")</f>
        <v>Deep # 2</v>
      </c>
      <c r="C2692" s="1" t="s">
        <v>185</v>
      </c>
      <c r="J2692" s="1" t="s">
        <v>6</v>
      </c>
      <c r="U2692" s="1" t="s">
        <v>17</v>
      </c>
      <c r="W2692" s="1" t="s">
        <v>19</v>
      </c>
      <c r="GD2692" s="1" t="s">
        <v>236</v>
      </c>
      <c r="GE2692" s="1" t="s">
        <v>3886</v>
      </c>
    </row>
    <row r="2693" spans="1:187" ht="11.25" customHeight="1">
      <c r="A2693" s="1" t="s">
        <v>3887</v>
      </c>
      <c r="B2693" s="1" t="str">
        <f ca="1">IFERROR(__xludf.DUMMYFUNCTION("GOOGLETRANSLATE(A2693, ""en"", ""fr"")"),"Deep # 3")</f>
        <v>Deep # 3</v>
      </c>
      <c r="C2693" s="1" t="s">
        <v>185</v>
      </c>
      <c r="J2693" s="1" t="s">
        <v>6</v>
      </c>
      <c r="DA2693" s="1" t="s">
        <v>101</v>
      </c>
      <c r="GD2693" s="1" t="s">
        <v>202</v>
      </c>
      <c r="GE2693" s="1" t="s">
        <v>3888</v>
      </c>
    </row>
    <row r="2694" spans="1:187" ht="11.25" customHeight="1">
      <c r="A2694" s="1" t="s">
        <v>3889</v>
      </c>
      <c r="B2694" s="1" t="str">
        <f ca="1">IFERROR(__xludf.DUMMYFUNCTION("GOOGLETRANSLATE(A2694, ""en"", ""fr"")"),"Deep # 4")</f>
        <v>Deep # 4</v>
      </c>
      <c r="C2694" s="1" t="s">
        <v>185</v>
      </c>
      <c r="J2694" s="1" t="s">
        <v>6</v>
      </c>
      <c r="DA2694" s="1" t="s">
        <v>101</v>
      </c>
      <c r="GD2694" s="1" t="s">
        <v>202</v>
      </c>
      <c r="GE2694" s="1" t="s">
        <v>3890</v>
      </c>
    </row>
    <row r="2695" spans="1:187" ht="11.25" customHeight="1">
      <c r="A2695" s="1" t="s">
        <v>3891</v>
      </c>
      <c r="B2695" s="1" t="str">
        <f ca="1">IFERROR(__xludf.DUMMYFUNCTION("GOOGLETRANSLATE(A2695, ""en"", ""fr"")"),"APPROFONDIR")</f>
        <v>APPROFONDIR</v>
      </c>
      <c r="C2695" s="1" t="s">
        <v>185</v>
      </c>
      <c r="J2695" s="1" t="s">
        <v>6</v>
      </c>
      <c r="N2695" s="1" t="s">
        <v>10</v>
      </c>
      <c r="BX2695" s="1" t="s">
        <v>72</v>
      </c>
      <c r="DN2695" s="1" t="s">
        <v>114</v>
      </c>
      <c r="GD2695" s="1" t="s">
        <v>189</v>
      </c>
      <c r="GE2695" s="1" t="s">
        <v>190</v>
      </c>
    </row>
    <row r="2696" spans="1:187" ht="11.25" customHeight="1">
      <c r="A2696" s="1" t="s">
        <v>3892</v>
      </c>
      <c r="B2696" s="1" t="str">
        <f ca="1">IFERROR(__xludf.DUMMYFUNCTION("GOOGLETRANSLATE(A2696, ""en"", ""fr"")"),"CERF")</f>
        <v>CERF</v>
      </c>
      <c r="C2696" s="1" t="s">
        <v>185</v>
      </c>
      <c r="AU2696" s="1" t="s">
        <v>43</v>
      </c>
      <c r="GD2696" s="1" t="s">
        <v>193</v>
      </c>
      <c r="GE2696" s="1" t="s">
        <v>3893</v>
      </c>
    </row>
    <row r="2697" spans="1:187" ht="11.25" customHeight="1">
      <c r="A2697" s="1" t="s">
        <v>3894</v>
      </c>
      <c r="B2697" s="1" t="str">
        <f ca="1">IFERROR(__xludf.DUMMYFUNCTION("GOOGLETRANSLATE(A2697, ""en"", ""fr"")"),"DIFFAMER")</f>
        <v>DIFFAMER</v>
      </c>
      <c r="C2697" s="1" t="s">
        <v>192</v>
      </c>
      <c r="E2697" s="1" t="s">
        <v>16613</v>
      </c>
      <c r="N2697" s="1" t="s">
        <v>10</v>
      </c>
      <c r="BK2697" s="1" t="s">
        <v>59</v>
      </c>
      <c r="DN2697" s="1" t="s">
        <v>114</v>
      </c>
      <c r="GD2697" s="1" t="s">
        <v>189</v>
      </c>
      <c r="GE2697" s="1" t="s">
        <v>190</v>
      </c>
    </row>
    <row r="2698" spans="1:187" ht="11.25" customHeight="1">
      <c r="A2698" s="1" t="s">
        <v>3895</v>
      </c>
      <c r="B2698" s="1" t="str">
        <f ca="1">IFERROR(__xludf.DUMMYFUNCTION("GOOGLETRANSLATE(A2698, ""en"", ""fr"")"),"DÉFAUT")</f>
        <v>DÉFAUT</v>
      </c>
      <c r="C2698" s="1" t="s">
        <v>192</v>
      </c>
      <c r="E2698" s="1" t="s">
        <v>16613</v>
      </c>
      <c r="N2698" s="1" t="s">
        <v>10</v>
      </c>
      <c r="AA2698" s="1" t="s">
        <v>23</v>
      </c>
      <c r="BT2698" s="1" t="s">
        <v>68</v>
      </c>
      <c r="DN2698" s="1" t="s">
        <v>114</v>
      </c>
      <c r="GD2698" s="1" t="s">
        <v>189</v>
      </c>
      <c r="GE2698" s="1" t="s">
        <v>190</v>
      </c>
    </row>
    <row r="2699" spans="1:187" ht="11.25" customHeight="1">
      <c r="A2699" s="1" t="s">
        <v>3896</v>
      </c>
      <c r="B2699" s="1" t="str">
        <f ca="1">IFERROR(__xludf.DUMMYFUNCTION("GOOGLETRANSLATE(A2699, ""en"", ""fr"")"),"Défaite n ° 1")</f>
        <v>Défaite n ° 1</v>
      </c>
      <c r="C2699" s="1" t="s">
        <v>185</v>
      </c>
      <c r="E2699" s="1" t="s">
        <v>16613</v>
      </c>
      <c r="H2699" s="1" t="s">
        <v>4</v>
      </c>
      <c r="V2699" s="1" t="s">
        <v>18</v>
      </c>
      <c r="AH2699" s="1" t="s">
        <v>30</v>
      </c>
      <c r="DT2699" s="1" t="s">
        <v>120</v>
      </c>
      <c r="ED2699" s="1" t="s">
        <v>130</v>
      </c>
      <c r="GD2699" s="1" t="s">
        <v>193</v>
      </c>
      <c r="GE2699" s="1" t="s">
        <v>3897</v>
      </c>
    </row>
    <row r="2700" spans="1:187" ht="11.25" customHeight="1">
      <c r="A2700" s="1" t="s">
        <v>3898</v>
      </c>
      <c r="B2700" s="1" t="str">
        <f ca="1">IFERROR(__xludf.DUMMYFUNCTION("GOOGLETRANSLATE(A2700, ""en"", ""fr"")"),"Défaite n ° 2")</f>
        <v>Défaite n ° 2</v>
      </c>
      <c r="C2700" s="1" t="s">
        <v>185</v>
      </c>
      <c r="E2700" s="1" t="s">
        <v>16613</v>
      </c>
      <c r="H2700" s="1" t="s">
        <v>4</v>
      </c>
      <c r="I2700" s="1" t="s">
        <v>5</v>
      </c>
      <c r="J2700" s="1" t="s">
        <v>6</v>
      </c>
      <c r="N2700" s="1" t="s">
        <v>10</v>
      </c>
      <c r="BS2700" s="1" t="s">
        <v>67</v>
      </c>
      <c r="DN2700" s="1" t="s">
        <v>114</v>
      </c>
      <c r="DT2700" s="1" t="s">
        <v>120</v>
      </c>
      <c r="ED2700" s="1" t="s">
        <v>130</v>
      </c>
      <c r="GD2700" s="1" t="s">
        <v>189</v>
      </c>
      <c r="GE2700" s="1" t="s">
        <v>3899</v>
      </c>
    </row>
    <row r="2701" spans="1:187" ht="11.25" customHeight="1">
      <c r="A2701" s="1" t="s">
        <v>3900</v>
      </c>
      <c r="B2701" s="1" t="str">
        <f ca="1">IFERROR(__xludf.DUMMYFUNCTION("GOOGLETRANSLATE(A2701, ""en"", ""fr"")"),"DÉFÉQUER")</f>
        <v>DÉFÉQUER</v>
      </c>
      <c r="C2701" s="1" t="s">
        <v>196</v>
      </c>
      <c r="GD2701" s="1" t="s">
        <v>189</v>
      </c>
    </row>
    <row r="2702" spans="1:187" ht="11.25" customHeight="1">
      <c r="A2702" s="1" t="s">
        <v>3901</v>
      </c>
      <c r="B2702" s="1" t="str">
        <f ca="1">IFERROR(__xludf.DUMMYFUNCTION("GOOGLETRANSLATE(A2702, ""en"", ""fr"")"),"DÉFAUT")</f>
        <v>DÉFAUT</v>
      </c>
      <c r="C2702" s="1" t="s">
        <v>185</v>
      </c>
      <c r="E2702" s="1" t="s">
        <v>16613</v>
      </c>
      <c r="H2702" s="1" t="s">
        <v>4</v>
      </c>
      <c r="L2702" s="1" t="s">
        <v>8</v>
      </c>
      <c r="V2702" s="1" t="s">
        <v>18</v>
      </c>
      <c r="GD2702" s="1" t="s">
        <v>193</v>
      </c>
      <c r="GE2702" s="1" t="s">
        <v>190</v>
      </c>
    </row>
    <row r="2703" spans="1:187" ht="11.25" customHeight="1">
      <c r="A2703" s="1" t="s">
        <v>3902</v>
      </c>
      <c r="B2703" s="1" t="str">
        <f ca="1">IFERROR(__xludf.DUMMYFUNCTION("GOOGLETRANSLATE(A2703, ""en"", ""fr"")"),"DÉFECTUEUX")</f>
        <v>DÉFECTUEUX</v>
      </c>
      <c r="C2703" s="1" t="s">
        <v>185</v>
      </c>
      <c r="E2703" s="1" t="s">
        <v>16613</v>
      </c>
      <c r="H2703" s="1" t="s">
        <v>4</v>
      </c>
      <c r="L2703" s="1" t="s">
        <v>8</v>
      </c>
      <c r="V2703" s="1" t="s">
        <v>18</v>
      </c>
      <c r="CN2703" s="1" t="s">
        <v>88</v>
      </c>
      <c r="GD2703" s="1" t="s">
        <v>202</v>
      </c>
      <c r="GE2703" s="1" t="s">
        <v>190</v>
      </c>
    </row>
    <row r="2704" spans="1:187" ht="11.25" customHeight="1">
      <c r="A2704" s="1" t="s">
        <v>3903</v>
      </c>
      <c r="B2704" s="1" t="str">
        <f ca="1">IFERROR(__xludf.DUMMYFUNCTION("GOOGLETRANSLATE(A2704, ""en"", ""fr"")"),"LA DÉFENSE")</f>
        <v>LA DÉFENSE</v>
      </c>
      <c r="C2704" s="1" t="s">
        <v>196</v>
      </c>
      <c r="DW2704" s="1" t="s">
        <v>123</v>
      </c>
      <c r="ED2704" s="1" t="s">
        <v>130</v>
      </c>
      <c r="GD2704" s="1" t="s">
        <v>470</v>
      </c>
    </row>
    <row r="2705" spans="1:187" ht="11.25" customHeight="1">
      <c r="A2705" s="1" t="s">
        <v>3904</v>
      </c>
      <c r="B2705" s="1" t="str">
        <f ca="1">IFERROR(__xludf.DUMMYFUNCTION("GOOGLETRANSLATE(A2705, ""en"", ""fr"")"),"DÉFENDRE")</f>
        <v>DÉFENDRE</v>
      </c>
      <c r="C2705" s="1" t="s">
        <v>185</v>
      </c>
      <c r="D2705" s="1" t="s">
        <v>16612</v>
      </c>
      <c r="F2705" s="1" t="s">
        <v>2</v>
      </c>
      <c r="G2705" s="1" t="s">
        <v>3</v>
      </c>
      <c r="J2705" s="1" t="s">
        <v>6</v>
      </c>
      <c r="N2705" s="1" t="s">
        <v>10</v>
      </c>
      <c r="AN2705" s="1" t="s">
        <v>36</v>
      </c>
      <c r="DN2705" s="1" t="s">
        <v>114</v>
      </c>
      <c r="DS2705" s="1" t="s">
        <v>119</v>
      </c>
      <c r="ED2705" s="1" t="s">
        <v>130</v>
      </c>
      <c r="GD2705" s="1" t="s">
        <v>189</v>
      </c>
      <c r="GE2705" s="1" t="s">
        <v>3905</v>
      </c>
    </row>
    <row r="2706" spans="1:187" ht="11.25" customHeight="1">
      <c r="A2706" s="1" t="s">
        <v>3906</v>
      </c>
      <c r="B2706" s="1" t="str">
        <f ca="1">IFERROR(__xludf.DUMMYFUNCTION("GOOGLETRANSLATE(A2706, ""en"", ""fr"")"),"DÉFENDEUR")</f>
        <v>DÉFENDEUR</v>
      </c>
      <c r="C2706" s="1" t="s">
        <v>192</v>
      </c>
      <c r="E2706" s="1" t="s">
        <v>16613</v>
      </c>
      <c r="L2706" s="1" t="s">
        <v>8</v>
      </c>
      <c r="AJ2706" s="1" t="s">
        <v>32</v>
      </c>
      <c r="AT2706" s="1" t="s">
        <v>42</v>
      </c>
      <c r="GD2706" s="1" t="s">
        <v>193</v>
      </c>
      <c r="GE2706" s="1" t="s">
        <v>190</v>
      </c>
    </row>
    <row r="2707" spans="1:187" ht="11.25" customHeight="1">
      <c r="A2707" s="1" t="s">
        <v>3907</v>
      </c>
      <c r="B2707" s="1" t="str">
        <f ca="1">IFERROR(__xludf.DUMMYFUNCTION("GOOGLETRANSLATE(A2707, ""en"", ""fr"")"),"DÉFENSEUR")</f>
        <v>DÉFENSEUR</v>
      </c>
      <c r="C2707" s="1" t="s">
        <v>185</v>
      </c>
      <c r="D2707" s="1" t="s">
        <v>16612</v>
      </c>
      <c r="F2707" s="1" t="s">
        <v>2</v>
      </c>
      <c r="G2707" s="1" t="s">
        <v>3</v>
      </c>
      <c r="J2707" s="1" t="s">
        <v>6</v>
      </c>
      <c r="N2707" s="1" t="s">
        <v>10</v>
      </c>
      <c r="AJ2707" s="1" t="s">
        <v>32</v>
      </c>
      <c r="AT2707" s="1" t="s">
        <v>42</v>
      </c>
      <c r="GD2707" s="1" t="s">
        <v>193</v>
      </c>
      <c r="GE2707" s="1" t="s">
        <v>190</v>
      </c>
    </row>
    <row r="2708" spans="1:187" ht="11.25" customHeight="1">
      <c r="A2708" s="1" t="s">
        <v>3908</v>
      </c>
      <c r="B2708" s="1" t="str">
        <f ca="1">IFERROR(__xludf.DUMMYFUNCTION("GOOGLETRANSLATE(A2708, ""en"", ""fr"")"),"LA DÉFENSE")</f>
        <v>LA DÉFENSE</v>
      </c>
      <c r="C2708" s="1" t="s">
        <v>185</v>
      </c>
      <c r="D2708" s="1" t="s">
        <v>16612</v>
      </c>
      <c r="F2708" s="1" t="s">
        <v>2</v>
      </c>
      <c r="G2708" s="1" t="s">
        <v>3</v>
      </c>
      <c r="J2708" s="1" t="s">
        <v>6</v>
      </c>
      <c r="N2708" s="1" t="s">
        <v>10</v>
      </c>
      <c r="AH2708" s="1" t="s">
        <v>30</v>
      </c>
      <c r="AN2708" s="1" t="s">
        <v>36</v>
      </c>
      <c r="DW2708" s="1" t="s">
        <v>123</v>
      </c>
      <c r="ED2708" s="1" t="s">
        <v>130</v>
      </c>
      <c r="GD2708" s="1" t="s">
        <v>193</v>
      </c>
      <c r="GE2708" s="1" t="s">
        <v>3909</v>
      </c>
    </row>
    <row r="2709" spans="1:187" ht="11.25" customHeight="1">
      <c r="A2709" s="1" t="s">
        <v>3910</v>
      </c>
      <c r="B2709" s="1" t="str">
        <f ca="1">IFERROR(__xludf.DUMMYFUNCTION("GOOGLETRANSLATE(A2709, ""en"", ""fr"")"),"Défense de la défense")</f>
        <v>Défense de la défense</v>
      </c>
      <c r="C2709" s="1" t="s">
        <v>196</v>
      </c>
      <c r="GD2709" s="1" t="s">
        <v>2981</v>
      </c>
    </row>
    <row r="2710" spans="1:187" ht="11.25" customHeight="1">
      <c r="A2710" s="1" t="s">
        <v>3911</v>
      </c>
      <c r="B2710" s="1" t="str">
        <f ca="1">IFERROR(__xludf.DUMMYFUNCTION("GOOGLETRANSLATE(A2710, ""en"", ""fr"")"),"DÉFENSIVE")</f>
        <v>DÉFENSIVE</v>
      </c>
      <c r="C2710" s="1" t="s">
        <v>185</v>
      </c>
      <c r="E2710" s="1" t="s">
        <v>16613</v>
      </c>
      <c r="H2710" s="1" t="s">
        <v>4</v>
      </c>
      <c r="I2710" s="1" t="s">
        <v>5</v>
      </c>
      <c r="L2710" s="1" t="s">
        <v>8</v>
      </c>
      <c r="O2710" s="1" t="s">
        <v>11</v>
      </c>
      <c r="AN2710" s="1" t="s">
        <v>36</v>
      </c>
      <c r="DW2710" s="1" t="s">
        <v>123</v>
      </c>
      <c r="ED2710" s="1" t="s">
        <v>130</v>
      </c>
      <c r="GD2710" s="1" t="s">
        <v>202</v>
      </c>
      <c r="GE2710" s="1" t="s">
        <v>190</v>
      </c>
    </row>
    <row r="2711" spans="1:187" ht="11.25" customHeight="1">
      <c r="A2711" s="1" t="s">
        <v>3912</v>
      </c>
      <c r="B2711" s="1" t="str">
        <f ca="1">IFERROR(__xludf.DUMMYFUNCTION("GOOGLETRANSLATE(A2711, ""en"", ""fr"")"),"REPORTER")</f>
        <v>REPORTER</v>
      </c>
      <c r="C2711" s="1" t="s">
        <v>185</v>
      </c>
      <c r="M2711" s="1" t="s">
        <v>9</v>
      </c>
      <c r="O2711" s="1" t="s">
        <v>11</v>
      </c>
      <c r="AN2711" s="1" t="s">
        <v>36</v>
      </c>
      <c r="DN2711" s="1" t="s">
        <v>114</v>
      </c>
      <c r="GD2711" s="1" t="s">
        <v>189</v>
      </c>
      <c r="GE2711" s="1" t="s">
        <v>190</v>
      </c>
    </row>
    <row r="2712" spans="1:187" ht="11.25" customHeight="1">
      <c r="A2712" s="1" t="s">
        <v>3913</v>
      </c>
      <c r="B2712" s="1" t="str">
        <f ca="1">IFERROR(__xludf.DUMMYFUNCTION("GOOGLETRANSLATE(A2712, ""en"", ""fr"")"),"RESPECT")</f>
        <v>RESPECT</v>
      </c>
      <c r="C2712" s="1" t="s">
        <v>192</v>
      </c>
      <c r="D2712" s="1" t="s">
        <v>16612</v>
      </c>
      <c r="CJ2712" s="1" t="s">
        <v>84</v>
      </c>
      <c r="GD2712" s="1" t="s">
        <v>1177</v>
      </c>
      <c r="GE2712" s="1" t="s">
        <v>190</v>
      </c>
    </row>
    <row r="2713" spans="1:187" ht="11.25" customHeight="1">
      <c r="A2713" s="1" t="s">
        <v>3914</v>
      </c>
      <c r="B2713" s="1" t="str">
        <f ca="1">IFERROR(__xludf.DUMMYFUNCTION("GOOGLETRANSLATE(A2713, ""en"", ""fr"")"),"DÉFI")</f>
        <v>DÉFI</v>
      </c>
      <c r="C2713" s="1" t="s">
        <v>185</v>
      </c>
      <c r="E2713" s="1" t="s">
        <v>16613</v>
      </c>
      <c r="I2713" s="1" t="s">
        <v>5</v>
      </c>
      <c r="J2713" s="1" t="s">
        <v>6</v>
      </c>
      <c r="V2713" s="1" t="s">
        <v>18</v>
      </c>
      <c r="DW2713" s="1" t="s">
        <v>123</v>
      </c>
      <c r="ED2713" s="1" t="s">
        <v>130</v>
      </c>
      <c r="GD2713" s="1" t="s">
        <v>193</v>
      </c>
      <c r="GE2713" s="1" t="s">
        <v>190</v>
      </c>
    </row>
    <row r="2714" spans="1:187" ht="11.25" customHeight="1">
      <c r="A2714" s="1" t="s">
        <v>3915</v>
      </c>
      <c r="B2714" s="1" t="str">
        <f ca="1">IFERROR(__xludf.DUMMYFUNCTION("GOOGLETRANSLATE(A2714, ""en"", ""fr"")"),"DE DÉFI")</f>
        <v>DE DÉFI</v>
      </c>
      <c r="C2714" s="1" t="s">
        <v>192</v>
      </c>
      <c r="E2714" s="1" t="s">
        <v>16613</v>
      </c>
      <c r="I2714" s="1" t="s">
        <v>5</v>
      </c>
      <c r="J2714" s="1" t="s">
        <v>6</v>
      </c>
      <c r="V2714" s="1" t="s">
        <v>18</v>
      </c>
      <c r="DQ2714" s="1" t="s">
        <v>117</v>
      </c>
      <c r="GD2714" s="1" t="s">
        <v>202</v>
      </c>
      <c r="GE2714" s="1" t="s">
        <v>190</v>
      </c>
    </row>
    <row r="2715" spans="1:187" ht="11.25" customHeight="1">
      <c r="A2715" s="1" t="s">
        <v>3916</v>
      </c>
      <c r="B2715" s="1" t="str">
        <f ca="1">IFERROR(__xludf.DUMMYFUNCTION("GOOGLETRANSLATE(A2715, ""en"", ""fr"")"),"CARENCE")</f>
        <v>CARENCE</v>
      </c>
      <c r="C2715" s="1" t="s">
        <v>185</v>
      </c>
      <c r="E2715" s="1" t="s">
        <v>16613</v>
      </c>
      <c r="H2715" s="1" t="s">
        <v>4</v>
      </c>
      <c r="L2715" s="1" t="s">
        <v>8</v>
      </c>
      <c r="V2715" s="1" t="s">
        <v>18</v>
      </c>
      <c r="GD2715" s="1" t="s">
        <v>193</v>
      </c>
      <c r="GE2715" s="1" t="s">
        <v>190</v>
      </c>
    </row>
    <row r="2716" spans="1:187" ht="11.25" customHeight="1">
      <c r="A2716" s="1" t="s">
        <v>3917</v>
      </c>
      <c r="B2716" s="1" t="str">
        <f ca="1">IFERROR(__xludf.DUMMYFUNCTION("GOOGLETRANSLATE(A2716, ""en"", ""fr"")"),"Déficient")</f>
        <v>Déficient</v>
      </c>
      <c r="C2716" s="1" t="s">
        <v>185</v>
      </c>
      <c r="E2716" s="1" t="s">
        <v>16613</v>
      </c>
      <c r="L2716" s="1" t="s">
        <v>8</v>
      </c>
      <c r="V2716" s="1" t="s">
        <v>18</v>
      </c>
      <c r="DR2716" s="1" t="s">
        <v>118</v>
      </c>
      <c r="GD2716" s="1" t="s">
        <v>202</v>
      </c>
      <c r="GE2716" s="1" t="s">
        <v>190</v>
      </c>
    </row>
    <row r="2717" spans="1:187" ht="11.25" customHeight="1">
      <c r="A2717" s="1" t="s">
        <v>3918</v>
      </c>
      <c r="B2717" s="1" t="str">
        <f ca="1">IFERROR(__xludf.DUMMYFUNCTION("GOOGLETRANSLATE(A2717, ""en"", ""fr"")"),"DÉFICIT")</f>
        <v>DÉFICIT</v>
      </c>
      <c r="C2717" s="1" t="s">
        <v>185</v>
      </c>
      <c r="E2717" s="1" t="s">
        <v>16613</v>
      </c>
      <c r="H2717" s="1" t="s">
        <v>4</v>
      </c>
      <c r="L2717" s="1" t="s">
        <v>8</v>
      </c>
      <c r="V2717" s="1" t="s">
        <v>18</v>
      </c>
      <c r="AA2717" s="1" t="s">
        <v>23</v>
      </c>
      <c r="AC2717" s="1" t="s">
        <v>25</v>
      </c>
      <c r="EV2717" s="1" t="s">
        <v>148</v>
      </c>
      <c r="EW2717" s="1" t="s">
        <v>149</v>
      </c>
      <c r="GD2717" s="1" t="s">
        <v>193</v>
      </c>
      <c r="GE2717" s="1" t="s">
        <v>190</v>
      </c>
    </row>
    <row r="2718" spans="1:187" ht="11.25" customHeight="1">
      <c r="A2718" s="1" t="s">
        <v>3919</v>
      </c>
      <c r="B2718" s="1" t="str">
        <f ca="1">IFERROR(__xludf.DUMMYFUNCTION("GOOGLETRANSLATE(A2718, ""en"", ""fr"")"),"DÉFILÉ")</f>
        <v>DÉFILÉ</v>
      </c>
      <c r="C2718" s="1" t="s">
        <v>192</v>
      </c>
      <c r="E2718" s="1" t="s">
        <v>16613</v>
      </c>
      <c r="I2718" s="1" t="s">
        <v>5</v>
      </c>
      <c r="N2718" s="1" t="s">
        <v>10</v>
      </c>
      <c r="CC2718" s="1" t="s">
        <v>77</v>
      </c>
      <c r="DN2718" s="1" t="s">
        <v>114</v>
      </c>
      <c r="GD2718" s="1" t="s">
        <v>189</v>
      </c>
      <c r="GE2718" s="1" t="s">
        <v>190</v>
      </c>
    </row>
    <row r="2719" spans="1:187" ht="11.25" customHeight="1">
      <c r="A2719" s="1" t="s">
        <v>3920</v>
      </c>
      <c r="B2719" s="1" t="str">
        <f ca="1">IFERROR(__xludf.DUMMYFUNCTION("GOOGLETRANSLATE(A2719, ""en"", ""fr"")"),"DÉFINIR")</f>
        <v>DÉFINIR</v>
      </c>
      <c r="C2719" s="1" t="s">
        <v>185</v>
      </c>
      <c r="CO2719" s="1" t="s">
        <v>89</v>
      </c>
      <c r="DN2719" s="1" t="s">
        <v>114</v>
      </c>
      <c r="FD2719" s="1" t="s">
        <v>156</v>
      </c>
      <c r="FI2719" s="1" t="s">
        <v>161</v>
      </c>
      <c r="GD2719" s="1" t="s">
        <v>189</v>
      </c>
      <c r="GE2719" s="1" t="s">
        <v>190</v>
      </c>
    </row>
    <row r="2720" spans="1:187" ht="11.25" customHeight="1">
      <c r="A2720" s="1" t="s">
        <v>3921</v>
      </c>
      <c r="B2720" s="1" t="str">
        <f ca="1">IFERROR(__xludf.DUMMYFUNCTION("GOOGLETRANSLATE(A2720, ""en"", ""fr"")"),"PRÉCIS")</f>
        <v>PRÉCIS</v>
      </c>
      <c r="C2720" s="1" t="s">
        <v>185</v>
      </c>
      <c r="J2720" s="1" t="s">
        <v>6</v>
      </c>
      <c r="W2720" s="1" t="s">
        <v>19</v>
      </c>
      <c r="CH2720" s="1" t="s">
        <v>82</v>
      </c>
      <c r="FY2720" s="1" t="s">
        <v>177</v>
      </c>
      <c r="GD2720" s="1" t="s">
        <v>202</v>
      </c>
      <c r="GE2720" s="1" t="s">
        <v>3922</v>
      </c>
    </row>
    <row r="2721" spans="1:187" ht="11.25" customHeight="1">
      <c r="A2721" s="1" t="s">
        <v>3923</v>
      </c>
      <c r="B2721" s="1" t="str">
        <f ca="1">IFERROR(__xludf.DUMMYFUNCTION("GOOGLETRANSLATE(A2721, ""en"", ""fr"")"),"CERTAINEMENT")</f>
        <v>CERTAINEMENT</v>
      </c>
      <c r="C2721" s="1" t="s">
        <v>192</v>
      </c>
      <c r="DJ2721" s="1" t="s">
        <v>110</v>
      </c>
      <c r="DM2721" s="1" t="s">
        <v>113</v>
      </c>
      <c r="GE2721" s="1" t="s">
        <v>190</v>
      </c>
    </row>
    <row r="2722" spans="1:187" ht="11.25" customHeight="1">
      <c r="A2722" s="1" t="s">
        <v>3924</v>
      </c>
      <c r="B2722" s="1" t="str">
        <f ca="1">IFERROR(__xludf.DUMMYFUNCTION("GOOGLETRANSLATE(A2722, ""en"", ""fr"")"),"DÉFINITION")</f>
        <v>DÉFINITION</v>
      </c>
      <c r="C2722" s="1" t="s">
        <v>185</v>
      </c>
      <c r="CH2722" s="1" t="s">
        <v>82</v>
      </c>
      <c r="GD2722" s="1" t="s">
        <v>193</v>
      </c>
      <c r="GE2722" s="1" t="s">
        <v>190</v>
      </c>
    </row>
    <row r="2723" spans="1:187" ht="11.25" customHeight="1">
      <c r="A2723" s="1" t="s">
        <v>3925</v>
      </c>
      <c r="B2723" s="1" t="str">
        <f ca="1">IFERROR(__xludf.DUMMYFUNCTION("GOOGLETRANSLATE(A2723, ""en"", ""fr"")"),"DÉFINITIVE")</f>
        <v>DÉFINITIVE</v>
      </c>
      <c r="C2723" s="1" t="s">
        <v>185</v>
      </c>
      <c r="D2723" s="1" t="s">
        <v>16612</v>
      </c>
      <c r="J2723" s="1" t="s">
        <v>6</v>
      </c>
      <c r="BS2723" s="1" t="s">
        <v>67</v>
      </c>
      <c r="CH2723" s="1" t="s">
        <v>82</v>
      </c>
      <c r="DR2723" s="1" t="s">
        <v>118</v>
      </c>
      <c r="FY2723" s="1" t="s">
        <v>177</v>
      </c>
      <c r="GD2723" s="1" t="s">
        <v>202</v>
      </c>
      <c r="GE2723" s="1" t="s">
        <v>190</v>
      </c>
    </row>
    <row r="2724" spans="1:187" ht="11.25" customHeight="1">
      <c r="A2724" s="1" t="s">
        <v>3926</v>
      </c>
      <c r="B2724" s="1" t="str">
        <f ca="1">IFERROR(__xludf.DUMMYFUNCTION("GOOGLETRANSLATE(A2724, ""en"", ""fr"")"),"PAYER")</f>
        <v>PAYER</v>
      </c>
      <c r="C2724" s="1" t="s">
        <v>196</v>
      </c>
      <c r="EV2724" s="1" t="s">
        <v>148</v>
      </c>
      <c r="EW2724" s="1" t="s">
        <v>149</v>
      </c>
      <c r="GD2724" s="1" t="s">
        <v>189</v>
      </c>
    </row>
    <row r="2725" spans="1:187" ht="11.25" customHeight="1">
      <c r="A2725" s="1" t="s">
        <v>3927</v>
      </c>
      <c r="B2725" s="1" t="str">
        <f ca="1">IFERROR(__xludf.DUMMYFUNCTION("GOOGLETRANSLATE(A2725, ""en"", ""fr"")"),"DEFIER")</f>
        <v>DEFIER</v>
      </c>
      <c r="C2725" s="1" t="s">
        <v>185</v>
      </c>
      <c r="E2725" s="1" t="s">
        <v>16613</v>
      </c>
      <c r="H2725" s="1" t="s">
        <v>4</v>
      </c>
      <c r="I2725" s="1" t="s">
        <v>5</v>
      </c>
      <c r="J2725" s="1" t="s">
        <v>6</v>
      </c>
      <c r="N2725" s="1" t="s">
        <v>10</v>
      </c>
      <c r="AN2725" s="1" t="s">
        <v>36</v>
      </c>
      <c r="DN2725" s="1" t="s">
        <v>114</v>
      </c>
      <c r="DW2725" s="1" t="s">
        <v>123</v>
      </c>
      <c r="ED2725" s="1" t="s">
        <v>130</v>
      </c>
      <c r="GD2725" s="1" t="s">
        <v>189</v>
      </c>
      <c r="GE2725" s="1" t="s">
        <v>190</v>
      </c>
    </row>
    <row r="2726" spans="1:187" ht="11.25" customHeight="1">
      <c r="A2726" s="1" t="s">
        <v>3928</v>
      </c>
      <c r="B2726" s="1" t="str">
        <f ca="1">IFERROR(__xludf.DUMMYFUNCTION("GOOGLETRANSLATE(A2726, ""en"", ""fr"")"),"DÉGÉNÉRER")</f>
        <v>DÉGÉNÉRER</v>
      </c>
      <c r="C2726" s="1" t="s">
        <v>185</v>
      </c>
      <c r="E2726" s="1" t="s">
        <v>16613</v>
      </c>
      <c r="H2726" s="1" t="s">
        <v>4</v>
      </c>
      <c r="L2726" s="1" t="s">
        <v>8</v>
      </c>
      <c r="O2726" s="1" t="s">
        <v>11</v>
      </c>
      <c r="V2726" s="1" t="s">
        <v>18</v>
      </c>
      <c r="W2726" s="1" t="s">
        <v>19</v>
      </c>
      <c r="GD2726" s="1" t="s">
        <v>202</v>
      </c>
      <c r="GE2726" s="1" t="s">
        <v>190</v>
      </c>
    </row>
    <row r="2727" spans="1:187" ht="11.25" customHeight="1">
      <c r="A2727" s="1" t="s">
        <v>3929</v>
      </c>
      <c r="B2727" s="1" t="str">
        <f ca="1">IFERROR(__xludf.DUMMYFUNCTION("GOOGLETRANSLATE(A2727, ""en"", ""fr"")"),"DÉGRADER")</f>
        <v>DÉGRADER</v>
      </c>
      <c r="C2727" s="1" t="s">
        <v>185</v>
      </c>
      <c r="E2727" s="1" t="s">
        <v>16613</v>
      </c>
      <c r="I2727" s="1" t="s">
        <v>5</v>
      </c>
      <c r="N2727" s="1" t="s">
        <v>10</v>
      </c>
      <c r="BK2727" s="1" t="s">
        <v>59</v>
      </c>
      <c r="DN2727" s="1" t="s">
        <v>114</v>
      </c>
      <c r="EL2727" s="1" t="s">
        <v>138</v>
      </c>
      <c r="EN2727" s="1" t="s">
        <v>140</v>
      </c>
      <c r="GD2727" s="1" t="s">
        <v>189</v>
      </c>
      <c r="GE2727" s="1" t="s">
        <v>190</v>
      </c>
    </row>
    <row r="2728" spans="1:187" ht="11.25" customHeight="1">
      <c r="A2728" s="1" t="s">
        <v>3930</v>
      </c>
      <c r="B2728" s="1" t="str">
        <f ca="1">IFERROR(__xludf.DUMMYFUNCTION("GOOGLETRANSLATE(A2728, ""en"", ""fr"")"),"Diplôme n ° 1")</f>
        <v>Diplôme n ° 1</v>
      </c>
      <c r="C2728" s="1" t="s">
        <v>185</v>
      </c>
      <c r="CH2728" s="1" t="s">
        <v>82</v>
      </c>
      <c r="GD2728" s="1" t="s">
        <v>193</v>
      </c>
      <c r="GE2728" s="1" t="s">
        <v>3931</v>
      </c>
    </row>
    <row r="2729" spans="1:187" ht="11.25" customHeight="1">
      <c r="A2729" s="1" t="s">
        <v>3932</v>
      </c>
      <c r="B2729" s="1" t="str">
        <f ca="1">IFERROR(__xludf.DUMMYFUNCTION("GOOGLETRANSLATE(A2729, ""en"", ""fr"")"),"Diplôme n ° 2")</f>
        <v>Diplôme n ° 2</v>
      </c>
      <c r="C2729" s="1" t="s">
        <v>185</v>
      </c>
      <c r="CS2729" s="1" t="s">
        <v>93</v>
      </c>
      <c r="GD2729" s="1" t="s">
        <v>193</v>
      </c>
      <c r="GE2729" s="1" t="s">
        <v>3933</v>
      </c>
    </row>
    <row r="2730" spans="1:187" ht="11.25" customHeight="1">
      <c r="A2730" s="1" t="s">
        <v>3934</v>
      </c>
      <c r="B2730" s="1" t="str">
        <f ca="1">IFERROR(__xludf.DUMMYFUNCTION("GOOGLETRANSLATE(A2730, ""en"", ""fr"")"),"Diplôme n ° 3")</f>
        <v>Diplôme n ° 3</v>
      </c>
      <c r="C2730" s="1" t="s">
        <v>185</v>
      </c>
      <c r="Y2730" s="1" t="s">
        <v>21</v>
      </c>
      <c r="BK2730" s="1" t="s">
        <v>59</v>
      </c>
      <c r="BL2730" s="1" t="s">
        <v>60</v>
      </c>
      <c r="FH2730" s="1" t="s">
        <v>160</v>
      </c>
      <c r="FI2730" s="1" t="s">
        <v>161</v>
      </c>
      <c r="GC2730" s="1" t="s">
        <v>181</v>
      </c>
      <c r="GD2730" s="1" t="s">
        <v>193</v>
      </c>
      <c r="GE2730" s="1" t="s">
        <v>3935</v>
      </c>
    </row>
    <row r="2731" spans="1:187" ht="11.25" customHeight="1">
      <c r="A2731" s="1" t="s">
        <v>3936</v>
      </c>
      <c r="B2731" s="1" t="str">
        <f ca="1">IFERROR(__xludf.DUMMYFUNCTION("GOOGLETRANSLATE(A2731, ""en"", ""fr"")"),"FAIRE DÉCOURAGER")</f>
        <v>FAIRE DÉCOURAGER</v>
      </c>
      <c r="C2731" s="1" t="s">
        <v>196</v>
      </c>
      <c r="FA2731" s="1" t="s">
        <v>153</v>
      </c>
      <c r="FC2731" s="1" t="s">
        <v>155</v>
      </c>
      <c r="GD2731" s="1" t="s">
        <v>189</v>
      </c>
    </row>
    <row r="2732" spans="1:187" ht="11.25" customHeight="1">
      <c r="A2732" s="1" t="s">
        <v>3937</v>
      </c>
      <c r="B2732" s="1" t="str">
        <f ca="1">IFERROR(__xludf.DUMMYFUNCTION("GOOGLETRANSLATE(A2732, ""en"", ""fr"")"),"ABATTU")</f>
        <v>ABATTU</v>
      </c>
      <c r="C2732" s="1" t="s">
        <v>192</v>
      </c>
      <c r="E2732" s="1" t="s">
        <v>16613</v>
      </c>
      <c r="L2732" s="1" t="s">
        <v>8</v>
      </c>
      <c r="Q2732" s="1" t="s">
        <v>13</v>
      </c>
      <c r="T2732" s="1" t="s">
        <v>16</v>
      </c>
      <c r="DR2732" s="1" t="s">
        <v>118</v>
      </c>
      <c r="GD2732" s="1" t="s">
        <v>202</v>
      </c>
      <c r="GE2732" s="1" t="s">
        <v>190</v>
      </c>
    </row>
    <row r="2733" spans="1:187" ht="11.25" customHeight="1">
      <c r="A2733" s="1" t="s">
        <v>3938</v>
      </c>
      <c r="B2733" s="1" t="str">
        <f ca="1">IFERROR(__xludf.DUMMYFUNCTION("GOOGLETRANSLATE(A2733, ""en"", ""fr"")"),"Retard n ° 1")</f>
        <v>Retard n ° 1</v>
      </c>
      <c r="C2733" s="1" t="s">
        <v>185</v>
      </c>
      <c r="E2733" s="1" t="s">
        <v>16613</v>
      </c>
      <c r="H2733" s="1" t="s">
        <v>4</v>
      </c>
      <c r="L2733" s="1" t="s">
        <v>8</v>
      </c>
      <c r="O2733" s="1" t="s">
        <v>11</v>
      </c>
      <c r="CY2733" s="1" t="s">
        <v>99</v>
      </c>
      <c r="FP2733" s="1" t="s">
        <v>168</v>
      </c>
      <c r="GD2733" s="1" t="s">
        <v>193</v>
      </c>
      <c r="GE2733" s="1" t="s">
        <v>190</v>
      </c>
    </row>
    <row r="2734" spans="1:187" ht="11.25" customHeight="1">
      <c r="A2734" s="1" t="s">
        <v>3939</v>
      </c>
      <c r="B2734" s="1" t="str">
        <f ca="1">IFERROR(__xludf.DUMMYFUNCTION("GOOGLETRANSLATE(A2734, ""en"", ""fr"")"),"Retard n ° 2")</f>
        <v>Retard n ° 2</v>
      </c>
      <c r="C2734" s="1" t="s">
        <v>185</v>
      </c>
      <c r="E2734" s="1" t="s">
        <v>16613</v>
      </c>
      <c r="H2734" s="1" t="s">
        <v>4</v>
      </c>
      <c r="L2734" s="1" t="s">
        <v>8</v>
      </c>
      <c r="O2734" s="1" t="s">
        <v>11</v>
      </c>
      <c r="BR2734" s="1" t="s">
        <v>66</v>
      </c>
      <c r="DN2734" s="1" t="s">
        <v>114</v>
      </c>
      <c r="FP2734" s="1" t="s">
        <v>168</v>
      </c>
      <c r="GD2734" s="1" t="s">
        <v>189</v>
      </c>
      <c r="GE2734" s="1" t="s">
        <v>190</v>
      </c>
    </row>
    <row r="2735" spans="1:187" ht="11.25" customHeight="1">
      <c r="A2735" s="1" t="s">
        <v>3940</v>
      </c>
      <c r="B2735" s="1" t="str">
        <f ca="1">IFERROR(__xludf.DUMMYFUNCTION("GOOGLETRANSLATE(A2735, ""en"", ""fr"")"),"DÉLÉGUER")</f>
        <v>DÉLÉGUER</v>
      </c>
      <c r="C2735" s="1" t="s">
        <v>185</v>
      </c>
      <c r="K2735" s="1" t="s">
        <v>7</v>
      </c>
      <c r="AG2735" s="1" t="s">
        <v>29</v>
      </c>
      <c r="AJ2735" s="1" t="s">
        <v>32</v>
      </c>
      <c r="AT2735" s="1" t="s">
        <v>42</v>
      </c>
      <c r="DY2735" s="1" t="s">
        <v>125</v>
      </c>
      <c r="ED2735" s="1" t="s">
        <v>130</v>
      </c>
      <c r="GD2735" s="1" t="s">
        <v>193</v>
      </c>
      <c r="GE2735" s="1" t="s">
        <v>190</v>
      </c>
    </row>
    <row r="2736" spans="1:187" ht="11.25" customHeight="1">
      <c r="A2736" s="1" t="s">
        <v>3941</v>
      </c>
      <c r="B2736" s="1" t="str">
        <f ca="1">IFERROR(__xludf.DUMMYFUNCTION("GOOGLETRANSLATE(A2736, ""en"", ""fr"")"),"DÉLÉGATION")</f>
        <v>DÉLÉGATION</v>
      </c>
      <c r="C2736" s="1" t="s">
        <v>185</v>
      </c>
      <c r="K2736" s="1" t="s">
        <v>7</v>
      </c>
      <c r="AG2736" s="1" t="s">
        <v>29</v>
      </c>
      <c r="AH2736" s="1" t="s">
        <v>30</v>
      </c>
      <c r="AK2736" s="1" t="s">
        <v>33</v>
      </c>
      <c r="AT2736" s="1" t="s">
        <v>42</v>
      </c>
      <c r="DY2736" s="1" t="s">
        <v>125</v>
      </c>
      <c r="ED2736" s="1" t="s">
        <v>130</v>
      </c>
      <c r="GD2736" s="1" t="s">
        <v>193</v>
      </c>
      <c r="GE2736" s="1" t="s">
        <v>190</v>
      </c>
    </row>
    <row r="2737" spans="1:187" ht="11.25" customHeight="1">
      <c r="A2737" s="1" t="s">
        <v>3942</v>
      </c>
      <c r="B2737" s="1" t="str">
        <f ca="1">IFERROR(__xludf.DUMMYFUNCTION("GOOGLETRANSLATE(A2737, ""en"", ""fr"")"),"Deleware")</f>
        <v>Deleware</v>
      </c>
      <c r="C2737" s="1" t="s">
        <v>196</v>
      </c>
      <c r="GD2737" s="1" t="s">
        <v>653</v>
      </c>
    </row>
    <row r="2738" spans="1:187" ht="11.25" customHeight="1">
      <c r="A2738" s="1" t="s">
        <v>3943</v>
      </c>
      <c r="B2738" s="1" t="str">
        <f ca="1">IFERROR(__xludf.DUMMYFUNCTION("GOOGLETRANSLATE(A2738, ""en"", ""fr"")"),"Délibéré n ° 1")</f>
        <v>Délibéré n ° 1</v>
      </c>
      <c r="C2738" s="1" t="s">
        <v>185</v>
      </c>
      <c r="J2738" s="1" t="s">
        <v>6</v>
      </c>
      <c r="N2738" s="1" t="s">
        <v>10</v>
      </c>
      <c r="CI2738" s="1" t="s">
        <v>83</v>
      </c>
      <c r="GD2738" s="1" t="s">
        <v>202</v>
      </c>
      <c r="GE2738" s="1" t="s">
        <v>190</v>
      </c>
    </row>
    <row r="2739" spans="1:187" ht="11.25" customHeight="1">
      <c r="A2739" s="1" t="s">
        <v>3944</v>
      </c>
      <c r="B2739" s="1" t="str">
        <f ca="1">IFERROR(__xludf.DUMMYFUNCTION("GOOGLETRANSLATE(A2739, ""en"", ""fr"")"),"Délibéré # 2")</f>
        <v>Délibéré # 2</v>
      </c>
      <c r="C2739" s="1" t="s">
        <v>185</v>
      </c>
      <c r="J2739" s="1" t="s">
        <v>6</v>
      </c>
      <c r="N2739" s="1" t="s">
        <v>10</v>
      </c>
      <c r="BK2739" s="1" t="s">
        <v>59</v>
      </c>
      <c r="DN2739" s="1" t="s">
        <v>114</v>
      </c>
      <c r="GD2739" s="1" t="s">
        <v>189</v>
      </c>
      <c r="GE2739" s="1" t="s">
        <v>190</v>
      </c>
    </row>
    <row r="2740" spans="1:187" ht="11.25" customHeight="1">
      <c r="A2740" s="1" t="s">
        <v>3945</v>
      </c>
      <c r="B2740" s="1" t="str">
        <f ca="1">IFERROR(__xludf.DUMMYFUNCTION("GOOGLETRANSLATE(A2740, ""en"", ""fr"")"),"DÉLIBÉRATION")</f>
        <v>DÉLIBÉRATION</v>
      </c>
      <c r="C2740" s="1" t="s">
        <v>196</v>
      </c>
      <c r="FD2740" s="1" t="s">
        <v>156</v>
      </c>
      <c r="FI2740" s="1" t="s">
        <v>161</v>
      </c>
      <c r="GD2740" s="1" t="s">
        <v>193</v>
      </c>
    </row>
    <row r="2741" spans="1:187" ht="11.25" customHeight="1">
      <c r="A2741" s="1" t="s">
        <v>3946</v>
      </c>
      <c r="B2741" s="1" t="str">
        <f ca="1">IFERROR(__xludf.DUMMYFUNCTION("GOOGLETRANSLATE(A2741, ""en"", ""fr"")"),"DÉLICATESSE")</f>
        <v>DÉLICATESSE</v>
      </c>
      <c r="C2741" s="1" t="s">
        <v>192</v>
      </c>
      <c r="D2741" s="1" t="s">
        <v>16612</v>
      </c>
      <c r="W2741" s="1" t="s">
        <v>19</v>
      </c>
      <c r="CM2741" s="1" t="s">
        <v>87</v>
      </c>
      <c r="CR2741" s="1" t="s">
        <v>92</v>
      </c>
      <c r="GD2741" s="1" t="s">
        <v>193</v>
      </c>
      <c r="GE2741" s="1" t="s">
        <v>190</v>
      </c>
    </row>
    <row r="2742" spans="1:187" ht="11.25" customHeight="1">
      <c r="A2742" s="1" t="s">
        <v>3947</v>
      </c>
      <c r="B2742" s="1" t="str">
        <f ca="1">IFERROR(__xludf.DUMMYFUNCTION("GOOGLETRANSLATE(A2742, ""en"", ""fr"")"),"DÉLICAT")</f>
        <v>DÉLICAT</v>
      </c>
      <c r="C2742" s="1" t="s">
        <v>185</v>
      </c>
      <c r="D2742" s="1" t="s">
        <v>16612</v>
      </c>
      <c r="F2742" s="1" t="s">
        <v>2</v>
      </c>
      <c r="L2742" s="1" t="s">
        <v>8</v>
      </c>
      <c r="CN2742" s="1" t="s">
        <v>88</v>
      </c>
      <c r="CR2742" s="1" t="s">
        <v>92</v>
      </c>
      <c r="GD2742" s="1" t="s">
        <v>202</v>
      </c>
      <c r="GE2742" s="1" t="s">
        <v>190</v>
      </c>
    </row>
    <row r="2743" spans="1:187" ht="11.25" customHeight="1">
      <c r="A2743" s="1" t="s">
        <v>3948</v>
      </c>
      <c r="B2743" s="1" t="str">
        <f ca="1">IFERROR(__xludf.DUMMYFUNCTION("GOOGLETRANSLATE(A2743, ""en"", ""fr"")"),"Excellent # 1")</f>
        <v>Excellent # 1</v>
      </c>
      <c r="C2743" s="1" t="s">
        <v>185</v>
      </c>
      <c r="D2743" s="1" t="s">
        <v>16612</v>
      </c>
      <c r="F2743" s="1" t="s">
        <v>2</v>
      </c>
      <c r="P2743" s="1" t="s">
        <v>12</v>
      </c>
      <c r="T2743" s="1" t="s">
        <v>16</v>
      </c>
      <c r="EX2743" s="1" t="s">
        <v>150</v>
      </c>
      <c r="FC2743" s="1" t="s">
        <v>155</v>
      </c>
      <c r="GD2743" s="1" t="s">
        <v>202</v>
      </c>
      <c r="GE2743" s="1" t="s">
        <v>190</v>
      </c>
    </row>
    <row r="2744" spans="1:187" ht="11.25" customHeight="1">
      <c r="A2744" s="1" t="s">
        <v>3949</v>
      </c>
      <c r="B2744" s="1" t="str">
        <f ca="1">IFERROR(__xludf.DUMMYFUNCTION("GOOGLETRANSLATE(A2744, ""en"", ""fr"")"),"Délice # 2")</f>
        <v>Délice # 2</v>
      </c>
      <c r="C2744" s="1" t="s">
        <v>185</v>
      </c>
      <c r="D2744" s="1" t="s">
        <v>16612</v>
      </c>
      <c r="F2744" s="1" t="s">
        <v>2</v>
      </c>
      <c r="P2744" s="1" t="s">
        <v>12</v>
      </c>
      <c r="DN2744" s="1" t="s">
        <v>114</v>
      </c>
      <c r="EX2744" s="1" t="s">
        <v>150</v>
      </c>
      <c r="FC2744" s="1" t="s">
        <v>155</v>
      </c>
      <c r="GD2744" s="1" t="s">
        <v>189</v>
      </c>
      <c r="GE2744" s="1" t="s">
        <v>190</v>
      </c>
    </row>
    <row r="2745" spans="1:187" ht="11.25" customHeight="1">
      <c r="A2745" s="1" t="s">
        <v>3950</v>
      </c>
      <c r="B2745" s="1" t="str">
        <f ca="1">IFERROR(__xludf.DUMMYFUNCTION("GOOGLETRANSLATE(A2745, ""en"", ""fr"")"),"DÉLICIEUX")</f>
        <v>DÉLICIEUX</v>
      </c>
      <c r="C2745" s="1" t="s">
        <v>185</v>
      </c>
      <c r="D2745" s="1" t="s">
        <v>16612</v>
      </c>
      <c r="F2745" s="1" t="s">
        <v>2</v>
      </c>
      <c r="P2745" s="1" t="s">
        <v>12</v>
      </c>
      <c r="CN2745" s="1" t="s">
        <v>88</v>
      </c>
      <c r="FA2745" s="1" t="s">
        <v>153</v>
      </c>
      <c r="FC2745" s="1" t="s">
        <v>155</v>
      </c>
      <c r="GD2745" s="1" t="s">
        <v>202</v>
      </c>
      <c r="GE2745" s="1" t="s">
        <v>190</v>
      </c>
    </row>
    <row r="2746" spans="1:187" ht="11.25" customHeight="1">
      <c r="A2746" s="1" t="s">
        <v>3951</v>
      </c>
      <c r="B2746" s="1" t="str">
        <f ca="1">IFERROR(__xludf.DUMMYFUNCTION("GOOGLETRANSLATE(A2746, ""en"", ""fr"")"),"DÉLINQUANCE")</f>
        <v>DÉLINQUANCE</v>
      </c>
      <c r="C2746" s="1" t="s">
        <v>185</v>
      </c>
      <c r="E2746" s="1" t="s">
        <v>16613</v>
      </c>
      <c r="L2746" s="1" t="s">
        <v>8</v>
      </c>
      <c r="V2746" s="1" t="s">
        <v>18</v>
      </c>
      <c r="BT2746" s="1" t="s">
        <v>68</v>
      </c>
      <c r="EE2746" s="1" t="s">
        <v>131</v>
      </c>
      <c r="EJ2746" s="1" t="s">
        <v>136</v>
      </c>
      <c r="GD2746" s="1" t="s">
        <v>193</v>
      </c>
      <c r="GE2746" s="1" t="s">
        <v>190</v>
      </c>
    </row>
    <row r="2747" spans="1:187" ht="11.25" customHeight="1">
      <c r="A2747" s="1" t="s">
        <v>3952</v>
      </c>
      <c r="B2747" s="1" t="str">
        <f ca="1">IFERROR(__xludf.DUMMYFUNCTION("GOOGLETRANSLATE(A2747, ""en"", ""fr"")"),"DÉLINQUANT")</f>
        <v>DÉLINQUANT</v>
      </c>
      <c r="C2747" s="1" t="s">
        <v>185</v>
      </c>
      <c r="E2747" s="1" t="s">
        <v>16613</v>
      </c>
      <c r="L2747" s="1" t="s">
        <v>8</v>
      </c>
      <c r="V2747" s="1" t="s">
        <v>18</v>
      </c>
      <c r="BT2747" s="1" t="s">
        <v>68</v>
      </c>
      <c r="DR2747" s="1" t="s">
        <v>118</v>
      </c>
      <c r="EE2747" s="1" t="s">
        <v>131</v>
      </c>
      <c r="EJ2747" s="1" t="s">
        <v>136</v>
      </c>
      <c r="GD2747" s="1" t="s">
        <v>202</v>
      </c>
      <c r="GE2747" s="1" t="s">
        <v>190</v>
      </c>
    </row>
    <row r="2748" spans="1:187" ht="11.25" customHeight="1">
      <c r="A2748" s="1" t="s">
        <v>3953</v>
      </c>
      <c r="B2748" s="1" t="str">
        <f ca="1">IFERROR(__xludf.DUMMYFUNCTION("GOOGLETRANSLATE(A2748, ""en"", ""fr"")"),"DÉLIRE")</f>
        <v>DÉLIRE</v>
      </c>
      <c r="C2748" s="1" t="s">
        <v>192</v>
      </c>
      <c r="E2748" s="1" t="s">
        <v>16613</v>
      </c>
      <c r="L2748" s="1" t="s">
        <v>8</v>
      </c>
      <c r="V2748" s="1" t="s">
        <v>18</v>
      </c>
      <c r="W2748" s="1" t="s">
        <v>19</v>
      </c>
      <c r="CG2748" s="1" t="s">
        <v>81</v>
      </c>
      <c r="GD2748" s="1" t="s">
        <v>193</v>
      </c>
      <c r="GE2748" s="1" t="s">
        <v>190</v>
      </c>
    </row>
    <row r="2749" spans="1:187" ht="11.25" customHeight="1">
      <c r="A2749" s="1" t="s">
        <v>3954</v>
      </c>
      <c r="B2749" s="1" t="str">
        <f ca="1">IFERROR(__xludf.DUMMYFUNCTION("GOOGLETRANSLATE(A2749, ""en"", ""fr"")"),"LIVRER")</f>
        <v>LIVRER</v>
      </c>
      <c r="C2749" s="1" t="s">
        <v>185</v>
      </c>
      <c r="J2749" s="1" t="s">
        <v>6</v>
      </c>
      <c r="N2749" s="1" t="s">
        <v>10</v>
      </c>
      <c r="CD2749" s="1" t="s">
        <v>78</v>
      </c>
      <c r="DN2749" s="1" t="s">
        <v>114</v>
      </c>
      <c r="FN2749" s="1" t="s">
        <v>166</v>
      </c>
      <c r="GD2749" s="1" t="s">
        <v>189</v>
      </c>
      <c r="GE2749" s="1" t="s">
        <v>190</v>
      </c>
    </row>
    <row r="2750" spans="1:187" ht="11.25" customHeight="1">
      <c r="A2750" s="1" t="s">
        <v>3955</v>
      </c>
      <c r="B2750" s="1" t="str">
        <f ca="1">IFERROR(__xludf.DUMMYFUNCTION("GOOGLETRANSLATE(A2750, ""en"", ""fr"")"),"LIVRAISON")</f>
        <v>LIVRAISON</v>
      </c>
      <c r="C2750" s="1" t="s">
        <v>185</v>
      </c>
      <c r="J2750" s="1" t="s">
        <v>6</v>
      </c>
      <c r="N2750" s="1" t="s">
        <v>10</v>
      </c>
      <c r="BQ2750" s="1" t="s">
        <v>65</v>
      </c>
      <c r="FN2750" s="1" t="s">
        <v>166</v>
      </c>
      <c r="GD2750" s="1" t="s">
        <v>193</v>
      </c>
      <c r="GE2750" s="1" t="s">
        <v>190</v>
      </c>
    </row>
    <row r="2751" spans="1:187" ht="11.25" customHeight="1">
      <c r="A2751" s="1" t="s">
        <v>3956</v>
      </c>
      <c r="B2751" s="1" t="str">
        <f ca="1">IFERROR(__xludf.DUMMYFUNCTION("GOOGLETRANSLATE(A2751, ""en"", ""fr"")"),"Illude n ° 1")</f>
        <v>Illude n ° 1</v>
      </c>
      <c r="C2751" s="1" t="s">
        <v>196</v>
      </c>
      <c r="FE2751" s="1" t="s">
        <v>157</v>
      </c>
      <c r="FI2751" s="1" t="s">
        <v>161</v>
      </c>
      <c r="GD2751" s="1" t="s">
        <v>202</v>
      </c>
    </row>
    <row r="2752" spans="1:187" ht="11.25" customHeight="1">
      <c r="A2752" s="1" t="s">
        <v>3957</v>
      </c>
      <c r="B2752" s="1" t="str">
        <f ca="1">IFERROR(__xludf.DUMMYFUNCTION("GOOGLETRANSLATE(A2752, ""en"", ""fr"")"),"Illude n ° 2")</f>
        <v>Illude n ° 2</v>
      </c>
      <c r="C2752" s="1" t="s">
        <v>196</v>
      </c>
      <c r="FE2752" s="1" t="s">
        <v>157</v>
      </c>
      <c r="FI2752" s="1" t="s">
        <v>161</v>
      </c>
      <c r="GD2752" s="1" t="s">
        <v>189</v>
      </c>
    </row>
    <row r="2753" spans="1:187" ht="11.25" customHeight="1">
      <c r="A2753" s="1" t="s">
        <v>3958</v>
      </c>
      <c r="B2753" s="1" t="str">
        <f ca="1">IFERROR(__xludf.DUMMYFUNCTION("GOOGLETRANSLATE(A2753, ""en"", ""fr"")"),"INONDER")</f>
        <v>INONDER</v>
      </c>
      <c r="C2753" s="1" t="s">
        <v>192</v>
      </c>
      <c r="E2753" s="1" t="s">
        <v>16613</v>
      </c>
      <c r="J2753" s="1" t="s">
        <v>6</v>
      </c>
      <c r="K2753" s="1" t="s">
        <v>7</v>
      </c>
      <c r="W2753" s="1" t="s">
        <v>19</v>
      </c>
      <c r="GD2753" s="1" t="s">
        <v>193</v>
      </c>
      <c r="GE2753" s="1" t="s">
        <v>190</v>
      </c>
    </row>
    <row r="2754" spans="1:187" ht="11.25" customHeight="1">
      <c r="A2754" s="1" t="s">
        <v>3959</v>
      </c>
      <c r="B2754" s="1" t="str">
        <f ca="1">IFERROR(__xludf.DUMMYFUNCTION("GOOGLETRANSLATE(A2754, ""en"", ""fr"")"),"ILLUSION")</f>
        <v>ILLUSION</v>
      </c>
      <c r="C2754" s="1" t="s">
        <v>185</v>
      </c>
      <c r="E2754" s="1" t="s">
        <v>16613</v>
      </c>
      <c r="L2754" s="1" t="s">
        <v>8</v>
      </c>
      <c r="V2754" s="1" t="s">
        <v>18</v>
      </c>
      <c r="CG2754" s="1" t="s">
        <v>81</v>
      </c>
      <c r="FH2754" s="1" t="s">
        <v>160</v>
      </c>
      <c r="FI2754" s="1" t="s">
        <v>161</v>
      </c>
      <c r="GD2754" s="1" t="s">
        <v>193</v>
      </c>
      <c r="GE2754" s="1" t="s">
        <v>190</v>
      </c>
    </row>
    <row r="2755" spans="1:187" ht="11.25" customHeight="1">
      <c r="A2755" s="1" t="s">
        <v>3960</v>
      </c>
      <c r="B2755" s="1" t="str">
        <f ca="1">IFERROR(__xludf.DUMMYFUNCTION("GOOGLETRANSLATE(A2755, ""en"", ""fr"")"),"Demande n ° 1")</f>
        <v>Demande n ° 1</v>
      </c>
      <c r="C2755" s="1" t="s">
        <v>185</v>
      </c>
      <c r="J2755" s="1" t="s">
        <v>6</v>
      </c>
      <c r="K2755" s="1" t="s">
        <v>7</v>
      </c>
      <c r="BK2755" s="1" t="s">
        <v>59</v>
      </c>
      <c r="BL2755" s="1" t="s">
        <v>60</v>
      </c>
      <c r="DU2755" s="1" t="s">
        <v>121</v>
      </c>
      <c r="ED2755" s="1" t="s">
        <v>130</v>
      </c>
      <c r="GC2755" s="1" t="s">
        <v>181</v>
      </c>
      <c r="GD2755" s="1" t="s">
        <v>193</v>
      </c>
      <c r="GE2755" s="1" t="s">
        <v>3961</v>
      </c>
    </row>
    <row r="2756" spans="1:187" ht="11.25" customHeight="1">
      <c r="A2756" s="1" t="s">
        <v>3962</v>
      </c>
      <c r="B2756" s="1" t="str">
        <f ca="1">IFERROR(__xludf.DUMMYFUNCTION("GOOGLETRANSLATE(A2756, ""en"", ""fr"")"),"Demande n ° 2")</f>
        <v>Demande n ° 2</v>
      </c>
      <c r="C2756" s="1" t="s">
        <v>185</v>
      </c>
      <c r="J2756" s="1" t="s">
        <v>6</v>
      </c>
      <c r="K2756" s="1" t="s">
        <v>7</v>
      </c>
      <c r="N2756" s="1" t="s">
        <v>10</v>
      </c>
      <c r="BK2756" s="1" t="s">
        <v>59</v>
      </c>
      <c r="DN2756" s="1" t="s">
        <v>114</v>
      </c>
      <c r="DU2756" s="1" t="s">
        <v>121</v>
      </c>
      <c r="ED2756" s="1" t="s">
        <v>130</v>
      </c>
      <c r="GD2756" s="1" t="s">
        <v>189</v>
      </c>
      <c r="GE2756" s="1" t="s">
        <v>3963</v>
      </c>
    </row>
    <row r="2757" spans="1:187" ht="11.25" customHeight="1">
      <c r="A2757" s="1" t="s">
        <v>3964</v>
      </c>
      <c r="B2757" s="1" t="str">
        <f ca="1">IFERROR(__xludf.DUMMYFUNCTION("GOOGLETRANSLATE(A2757, ""en"", ""fr"")"),"Demande # 3")</f>
        <v>Demande # 3</v>
      </c>
      <c r="C2757" s="1" t="s">
        <v>185</v>
      </c>
      <c r="J2757" s="1" t="s">
        <v>6</v>
      </c>
      <c r="N2757" s="1" t="s">
        <v>10</v>
      </c>
      <c r="U2757" s="1" t="s">
        <v>17</v>
      </c>
      <c r="FL2757" s="1" t="s">
        <v>164</v>
      </c>
      <c r="FM2757" s="1" t="s">
        <v>418</v>
      </c>
      <c r="GD2757" s="1" t="s">
        <v>202</v>
      </c>
      <c r="GE2757" s="1" t="s">
        <v>3965</v>
      </c>
    </row>
    <row r="2758" spans="1:187" ht="11.25" customHeight="1">
      <c r="A2758" s="1" t="s">
        <v>3966</v>
      </c>
      <c r="B2758" s="1" t="str">
        <f ca="1">IFERROR(__xludf.DUMMYFUNCTION("GOOGLETRANSLATE(A2758, ""en"", ""fr"")"),"Demande n ° 4")</f>
        <v>Demande n ° 4</v>
      </c>
      <c r="C2758" s="1" t="s">
        <v>185</v>
      </c>
      <c r="J2758" s="1" t="s">
        <v>6</v>
      </c>
      <c r="N2758" s="1" t="s">
        <v>10</v>
      </c>
      <c r="V2758" s="1" t="s">
        <v>18</v>
      </c>
      <c r="FL2758" s="1" t="s">
        <v>164</v>
      </c>
      <c r="FM2758" s="1" t="s">
        <v>418</v>
      </c>
      <c r="GD2758" s="1" t="s">
        <v>236</v>
      </c>
      <c r="GE2758" s="1" t="s">
        <v>3967</v>
      </c>
    </row>
    <row r="2759" spans="1:187" ht="11.25" customHeight="1">
      <c r="A2759" s="1" t="s">
        <v>3968</v>
      </c>
      <c r="B2759" s="1" t="str">
        <f ca="1">IFERROR(__xludf.DUMMYFUNCTION("GOOGLETRANSLATE(A2759, ""en"", ""fr"")"),"Dégrader")</f>
        <v>Dégrader</v>
      </c>
      <c r="C2759" s="1" t="s">
        <v>192</v>
      </c>
      <c r="E2759" s="1" t="s">
        <v>16613</v>
      </c>
      <c r="I2759" s="1" t="s">
        <v>5</v>
      </c>
      <c r="K2759" s="1" t="s">
        <v>7</v>
      </c>
      <c r="N2759" s="1" t="s">
        <v>10</v>
      </c>
      <c r="DN2759" s="1" t="s">
        <v>114</v>
      </c>
      <c r="GD2759" s="1" t="s">
        <v>670</v>
      </c>
      <c r="GE2759" s="1" t="s">
        <v>190</v>
      </c>
    </row>
    <row r="2760" spans="1:187" ht="11.25" customHeight="1">
      <c r="A2760" s="1" t="s">
        <v>3969</v>
      </c>
      <c r="B2760" s="1" t="str">
        <f ca="1">IFERROR(__xludf.DUMMYFUNCTION("GOOGLETRANSLATE(A2760, ""en"", ""fr"")"),"DISPARITION")</f>
        <v>DISPARITION</v>
      </c>
      <c r="C2760" s="1" t="s">
        <v>185</v>
      </c>
      <c r="E2760" s="1" t="s">
        <v>16613</v>
      </c>
      <c r="H2760" s="1" t="s">
        <v>4</v>
      </c>
      <c r="L2760" s="1" t="s">
        <v>8</v>
      </c>
      <c r="O2760" s="1" t="s">
        <v>11</v>
      </c>
      <c r="BZ2760" s="1" t="s">
        <v>74</v>
      </c>
      <c r="FP2760" s="1" t="s">
        <v>168</v>
      </c>
      <c r="GD2760" s="1" t="s">
        <v>193</v>
      </c>
      <c r="GE2760" s="1" t="s">
        <v>190</v>
      </c>
    </row>
    <row r="2761" spans="1:187" ht="11.25" customHeight="1">
      <c r="A2761" s="1" t="s">
        <v>3970</v>
      </c>
      <c r="B2761" s="1" t="str">
        <f ca="1">IFERROR(__xludf.DUMMYFUNCTION("GOOGLETRANSLATE(A2761, ""en"", ""fr"")"),"Démo")</f>
        <v>Démo</v>
      </c>
      <c r="C2761" s="1" t="s">
        <v>196</v>
      </c>
      <c r="GD2761" s="1" t="s">
        <v>3971</v>
      </c>
    </row>
    <row r="2762" spans="1:187" ht="11.25" customHeight="1">
      <c r="A2762" s="1" t="s">
        <v>3972</v>
      </c>
      <c r="B2762" s="1" t="str">
        <f ca="1">IFERROR(__xludf.DUMMYFUNCTION("GOOGLETRANSLATE(A2762, ""en"", ""fr"")"),"DÉMOBILISATION")</f>
        <v>DÉMOBILISATION</v>
      </c>
      <c r="C2762" s="1" t="s">
        <v>196</v>
      </c>
      <c r="FP2762" s="1" t="s">
        <v>168</v>
      </c>
      <c r="GD2762" s="1" t="s">
        <v>193</v>
      </c>
    </row>
    <row r="2763" spans="1:187" ht="11.25" customHeight="1">
      <c r="A2763" s="1" t="s">
        <v>3973</v>
      </c>
      <c r="B2763" s="1" t="str">
        <f ca="1">IFERROR(__xludf.DUMMYFUNCTION("GOOGLETRANSLATE(A2763, ""en"", ""fr"")"),"DÉMOBILISER")</f>
        <v>DÉMOBILISER</v>
      </c>
      <c r="C2763" s="1" t="s">
        <v>196</v>
      </c>
      <c r="FP2763" s="1" t="s">
        <v>168</v>
      </c>
      <c r="GD2763" s="1" t="s">
        <v>189</v>
      </c>
    </row>
    <row r="2764" spans="1:187" ht="11.25" customHeight="1">
      <c r="A2764" s="1" t="s">
        <v>3974</v>
      </c>
      <c r="B2764" s="1" t="str">
        <f ca="1">IFERROR(__xludf.DUMMYFUNCTION("GOOGLETRANSLATE(A2764, ""en"", ""fr"")"),"DÉMOCRATIE")</f>
        <v>DÉMOCRATIE</v>
      </c>
      <c r="C2764" s="1" t="s">
        <v>185</v>
      </c>
      <c r="U2764" s="1" t="s">
        <v>17</v>
      </c>
      <c r="AG2764" s="1" t="s">
        <v>29</v>
      </c>
      <c r="AH2764" s="1" t="s">
        <v>30</v>
      </c>
      <c r="CP2764" s="1" t="s">
        <v>90</v>
      </c>
      <c r="CQ2764" s="1" t="s">
        <v>91</v>
      </c>
      <c r="EA2764" s="1" t="s">
        <v>127</v>
      </c>
      <c r="ED2764" s="1" t="s">
        <v>130</v>
      </c>
      <c r="GD2764" s="1" t="s">
        <v>193</v>
      </c>
      <c r="GE2764" s="1" t="s">
        <v>3975</v>
      </c>
    </row>
    <row r="2765" spans="1:187" ht="11.25" customHeight="1">
      <c r="A2765" s="1" t="s">
        <v>3976</v>
      </c>
      <c r="B2765" s="1" t="str">
        <f ca="1">IFERROR(__xludf.DUMMYFUNCTION("GOOGLETRANSLATE(A2765, ""en"", ""fr"")"),"DÉMOCRATE")</f>
        <v>DÉMOCRATE</v>
      </c>
      <c r="C2765" s="1" t="s">
        <v>185</v>
      </c>
      <c r="AG2765" s="1" t="s">
        <v>29</v>
      </c>
      <c r="AH2765" s="1" t="s">
        <v>30</v>
      </c>
      <c r="AJ2765" s="1" t="s">
        <v>32</v>
      </c>
      <c r="AT2765" s="1" t="s">
        <v>42</v>
      </c>
      <c r="DZ2765" s="1" t="s">
        <v>126</v>
      </c>
      <c r="ED2765" s="1" t="s">
        <v>130</v>
      </c>
      <c r="GD2765" s="1" t="s">
        <v>193</v>
      </c>
      <c r="GE2765" s="1" t="s">
        <v>3977</v>
      </c>
    </row>
    <row r="2766" spans="1:187" ht="11.25" customHeight="1">
      <c r="A2766" s="1" t="s">
        <v>3978</v>
      </c>
      <c r="B2766" s="1" t="str">
        <f ca="1">IFERROR(__xludf.DUMMYFUNCTION("GOOGLETRANSLATE(A2766, ""en"", ""fr"")"),"Démocrate # 1")</f>
        <v>Démocrate # 1</v>
      </c>
      <c r="C2766" s="1" t="s">
        <v>196</v>
      </c>
      <c r="EA2766" s="1" t="s">
        <v>127</v>
      </c>
      <c r="ED2766" s="1" t="s">
        <v>130</v>
      </c>
      <c r="GD2766" s="1" t="s">
        <v>212</v>
      </c>
    </row>
    <row r="2767" spans="1:187" ht="11.25" customHeight="1">
      <c r="A2767" s="1" t="s">
        <v>3979</v>
      </c>
      <c r="B2767" s="1" t="str">
        <f ca="1">IFERROR(__xludf.DUMMYFUNCTION("GOOGLETRANSLATE(A2767, ""en"", ""fr"")"),"Démocrate # 2")</f>
        <v>Démocrate # 2</v>
      </c>
      <c r="C2767" s="1" t="s">
        <v>185</v>
      </c>
      <c r="AG2767" s="1" t="s">
        <v>29</v>
      </c>
      <c r="AH2767" s="1" t="s">
        <v>30</v>
      </c>
      <c r="AK2767" s="1" t="s">
        <v>33</v>
      </c>
      <c r="AT2767" s="1" t="s">
        <v>42</v>
      </c>
      <c r="DY2767" s="1" t="s">
        <v>125</v>
      </c>
      <c r="ED2767" s="1" t="s">
        <v>130</v>
      </c>
      <c r="GD2767" s="1" t="s">
        <v>202</v>
      </c>
      <c r="GE2767" s="1" t="s">
        <v>3980</v>
      </c>
    </row>
    <row r="2768" spans="1:187" ht="11.25" customHeight="1">
      <c r="A2768" s="1" t="s">
        <v>3981</v>
      </c>
      <c r="B2768" s="1" t="str">
        <f ca="1">IFERROR(__xludf.DUMMYFUNCTION("GOOGLETRANSLATE(A2768, ""en"", ""fr"")"),"DÉMOCRATISATION")</f>
        <v>DÉMOCRATISATION</v>
      </c>
      <c r="C2768" s="1" t="s">
        <v>196</v>
      </c>
      <c r="FX2768" s="1" t="s">
        <v>176</v>
      </c>
      <c r="GD2768" s="1" t="s">
        <v>193</v>
      </c>
    </row>
    <row r="2769" spans="1:187" ht="11.25" customHeight="1">
      <c r="A2769" s="1" t="s">
        <v>3982</v>
      </c>
      <c r="B2769" s="1" t="str">
        <f ca="1">IFERROR(__xludf.DUMMYFUNCTION("GOOGLETRANSLATE(A2769, ""en"", ""fr"")"),"DÉMOLIR")</f>
        <v>DÉMOLIR</v>
      </c>
      <c r="C2769" s="1" t="s">
        <v>185</v>
      </c>
      <c r="E2769" s="1" t="s">
        <v>16613</v>
      </c>
      <c r="H2769" s="1" t="s">
        <v>4</v>
      </c>
      <c r="I2769" s="1" t="s">
        <v>5</v>
      </c>
      <c r="J2769" s="1" t="s">
        <v>6</v>
      </c>
      <c r="N2769" s="1" t="s">
        <v>10</v>
      </c>
      <c r="CC2769" s="1" t="s">
        <v>77</v>
      </c>
      <c r="DN2769" s="1" t="s">
        <v>114</v>
      </c>
      <c r="FP2769" s="1" t="s">
        <v>168</v>
      </c>
      <c r="GD2769" s="1" t="s">
        <v>189</v>
      </c>
      <c r="GE2769" s="1" t="s">
        <v>190</v>
      </c>
    </row>
    <row r="2770" spans="1:187" ht="11.25" customHeight="1">
      <c r="A2770" s="1" t="s">
        <v>3983</v>
      </c>
      <c r="B2770" s="1" t="str">
        <f ca="1">IFERROR(__xludf.DUMMYFUNCTION("GOOGLETRANSLATE(A2770, ""en"", ""fr"")"),"DÉMON")</f>
        <v>DÉMON</v>
      </c>
      <c r="C2770" s="1" t="s">
        <v>192</v>
      </c>
      <c r="E2770" s="1" t="s">
        <v>16613</v>
      </c>
      <c r="I2770" s="1" t="s">
        <v>5</v>
      </c>
      <c r="V2770" s="1" t="s">
        <v>18</v>
      </c>
      <c r="GD2770" s="1" t="s">
        <v>193</v>
      </c>
      <c r="GE2770" s="1" t="s">
        <v>190</v>
      </c>
    </row>
    <row r="2771" spans="1:187" ht="11.25" customHeight="1">
      <c r="A2771" s="1" t="s">
        <v>3984</v>
      </c>
      <c r="B2771" s="1" t="str">
        <f ca="1">IFERROR(__xludf.DUMMYFUNCTION("GOOGLETRANSLATE(A2771, ""en"", ""fr"")"),"DÉMONTRER")</f>
        <v>DÉMONTRER</v>
      </c>
      <c r="C2771" s="1" t="s">
        <v>185</v>
      </c>
      <c r="J2771" s="1" t="s">
        <v>6</v>
      </c>
      <c r="N2771" s="1" t="s">
        <v>10</v>
      </c>
      <c r="BK2771" s="1" t="s">
        <v>59</v>
      </c>
      <c r="DN2771" s="1" t="s">
        <v>114</v>
      </c>
      <c r="FH2771" s="1" t="s">
        <v>160</v>
      </c>
      <c r="FI2771" s="1" t="s">
        <v>161</v>
      </c>
      <c r="GD2771" s="1" t="s">
        <v>189</v>
      </c>
      <c r="GE2771" s="1" t="s">
        <v>190</v>
      </c>
    </row>
    <row r="2772" spans="1:187" ht="11.25" customHeight="1">
      <c r="A2772" s="1" t="s">
        <v>3985</v>
      </c>
      <c r="B2772" s="1" t="str">
        <f ca="1">IFERROR(__xludf.DUMMYFUNCTION("GOOGLETRANSLATE(A2772, ""en"", ""fr"")"),"Démonstration n ° 1")</f>
        <v>Démonstration n ° 1</v>
      </c>
      <c r="C2772" s="1" t="s">
        <v>185</v>
      </c>
      <c r="J2772" s="1" t="s">
        <v>6</v>
      </c>
      <c r="N2772" s="1" t="s">
        <v>10</v>
      </c>
      <c r="BQ2772" s="1" t="s">
        <v>65</v>
      </c>
      <c r="FH2772" s="1" t="s">
        <v>160</v>
      </c>
      <c r="FI2772" s="1" t="s">
        <v>161</v>
      </c>
      <c r="GD2772" s="1" t="s">
        <v>193</v>
      </c>
      <c r="GE2772" s="1" t="s">
        <v>3986</v>
      </c>
    </row>
    <row r="2773" spans="1:187" ht="11.25" customHeight="1">
      <c r="A2773" s="1" t="s">
        <v>3987</v>
      </c>
      <c r="B2773" s="1" t="str">
        <f ca="1">IFERROR(__xludf.DUMMYFUNCTION("GOOGLETRANSLATE(A2773, ""en"", ""fr"")"),"Démonstration n ° 2")</f>
        <v>Démonstration n ° 2</v>
      </c>
      <c r="C2773" s="1" t="s">
        <v>185</v>
      </c>
      <c r="J2773" s="1" t="s">
        <v>6</v>
      </c>
      <c r="N2773" s="1" t="s">
        <v>10</v>
      </c>
      <c r="AG2773" s="1" t="s">
        <v>29</v>
      </c>
      <c r="AH2773" s="1" t="s">
        <v>30</v>
      </c>
      <c r="AM2773" s="1" t="s">
        <v>35</v>
      </c>
      <c r="GD2773" s="1" t="s">
        <v>849</v>
      </c>
      <c r="GE2773" s="1" t="s">
        <v>3988</v>
      </c>
    </row>
    <row r="2774" spans="1:187" ht="11.25" customHeight="1">
      <c r="A2774" s="1" t="s">
        <v>3989</v>
      </c>
      <c r="B2774" s="1" t="str">
        <f ca="1">IFERROR(__xludf.DUMMYFUNCTION("GOOGLETRANSLATE(A2774, ""en"", ""fr"")"),"Démoraliser # 1")</f>
        <v>Démoraliser # 1</v>
      </c>
      <c r="C2774" s="1" t="s">
        <v>192</v>
      </c>
      <c r="GE2774" s="1" t="s">
        <v>190</v>
      </c>
    </row>
    <row r="2775" spans="1:187" ht="11.25" customHeight="1">
      <c r="A2775" s="1" t="s">
        <v>3990</v>
      </c>
      <c r="B2775" s="1" t="str">
        <f ca="1">IFERROR(__xludf.DUMMYFUNCTION("GOOGLETRANSLATE(A2775, ""en"", ""fr"")"),"DÉMORALISER")</f>
        <v>DÉMORALISER</v>
      </c>
      <c r="C2775" s="1" t="s">
        <v>185</v>
      </c>
      <c r="E2775" s="1" t="s">
        <v>16613</v>
      </c>
      <c r="H2775" s="1" t="s">
        <v>4</v>
      </c>
      <c r="I2775" s="1" t="s">
        <v>5</v>
      </c>
      <c r="J2775" s="1" t="s">
        <v>6</v>
      </c>
      <c r="AN2775" s="1" t="s">
        <v>36</v>
      </c>
      <c r="DN2775" s="1" t="s">
        <v>114</v>
      </c>
      <c r="GD2775" s="1" t="s">
        <v>189</v>
      </c>
      <c r="GE2775" s="1" t="s">
        <v>190</v>
      </c>
    </row>
    <row r="2776" spans="1:187" ht="11.25" customHeight="1">
      <c r="A2776" s="1" t="s">
        <v>3991</v>
      </c>
      <c r="B2776" s="1" t="str">
        <f ca="1">IFERROR(__xludf.DUMMYFUNCTION("GOOGLETRANSLATE(A2776, ""en"", ""fr"")"),"LE DÉNI")</f>
        <v>LE DÉNI</v>
      </c>
      <c r="C2776" s="1" t="s">
        <v>185</v>
      </c>
      <c r="E2776" s="1" t="s">
        <v>16613</v>
      </c>
      <c r="H2776" s="1" t="s">
        <v>4</v>
      </c>
      <c r="I2776" s="1" t="s">
        <v>5</v>
      </c>
      <c r="BK2776" s="1" t="s">
        <v>59</v>
      </c>
      <c r="BL2776" s="1" t="s">
        <v>60</v>
      </c>
      <c r="FO2776" s="1" t="s">
        <v>167</v>
      </c>
      <c r="GC2776" s="1" t="s">
        <v>181</v>
      </c>
      <c r="GD2776" s="1" t="s">
        <v>193</v>
      </c>
      <c r="GE2776" s="1" t="s">
        <v>190</v>
      </c>
    </row>
    <row r="2777" spans="1:187" ht="11.25" customHeight="1">
      <c r="A2777" s="1" t="s">
        <v>3992</v>
      </c>
      <c r="B2777" s="1" t="str">
        <f ca="1">IFERROR(__xludf.DUMMYFUNCTION("GOOGLETRANSLATE(A2777, ""en"", ""fr"")"),"DANEMARK")</f>
        <v>DANEMARK</v>
      </c>
      <c r="C2777" s="1" t="s">
        <v>196</v>
      </c>
      <c r="FU2777" s="1" t="s">
        <v>173</v>
      </c>
      <c r="GD2777" s="1" t="s">
        <v>545</v>
      </c>
    </row>
    <row r="2778" spans="1:187" ht="11.25" customHeight="1">
      <c r="A2778" s="1" t="s">
        <v>3993</v>
      </c>
      <c r="B2778" s="1" t="str">
        <f ca="1">IFERROR(__xludf.DUMMYFUNCTION("GOOGLETRANSLATE(A2778, ""en"", ""fr"")"),"Confessionnel")</f>
        <v>Confessionnel</v>
      </c>
      <c r="C2778" s="1" t="s">
        <v>185</v>
      </c>
      <c r="AI2778" s="1" t="s">
        <v>31</v>
      </c>
      <c r="AK2778" s="1" t="s">
        <v>33</v>
      </c>
      <c r="AT2778" s="1" t="s">
        <v>42</v>
      </c>
      <c r="EF2778" s="1" t="s">
        <v>132</v>
      </c>
      <c r="EJ2778" s="1" t="s">
        <v>136</v>
      </c>
      <c r="GD2778" s="1" t="s">
        <v>202</v>
      </c>
      <c r="GE2778" s="1" t="s">
        <v>190</v>
      </c>
    </row>
    <row r="2779" spans="1:187" ht="11.25" customHeight="1">
      <c r="A2779" s="1" t="s">
        <v>3994</v>
      </c>
      <c r="B2779" s="1" t="str">
        <f ca="1">IFERROR(__xludf.DUMMYFUNCTION("GOOGLETRANSLATE(A2779, ""en"", ""fr"")"),"DÉNOTER")</f>
        <v>DÉNOTER</v>
      </c>
      <c r="C2779" s="1" t="s">
        <v>185</v>
      </c>
      <c r="CO2779" s="1" t="s">
        <v>89</v>
      </c>
      <c r="DN2779" s="1" t="s">
        <v>114</v>
      </c>
      <c r="FH2779" s="1" t="s">
        <v>160</v>
      </c>
      <c r="FI2779" s="1" t="s">
        <v>161</v>
      </c>
      <c r="GD2779" s="1" t="s">
        <v>189</v>
      </c>
      <c r="GE2779" s="1" t="s">
        <v>190</v>
      </c>
    </row>
    <row r="2780" spans="1:187" ht="11.25" customHeight="1">
      <c r="A2780" s="1" t="s">
        <v>3995</v>
      </c>
      <c r="B2780" s="1" t="str">
        <f ca="1">IFERROR(__xludf.DUMMYFUNCTION("GOOGLETRANSLATE(A2780, ""en"", ""fr"")"),"DÉNONCER")</f>
        <v>DÉNONCER</v>
      </c>
      <c r="C2780" s="1" t="s">
        <v>185</v>
      </c>
      <c r="E2780" s="1" t="s">
        <v>16613</v>
      </c>
      <c r="I2780" s="1" t="s">
        <v>5</v>
      </c>
      <c r="K2780" s="1" t="s">
        <v>7</v>
      </c>
      <c r="N2780" s="1" t="s">
        <v>10</v>
      </c>
      <c r="BK2780" s="1" t="s">
        <v>59</v>
      </c>
      <c r="DN2780" s="1" t="s">
        <v>114</v>
      </c>
      <c r="EH2780" s="1" t="s">
        <v>134</v>
      </c>
      <c r="EJ2780" s="1" t="s">
        <v>136</v>
      </c>
      <c r="GD2780" s="1" t="s">
        <v>189</v>
      </c>
      <c r="GE2780" s="1" t="s">
        <v>190</v>
      </c>
    </row>
    <row r="2781" spans="1:187" ht="11.25" customHeight="1">
      <c r="A2781" s="1" t="s">
        <v>3996</v>
      </c>
      <c r="B2781" s="1" t="str">
        <f ca="1">IFERROR(__xludf.DUMMYFUNCTION("GOOGLETRANSLATE(A2781, ""en"", ""fr"")"),"DENSE")</f>
        <v>DENSE</v>
      </c>
      <c r="C2781" s="1" t="s">
        <v>185</v>
      </c>
      <c r="J2781" s="1" t="s">
        <v>6</v>
      </c>
      <c r="CR2781" s="1" t="s">
        <v>92</v>
      </c>
      <c r="GD2781" s="1" t="s">
        <v>202</v>
      </c>
      <c r="GE2781" s="1" t="s">
        <v>190</v>
      </c>
    </row>
    <row r="2782" spans="1:187" ht="11.25" customHeight="1">
      <c r="A2782" s="1" t="s">
        <v>3997</v>
      </c>
      <c r="B2782" s="1" t="str">
        <f ca="1">IFERROR(__xludf.DUMMYFUNCTION("GOOGLETRANSLATE(A2782, ""en"", ""fr"")"),"DENSITÉ")</f>
        <v>DENSITÉ</v>
      </c>
      <c r="C2782" s="1" t="s">
        <v>185</v>
      </c>
      <c r="J2782" s="1" t="s">
        <v>6</v>
      </c>
      <c r="CR2782" s="1" t="s">
        <v>92</v>
      </c>
      <c r="GD2782" s="1" t="s">
        <v>193</v>
      </c>
      <c r="GE2782" s="1" t="s">
        <v>190</v>
      </c>
    </row>
    <row r="2783" spans="1:187" ht="11.25" customHeight="1">
      <c r="A2783" s="1" t="s">
        <v>3998</v>
      </c>
      <c r="B2783" s="1" t="str">
        <f ca="1">IFERROR(__xludf.DUMMYFUNCTION("GOOGLETRANSLATE(A2783, ""en"", ""fr"")"),"BOSSE")</f>
        <v>BOSSE</v>
      </c>
      <c r="C2783" s="1" t="s">
        <v>192</v>
      </c>
      <c r="E2783" s="1" t="s">
        <v>16613</v>
      </c>
      <c r="N2783" s="1" t="s">
        <v>10</v>
      </c>
      <c r="CC2783" s="1" t="s">
        <v>77</v>
      </c>
      <c r="DO2783" s="1" t="s">
        <v>115</v>
      </c>
      <c r="GD2783" s="1" t="s">
        <v>189</v>
      </c>
      <c r="GE2783" s="1" t="s">
        <v>190</v>
      </c>
    </row>
    <row r="2784" spans="1:187" ht="11.25" customHeight="1">
      <c r="A2784" s="1" t="s">
        <v>3999</v>
      </c>
      <c r="B2784" s="1" t="str">
        <f ca="1">IFERROR(__xludf.DUMMYFUNCTION("GOOGLETRANSLATE(A2784, ""en"", ""fr"")"),"DENTISTE")</f>
        <v>DENTISTE</v>
      </c>
      <c r="C2784" s="1" t="s">
        <v>185</v>
      </c>
      <c r="AA2784" s="1" t="s">
        <v>23</v>
      </c>
      <c r="AJ2784" s="1" t="s">
        <v>32</v>
      </c>
      <c r="AT2784" s="1" t="s">
        <v>42</v>
      </c>
      <c r="FB2784" s="1" t="s">
        <v>154</v>
      </c>
      <c r="FC2784" s="1" t="s">
        <v>155</v>
      </c>
      <c r="GD2784" s="1" t="s">
        <v>193</v>
      </c>
      <c r="GE2784" s="1" t="s">
        <v>190</v>
      </c>
    </row>
    <row r="2785" spans="1:187" ht="11.25" customHeight="1">
      <c r="A2785" s="1" t="s">
        <v>4000</v>
      </c>
      <c r="B2785" s="1" t="str">
        <f ca="1">IFERROR(__xludf.DUMMYFUNCTION("GOOGLETRANSLATE(A2785, ""en"", ""fr"")"),"DÉNONCIATION")</f>
        <v>DÉNONCIATION</v>
      </c>
      <c r="C2785" s="1" t="s">
        <v>196</v>
      </c>
      <c r="FW2785" s="1" t="s">
        <v>175</v>
      </c>
      <c r="GD2785" s="1" t="s">
        <v>193</v>
      </c>
    </row>
    <row r="2786" spans="1:187" ht="11.25" customHeight="1">
      <c r="A2786" s="1" t="s">
        <v>4001</v>
      </c>
      <c r="B2786" s="1" t="str">
        <f ca="1">IFERROR(__xludf.DUMMYFUNCTION("GOOGLETRANSLATE(A2786, ""en"", ""fr"")"),"REFUSER")</f>
        <v>REFUSER</v>
      </c>
      <c r="C2786" s="1" t="s">
        <v>185</v>
      </c>
      <c r="E2786" s="1" t="s">
        <v>16613</v>
      </c>
      <c r="H2786" s="1" t="s">
        <v>4</v>
      </c>
      <c r="I2786" s="1" t="s">
        <v>5</v>
      </c>
      <c r="BK2786" s="1" t="s">
        <v>59</v>
      </c>
      <c r="DN2786" s="1" t="s">
        <v>114</v>
      </c>
      <c r="GA2786" s="1" t="s">
        <v>179</v>
      </c>
      <c r="GD2786" s="1" t="s">
        <v>189</v>
      </c>
      <c r="GE2786" s="1" t="s">
        <v>4002</v>
      </c>
    </row>
    <row r="2787" spans="1:187" ht="11.25" customHeight="1">
      <c r="A2787" s="1" t="s">
        <v>4003</v>
      </c>
      <c r="B2787" s="1" t="str">
        <f ca="1">IFERROR(__xludf.DUMMYFUNCTION("GOOGLETRANSLATE(A2787, ""en"", ""fr"")"),"PARTIR")</f>
        <v>PARTIR</v>
      </c>
      <c r="C2787" s="1" t="s">
        <v>185</v>
      </c>
      <c r="N2787" s="1" t="s">
        <v>10</v>
      </c>
      <c r="CE2787" s="1" t="s">
        <v>79</v>
      </c>
      <c r="DO2787" s="1" t="s">
        <v>115</v>
      </c>
      <c r="GD2787" s="1" t="s">
        <v>189</v>
      </c>
      <c r="GE2787" s="1" t="s">
        <v>190</v>
      </c>
    </row>
    <row r="2788" spans="1:187" ht="11.25" customHeight="1">
      <c r="A2788" s="1" t="s">
        <v>4004</v>
      </c>
      <c r="B2788" s="1" t="str">
        <f ca="1">IFERROR(__xludf.DUMMYFUNCTION("GOOGLETRANSLATE(A2788, ""en"", ""fr"")"),"Département n ° 1")</f>
        <v>Département n ° 1</v>
      </c>
      <c r="C2788" s="1" t="s">
        <v>185</v>
      </c>
      <c r="AH2788" s="1" t="s">
        <v>30</v>
      </c>
      <c r="AK2788" s="1" t="s">
        <v>33</v>
      </c>
      <c r="AT2788" s="1" t="s">
        <v>42</v>
      </c>
      <c r="DY2788" s="1" t="s">
        <v>125</v>
      </c>
      <c r="ED2788" s="1" t="s">
        <v>130</v>
      </c>
      <c r="GD2788" s="1" t="s">
        <v>849</v>
      </c>
      <c r="GE2788" s="1" t="s">
        <v>4005</v>
      </c>
    </row>
    <row r="2789" spans="1:187" ht="11.25" customHeight="1">
      <c r="A2789" s="1" t="s">
        <v>4006</v>
      </c>
      <c r="B2789" s="1" t="str">
        <f ca="1">IFERROR(__xludf.DUMMYFUNCTION("GOOGLETRANSLATE(A2789, ""en"", ""fr"")"),"Département n ° 2")</f>
        <v>Département n ° 2</v>
      </c>
      <c r="C2789" s="1" t="s">
        <v>185</v>
      </c>
      <c r="AA2789" s="1" t="s">
        <v>23</v>
      </c>
      <c r="AC2789" s="1" t="s">
        <v>25</v>
      </c>
      <c r="AV2789" s="1" t="s">
        <v>44</v>
      </c>
      <c r="AW2789" s="1" t="s">
        <v>45</v>
      </c>
      <c r="EV2789" s="1" t="s">
        <v>148</v>
      </c>
      <c r="EW2789" s="1" t="s">
        <v>149</v>
      </c>
      <c r="GD2789" s="1" t="s">
        <v>193</v>
      </c>
      <c r="GE2789" s="1" t="s">
        <v>4007</v>
      </c>
    </row>
    <row r="2790" spans="1:187" ht="11.25" customHeight="1">
      <c r="A2790" s="1" t="s">
        <v>4008</v>
      </c>
      <c r="B2790" s="1" t="str">
        <f ca="1">IFERROR(__xludf.DUMMYFUNCTION("GOOGLETRANSLATE(A2790, ""en"", ""fr"")"),"DÉPART")</f>
        <v>DÉPART</v>
      </c>
      <c r="C2790" s="1" t="s">
        <v>185</v>
      </c>
      <c r="N2790" s="1" t="s">
        <v>10</v>
      </c>
      <c r="CE2790" s="1" t="s">
        <v>79</v>
      </c>
      <c r="GD2790" s="1" t="s">
        <v>193</v>
      </c>
      <c r="GE2790" s="1" t="s">
        <v>190</v>
      </c>
    </row>
    <row r="2791" spans="1:187" ht="11.25" customHeight="1">
      <c r="A2791" s="1" t="s">
        <v>4009</v>
      </c>
      <c r="B2791" s="1" t="str">
        <f ca="1">IFERROR(__xludf.DUMMYFUNCTION("GOOGLETRANSLATE(A2791, ""en"", ""fr"")"),"Dépendre n ° 1")</f>
        <v>Dépendre n ° 1</v>
      </c>
      <c r="C2791" s="1" t="s">
        <v>185</v>
      </c>
      <c r="L2791" s="1" t="s">
        <v>8</v>
      </c>
      <c r="O2791" s="1" t="s">
        <v>11</v>
      </c>
      <c r="CI2791" s="1" t="s">
        <v>83</v>
      </c>
      <c r="DN2791" s="1" t="s">
        <v>114</v>
      </c>
      <c r="FZ2791" s="1" t="s">
        <v>178</v>
      </c>
      <c r="GD2791" s="1" t="s">
        <v>189</v>
      </c>
      <c r="GE2791" s="1" t="s">
        <v>4010</v>
      </c>
    </row>
    <row r="2792" spans="1:187" ht="11.25" customHeight="1">
      <c r="A2792" s="1" t="s">
        <v>4011</v>
      </c>
      <c r="B2792" s="1" t="str">
        <f ca="1">IFERROR(__xludf.DUMMYFUNCTION("GOOGLETRANSLATE(A2792, ""en"", ""fr"")"),"Dépend # 2")</f>
        <v>Dépend # 2</v>
      </c>
      <c r="C2792" s="1" t="s">
        <v>185</v>
      </c>
      <c r="L2792" s="1" t="s">
        <v>8</v>
      </c>
      <c r="M2792" s="1" t="s">
        <v>9</v>
      </c>
      <c r="O2792" s="1" t="s">
        <v>11</v>
      </c>
      <c r="AN2792" s="1" t="s">
        <v>36</v>
      </c>
      <c r="DN2792" s="1" t="s">
        <v>114</v>
      </c>
      <c r="EC2792" s="1" t="s">
        <v>129</v>
      </c>
      <c r="ED2792" s="1" t="s">
        <v>130</v>
      </c>
      <c r="GD2792" s="1" t="s">
        <v>189</v>
      </c>
      <c r="GE2792" s="1" t="s">
        <v>4012</v>
      </c>
    </row>
    <row r="2793" spans="1:187" ht="11.25" customHeight="1">
      <c r="A2793" s="1" t="s">
        <v>4013</v>
      </c>
      <c r="B2793" s="1" t="str">
        <f ca="1">IFERROR(__xludf.DUMMYFUNCTION("GOOGLETRANSLATE(A2793, ""en"", ""fr"")"),"FIABILITÉ")</f>
        <v>FIABILITÉ</v>
      </c>
      <c r="C2793" s="1" t="s">
        <v>185</v>
      </c>
      <c r="D2793" s="1" t="s">
        <v>16612</v>
      </c>
      <c r="F2793" s="1" t="s">
        <v>2</v>
      </c>
      <c r="J2793" s="1" t="s">
        <v>6</v>
      </c>
      <c r="U2793" s="1" t="s">
        <v>17</v>
      </c>
      <c r="W2793" s="1" t="s">
        <v>19</v>
      </c>
      <c r="GD2793" s="1" t="s">
        <v>202</v>
      </c>
      <c r="GE2793" s="1" t="s">
        <v>190</v>
      </c>
    </row>
    <row r="2794" spans="1:187" ht="11.25" customHeight="1">
      <c r="A2794" s="1" t="s">
        <v>4014</v>
      </c>
      <c r="B2794" s="1" t="str">
        <f ca="1">IFERROR(__xludf.DUMMYFUNCTION("GOOGLETRANSLATE(A2794, ""en"", ""fr"")"),"SÛR")</f>
        <v>SÛR</v>
      </c>
      <c r="C2794" s="1" t="s">
        <v>185</v>
      </c>
      <c r="D2794" s="1" t="s">
        <v>16612</v>
      </c>
      <c r="F2794" s="1" t="s">
        <v>2</v>
      </c>
      <c r="J2794" s="1" t="s">
        <v>6</v>
      </c>
      <c r="U2794" s="1" t="s">
        <v>17</v>
      </c>
      <c r="W2794" s="1" t="s">
        <v>19</v>
      </c>
      <c r="FX2794" s="1" t="s">
        <v>176</v>
      </c>
      <c r="GD2794" s="1" t="s">
        <v>202</v>
      </c>
      <c r="GE2794" s="1" t="s">
        <v>190</v>
      </c>
    </row>
    <row r="2795" spans="1:187" ht="11.25" customHeight="1">
      <c r="A2795" s="1" t="s">
        <v>4015</v>
      </c>
      <c r="B2795" s="1" t="str">
        <f ca="1">IFERROR(__xludf.DUMMYFUNCTION("GOOGLETRANSLATE(A2795, ""en"", ""fr"")"),"DÉPENDANCE")</f>
        <v>DÉPENDANCE</v>
      </c>
      <c r="C2795" s="1" t="s">
        <v>185</v>
      </c>
      <c r="L2795" s="1" t="s">
        <v>8</v>
      </c>
      <c r="M2795" s="1" t="s">
        <v>9</v>
      </c>
      <c r="O2795" s="1" t="s">
        <v>11</v>
      </c>
      <c r="V2795" s="1" t="s">
        <v>18</v>
      </c>
      <c r="EC2795" s="1" t="s">
        <v>129</v>
      </c>
      <c r="ED2795" s="1" t="s">
        <v>130</v>
      </c>
      <c r="GD2795" s="1" t="s">
        <v>193</v>
      </c>
      <c r="GE2795" s="1" t="s">
        <v>190</v>
      </c>
    </row>
    <row r="2796" spans="1:187" ht="11.25" customHeight="1">
      <c r="A2796" s="1" t="s">
        <v>4016</v>
      </c>
      <c r="B2796" s="1" t="str">
        <f ca="1">IFERROR(__xludf.DUMMYFUNCTION("GOOGLETRANSLATE(A2796, ""en"", ""fr"")"),"DÉPENDANCE")</f>
        <v>DÉPENDANCE</v>
      </c>
      <c r="C2796" s="1" t="s">
        <v>196</v>
      </c>
      <c r="EC2796" s="1" t="s">
        <v>129</v>
      </c>
      <c r="ED2796" s="1" t="s">
        <v>130</v>
      </c>
      <c r="GD2796" s="1" t="s">
        <v>470</v>
      </c>
    </row>
    <row r="2797" spans="1:187" ht="11.25" customHeight="1">
      <c r="A2797" s="1" t="s">
        <v>4017</v>
      </c>
      <c r="B2797" s="1" t="str">
        <f ca="1">IFERROR(__xludf.DUMMYFUNCTION("GOOGLETRANSLATE(A2797, ""en"", ""fr"")"),"DÉPENDANT")</f>
        <v>DÉPENDANT</v>
      </c>
      <c r="C2797" s="1" t="s">
        <v>185</v>
      </c>
      <c r="E2797" s="1" t="s">
        <v>16613</v>
      </c>
      <c r="L2797" s="1" t="s">
        <v>8</v>
      </c>
      <c r="M2797" s="1" t="s">
        <v>9</v>
      </c>
      <c r="O2797" s="1" t="s">
        <v>11</v>
      </c>
      <c r="DQ2797" s="1" t="s">
        <v>117</v>
      </c>
      <c r="FT2797" s="1" t="s">
        <v>172</v>
      </c>
      <c r="GD2797" s="1" t="s">
        <v>202</v>
      </c>
      <c r="GE2797" s="1" t="s">
        <v>190</v>
      </c>
    </row>
    <row r="2798" spans="1:187" ht="11.25" customHeight="1">
      <c r="A2798" s="1" t="s">
        <v>4018</v>
      </c>
      <c r="B2798" s="1" t="str">
        <f ca="1">IFERROR(__xludf.DUMMYFUNCTION("GOOGLETRANSLATE(A2798, ""en"", ""fr"")"),"REPRÉSENTER")</f>
        <v>REPRÉSENTER</v>
      </c>
      <c r="C2798" s="1" t="s">
        <v>185</v>
      </c>
      <c r="BK2798" s="1" t="s">
        <v>59</v>
      </c>
      <c r="DN2798" s="1" t="s">
        <v>114</v>
      </c>
      <c r="FD2798" s="1" t="s">
        <v>156</v>
      </c>
      <c r="FI2798" s="1" t="s">
        <v>161</v>
      </c>
      <c r="GD2798" s="1" t="s">
        <v>189</v>
      </c>
      <c r="GE2798" s="1" t="s">
        <v>190</v>
      </c>
    </row>
    <row r="2799" spans="1:187" ht="11.25" customHeight="1">
      <c r="A2799" s="1" t="s">
        <v>4019</v>
      </c>
      <c r="B2799" s="1" t="str">
        <f ca="1">IFERROR(__xludf.DUMMYFUNCTION("GOOGLETRANSLATE(A2799, ""en"", ""fr"")"),"ÉPUISER")</f>
        <v>ÉPUISER</v>
      </c>
      <c r="C2799" s="1" t="s">
        <v>185</v>
      </c>
      <c r="E2799" s="1" t="s">
        <v>16613</v>
      </c>
      <c r="BY2799" s="1" t="s">
        <v>73</v>
      </c>
      <c r="DN2799" s="1" t="s">
        <v>114</v>
      </c>
      <c r="FQ2799" s="1" t="s">
        <v>169</v>
      </c>
      <c r="GD2799" s="1" t="s">
        <v>189</v>
      </c>
      <c r="GE2799" s="1" t="s">
        <v>190</v>
      </c>
    </row>
    <row r="2800" spans="1:187" ht="11.25" customHeight="1">
      <c r="A2800" s="1" t="s">
        <v>4020</v>
      </c>
      <c r="B2800" s="1" t="str">
        <f ca="1">IFERROR(__xludf.DUMMYFUNCTION("GOOGLETRANSLATE(A2800, ""en"", ""fr"")"),"DÉPLORABLE")</f>
        <v>DÉPLORABLE</v>
      </c>
      <c r="C2800" s="1" t="s">
        <v>185</v>
      </c>
      <c r="E2800" s="1" t="s">
        <v>16613</v>
      </c>
      <c r="H2800" s="1" t="s">
        <v>4</v>
      </c>
      <c r="V2800" s="1" t="s">
        <v>18</v>
      </c>
      <c r="DR2800" s="1" t="s">
        <v>118</v>
      </c>
      <c r="EE2800" s="1" t="s">
        <v>131</v>
      </c>
      <c r="EJ2800" s="1" t="s">
        <v>136</v>
      </c>
      <c r="GD2800" s="1" t="s">
        <v>202</v>
      </c>
      <c r="GE2800" s="1" t="s">
        <v>190</v>
      </c>
    </row>
    <row r="2801" spans="1:187" ht="11.25" customHeight="1">
      <c r="A2801" s="1" t="s">
        <v>4021</v>
      </c>
      <c r="B2801" s="1" t="str">
        <f ca="1">IFERROR(__xludf.DUMMYFUNCTION("GOOGLETRANSLATE(A2801, ""en"", ""fr"")"),"DÉPLORER")</f>
        <v>DÉPLORER</v>
      </c>
      <c r="C2801" s="1" t="s">
        <v>185</v>
      </c>
      <c r="E2801" s="1" t="s">
        <v>16613</v>
      </c>
      <c r="H2801" s="1" t="s">
        <v>4</v>
      </c>
      <c r="I2801" s="1" t="s">
        <v>5</v>
      </c>
      <c r="O2801" s="1" t="s">
        <v>11</v>
      </c>
      <c r="BK2801" s="1" t="s">
        <v>59</v>
      </c>
      <c r="DN2801" s="1" t="s">
        <v>114</v>
      </c>
      <c r="EE2801" s="1" t="s">
        <v>131</v>
      </c>
      <c r="EJ2801" s="1" t="s">
        <v>136</v>
      </c>
      <c r="GD2801" s="1" t="s">
        <v>189</v>
      </c>
      <c r="GE2801" s="1" t="s">
        <v>190</v>
      </c>
    </row>
    <row r="2802" spans="1:187" ht="11.25" customHeight="1">
      <c r="A2802" s="1" t="s">
        <v>4022</v>
      </c>
      <c r="B2802" s="1" t="str">
        <f ca="1">IFERROR(__xludf.DUMMYFUNCTION("GOOGLETRANSLATE(A2802, ""en"", ""fr"")"),"DÉPLOYER")</f>
        <v>DÉPLOYER</v>
      </c>
      <c r="C2802" s="1" t="s">
        <v>185</v>
      </c>
      <c r="J2802" s="1" t="s">
        <v>6</v>
      </c>
      <c r="K2802" s="1" t="s">
        <v>7</v>
      </c>
      <c r="N2802" s="1" t="s">
        <v>10</v>
      </c>
      <c r="AN2802" s="1" t="s">
        <v>36</v>
      </c>
      <c r="DN2802" s="1" t="s">
        <v>114</v>
      </c>
      <c r="DW2802" s="1" t="s">
        <v>123</v>
      </c>
      <c r="ED2802" s="1" t="s">
        <v>130</v>
      </c>
      <c r="GD2802" s="1" t="s">
        <v>189</v>
      </c>
      <c r="GE2802" s="1" t="s">
        <v>190</v>
      </c>
    </row>
    <row r="2803" spans="1:187" ht="11.25" customHeight="1">
      <c r="A2803" s="1" t="s">
        <v>4023</v>
      </c>
      <c r="B2803" s="1" t="str">
        <f ca="1">IFERROR(__xludf.DUMMYFUNCTION("GOOGLETRANSLATE(A2803, ""en"", ""fr"")"),"DÉPOSER")</f>
        <v>DÉPOSER</v>
      </c>
      <c r="C2803" s="1" t="s">
        <v>192</v>
      </c>
      <c r="E2803" s="1" t="s">
        <v>16613</v>
      </c>
      <c r="I2803" s="1" t="s">
        <v>5</v>
      </c>
      <c r="K2803" s="1" t="s">
        <v>7</v>
      </c>
      <c r="N2803" s="1" t="s">
        <v>10</v>
      </c>
      <c r="BK2803" s="1" t="s">
        <v>59</v>
      </c>
      <c r="DN2803" s="1" t="s">
        <v>114</v>
      </c>
      <c r="GD2803" s="1" t="s">
        <v>189</v>
      </c>
      <c r="GE2803" s="1" t="s">
        <v>190</v>
      </c>
    </row>
    <row r="2804" spans="1:187" ht="11.25" customHeight="1">
      <c r="A2804" s="1" t="s">
        <v>4024</v>
      </c>
      <c r="B2804" s="1" t="str">
        <f ca="1">IFERROR(__xludf.DUMMYFUNCTION("GOOGLETRANSLATE(A2804, ""en"", ""fr"")"),"DÉPOSITION")</f>
        <v>DÉPOSITION</v>
      </c>
      <c r="C2804" s="1" t="s">
        <v>185</v>
      </c>
      <c r="N2804" s="1" t="s">
        <v>10</v>
      </c>
      <c r="AE2804" s="1" t="s">
        <v>27</v>
      </c>
      <c r="BK2804" s="1" t="s">
        <v>59</v>
      </c>
      <c r="BL2804" s="1" t="s">
        <v>60</v>
      </c>
      <c r="EC2804" s="1" t="s">
        <v>129</v>
      </c>
      <c r="ED2804" s="1" t="s">
        <v>130</v>
      </c>
      <c r="GC2804" s="1" t="s">
        <v>181</v>
      </c>
      <c r="GD2804" s="1" t="s">
        <v>193</v>
      </c>
      <c r="GE2804" s="1" t="s">
        <v>190</v>
      </c>
    </row>
    <row r="2805" spans="1:187" ht="11.25" customHeight="1">
      <c r="A2805" s="1" t="s">
        <v>4025</v>
      </c>
      <c r="B2805" s="1" t="str">
        <f ca="1">IFERROR(__xludf.DUMMYFUNCTION("GOOGLETRANSLATE(A2805, ""en"", ""fr"")"),"DÉPRAVÉ")</f>
        <v>DÉPRAVÉ</v>
      </c>
      <c r="C2805" s="1" t="s">
        <v>192</v>
      </c>
      <c r="E2805" s="1" t="s">
        <v>16613</v>
      </c>
      <c r="V2805" s="1" t="s">
        <v>18</v>
      </c>
      <c r="CM2805" s="1" t="s">
        <v>87</v>
      </c>
      <c r="DR2805" s="1" t="s">
        <v>118</v>
      </c>
      <c r="GD2805" s="1" t="s">
        <v>202</v>
      </c>
      <c r="GE2805" s="1" t="s">
        <v>190</v>
      </c>
    </row>
    <row r="2806" spans="1:187" ht="11.25" customHeight="1">
      <c r="A2806" s="1" t="s">
        <v>4026</v>
      </c>
      <c r="B2806" s="1" t="str">
        <f ca="1">IFERROR(__xludf.DUMMYFUNCTION("GOOGLETRANSLATE(A2806, ""en"", ""fr"")"),"DÉPRÉCIER")</f>
        <v>DÉPRÉCIER</v>
      </c>
      <c r="C2806" s="1" t="s">
        <v>185</v>
      </c>
      <c r="E2806" s="1" t="s">
        <v>16613</v>
      </c>
      <c r="H2806" s="1" t="s">
        <v>4</v>
      </c>
      <c r="L2806" s="1" t="s">
        <v>8</v>
      </c>
      <c r="O2806" s="1" t="s">
        <v>11</v>
      </c>
      <c r="BY2806" s="1" t="s">
        <v>73</v>
      </c>
      <c r="DN2806" s="1" t="s">
        <v>114</v>
      </c>
      <c r="EV2806" s="1" t="s">
        <v>148</v>
      </c>
      <c r="EW2806" s="1" t="s">
        <v>149</v>
      </c>
      <c r="GD2806" s="1" t="s">
        <v>189</v>
      </c>
      <c r="GE2806" s="1" t="s">
        <v>190</v>
      </c>
    </row>
    <row r="2807" spans="1:187" ht="11.25" customHeight="1">
      <c r="A2807" s="1" t="s">
        <v>4027</v>
      </c>
      <c r="B2807" s="1" t="str">
        <f ca="1">IFERROR(__xludf.DUMMYFUNCTION("GOOGLETRANSLATE(A2807, ""en"", ""fr"")"),"DÉPRÉCIATION")</f>
        <v>DÉPRÉCIATION</v>
      </c>
      <c r="C2807" s="1" t="s">
        <v>185</v>
      </c>
      <c r="E2807" s="1" t="s">
        <v>16613</v>
      </c>
      <c r="H2807" s="1" t="s">
        <v>4</v>
      </c>
      <c r="O2807" s="1" t="s">
        <v>11</v>
      </c>
      <c r="AA2807" s="1" t="s">
        <v>23</v>
      </c>
      <c r="AC2807" s="1" t="s">
        <v>25</v>
      </c>
      <c r="BY2807" s="1" t="s">
        <v>73</v>
      </c>
      <c r="EV2807" s="1" t="s">
        <v>148</v>
      </c>
      <c r="EW2807" s="1" t="s">
        <v>149</v>
      </c>
      <c r="GD2807" s="1" t="s">
        <v>193</v>
      </c>
      <c r="GE2807" s="1" t="s">
        <v>190</v>
      </c>
    </row>
    <row r="2808" spans="1:187" ht="11.25" customHeight="1">
      <c r="A2808" s="1" t="s">
        <v>4028</v>
      </c>
      <c r="B2808" s="1" t="str">
        <f ca="1">IFERROR(__xludf.DUMMYFUNCTION("GOOGLETRANSLATE(A2808, ""en"", ""fr"")"),"Dépression n ° 1")</f>
        <v>Dépression n ° 1</v>
      </c>
      <c r="C2808" s="1" t="s">
        <v>185</v>
      </c>
      <c r="E2808" s="1" t="s">
        <v>16613</v>
      </c>
      <c r="H2808" s="1" t="s">
        <v>4</v>
      </c>
      <c r="L2808" s="1" t="s">
        <v>8</v>
      </c>
      <c r="O2808" s="1" t="s">
        <v>11</v>
      </c>
      <c r="Q2808" s="1" t="s">
        <v>13</v>
      </c>
      <c r="T2808" s="1" t="s">
        <v>16</v>
      </c>
      <c r="FV2808" s="1" t="s">
        <v>174</v>
      </c>
      <c r="GD2808" s="1" t="s">
        <v>202</v>
      </c>
      <c r="GE2808" s="1" t="s">
        <v>4029</v>
      </c>
    </row>
    <row r="2809" spans="1:187" ht="11.25" customHeight="1">
      <c r="A2809" s="1" t="s">
        <v>4030</v>
      </c>
      <c r="B2809" s="1" t="str">
        <f ca="1">IFERROR(__xludf.DUMMYFUNCTION("GOOGLETRANSLATE(A2809, ""en"", ""fr"")"),"Déprimer # 2")</f>
        <v>Déprimer # 2</v>
      </c>
      <c r="C2809" s="1" t="s">
        <v>185</v>
      </c>
      <c r="E2809" s="1" t="s">
        <v>16613</v>
      </c>
      <c r="H2809" s="1" t="s">
        <v>4</v>
      </c>
      <c r="V2809" s="1" t="s">
        <v>18</v>
      </c>
      <c r="FV2809" s="1" t="s">
        <v>174</v>
      </c>
      <c r="GD2809" s="1" t="s">
        <v>202</v>
      </c>
      <c r="GE2809" s="1" t="s">
        <v>4031</v>
      </c>
    </row>
    <row r="2810" spans="1:187" ht="11.25" customHeight="1">
      <c r="A2810" s="1" t="s">
        <v>4032</v>
      </c>
      <c r="B2810" s="1" t="str">
        <f ca="1">IFERROR(__xludf.DUMMYFUNCTION("GOOGLETRANSLATE(A2810, ""en"", ""fr"")"),"Dépression n ° 3")</f>
        <v>Dépression n ° 3</v>
      </c>
      <c r="C2810" s="1" t="s">
        <v>185</v>
      </c>
      <c r="E2810" s="1" t="s">
        <v>16613</v>
      </c>
      <c r="H2810" s="1" t="s">
        <v>4</v>
      </c>
      <c r="Q2810" s="1" t="s">
        <v>13</v>
      </c>
      <c r="T2810" s="1" t="s">
        <v>16</v>
      </c>
      <c r="DN2810" s="1" t="s">
        <v>114</v>
      </c>
      <c r="GD2810" s="1" t="s">
        <v>189</v>
      </c>
      <c r="GE2810" s="1" t="s">
        <v>4033</v>
      </c>
    </row>
    <row r="2811" spans="1:187" ht="11.25" customHeight="1">
      <c r="A2811" s="1" t="s">
        <v>4034</v>
      </c>
      <c r="B2811" s="1" t="str">
        <f ca="1">IFERROR(__xludf.DUMMYFUNCTION("GOOGLETRANSLATE(A2811, ""en"", ""fr"")"),"Dépression # 1")</f>
        <v>Dépression # 1</v>
      </c>
      <c r="C2811" s="1" t="s">
        <v>185</v>
      </c>
      <c r="E2811" s="1" t="s">
        <v>16613</v>
      </c>
      <c r="H2811" s="1" t="s">
        <v>4</v>
      </c>
      <c r="L2811" s="1" t="s">
        <v>8</v>
      </c>
      <c r="Q2811" s="1" t="s">
        <v>13</v>
      </c>
      <c r="T2811" s="1" t="s">
        <v>16</v>
      </c>
      <c r="EY2811" s="1" t="s">
        <v>151</v>
      </c>
      <c r="FC2811" s="1" t="s">
        <v>155</v>
      </c>
      <c r="GD2811" s="1" t="s">
        <v>193</v>
      </c>
      <c r="GE2811" s="1" t="s">
        <v>4035</v>
      </c>
    </row>
    <row r="2812" spans="1:187" ht="11.25" customHeight="1">
      <c r="A2812" s="1" t="s">
        <v>4036</v>
      </c>
      <c r="B2812" s="1" t="str">
        <f ca="1">IFERROR(__xludf.DUMMYFUNCTION("GOOGLETRANSLATE(A2812, ""en"", ""fr"")"),"Dépression # 2")</f>
        <v>Dépression # 2</v>
      </c>
      <c r="C2812" s="1" t="s">
        <v>185</v>
      </c>
      <c r="E2812" s="1" t="s">
        <v>16613</v>
      </c>
      <c r="H2812" s="1" t="s">
        <v>4</v>
      </c>
      <c r="L2812" s="1" t="s">
        <v>8</v>
      </c>
      <c r="V2812" s="1" t="s">
        <v>18</v>
      </c>
      <c r="AA2812" s="1" t="s">
        <v>23</v>
      </c>
      <c r="EV2812" s="1" t="s">
        <v>148</v>
      </c>
      <c r="EW2812" s="1" t="s">
        <v>149</v>
      </c>
      <c r="GD2812" s="1" t="s">
        <v>193</v>
      </c>
      <c r="GE2812" s="1" t="s">
        <v>4037</v>
      </c>
    </row>
    <row r="2813" spans="1:187" ht="11.25" customHeight="1">
      <c r="A2813" s="1" t="s">
        <v>4038</v>
      </c>
      <c r="B2813" s="1" t="str">
        <f ca="1">IFERROR(__xludf.DUMMYFUNCTION("GOOGLETRANSLATE(A2813, ""en"", ""fr"")"),"PRIVATION")</f>
        <v>PRIVATION</v>
      </c>
      <c r="C2813" s="1" t="s">
        <v>196</v>
      </c>
      <c r="FO2813" s="1" t="s">
        <v>167</v>
      </c>
      <c r="GD2813" s="1" t="s">
        <v>193</v>
      </c>
    </row>
    <row r="2814" spans="1:187" ht="11.25" customHeight="1">
      <c r="A2814" s="1" t="s">
        <v>4039</v>
      </c>
      <c r="B2814" s="1" t="str">
        <f ca="1">IFERROR(__xludf.DUMMYFUNCTION("GOOGLETRANSLATE(A2814, ""en"", ""fr"")"),"PRIVER")</f>
        <v>PRIVER</v>
      </c>
      <c r="C2814" s="1" t="s">
        <v>185</v>
      </c>
      <c r="E2814" s="1" t="s">
        <v>16613</v>
      </c>
      <c r="H2814" s="1" t="s">
        <v>4</v>
      </c>
      <c r="I2814" s="1" t="s">
        <v>5</v>
      </c>
      <c r="J2814" s="1" t="s">
        <v>6</v>
      </c>
      <c r="K2814" s="1" t="s">
        <v>7</v>
      </c>
      <c r="N2814" s="1" t="s">
        <v>10</v>
      </c>
      <c r="AN2814" s="1" t="s">
        <v>36</v>
      </c>
      <c r="DN2814" s="1" t="s">
        <v>114</v>
      </c>
      <c r="FO2814" s="1" t="s">
        <v>167</v>
      </c>
      <c r="GD2814" s="1" t="s">
        <v>189</v>
      </c>
      <c r="GE2814" s="1" t="s">
        <v>190</v>
      </c>
    </row>
    <row r="2815" spans="1:187" ht="11.25" customHeight="1">
      <c r="A2815" s="1" t="s">
        <v>4040</v>
      </c>
      <c r="B2815" s="1" t="str">
        <f ca="1">IFERROR(__xludf.DUMMYFUNCTION("GOOGLETRANSLATE(A2815, ""en"", ""fr"")"),"PROFONDEUR")</f>
        <v>PROFONDEUR</v>
      </c>
      <c r="C2815" s="1" t="s">
        <v>185</v>
      </c>
      <c r="J2815" s="1" t="s">
        <v>6</v>
      </c>
      <c r="CQ2815" s="1" t="s">
        <v>91</v>
      </c>
      <c r="CX2815" s="1" t="s">
        <v>98</v>
      </c>
      <c r="DA2815" s="1" t="s">
        <v>101</v>
      </c>
      <c r="GD2815" s="1" t="s">
        <v>193</v>
      </c>
      <c r="GE2815" s="1" t="s">
        <v>190</v>
      </c>
    </row>
    <row r="2816" spans="1:187" ht="11.25" customHeight="1">
      <c r="A2816" s="1" t="s">
        <v>4041</v>
      </c>
      <c r="B2816" s="1" t="str">
        <f ca="1">IFERROR(__xludf.DUMMYFUNCTION("GOOGLETRANSLATE(A2816, ""en"", ""fr"")"),"ADJOINT")</f>
        <v>ADJOINT</v>
      </c>
      <c r="C2816" s="1" t="s">
        <v>185</v>
      </c>
      <c r="AH2816" s="1" t="s">
        <v>30</v>
      </c>
      <c r="AJ2816" s="1" t="s">
        <v>32</v>
      </c>
      <c r="AT2816" s="1" t="s">
        <v>42</v>
      </c>
      <c r="DY2816" s="1" t="s">
        <v>125</v>
      </c>
      <c r="ED2816" s="1" t="s">
        <v>130</v>
      </c>
      <c r="GD2816" s="1" t="s">
        <v>193</v>
      </c>
      <c r="GE2816" s="1" t="s">
        <v>190</v>
      </c>
    </row>
    <row r="2817" spans="1:187" ht="11.25" customHeight="1">
      <c r="A2817" s="1" t="s">
        <v>4042</v>
      </c>
      <c r="B2817" s="1" t="str">
        <f ca="1">IFERROR(__xludf.DUMMYFUNCTION("GOOGLETRANSLATE(A2817, ""en"", ""fr"")"),"DERBY")</f>
        <v>DERBY</v>
      </c>
      <c r="C2817" s="1" t="s">
        <v>185</v>
      </c>
      <c r="AD2817" s="1" t="s">
        <v>26</v>
      </c>
      <c r="AM2817" s="1" t="s">
        <v>35</v>
      </c>
      <c r="GD2817" s="1" t="s">
        <v>193</v>
      </c>
      <c r="GE2817" s="1" t="s">
        <v>190</v>
      </c>
    </row>
    <row r="2818" spans="1:187" ht="11.25" customHeight="1">
      <c r="A2818" s="1" t="s">
        <v>4043</v>
      </c>
      <c r="B2818" s="1" t="str">
        <f ca="1">IFERROR(__xludf.DUMMYFUNCTION("GOOGLETRANSLATE(A2818, ""en"", ""fr"")"),"RAILLER")</f>
        <v>RAILLER</v>
      </c>
      <c r="C2818" s="1" t="s">
        <v>192</v>
      </c>
      <c r="E2818" s="1" t="s">
        <v>16613</v>
      </c>
      <c r="I2818" s="1" t="s">
        <v>5</v>
      </c>
      <c r="N2818" s="1" t="s">
        <v>10</v>
      </c>
      <c r="BK2818" s="1" t="s">
        <v>59</v>
      </c>
      <c r="DN2818" s="1" t="s">
        <v>114</v>
      </c>
      <c r="GD2818" s="1" t="s">
        <v>189</v>
      </c>
      <c r="GE2818" s="1" t="s">
        <v>190</v>
      </c>
    </row>
    <row r="2819" spans="1:187" ht="11.25" customHeight="1">
      <c r="A2819" s="1" t="s">
        <v>4044</v>
      </c>
      <c r="B2819" s="1" t="str">
        <f ca="1">IFERROR(__xludf.DUMMYFUNCTION("GOOGLETRANSLATE(A2819, ""en"", ""fr"")"),"DÉRISION")</f>
        <v>DÉRISION</v>
      </c>
      <c r="C2819" s="1" t="s">
        <v>192</v>
      </c>
      <c r="E2819" s="1" t="s">
        <v>16613</v>
      </c>
      <c r="I2819" s="1" t="s">
        <v>5</v>
      </c>
      <c r="V2819" s="1" t="s">
        <v>18</v>
      </c>
      <c r="GD2819" s="1" t="s">
        <v>193</v>
      </c>
      <c r="GE2819" s="1" t="s">
        <v>190</v>
      </c>
    </row>
    <row r="2820" spans="1:187" ht="11.25" customHeight="1">
      <c r="A2820" s="1" t="s">
        <v>4045</v>
      </c>
      <c r="B2820" s="1" t="str">
        <f ca="1">IFERROR(__xludf.DUMMYFUNCTION("GOOGLETRANSLATE(A2820, ""en"", ""fr"")"),"DÉRISOIRE")</f>
        <v>DÉRISOIRE</v>
      </c>
      <c r="C2820" s="1" t="s">
        <v>192</v>
      </c>
      <c r="E2820" s="1" t="s">
        <v>16613</v>
      </c>
      <c r="V2820" s="1" t="s">
        <v>18</v>
      </c>
      <c r="DR2820" s="1" t="s">
        <v>118</v>
      </c>
      <c r="GD2820" s="1" t="s">
        <v>202</v>
      </c>
      <c r="GE2820" s="1" t="s">
        <v>190</v>
      </c>
    </row>
    <row r="2821" spans="1:187" ht="11.25" customHeight="1">
      <c r="A2821" s="1" t="s">
        <v>4046</v>
      </c>
      <c r="B2821" s="1" t="str">
        <f ca="1">IFERROR(__xludf.DUMMYFUNCTION("GOOGLETRANSLATE(A2821, ""en"", ""fr"")"),"DÉRIVER")</f>
        <v>DÉRIVER</v>
      </c>
      <c r="C2821" s="1" t="s">
        <v>185</v>
      </c>
      <c r="N2821" s="1" t="s">
        <v>10</v>
      </c>
      <c r="CO2821" s="1" t="s">
        <v>89</v>
      </c>
      <c r="DN2821" s="1" t="s">
        <v>114</v>
      </c>
      <c r="GD2821" s="1" t="s">
        <v>189</v>
      </c>
      <c r="GE2821" s="1" t="s">
        <v>190</v>
      </c>
    </row>
    <row r="2822" spans="1:187" ht="11.25" customHeight="1">
      <c r="A2822" s="1" t="s">
        <v>4047</v>
      </c>
      <c r="B2822" s="1" t="str">
        <f ca="1">IFERROR(__xludf.DUMMYFUNCTION("GOOGLETRANSLATE(A2822, ""en"", ""fr"")"),"Désobligeant")</f>
        <v>Désobligeant</v>
      </c>
      <c r="C2822" s="1" t="s">
        <v>192</v>
      </c>
      <c r="E2822" s="1" t="s">
        <v>16613</v>
      </c>
      <c r="I2822" s="1" t="s">
        <v>5</v>
      </c>
      <c r="K2822" s="1" t="s">
        <v>7</v>
      </c>
      <c r="BK2822" s="1" t="s">
        <v>59</v>
      </c>
      <c r="DR2822" s="1" t="s">
        <v>118</v>
      </c>
      <c r="GD2822" s="1" t="s">
        <v>202</v>
      </c>
      <c r="GE2822" s="1" t="s">
        <v>190</v>
      </c>
    </row>
    <row r="2823" spans="1:187" ht="11.25" customHeight="1">
      <c r="A2823" s="1" t="s">
        <v>4048</v>
      </c>
      <c r="B2823" s="1" t="str">
        <f ca="1">IFERROR(__xludf.DUMMYFUNCTION("GOOGLETRANSLATE(A2823, ""en"", ""fr"")"),"DESCENDRE")</f>
        <v>DESCENDRE</v>
      </c>
      <c r="C2823" s="1" t="s">
        <v>185</v>
      </c>
      <c r="L2823" s="1" t="s">
        <v>8</v>
      </c>
      <c r="CF2823" s="1" t="s">
        <v>80</v>
      </c>
      <c r="DO2823" s="1" t="s">
        <v>115</v>
      </c>
      <c r="GD2823" s="1" t="s">
        <v>189</v>
      </c>
      <c r="GE2823" s="1" t="s">
        <v>4049</v>
      </c>
    </row>
    <row r="2824" spans="1:187" ht="11.25" customHeight="1">
      <c r="A2824" s="1" t="s">
        <v>4050</v>
      </c>
      <c r="B2824" s="1" t="str">
        <f ca="1">IFERROR(__xludf.DUMMYFUNCTION("GOOGLETRANSLATE(A2824, ""en"", ""fr"")"),"DESCENDANT")</f>
        <v>DESCENDANT</v>
      </c>
      <c r="C2824" s="1" t="s">
        <v>196</v>
      </c>
      <c r="FT2824" s="1" t="s">
        <v>172</v>
      </c>
      <c r="GD2824" s="1" t="s">
        <v>448</v>
      </c>
    </row>
    <row r="2825" spans="1:187" ht="11.25" customHeight="1">
      <c r="A2825" s="1" t="s">
        <v>4051</v>
      </c>
      <c r="B2825" s="1" t="str">
        <f ca="1">IFERROR(__xludf.DUMMYFUNCTION("GOOGLETRANSLATE(A2825, ""en"", ""fr"")"),"DÉCRIRE")</f>
        <v>DÉCRIRE</v>
      </c>
      <c r="C2825" s="1" t="s">
        <v>185</v>
      </c>
      <c r="BK2825" s="1" t="s">
        <v>59</v>
      </c>
      <c r="FH2825" s="1" t="s">
        <v>160</v>
      </c>
      <c r="FI2825" s="1" t="s">
        <v>161</v>
      </c>
      <c r="GD2825" s="1" t="s">
        <v>189</v>
      </c>
      <c r="GE2825" s="1" t="s">
        <v>4052</v>
      </c>
    </row>
    <row r="2826" spans="1:187" ht="11.25" customHeight="1">
      <c r="A2826" s="1" t="s">
        <v>4053</v>
      </c>
      <c r="B2826" s="1" t="str">
        <f ca="1">IFERROR(__xludf.DUMMYFUNCTION("GOOGLETRANSLATE(A2826, ""en"", ""fr"")"),"DESCRIPTION")</f>
        <v>DESCRIPTION</v>
      </c>
      <c r="C2826" s="1" t="s">
        <v>185</v>
      </c>
      <c r="BL2826" s="1" t="s">
        <v>60</v>
      </c>
      <c r="CH2826" s="1" t="s">
        <v>82</v>
      </c>
      <c r="CP2826" s="1" t="s">
        <v>90</v>
      </c>
      <c r="CQ2826" s="1" t="s">
        <v>91</v>
      </c>
      <c r="FH2826" s="1" t="s">
        <v>160</v>
      </c>
      <c r="FI2826" s="1" t="s">
        <v>161</v>
      </c>
      <c r="GC2826" s="1" t="s">
        <v>181</v>
      </c>
      <c r="GD2826" s="1" t="s">
        <v>193</v>
      </c>
      <c r="GE2826" s="1" t="s">
        <v>190</v>
      </c>
    </row>
    <row r="2827" spans="1:187" ht="11.25" customHeight="1">
      <c r="A2827" s="1" t="s">
        <v>4054</v>
      </c>
      <c r="B2827" s="1" t="str">
        <f ca="1">IFERROR(__xludf.DUMMYFUNCTION("GOOGLETRANSLATE(A2827, ""en"", ""fr"")"),"DESCRIPTIF")</f>
        <v>DESCRIPTIF</v>
      </c>
      <c r="C2827" s="1" t="s">
        <v>185</v>
      </c>
      <c r="CH2827" s="1" t="s">
        <v>82</v>
      </c>
      <c r="FH2827" s="1" t="s">
        <v>160</v>
      </c>
      <c r="FI2827" s="1" t="s">
        <v>161</v>
      </c>
      <c r="GD2827" s="1" t="s">
        <v>202</v>
      </c>
      <c r="GE2827" s="1" t="s">
        <v>190</v>
      </c>
    </row>
    <row r="2828" spans="1:187" ht="11.25" customHeight="1">
      <c r="A2828" s="1" t="s">
        <v>4055</v>
      </c>
      <c r="B2828" s="1" t="str">
        <f ca="1">IFERROR(__xludf.DUMMYFUNCTION("GOOGLETRANSLATE(A2828, ""en"", ""fr"")"),"APERCEVOIR")</f>
        <v>APERCEVOIR</v>
      </c>
      <c r="C2828" s="1" t="s">
        <v>192</v>
      </c>
      <c r="D2828" s="1" t="s">
        <v>16612</v>
      </c>
      <c r="N2828" s="1" t="s">
        <v>10</v>
      </c>
      <c r="CK2828" s="1" t="s">
        <v>85</v>
      </c>
      <c r="DN2828" s="1" t="s">
        <v>114</v>
      </c>
      <c r="GD2828" s="1" t="s">
        <v>189</v>
      </c>
      <c r="GE2828" s="1" t="s">
        <v>190</v>
      </c>
    </row>
    <row r="2829" spans="1:187" ht="11.25" customHeight="1">
      <c r="A2829" s="1" t="s">
        <v>4056</v>
      </c>
      <c r="B2829" s="1" t="str">
        <f ca="1">IFERROR(__xludf.DUMMYFUNCTION("GOOGLETRANSLATE(A2829, ""en"", ""fr"")"),"DÉSÉGRÉGATION")</f>
        <v>DÉSÉGRÉGATION</v>
      </c>
      <c r="C2829" s="1" t="s">
        <v>185</v>
      </c>
      <c r="Z2829" s="1" t="s">
        <v>22</v>
      </c>
      <c r="AH2829" s="1" t="s">
        <v>30</v>
      </c>
      <c r="AO2829" s="1" t="s">
        <v>37</v>
      </c>
      <c r="EA2829" s="1" t="s">
        <v>127</v>
      </c>
      <c r="ED2829" s="1" t="s">
        <v>130</v>
      </c>
      <c r="GD2829" s="1" t="s">
        <v>193</v>
      </c>
      <c r="GE2829" s="1" t="s">
        <v>190</v>
      </c>
    </row>
    <row r="2830" spans="1:187" ht="11.25" customHeight="1">
      <c r="A2830" s="1" t="s">
        <v>4057</v>
      </c>
      <c r="B2830" s="1" t="str">
        <f ca="1">IFERROR(__xludf.DUMMYFUNCTION("GOOGLETRANSLATE(A2830, ""en"", ""fr"")"),"Désert # 1")</f>
        <v>Désert # 1</v>
      </c>
      <c r="C2830" s="1" t="s">
        <v>185</v>
      </c>
      <c r="AV2830" s="1" t="s">
        <v>44</v>
      </c>
      <c r="BA2830" s="1" t="s">
        <v>49</v>
      </c>
      <c r="GD2830" s="1" t="s">
        <v>193</v>
      </c>
      <c r="GE2830" s="1" t="s">
        <v>4058</v>
      </c>
    </row>
    <row r="2831" spans="1:187" ht="11.25" customHeight="1">
      <c r="A2831" s="1" t="s">
        <v>4059</v>
      </c>
      <c r="B2831" s="1" t="str">
        <f ca="1">IFERROR(__xludf.DUMMYFUNCTION("GOOGLETRANSLATE(A2831, ""en"", ""fr"")"),"Désert # 2")</f>
        <v>Désert # 2</v>
      </c>
      <c r="C2831" s="1" t="s">
        <v>185</v>
      </c>
      <c r="E2831" s="1" t="s">
        <v>16613</v>
      </c>
      <c r="H2831" s="1" t="s">
        <v>4</v>
      </c>
      <c r="I2831" s="1" t="s">
        <v>5</v>
      </c>
      <c r="AN2831" s="1" t="s">
        <v>36</v>
      </c>
      <c r="DO2831" s="1" t="s">
        <v>115</v>
      </c>
      <c r="DT2831" s="1" t="s">
        <v>120</v>
      </c>
      <c r="ED2831" s="1" t="s">
        <v>130</v>
      </c>
      <c r="GD2831" s="1" t="s">
        <v>189</v>
      </c>
      <c r="GE2831" s="1" t="s">
        <v>4060</v>
      </c>
    </row>
    <row r="2832" spans="1:187" ht="11.25" customHeight="1">
      <c r="A2832" s="1" t="s">
        <v>4061</v>
      </c>
      <c r="B2832" s="1" t="str">
        <f ca="1">IFERROR(__xludf.DUMMYFUNCTION("GOOGLETRANSLATE(A2832, ""en"", ""fr"")"),"Désert # 3")</f>
        <v>Désert # 3</v>
      </c>
      <c r="C2832" s="1" t="s">
        <v>185</v>
      </c>
      <c r="BO2832" s="1" t="s">
        <v>63</v>
      </c>
      <c r="EE2832" s="1" t="s">
        <v>131</v>
      </c>
      <c r="EJ2832" s="1" t="s">
        <v>136</v>
      </c>
      <c r="GD2832" s="1" t="s">
        <v>193</v>
      </c>
      <c r="GE2832" s="1" t="s">
        <v>4062</v>
      </c>
    </row>
    <row r="2833" spans="1:187" ht="11.25" customHeight="1">
      <c r="A2833" s="1" t="s">
        <v>4063</v>
      </c>
      <c r="B2833" s="1" t="str">
        <f ca="1">IFERROR(__xludf.DUMMYFUNCTION("GOOGLETRANSLATE(A2833, ""en"", ""fr"")"),"Désert # 4")</f>
        <v>Désert # 4</v>
      </c>
      <c r="C2833" s="1" t="s">
        <v>185</v>
      </c>
      <c r="E2833" s="1" t="s">
        <v>16613</v>
      </c>
      <c r="H2833" s="1" t="s">
        <v>4</v>
      </c>
      <c r="L2833" s="1" t="s">
        <v>8</v>
      </c>
      <c r="O2833" s="1" t="s">
        <v>11</v>
      </c>
      <c r="DA2833" s="1" t="s">
        <v>101</v>
      </c>
      <c r="DT2833" s="1" t="s">
        <v>120</v>
      </c>
      <c r="ED2833" s="1" t="s">
        <v>130</v>
      </c>
      <c r="GD2833" s="1" t="s">
        <v>202</v>
      </c>
      <c r="GE2833" s="1" t="s">
        <v>4064</v>
      </c>
    </row>
    <row r="2834" spans="1:187" ht="11.25" customHeight="1">
      <c r="A2834" s="1" t="s">
        <v>4065</v>
      </c>
      <c r="B2834" s="1" t="str">
        <f ca="1">IFERROR(__xludf.DUMMYFUNCTION("GOOGLETRANSLATE(A2834, ""en"", ""fr"")"),"DÉSERTION")</f>
        <v>DÉSERTION</v>
      </c>
      <c r="C2834" s="1" t="s">
        <v>192</v>
      </c>
      <c r="E2834" s="1" t="s">
        <v>16613</v>
      </c>
      <c r="G2834" s="1" t="s">
        <v>3</v>
      </c>
      <c r="V2834" s="1" t="s">
        <v>18</v>
      </c>
      <c r="W2834" s="1" t="s">
        <v>19</v>
      </c>
      <c r="CE2834" s="1" t="s">
        <v>79</v>
      </c>
      <c r="GD2834" s="1" t="s">
        <v>193</v>
      </c>
      <c r="GE2834" s="1" t="s">
        <v>190</v>
      </c>
    </row>
    <row r="2835" spans="1:187" ht="11.25" customHeight="1">
      <c r="A2835" s="1" t="s">
        <v>4066</v>
      </c>
      <c r="B2835" s="1" t="str">
        <f ca="1">IFERROR(__xludf.DUMMYFUNCTION("GOOGLETRANSLATE(A2835, ""en"", ""fr"")"),"MÉRITER")</f>
        <v>MÉRITER</v>
      </c>
      <c r="C2835" s="1" t="s">
        <v>185</v>
      </c>
      <c r="D2835" s="1" t="s">
        <v>16612</v>
      </c>
      <c r="F2835" s="1" t="s">
        <v>2</v>
      </c>
      <c r="G2835" s="1" t="s">
        <v>3</v>
      </c>
      <c r="AN2835" s="1" t="s">
        <v>36</v>
      </c>
      <c r="DN2835" s="1" t="s">
        <v>114</v>
      </c>
      <c r="EE2835" s="1" t="s">
        <v>131</v>
      </c>
      <c r="EJ2835" s="1" t="s">
        <v>136</v>
      </c>
      <c r="GD2835" s="1" t="s">
        <v>189</v>
      </c>
      <c r="GE2835" s="1" t="s">
        <v>190</v>
      </c>
    </row>
    <row r="2836" spans="1:187" ht="11.25" customHeight="1">
      <c r="A2836" s="1" t="s">
        <v>4067</v>
      </c>
      <c r="B2836" s="1" t="str">
        <f ca="1">IFERROR(__xludf.DUMMYFUNCTION("GOOGLETRANSLATE(A2836, ""en"", ""fr"")"),"À JUSTE TITRE")</f>
        <v>À JUSTE TITRE</v>
      </c>
      <c r="C2836" s="1" t="s">
        <v>192</v>
      </c>
      <c r="D2836" s="1" t="s">
        <v>16612</v>
      </c>
      <c r="J2836" s="1" t="s">
        <v>6</v>
      </c>
      <c r="CJ2836" s="1" t="s">
        <v>84</v>
      </c>
      <c r="GD2836" s="1" t="s">
        <v>202</v>
      </c>
      <c r="GE2836" s="1" t="s">
        <v>190</v>
      </c>
    </row>
    <row r="2837" spans="1:187" ht="11.25" customHeight="1">
      <c r="A2837" s="1" t="s">
        <v>4068</v>
      </c>
      <c r="B2837" s="1" t="str">
        <f ca="1">IFERROR(__xludf.DUMMYFUNCTION("GOOGLETRANSLATE(A2837, ""en"", ""fr"")"),"Conception n ° 1")</f>
        <v>Conception n ° 1</v>
      </c>
      <c r="C2837" s="1" t="s">
        <v>185</v>
      </c>
      <c r="CH2837" s="1" t="s">
        <v>82</v>
      </c>
      <c r="CP2837" s="1" t="s">
        <v>90</v>
      </c>
      <c r="CQ2837" s="1" t="s">
        <v>91</v>
      </c>
      <c r="FR2837" s="1" t="s">
        <v>170</v>
      </c>
      <c r="GD2837" s="1" t="s">
        <v>193</v>
      </c>
      <c r="GE2837" s="1" t="s">
        <v>4069</v>
      </c>
    </row>
    <row r="2838" spans="1:187" ht="11.25" customHeight="1">
      <c r="A2838" s="1" t="s">
        <v>4070</v>
      </c>
      <c r="B2838" s="1" t="str">
        <f ca="1">IFERROR(__xludf.DUMMYFUNCTION("GOOGLETRANSLATE(A2838, ""en"", ""fr"")"),"Conception n ° 2")</f>
        <v>Conception n ° 2</v>
      </c>
      <c r="C2838" s="1" t="s">
        <v>185</v>
      </c>
      <c r="N2838" s="1" t="s">
        <v>10</v>
      </c>
      <c r="AL2838" s="1" t="s">
        <v>34</v>
      </c>
      <c r="DN2838" s="1" t="s">
        <v>114</v>
      </c>
      <c r="FR2838" s="1" t="s">
        <v>170</v>
      </c>
      <c r="GD2838" s="1" t="s">
        <v>189</v>
      </c>
      <c r="GE2838" s="1" t="s">
        <v>4071</v>
      </c>
    </row>
    <row r="2839" spans="1:187" ht="11.25" customHeight="1">
      <c r="A2839" s="1" t="s">
        <v>4072</v>
      </c>
      <c r="B2839" s="1" t="str">
        <f ca="1">IFERROR(__xludf.DUMMYFUNCTION("GOOGLETRANSLATE(A2839, ""en"", ""fr"")"),"Désigner # 1")</f>
        <v>Désigner # 1</v>
      </c>
      <c r="C2839" s="1" t="s">
        <v>185</v>
      </c>
      <c r="N2839" s="1" t="s">
        <v>10</v>
      </c>
      <c r="CH2839" s="1" t="s">
        <v>82</v>
      </c>
      <c r="EB2839" s="1" t="s">
        <v>128</v>
      </c>
      <c r="ED2839" s="1" t="s">
        <v>130</v>
      </c>
      <c r="GD2839" s="1" t="s">
        <v>202</v>
      </c>
      <c r="GE2839" s="1" t="s">
        <v>190</v>
      </c>
    </row>
    <row r="2840" spans="1:187" ht="11.25" customHeight="1">
      <c r="A2840" s="1" t="s">
        <v>4073</v>
      </c>
      <c r="B2840" s="1" t="str">
        <f ca="1">IFERROR(__xludf.DUMMYFUNCTION("GOOGLETRANSLATE(A2840, ""en"", ""fr"")"),"Désigner # 2")</f>
        <v>Désigner # 2</v>
      </c>
      <c r="C2840" s="1" t="s">
        <v>185</v>
      </c>
      <c r="J2840" s="1" t="s">
        <v>6</v>
      </c>
      <c r="K2840" s="1" t="s">
        <v>7</v>
      </c>
      <c r="N2840" s="1" t="s">
        <v>10</v>
      </c>
      <c r="AN2840" s="1" t="s">
        <v>36</v>
      </c>
      <c r="DN2840" s="1" t="s">
        <v>114</v>
      </c>
      <c r="EB2840" s="1" t="s">
        <v>128</v>
      </c>
      <c r="ED2840" s="1" t="s">
        <v>130</v>
      </c>
      <c r="GD2840" s="1" t="s">
        <v>189</v>
      </c>
      <c r="GE2840" s="1" t="s">
        <v>190</v>
      </c>
    </row>
    <row r="2841" spans="1:187" ht="11.25" customHeight="1">
      <c r="A2841" s="1" t="s">
        <v>4074</v>
      </c>
      <c r="B2841" s="1" t="str">
        <f ca="1">IFERROR(__xludf.DUMMYFUNCTION("GOOGLETRANSLATE(A2841, ""en"", ""fr"")"),"DESIGNER")</f>
        <v>DESIGNER</v>
      </c>
      <c r="C2841" s="1" t="s">
        <v>185</v>
      </c>
      <c r="AA2841" s="1" t="s">
        <v>23</v>
      </c>
      <c r="AJ2841" s="1" t="s">
        <v>32</v>
      </c>
      <c r="AT2841" s="1" t="s">
        <v>42</v>
      </c>
      <c r="FK2841" s="1" t="s">
        <v>163</v>
      </c>
      <c r="FM2841" s="1" t="s">
        <v>418</v>
      </c>
      <c r="GD2841" s="1" t="s">
        <v>193</v>
      </c>
      <c r="GE2841" s="1" t="s">
        <v>190</v>
      </c>
    </row>
    <row r="2842" spans="1:187" ht="11.25" customHeight="1">
      <c r="A2842" s="1" t="s">
        <v>4075</v>
      </c>
      <c r="B2842" s="1" t="str">
        <f ca="1">IFERROR(__xludf.DUMMYFUNCTION("GOOGLETRANSLATE(A2842, ""en"", ""fr"")"),"SOUHAITABLE")</f>
        <v>SOUHAITABLE</v>
      </c>
      <c r="C2842" s="1" t="s">
        <v>185</v>
      </c>
      <c r="D2842" s="1" t="s">
        <v>16612</v>
      </c>
      <c r="F2842" s="1" t="s">
        <v>2</v>
      </c>
      <c r="U2842" s="1" t="s">
        <v>17</v>
      </c>
      <c r="CN2842" s="1" t="s">
        <v>88</v>
      </c>
      <c r="FR2842" s="1" t="s">
        <v>170</v>
      </c>
      <c r="GD2842" s="1" t="s">
        <v>202</v>
      </c>
      <c r="GE2842" s="1" t="s">
        <v>190</v>
      </c>
    </row>
    <row r="2843" spans="1:187" ht="11.25" customHeight="1">
      <c r="A2843" s="1" t="s">
        <v>4076</v>
      </c>
      <c r="B2843" s="1" t="str">
        <f ca="1">IFERROR(__xludf.DUMMYFUNCTION("GOOGLETRANSLATE(A2843, ""en"", ""fr"")"),"Désir # 1")</f>
        <v>Désir # 1</v>
      </c>
      <c r="C2843" s="1" t="s">
        <v>185</v>
      </c>
      <c r="O2843" s="1" t="s">
        <v>11</v>
      </c>
      <c r="T2843" s="1" t="s">
        <v>16</v>
      </c>
      <c r="BN2843" s="1" t="s">
        <v>62</v>
      </c>
      <c r="FR2843" s="1" t="s">
        <v>170</v>
      </c>
      <c r="GD2843" s="1" t="s">
        <v>193</v>
      </c>
      <c r="GE2843" s="1" t="s">
        <v>4077</v>
      </c>
    </row>
    <row r="2844" spans="1:187" ht="11.25" customHeight="1">
      <c r="A2844" s="1" t="s">
        <v>4078</v>
      </c>
      <c r="B2844" s="1" t="str">
        <f ca="1">IFERROR(__xludf.DUMMYFUNCTION("GOOGLETRANSLATE(A2844, ""en"", ""fr"")"),"Désir n ° 2")</f>
        <v>Désir n ° 2</v>
      </c>
      <c r="C2844" s="1" t="s">
        <v>185</v>
      </c>
      <c r="O2844" s="1" t="s">
        <v>11</v>
      </c>
      <c r="BN2844" s="1" t="s">
        <v>62</v>
      </c>
      <c r="DP2844" s="1" t="s">
        <v>116</v>
      </c>
      <c r="FR2844" s="1" t="s">
        <v>170</v>
      </c>
      <c r="GD2844" s="1" t="s">
        <v>189</v>
      </c>
      <c r="GE2844" s="1" t="s">
        <v>4079</v>
      </c>
    </row>
    <row r="2845" spans="1:187" ht="11.25" customHeight="1">
      <c r="A2845" s="1" t="s">
        <v>4080</v>
      </c>
      <c r="B2845" s="1" t="str">
        <f ca="1">IFERROR(__xludf.DUMMYFUNCTION("GOOGLETRANSLATE(A2845, ""en"", ""fr"")"),"Désir # 3")</f>
        <v>Désir # 3</v>
      </c>
      <c r="C2845" s="1" t="s">
        <v>185</v>
      </c>
      <c r="E2845" s="1" t="s">
        <v>16613</v>
      </c>
      <c r="H2845" s="1" t="s">
        <v>4</v>
      </c>
      <c r="O2845" s="1" t="s">
        <v>11</v>
      </c>
      <c r="U2845" s="1" t="s">
        <v>17</v>
      </c>
      <c r="FR2845" s="1" t="s">
        <v>170</v>
      </c>
      <c r="GD2845" s="1" t="s">
        <v>202</v>
      </c>
      <c r="GE2845" s="1" t="s">
        <v>4081</v>
      </c>
    </row>
    <row r="2846" spans="1:187" ht="11.25" customHeight="1">
      <c r="A2846" s="1" t="s">
        <v>4082</v>
      </c>
      <c r="B2846" s="1" t="str">
        <f ca="1">IFERROR(__xludf.DUMMYFUNCTION("GOOGLETRANSLATE(A2846, ""en"", ""fr"")"),"DÉSIREUX")</f>
        <v>DÉSIREUX</v>
      </c>
      <c r="C2846" s="1" t="s">
        <v>192</v>
      </c>
      <c r="D2846" s="1" t="s">
        <v>16612</v>
      </c>
      <c r="BN2846" s="1" t="s">
        <v>62</v>
      </c>
      <c r="CM2846" s="1" t="s">
        <v>87</v>
      </c>
      <c r="CR2846" s="1" t="s">
        <v>92</v>
      </c>
      <c r="DR2846" s="1" t="s">
        <v>118</v>
      </c>
      <c r="GD2846" s="1" t="s">
        <v>202</v>
      </c>
      <c r="GE2846" s="1" t="s">
        <v>190</v>
      </c>
    </row>
    <row r="2847" spans="1:187" ht="11.25" customHeight="1">
      <c r="A2847" s="1" t="s">
        <v>4083</v>
      </c>
      <c r="B2847" s="1" t="str">
        <f ca="1">IFERROR(__xludf.DUMMYFUNCTION("GOOGLETRANSLATE(A2847, ""en"", ""fr"")"),"BUREAU")</f>
        <v>BUREAU</v>
      </c>
      <c r="C2847" s="1" t="s">
        <v>185</v>
      </c>
      <c r="BC2847" s="1" t="s">
        <v>51</v>
      </c>
      <c r="BD2847" s="1" t="s">
        <v>52</v>
      </c>
      <c r="EC2847" s="1" t="s">
        <v>129</v>
      </c>
      <c r="ED2847" s="1" t="s">
        <v>130</v>
      </c>
      <c r="GD2847" s="1" t="s">
        <v>193</v>
      </c>
      <c r="GE2847" s="1" t="s">
        <v>190</v>
      </c>
    </row>
    <row r="2848" spans="1:187" ht="11.25" customHeight="1">
      <c r="A2848" s="1" t="s">
        <v>4084</v>
      </c>
      <c r="B2848" s="1" t="str">
        <f ca="1">IFERROR(__xludf.DUMMYFUNCTION("GOOGLETRANSLATE(A2848, ""en"", ""fr"")"),"DÉSOLÉ")</f>
        <v>DÉSOLÉ</v>
      </c>
      <c r="C2848" s="1" t="s">
        <v>185</v>
      </c>
      <c r="E2848" s="1" t="s">
        <v>16613</v>
      </c>
      <c r="H2848" s="1" t="s">
        <v>4</v>
      </c>
      <c r="L2848" s="1" t="s">
        <v>8</v>
      </c>
      <c r="V2848" s="1" t="s">
        <v>18</v>
      </c>
      <c r="GD2848" s="1" t="s">
        <v>202</v>
      </c>
      <c r="GE2848" s="1" t="s">
        <v>190</v>
      </c>
    </row>
    <row r="2849" spans="1:187" ht="11.25" customHeight="1">
      <c r="A2849" s="1" t="s">
        <v>4085</v>
      </c>
      <c r="B2849" s="1" t="str">
        <f ca="1">IFERROR(__xludf.DUMMYFUNCTION("GOOGLETRANSLATE(A2849, ""en"", ""fr"")"),"DÉSOLATION")</f>
        <v>DÉSOLATION</v>
      </c>
      <c r="C2849" s="1" t="s">
        <v>192</v>
      </c>
      <c r="E2849" s="1" t="s">
        <v>16613</v>
      </c>
      <c r="K2849" s="1" t="s">
        <v>7</v>
      </c>
      <c r="T2849" s="1" t="s">
        <v>16</v>
      </c>
      <c r="V2849" s="1" t="s">
        <v>18</v>
      </c>
      <c r="GD2849" s="1" t="s">
        <v>193</v>
      </c>
      <c r="GE2849" s="1" t="s">
        <v>190</v>
      </c>
    </row>
    <row r="2850" spans="1:187" ht="11.25" customHeight="1">
      <c r="A2850" s="1" t="s">
        <v>4086</v>
      </c>
      <c r="B2850" s="1" t="str">
        <f ca="1">IFERROR(__xludf.DUMMYFUNCTION("GOOGLETRANSLATE(A2850, ""en"", ""fr"")"),"Désespoir # 1")</f>
        <v>Désespoir # 1</v>
      </c>
      <c r="C2850" s="1" t="s">
        <v>185</v>
      </c>
      <c r="E2850" s="1" t="s">
        <v>16613</v>
      </c>
      <c r="H2850" s="1" t="s">
        <v>4</v>
      </c>
      <c r="L2850" s="1" t="s">
        <v>8</v>
      </c>
      <c r="M2850" s="1" t="s">
        <v>9</v>
      </c>
      <c r="O2850" s="1" t="s">
        <v>11</v>
      </c>
      <c r="Q2850" s="1" t="s">
        <v>13</v>
      </c>
      <c r="T2850" s="1" t="s">
        <v>16</v>
      </c>
      <c r="FA2850" s="1" t="s">
        <v>153</v>
      </c>
      <c r="FC2850" s="1" t="s">
        <v>155</v>
      </c>
      <c r="FV2850" s="1" t="s">
        <v>174</v>
      </c>
      <c r="GD2850" s="1" t="s">
        <v>193</v>
      </c>
      <c r="GE2850" s="1" t="s">
        <v>190</v>
      </c>
    </row>
    <row r="2851" spans="1:187" ht="11.25" customHeight="1">
      <c r="A2851" s="1" t="s">
        <v>4087</v>
      </c>
      <c r="B2851" s="1" t="str">
        <f ca="1">IFERROR(__xludf.DUMMYFUNCTION("GOOGLETRANSLATE(A2851, ""en"", ""fr"")"),"Désespoir n ° 2")</f>
        <v>Désespoir n ° 2</v>
      </c>
      <c r="C2851" s="1" t="s">
        <v>185</v>
      </c>
      <c r="E2851" s="1" t="s">
        <v>16613</v>
      </c>
      <c r="H2851" s="1" t="s">
        <v>4</v>
      </c>
      <c r="L2851" s="1" t="s">
        <v>8</v>
      </c>
      <c r="O2851" s="1" t="s">
        <v>11</v>
      </c>
      <c r="Q2851" s="1" t="s">
        <v>13</v>
      </c>
      <c r="DP2851" s="1" t="s">
        <v>116</v>
      </c>
      <c r="FA2851" s="1" t="s">
        <v>153</v>
      </c>
      <c r="FC2851" s="1" t="s">
        <v>155</v>
      </c>
      <c r="FV2851" s="1" t="s">
        <v>174</v>
      </c>
      <c r="GD2851" s="1" t="s">
        <v>189</v>
      </c>
      <c r="GE2851" s="1" t="s">
        <v>190</v>
      </c>
    </row>
    <row r="2852" spans="1:187" ht="11.25" customHeight="1">
      <c r="A2852" s="1" t="s">
        <v>4088</v>
      </c>
      <c r="B2852" s="1" t="str">
        <f ca="1">IFERROR(__xludf.DUMMYFUNCTION("GOOGLETRANSLATE(A2852, ""en"", ""fr"")"),"DÉSESPÉRÉ")</f>
        <v>DÉSESPÉRÉ</v>
      </c>
      <c r="C2852" s="1" t="s">
        <v>185</v>
      </c>
      <c r="E2852" s="1" t="s">
        <v>16613</v>
      </c>
      <c r="H2852" s="1" t="s">
        <v>4</v>
      </c>
      <c r="L2852" s="1" t="s">
        <v>8</v>
      </c>
      <c r="Q2852" s="1" t="s">
        <v>13</v>
      </c>
      <c r="T2852" s="1" t="s">
        <v>16</v>
      </c>
      <c r="FA2852" s="1" t="s">
        <v>153</v>
      </c>
      <c r="FC2852" s="1" t="s">
        <v>155</v>
      </c>
      <c r="FV2852" s="1" t="s">
        <v>174</v>
      </c>
      <c r="GD2852" s="1" t="s">
        <v>202</v>
      </c>
      <c r="GE2852" s="1" t="s">
        <v>190</v>
      </c>
    </row>
    <row r="2853" spans="1:187" ht="11.25" customHeight="1">
      <c r="A2853" s="1" t="s">
        <v>4089</v>
      </c>
      <c r="B2853" s="1" t="str">
        <f ca="1">IFERROR(__xludf.DUMMYFUNCTION("GOOGLETRANSLATE(A2853, ""en"", ""fr"")"),"DÉSESPOIR")</f>
        <v>DÉSESPOIR</v>
      </c>
      <c r="C2853" s="1" t="s">
        <v>192</v>
      </c>
      <c r="E2853" s="1" t="s">
        <v>16613</v>
      </c>
      <c r="Q2853" s="1" t="s">
        <v>13</v>
      </c>
      <c r="T2853" s="1" t="s">
        <v>16</v>
      </c>
      <c r="GD2853" s="1" t="s">
        <v>193</v>
      </c>
      <c r="GE2853" s="1" t="s">
        <v>190</v>
      </c>
    </row>
    <row r="2854" spans="1:187" ht="11.25" customHeight="1">
      <c r="A2854" s="1" t="s">
        <v>4090</v>
      </c>
      <c r="B2854" s="1" t="str">
        <f ca="1">IFERROR(__xludf.DUMMYFUNCTION("GOOGLETRANSLATE(A2854, ""en"", ""fr"")"),"MÉPRISABLE")</f>
        <v>MÉPRISABLE</v>
      </c>
      <c r="C2854" s="1" t="s">
        <v>192</v>
      </c>
      <c r="E2854" s="1" t="s">
        <v>16613</v>
      </c>
      <c r="V2854" s="1" t="s">
        <v>18</v>
      </c>
      <c r="CM2854" s="1" t="s">
        <v>87</v>
      </c>
      <c r="DR2854" s="1" t="s">
        <v>118</v>
      </c>
      <c r="GD2854" s="1" t="s">
        <v>202</v>
      </c>
      <c r="GE2854" s="1" t="s">
        <v>190</v>
      </c>
    </row>
    <row r="2855" spans="1:187" ht="11.25" customHeight="1">
      <c r="A2855" s="1" t="s">
        <v>4091</v>
      </c>
      <c r="B2855" s="1" t="str">
        <f ca="1">IFERROR(__xludf.DUMMYFUNCTION("GOOGLETRANSLATE(A2855, ""en"", ""fr"")"),"Mépriser # 1")</f>
        <v>Mépriser # 1</v>
      </c>
      <c r="C2855" s="1" t="s">
        <v>185</v>
      </c>
      <c r="E2855" s="1" t="s">
        <v>16613</v>
      </c>
      <c r="H2855" s="1" t="s">
        <v>4</v>
      </c>
      <c r="I2855" s="1" t="s">
        <v>5</v>
      </c>
      <c r="J2855" s="1" t="s">
        <v>6</v>
      </c>
      <c r="V2855" s="1" t="s">
        <v>18</v>
      </c>
      <c r="FW2855" s="1" t="s">
        <v>175</v>
      </c>
      <c r="GD2855" s="1" t="s">
        <v>202</v>
      </c>
      <c r="GE2855" s="1" t="s">
        <v>190</v>
      </c>
    </row>
    <row r="2856" spans="1:187" ht="11.25" customHeight="1">
      <c r="A2856" s="1" t="s">
        <v>4092</v>
      </c>
      <c r="B2856" s="1" t="str">
        <f ca="1">IFERROR(__xludf.DUMMYFUNCTION("GOOGLETRANSLATE(A2856, ""en"", ""fr"")"),"Mépriser # 2")</f>
        <v>Mépriser # 2</v>
      </c>
      <c r="C2856" s="1" t="s">
        <v>185</v>
      </c>
      <c r="E2856" s="1" t="s">
        <v>16613</v>
      </c>
      <c r="H2856" s="1" t="s">
        <v>4</v>
      </c>
      <c r="I2856" s="1" t="s">
        <v>5</v>
      </c>
      <c r="J2856" s="1" t="s">
        <v>6</v>
      </c>
      <c r="Q2856" s="1" t="s">
        <v>13</v>
      </c>
      <c r="DP2856" s="1" t="s">
        <v>116</v>
      </c>
      <c r="FW2856" s="1" t="s">
        <v>175</v>
      </c>
      <c r="GD2856" s="1" t="s">
        <v>189</v>
      </c>
      <c r="GE2856" s="1" t="s">
        <v>190</v>
      </c>
    </row>
    <row r="2857" spans="1:187" ht="11.25" customHeight="1">
      <c r="A2857" s="1" t="s">
        <v>4093</v>
      </c>
      <c r="B2857" s="1" t="str">
        <f ca="1">IFERROR(__xludf.DUMMYFUNCTION("GOOGLETRANSLATE(A2857, ""en"", ""fr"")"),"MALGRÉ")</f>
        <v>MALGRÉ</v>
      </c>
      <c r="C2857" s="1" t="s">
        <v>185</v>
      </c>
      <c r="X2857" s="1" t="s">
        <v>20</v>
      </c>
      <c r="FR2857" s="1" t="s">
        <v>170</v>
      </c>
      <c r="GD2857" s="1" t="s">
        <v>215</v>
      </c>
      <c r="GE2857" s="1" t="s">
        <v>190</v>
      </c>
    </row>
    <row r="2858" spans="1:187" ht="11.25" customHeight="1">
      <c r="A2858" s="1" t="s">
        <v>4094</v>
      </c>
      <c r="B2858" s="1" t="str">
        <f ca="1">IFERROR(__xludf.DUMMYFUNCTION("GOOGLETRANSLATE(A2858, ""en"", ""fr"")"),"DÉCOURAGÉ")</f>
        <v>DÉCOURAGÉ</v>
      </c>
      <c r="C2858" s="1" t="s">
        <v>196</v>
      </c>
      <c r="FA2858" s="1" t="s">
        <v>153</v>
      </c>
      <c r="FC2858" s="1" t="s">
        <v>155</v>
      </c>
      <c r="FV2858" s="1" t="s">
        <v>174</v>
      </c>
      <c r="GD2858" s="1" t="s">
        <v>202</v>
      </c>
    </row>
    <row r="2859" spans="1:187" ht="11.25" customHeight="1">
      <c r="A2859" s="1" t="s">
        <v>4095</v>
      </c>
      <c r="B2859" s="1" t="str">
        <f ca="1">IFERROR(__xludf.DUMMYFUNCTION("GOOGLETRANSLATE(A2859, ""en"", ""fr"")"),"DESPOTE")</f>
        <v>DESPOTE</v>
      </c>
      <c r="C2859" s="1" t="s">
        <v>196</v>
      </c>
      <c r="DY2859" s="1" t="s">
        <v>125</v>
      </c>
      <c r="ED2859" s="1" t="s">
        <v>130</v>
      </c>
      <c r="GD2859" s="1" t="s">
        <v>193</v>
      </c>
    </row>
    <row r="2860" spans="1:187" ht="11.25" customHeight="1">
      <c r="A2860" s="1" t="s">
        <v>4096</v>
      </c>
      <c r="B2860" s="1" t="str">
        <f ca="1">IFERROR(__xludf.DUMMYFUNCTION("GOOGLETRANSLATE(A2860, ""en"", ""fr"")"),"DESPOTISME")</f>
        <v>DESPOTISME</v>
      </c>
      <c r="C2860" s="1" t="s">
        <v>196</v>
      </c>
      <c r="EC2860" s="1" t="s">
        <v>129</v>
      </c>
      <c r="ED2860" s="1" t="s">
        <v>130</v>
      </c>
      <c r="GD2860" s="1" t="s">
        <v>193</v>
      </c>
    </row>
    <row r="2861" spans="1:187" ht="11.25" customHeight="1">
      <c r="A2861" s="1" t="s">
        <v>4097</v>
      </c>
      <c r="B2861" s="1" t="str">
        <f ca="1">IFERROR(__xludf.DUMMYFUNCTION("GOOGLETRANSLATE(A2861, ""en"", ""fr"")"),"DESSERT")</f>
        <v>DESSERT</v>
      </c>
      <c r="C2861" s="1" t="s">
        <v>196</v>
      </c>
      <c r="EZ2861" s="1" t="s">
        <v>152</v>
      </c>
      <c r="FC2861" s="1" t="s">
        <v>155</v>
      </c>
      <c r="GD2861" s="1" t="s">
        <v>193</v>
      </c>
    </row>
    <row r="2862" spans="1:187" ht="11.25" customHeight="1">
      <c r="A2862" s="1" t="s">
        <v>4098</v>
      </c>
      <c r="B2862" s="1" t="str">
        <f ca="1">IFERROR(__xludf.DUMMYFUNCTION("GOOGLETRANSLATE(A2862, ""en"", ""fr"")"),"DESTINATION")</f>
        <v>DESTINATION</v>
      </c>
      <c r="C2862" s="1" t="s">
        <v>185</v>
      </c>
      <c r="BO2862" s="1" t="s">
        <v>63</v>
      </c>
      <c r="GD2862" s="1" t="s">
        <v>193</v>
      </c>
      <c r="GE2862" s="1" t="s">
        <v>190</v>
      </c>
    </row>
    <row r="2863" spans="1:187" ht="11.25" customHeight="1">
      <c r="A2863" s="1" t="s">
        <v>4099</v>
      </c>
      <c r="B2863" s="1" t="str">
        <f ca="1">IFERROR(__xludf.DUMMYFUNCTION("GOOGLETRANSLATE(A2863, ""en"", ""fr"")"),"DESTINER")</f>
        <v>DESTINER</v>
      </c>
      <c r="C2863" s="1" t="s">
        <v>196</v>
      </c>
      <c r="FR2863" s="1" t="s">
        <v>170</v>
      </c>
      <c r="GD2863" s="1" t="s">
        <v>189</v>
      </c>
    </row>
    <row r="2864" spans="1:187" ht="11.25" customHeight="1">
      <c r="A2864" s="1" t="s">
        <v>4100</v>
      </c>
      <c r="B2864" s="1" t="str">
        <f ca="1">IFERROR(__xludf.DUMMYFUNCTION("GOOGLETRANSLATE(A2864, ""en"", ""fr"")"),"DESTIN")</f>
        <v>DESTIN</v>
      </c>
      <c r="C2864" s="1" t="s">
        <v>185</v>
      </c>
      <c r="J2864" s="1" t="s">
        <v>6</v>
      </c>
      <c r="BO2864" s="1" t="s">
        <v>63</v>
      </c>
      <c r="CP2864" s="1" t="s">
        <v>90</v>
      </c>
      <c r="CQ2864" s="1" t="s">
        <v>91</v>
      </c>
      <c r="FR2864" s="1" t="s">
        <v>170</v>
      </c>
      <c r="GD2864" s="1" t="s">
        <v>193</v>
      </c>
      <c r="GE2864" s="1" t="s">
        <v>190</v>
      </c>
    </row>
    <row r="2865" spans="1:187" ht="11.25" customHeight="1">
      <c r="A2865" s="1" t="s">
        <v>4101</v>
      </c>
      <c r="B2865" s="1" t="str">
        <f ca="1">IFERROR(__xludf.DUMMYFUNCTION("GOOGLETRANSLATE(A2865, ""en"", ""fr"")"),"DÉPOURVU")</f>
        <v>DÉPOURVU</v>
      </c>
      <c r="C2865" s="1" t="s">
        <v>192</v>
      </c>
      <c r="E2865" s="1" t="s">
        <v>16613</v>
      </c>
      <c r="L2865" s="1" t="s">
        <v>8</v>
      </c>
      <c r="M2865" s="1" t="s">
        <v>9</v>
      </c>
      <c r="Q2865" s="1" t="s">
        <v>13</v>
      </c>
      <c r="AA2865" s="1" t="s">
        <v>23</v>
      </c>
      <c r="DR2865" s="1" t="s">
        <v>118</v>
      </c>
      <c r="GD2865" s="1" t="s">
        <v>202</v>
      </c>
      <c r="GE2865" s="1" t="s">
        <v>190</v>
      </c>
    </row>
    <row r="2866" spans="1:187" ht="11.25" customHeight="1">
      <c r="A2866" s="1" t="s">
        <v>4102</v>
      </c>
      <c r="B2866" s="1" t="str">
        <f ca="1">IFERROR(__xludf.DUMMYFUNCTION("GOOGLETRANSLATE(A2866, ""en"", ""fr"")"),"DÉTRUIRE")</f>
        <v>DÉTRUIRE</v>
      </c>
      <c r="C2866" s="1" t="s">
        <v>185</v>
      </c>
      <c r="E2866" s="1" t="s">
        <v>16613</v>
      </c>
      <c r="H2866" s="1" t="s">
        <v>4</v>
      </c>
      <c r="I2866" s="1" t="s">
        <v>5</v>
      </c>
      <c r="J2866" s="1" t="s">
        <v>6</v>
      </c>
      <c r="N2866" s="1" t="s">
        <v>10</v>
      </c>
      <c r="CC2866" s="1" t="s">
        <v>77</v>
      </c>
      <c r="DN2866" s="1" t="s">
        <v>114</v>
      </c>
      <c r="EC2866" s="1" t="s">
        <v>129</v>
      </c>
      <c r="ED2866" s="1" t="s">
        <v>130</v>
      </c>
      <c r="GD2866" s="1" t="s">
        <v>189</v>
      </c>
      <c r="GE2866" s="1" t="s">
        <v>4103</v>
      </c>
    </row>
    <row r="2867" spans="1:187" ht="11.25" customHeight="1">
      <c r="A2867" s="1" t="s">
        <v>4104</v>
      </c>
      <c r="B2867" s="1" t="str">
        <f ca="1">IFERROR(__xludf.DUMMYFUNCTION("GOOGLETRANSLATE(A2867, ""en"", ""fr"")"),"DESTRUCTEUR")</f>
        <v>DESTRUCTEUR</v>
      </c>
      <c r="C2867" s="1" t="s">
        <v>185</v>
      </c>
      <c r="AF2867" s="1" t="s">
        <v>28</v>
      </c>
      <c r="BC2867" s="1" t="s">
        <v>51</v>
      </c>
      <c r="BF2867" s="1" t="s">
        <v>54</v>
      </c>
      <c r="DW2867" s="1" t="s">
        <v>123</v>
      </c>
      <c r="ED2867" s="1" t="s">
        <v>130</v>
      </c>
      <c r="GD2867" s="1" t="s">
        <v>193</v>
      </c>
      <c r="GE2867" s="1" t="s">
        <v>190</v>
      </c>
    </row>
    <row r="2868" spans="1:187" ht="11.25" customHeight="1">
      <c r="A2868" s="1" t="s">
        <v>4105</v>
      </c>
      <c r="B2868" s="1" t="str">
        <f ca="1">IFERROR(__xludf.DUMMYFUNCTION("GOOGLETRANSLATE(A2868, ""en"", ""fr"")"),"Détruire")</f>
        <v>Détruire</v>
      </c>
      <c r="C2868" s="1" t="s">
        <v>196</v>
      </c>
      <c r="FO2868" s="1" t="s">
        <v>167</v>
      </c>
      <c r="GD2868" s="1" t="s">
        <v>189</v>
      </c>
    </row>
    <row r="2869" spans="1:187" ht="11.25" customHeight="1">
      <c r="A2869" s="1" t="s">
        <v>4106</v>
      </c>
      <c r="B2869" s="1" t="str">
        <f ca="1">IFERROR(__xludf.DUMMYFUNCTION("GOOGLETRANSLATE(A2869, ""en"", ""fr"")"),"DESTRUCTION")</f>
        <v>DESTRUCTION</v>
      </c>
      <c r="C2869" s="1" t="s">
        <v>185</v>
      </c>
      <c r="E2869" s="1" t="s">
        <v>16613</v>
      </c>
      <c r="H2869" s="1" t="s">
        <v>4</v>
      </c>
      <c r="I2869" s="1" t="s">
        <v>5</v>
      </c>
      <c r="K2869" s="1" t="s">
        <v>7</v>
      </c>
      <c r="N2869" s="1" t="s">
        <v>10</v>
      </c>
      <c r="V2869" s="1" t="s">
        <v>18</v>
      </c>
      <c r="BT2869" s="1" t="s">
        <v>68</v>
      </c>
      <c r="FO2869" s="1" t="s">
        <v>167</v>
      </c>
      <c r="GD2869" s="1" t="s">
        <v>193</v>
      </c>
      <c r="GE2869" s="1" t="s">
        <v>4107</v>
      </c>
    </row>
    <row r="2870" spans="1:187" ht="11.25" customHeight="1">
      <c r="A2870" s="1" t="s">
        <v>4108</v>
      </c>
      <c r="B2870" s="1" t="str">
        <f ca="1">IFERROR(__xludf.DUMMYFUNCTION("GOOGLETRANSLATE(A2870, ""en"", ""fr"")"),"DESTRUCTEUR")</f>
        <v>DESTRUCTEUR</v>
      </c>
      <c r="C2870" s="1" t="s">
        <v>185</v>
      </c>
      <c r="E2870" s="1" t="s">
        <v>16613</v>
      </c>
      <c r="H2870" s="1" t="s">
        <v>4</v>
      </c>
      <c r="I2870" s="1" t="s">
        <v>5</v>
      </c>
      <c r="J2870" s="1" t="s">
        <v>6</v>
      </c>
      <c r="N2870" s="1" t="s">
        <v>10</v>
      </c>
      <c r="V2870" s="1" t="s">
        <v>18</v>
      </c>
      <c r="DW2870" s="1" t="s">
        <v>123</v>
      </c>
      <c r="ED2870" s="1" t="s">
        <v>130</v>
      </c>
      <c r="GD2870" s="1" t="s">
        <v>202</v>
      </c>
      <c r="GE2870" s="1" t="s">
        <v>190</v>
      </c>
    </row>
    <row r="2871" spans="1:187" ht="11.25" customHeight="1">
      <c r="A2871" s="1" t="s">
        <v>4109</v>
      </c>
      <c r="B2871" s="1" t="str">
        <f ca="1">IFERROR(__xludf.DUMMYFUNCTION("GOOGLETRANSLATE(A2871, ""en"", ""fr"")"),"DÉTACHER")</f>
        <v>DÉTACHER</v>
      </c>
      <c r="C2871" s="1" t="s">
        <v>196</v>
      </c>
      <c r="GD2871" s="1" t="s">
        <v>189</v>
      </c>
    </row>
    <row r="2872" spans="1:187" ht="11.25" customHeight="1">
      <c r="A2872" s="1" t="s">
        <v>4110</v>
      </c>
      <c r="B2872" s="1" t="str">
        <f ca="1">IFERROR(__xludf.DUMMYFUNCTION("GOOGLETRANSLATE(A2872, ""en"", ""fr"")"),"DÉTACHEMENT")</f>
        <v>DÉTACHEMENT</v>
      </c>
      <c r="C2872" s="1" t="s">
        <v>192</v>
      </c>
      <c r="E2872" s="1" t="s">
        <v>16613</v>
      </c>
      <c r="V2872" s="1" t="s">
        <v>18</v>
      </c>
      <c r="W2872" s="1" t="s">
        <v>19</v>
      </c>
      <c r="GD2872" s="1" t="s">
        <v>193</v>
      </c>
      <c r="GE2872" s="1" t="s">
        <v>190</v>
      </c>
    </row>
    <row r="2873" spans="1:187" ht="11.25" customHeight="1">
      <c r="A2873" s="1" t="s">
        <v>4111</v>
      </c>
      <c r="B2873" s="1" t="str">
        <f ca="1">IFERROR(__xludf.DUMMYFUNCTION("GOOGLETRANSLATE(A2873, ""en"", ""fr"")"),"DÉTAIL")</f>
        <v>DÉTAIL</v>
      </c>
      <c r="C2873" s="1" t="s">
        <v>185</v>
      </c>
      <c r="CH2873" s="1" t="s">
        <v>82</v>
      </c>
      <c r="FH2873" s="1" t="s">
        <v>160</v>
      </c>
      <c r="FI2873" s="1" t="s">
        <v>161</v>
      </c>
      <c r="GD2873" s="1" t="s">
        <v>193</v>
      </c>
      <c r="GE2873" s="1" t="s">
        <v>190</v>
      </c>
    </row>
    <row r="2874" spans="1:187" ht="11.25" customHeight="1">
      <c r="A2874" s="1" t="s">
        <v>4112</v>
      </c>
      <c r="B2874" s="1" t="str">
        <f ca="1">IFERROR(__xludf.DUMMYFUNCTION("GOOGLETRANSLATE(A2874, ""en"", ""fr"")"),"DÉTENIR")</f>
        <v>DÉTENIR</v>
      </c>
      <c r="C2874" s="1" t="s">
        <v>192</v>
      </c>
      <c r="E2874" s="1" t="s">
        <v>16613</v>
      </c>
      <c r="K2874" s="1" t="s">
        <v>7</v>
      </c>
      <c r="N2874" s="1" t="s">
        <v>10</v>
      </c>
      <c r="CA2874" s="1" t="s">
        <v>75</v>
      </c>
      <c r="DN2874" s="1" t="s">
        <v>114</v>
      </c>
      <c r="GD2874" s="1" t="s">
        <v>189</v>
      </c>
      <c r="GE2874" s="1" t="s">
        <v>190</v>
      </c>
    </row>
    <row r="2875" spans="1:187" ht="11.25" customHeight="1">
      <c r="A2875" s="1" t="s">
        <v>4113</v>
      </c>
      <c r="B2875" s="1" t="str">
        <f ca="1">IFERROR(__xludf.DUMMYFUNCTION("GOOGLETRANSLATE(A2875, ""en"", ""fr"")"),"Détecter n ° 1")</f>
        <v>Détecter n ° 1</v>
      </c>
      <c r="C2875" s="1" t="s">
        <v>185</v>
      </c>
      <c r="N2875" s="1" t="s">
        <v>10</v>
      </c>
      <c r="CK2875" s="1" t="s">
        <v>85</v>
      </c>
      <c r="FD2875" s="1" t="s">
        <v>156</v>
      </c>
      <c r="FI2875" s="1" t="s">
        <v>161</v>
      </c>
      <c r="GD2875" s="1" t="s">
        <v>202</v>
      </c>
      <c r="GE2875" s="1" t="s">
        <v>190</v>
      </c>
    </row>
    <row r="2876" spans="1:187" ht="11.25" customHeight="1">
      <c r="A2876" s="1" t="s">
        <v>4114</v>
      </c>
      <c r="B2876" s="1" t="str">
        <f ca="1">IFERROR(__xludf.DUMMYFUNCTION("GOOGLETRANSLATE(A2876, ""en"", ""fr"")"),"Détecter n ° 2")</f>
        <v>Détecter n ° 2</v>
      </c>
      <c r="C2876" s="1" t="s">
        <v>185</v>
      </c>
      <c r="N2876" s="1" t="s">
        <v>10</v>
      </c>
      <c r="CK2876" s="1" t="s">
        <v>85</v>
      </c>
      <c r="DN2876" s="1" t="s">
        <v>114</v>
      </c>
      <c r="FD2876" s="1" t="s">
        <v>156</v>
      </c>
      <c r="FI2876" s="1" t="s">
        <v>161</v>
      </c>
      <c r="GD2876" s="1" t="s">
        <v>189</v>
      </c>
      <c r="GE2876" s="1" t="s">
        <v>190</v>
      </c>
    </row>
    <row r="2877" spans="1:187" ht="11.25" customHeight="1">
      <c r="A2877" s="1" t="s">
        <v>4115</v>
      </c>
      <c r="B2877" s="1" t="str">
        <f ca="1">IFERROR(__xludf.DUMMYFUNCTION("GOOGLETRANSLATE(A2877, ""en"", ""fr"")"),"DÉTECTION")</f>
        <v>DÉTECTION</v>
      </c>
      <c r="C2877" s="1" t="s">
        <v>185</v>
      </c>
      <c r="N2877" s="1" t="s">
        <v>10</v>
      </c>
      <c r="CK2877" s="1" t="s">
        <v>85</v>
      </c>
      <c r="FD2877" s="1" t="s">
        <v>156</v>
      </c>
      <c r="FI2877" s="1" t="s">
        <v>161</v>
      </c>
      <c r="GD2877" s="1" t="s">
        <v>193</v>
      </c>
      <c r="GE2877" s="1" t="s">
        <v>190</v>
      </c>
    </row>
    <row r="2878" spans="1:187" ht="11.25" customHeight="1">
      <c r="A2878" s="1" t="s">
        <v>4116</v>
      </c>
      <c r="B2878" s="1" t="str">
        <f ca="1">IFERROR(__xludf.DUMMYFUNCTION("GOOGLETRANSLATE(A2878, ""en"", ""fr"")"),"DÉTECTIVE")</f>
        <v>DÉTECTIVE</v>
      </c>
      <c r="C2878" s="1" t="s">
        <v>185</v>
      </c>
      <c r="N2878" s="1" t="s">
        <v>10</v>
      </c>
      <c r="AE2878" s="1" t="s">
        <v>27</v>
      </c>
      <c r="AJ2878" s="1" t="s">
        <v>32</v>
      </c>
      <c r="AT2878" s="1" t="s">
        <v>42</v>
      </c>
      <c r="DY2878" s="1" t="s">
        <v>125</v>
      </c>
      <c r="ED2878" s="1" t="s">
        <v>130</v>
      </c>
      <c r="GD2878" s="1" t="s">
        <v>193</v>
      </c>
      <c r="GE2878" s="1" t="s">
        <v>190</v>
      </c>
    </row>
    <row r="2879" spans="1:187" ht="11.25" customHeight="1">
      <c r="A2879" s="1" t="s">
        <v>4117</v>
      </c>
      <c r="B2879" s="1" t="str">
        <f ca="1">IFERROR(__xludf.DUMMYFUNCTION("GOOGLETRANSLATE(A2879, ""en"", ""fr"")"),"DISSUADER")</f>
        <v>DISSUADER</v>
      </c>
      <c r="C2879" s="1" t="s">
        <v>185</v>
      </c>
      <c r="E2879" s="1" t="s">
        <v>16613</v>
      </c>
      <c r="H2879" s="1" t="s">
        <v>4</v>
      </c>
      <c r="J2879" s="1" t="s">
        <v>6</v>
      </c>
      <c r="K2879" s="1" t="s">
        <v>7</v>
      </c>
      <c r="N2879" s="1" t="s">
        <v>10</v>
      </c>
      <c r="AN2879" s="1" t="s">
        <v>36</v>
      </c>
      <c r="DN2879" s="1" t="s">
        <v>114</v>
      </c>
      <c r="DT2879" s="1" t="s">
        <v>120</v>
      </c>
      <c r="ED2879" s="1" t="s">
        <v>130</v>
      </c>
      <c r="GD2879" s="1" t="s">
        <v>189</v>
      </c>
      <c r="GE2879" s="1" t="s">
        <v>190</v>
      </c>
    </row>
    <row r="2880" spans="1:187" ht="11.25" customHeight="1">
      <c r="A2880" s="1" t="s">
        <v>4118</v>
      </c>
      <c r="B2880" s="1" t="str">
        <f ca="1">IFERROR(__xludf.DUMMYFUNCTION("GOOGLETRANSLATE(A2880, ""en"", ""fr"")"),"DÉTERMINATION")</f>
        <v>DÉTERMINATION</v>
      </c>
      <c r="C2880" s="1" t="s">
        <v>185</v>
      </c>
      <c r="J2880" s="1" t="s">
        <v>6</v>
      </c>
      <c r="K2880" s="1" t="s">
        <v>7</v>
      </c>
      <c r="N2880" s="1" t="s">
        <v>10</v>
      </c>
      <c r="S2880" s="1" t="s">
        <v>15</v>
      </c>
      <c r="W2880" s="1" t="s">
        <v>19</v>
      </c>
      <c r="EC2880" s="1" t="s">
        <v>129</v>
      </c>
      <c r="ED2880" s="1" t="s">
        <v>130</v>
      </c>
      <c r="GD2880" s="1" t="s">
        <v>193</v>
      </c>
      <c r="GE2880" s="1" t="s">
        <v>190</v>
      </c>
    </row>
    <row r="2881" spans="1:187" ht="11.25" customHeight="1">
      <c r="A2881" s="1" t="s">
        <v>4119</v>
      </c>
      <c r="B2881" s="1" t="str">
        <f ca="1">IFERROR(__xludf.DUMMYFUNCTION("GOOGLETRANSLATE(A2881, ""en"", ""fr"")"),"Déterminer # 1")</f>
        <v>Déterminer # 1</v>
      </c>
      <c r="C2881" s="1" t="s">
        <v>185</v>
      </c>
      <c r="J2881" s="1" t="s">
        <v>6</v>
      </c>
      <c r="N2881" s="1" t="s">
        <v>10</v>
      </c>
      <c r="W2881" s="1" t="s">
        <v>19</v>
      </c>
      <c r="CO2881" s="1" t="s">
        <v>89</v>
      </c>
      <c r="DN2881" s="1" t="s">
        <v>114</v>
      </c>
      <c r="FP2881" s="1" t="s">
        <v>168</v>
      </c>
      <c r="GD2881" s="1" t="s">
        <v>189</v>
      </c>
      <c r="GE2881" s="1" t="s">
        <v>4120</v>
      </c>
    </row>
    <row r="2882" spans="1:187" ht="11.25" customHeight="1">
      <c r="A2882" s="1" t="s">
        <v>4121</v>
      </c>
      <c r="B2882" s="1" t="str">
        <f ca="1">IFERROR(__xludf.DUMMYFUNCTION("GOOGLETRANSLATE(A2882, ""en"", ""fr"")"),"Déterminer # 2")</f>
        <v>Déterminer # 2</v>
      </c>
      <c r="C2882" s="1" t="s">
        <v>185</v>
      </c>
      <c r="J2882" s="1" t="s">
        <v>6</v>
      </c>
      <c r="K2882" s="1" t="s">
        <v>7</v>
      </c>
      <c r="N2882" s="1" t="s">
        <v>10</v>
      </c>
      <c r="P2882" s="1" t="s">
        <v>12</v>
      </c>
      <c r="T2882" s="1" t="s">
        <v>16</v>
      </c>
      <c r="FY2882" s="1" t="s">
        <v>177</v>
      </c>
      <c r="GD2882" s="1" t="s">
        <v>202</v>
      </c>
      <c r="GE2882" s="1" t="s">
        <v>4122</v>
      </c>
    </row>
    <row r="2883" spans="1:187" ht="11.25" customHeight="1">
      <c r="A2883" s="1" t="s">
        <v>4123</v>
      </c>
      <c r="B2883" s="1" t="str">
        <f ca="1">IFERROR(__xludf.DUMMYFUNCTION("GOOGLETRANSLATE(A2883, ""en"", ""fr"")"),"Déterminer # 3")</f>
        <v>Déterminer # 3</v>
      </c>
      <c r="C2883" s="1" t="s">
        <v>185</v>
      </c>
      <c r="J2883" s="1" t="s">
        <v>6</v>
      </c>
      <c r="K2883" s="1" t="s">
        <v>7</v>
      </c>
      <c r="N2883" s="1" t="s">
        <v>10</v>
      </c>
      <c r="P2883" s="1" t="s">
        <v>12</v>
      </c>
      <c r="FY2883" s="1" t="s">
        <v>177</v>
      </c>
      <c r="GD2883" s="1" t="s">
        <v>202</v>
      </c>
      <c r="GE2883" s="1" t="s">
        <v>4124</v>
      </c>
    </row>
    <row r="2884" spans="1:187" ht="11.25" customHeight="1">
      <c r="A2884" s="1" t="s">
        <v>4125</v>
      </c>
      <c r="B2884" s="1" t="str">
        <f ca="1">IFERROR(__xludf.DUMMYFUNCTION("GOOGLETRANSLATE(A2884, ""en"", ""fr"")"),"Déterministe")</f>
        <v>Déterministe</v>
      </c>
      <c r="C2884" s="1" t="s">
        <v>185</v>
      </c>
      <c r="CI2884" s="1" t="s">
        <v>83</v>
      </c>
      <c r="GD2884" s="1" t="s">
        <v>202</v>
      </c>
      <c r="GE2884" s="1" t="s">
        <v>190</v>
      </c>
    </row>
    <row r="2885" spans="1:187" ht="11.25" customHeight="1">
      <c r="A2885" s="1" t="s">
        <v>4126</v>
      </c>
      <c r="B2885" s="1" t="str">
        <f ca="1">IFERROR(__xludf.DUMMYFUNCTION("GOOGLETRANSLATE(A2885, ""en"", ""fr"")"),"Dissuadé")</f>
        <v>Dissuadé</v>
      </c>
      <c r="C2885" s="1" t="s">
        <v>196</v>
      </c>
      <c r="DW2885" s="1" t="s">
        <v>123</v>
      </c>
      <c r="ED2885" s="1" t="s">
        <v>130</v>
      </c>
      <c r="GD2885" s="1" t="s">
        <v>189</v>
      </c>
    </row>
    <row r="2886" spans="1:187" ht="11.25" customHeight="1">
      <c r="A2886" s="1" t="s">
        <v>4127</v>
      </c>
      <c r="B2886" s="1" t="str">
        <f ca="1">IFERROR(__xludf.DUMMYFUNCTION("GOOGLETRANSLATE(A2886, ""en"", ""fr"")"),"DISSUASIF")</f>
        <v>DISSUASIF</v>
      </c>
      <c r="C2886" s="1" t="s">
        <v>185</v>
      </c>
      <c r="E2886" s="1" t="s">
        <v>16613</v>
      </c>
      <c r="H2886" s="1" t="s">
        <v>4</v>
      </c>
      <c r="I2886" s="1" t="s">
        <v>5</v>
      </c>
      <c r="J2886" s="1" t="s">
        <v>6</v>
      </c>
      <c r="BQ2886" s="1" t="s">
        <v>65</v>
      </c>
      <c r="DW2886" s="1" t="s">
        <v>123</v>
      </c>
      <c r="ED2886" s="1" t="s">
        <v>130</v>
      </c>
      <c r="GD2886" s="1" t="s">
        <v>193</v>
      </c>
      <c r="GE2886" s="1" t="s">
        <v>190</v>
      </c>
    </row>
    <row r="2887" spans="1:187" ht="11.25" customHeight="1">
      <c r="A2887" s="1" t="s">
        <v>4128</v>
      </c>
      <c r="B2887" s="1" t="str">
        <f ca="1">IFERROR(__xludf.DUMMYFUNCTION("GOOGLETRANSLATE(A2887, ""en"", ""fr"")"),"DÉTESTER")</f>
        <v>DÉTESTER</v>
      </c>
      <c r="C2887" s="1" t="s">
        <v>185</v>
      </c>
      <c r="E2887" s="1" t="s">
        <v>16613</v>
      </c>
      <c r="I2887" s="1" t="s">
        <v>5</v>
      </c>
      <c r="N2887" s="1" t="s">
        <v>10</v>
      </c>
      <c r="T2887" s="1" t="s">
        <v>16</v>
      </c>
      <c r="DP2887" s="1" t="s">
        <v>116</v>
      </c>
      <c r="FW2887" s="1" t="s">
        <v>175</v>
      </c>
      <c r="GD2887" s="1" t="s">
        <v>189</v>
      </c>
      <c r="GE2887" s="1" t="s">
        <v>190</v>
      </c>
    </row>
    <row r="2888" spans="1:187" ht="11.25" customHeight="1">
      <c r="A2888" s="1" t="s">
        <v>4129</v>
      </c>
      <c r="B2888" s="1" t="str">
        <f ca="1">IFERROR(__xludf.DUMMYFUNCTION("GOOGLETRANSLATE(A2888, ""en"", ""fr"")"),"DÉTESTABLE")</f>
        <v>DÉTESTABLE</v>
      </c>
      <c r="C2888" s="1" t="s">
        <v>192</v>
      </c>
      <c r="E2888" s="1" t="s">
        <v>16613</v>
      </c>
      <c r="V2888" s="1" t="s">
        <v>18</v>
      </c>
      <c r="CM2888" s="1" t="s">
        <v>87</v>
      </c>
      <c r="DR2888" s="1" t="s">
        <v>118</v>
      </c>
      <c r="GD2888" s="1" t="s">
        <v>202</v>
      </c>
      <c r="GE2888" s="1" t="s">
        <v>190</v>
      </c>
    </row>
    <row r="2889" spans="1:187" ht="11.25" customHeight="1">
      <c r="A2889" s="1" t="s">
        <v>4130</v>
      </c>
      <c r="B2889" s="1" t="str">
        <f ca="1">IFERROR(__xludf.DUMMYFUNCTION("GOOGLETRANSLATE(A2889, ""en"", ""fr"")"),"DIMINUER")</f>
        <v>DIMINUER</v>
      </c>
      <c r="C2889" s="1" t="s">
        <v>192</v>
      </c>
      <c r="E2889" s="1" t="s">
        <v>16613</v>
      </c>
      <c r="N2889" s="1" t="s">
        <v>10</v>
      </c>
      <c r="BY2889" s="1" t="s">
        <v>73</v>
      </c>
      <c r="DN2889" s="1" t="s">
        <v>114</v>
      </c>
      <c r="GD2889" s="1" t="s">
        <v>189</v>
      </c>
      <c r="GE2889" s="1" t="s">
        <v>190</v>
      </c>
    </row>
    <row r="2890" spans="1:187" ht="11.25" customHeight="1">
      <c r="A2890" s="1" t="s">
        <v>4131</v>
      </c>
      <c r="B2890" s="1" t="str">
        <f ca="1">IFERROR(__xludf.DUMMYFUNCTION("GOOGLETRANSLATE(A2890, ""en"", ""fr"")"),"PRÉJUDICIABLE")</f>
        <v>PRÉJUDICIABLE</v>
      </c>
      <c r="C2890" s="1" t="s">
        <v>185</v>
      </c>
      <c r="E2890" s="1" t="s">
        <v>16613</v>
      </c>
      <c r="H2890" s="1" t="s">
        <v>4</v>
      </c>
      <c r="J2890" s="1" t="s">
        <v>6</v>
      </c>
      <c r="V2890" s="1" t="s">
        <v>18</v>
      </c>
      <c r="CI2890" s="1" t="s">
        <v>83</v>
      </c>
      <c r="DR2890" s="1" t="s">
        <v>118</v>
      </c>
      <c r="FW2890" s="1" t="s">
        <v>175</v>
      </c>
      <c r="GD2890" s="1" t="s">
        <v>202</v>
      </c>
      <c r="GE2890" s="1" t="s">
        <v>190</v>
      </c>
    </row>
    <row r="2891" spans="1:187" ht="11.25" customHeight="1">
      <c r="A2891" s="1" t="s">
        <v>4132</v>
      </c>
      <c r="B2891" s="1" t="str">
        <f ca="1">IFERROR(__xludf.DUMMYFUNCTION("GOOGLETRANSLATE(A2891, ""en"", ""fr"")"),"DÉVASTER")</f>
        <v>DÉVASTER</v>
      </c>
      <c r="C2891" s="1" t="s">
        <v>185</v>
      </c>
      <c r="E2891" s="1" t="s">
        <v>16613</v>
      </c>
      <c r="H2891" s="1" t="s">
        <v>4</v>
      </c>
      <c r="I2891" s="1" t="s">
        <v>5</v>
      </c>
      <c r="J2891" s="1" t="s">
        <v>6</v>
      </c>
      <c r="N2891" s="1" t="s">
        <v>10</v>
      </c>
      <c r="CC2891" s="1" t="s">
        <v>77</v>
      </c>
      <c r="DN2891" s="1" t="s">
        <v>114</v>
      </c>
      <c r="FO2891" s="1" t="s">
        <v>167</v>
      </c>
      <c r="GD2891" s="1" t="s">
        <v>189</v>
      </c>
      <c r="GE2891" s="1" t="s">
        <v>190</v>
      </c>
    </row>
    <row r="2892" spans="1:187" ht="11.25" customHeight="1">
      <c r="A2892" s="1" t="s">
        <v>4133</v>
      </c>
      <c r="B2892" s="1" t="str">
        <f ca="1">IFERROR(__xludf.DUMMYFUNCTION("GOOGLETRANSLATE(A2892, ""en"", ""fr"")"),"DÉVASTATION")</f>
        <v>DÉVASTATION</v>
      </c>
      <c r="C2892" s="1" t="s">
        <v>192</v>
      </c>
      <c r="E2892" s="1" t="s">
        <v>16613</v>
      </c>
      <c r="I2892" s="1" t="s">
        <v>5</v>
      </c>
      <c r="V2892" s="1" t="s">
        <v>18</v>
      </c>
      <c r="GD2892" s="1" t="s">
        <v>193</v>
      </c>
      <c r="GE2892" s="1" t="s">
        <v>190</v>
      </c>
    </row>
    <row r="2893" spans="1:187" ht="11.25" customHeight="1">
      <c r="A2893" s="1" t="s">
        <v>4134</v>
      </c>
      <c r="B2893" s="1" t="str">
        <f ca="1">IFERROR(__xludf.DUMMYFUNCTION("GOOGLETRANSLATE(A2893, ""en"", ""fr"")"),"DÉVELOPPER")</f>
        <v>DÉVELOPPER</v>
      </c>
      <c r="C2893" s="1" t="s">
        <v>185</v>
      </c>
      <c r="J2893" s="1" t="s">
        <v>6</v>
      </c>
      <c r="N2893" s="1" t="s">
        <v>10</v>
      </c>
      <c r="BX2893" s="1" t="s">
        <v>72</v>
      </c>
      <c r="DN2893" s="1" t="s">
        <v>114</v>
      </c>
      <c r="FR2893" s="1" t="s">
        <v>170</v>
      </c>
      <c r="GD2893" s="1" t="s">
        <v>400</v>
      </c>
      <c r="GE2893" s="1" t="s">
        <v>4135</v>
      </c>
    </row>
    <row r="2894" spans="1:187" ht="11.25" customHeight="1">
      <c r="A2894" s="1" t="s">
        <v>4136</v>
      </c>
      <c r="B2894" s="1" t="str">
        <f ca="1">IFERROR(__xludf.DUMMYFUNCTION("GOOGLETRANSLATE(A2894, ""en"", ""fr"")"),"DÉVELOPPEMENT")</f>
        <v>DÉVELOPPEMENT</v>
      </c>
      <c r="C2894" s="1" t="s">
        <v>185</v>
      </c>
      <c r="J2894" s="1" t="s">
        <v>6</v>
      </c>
      <c r="N2894" s="1" t="s">
        <v>10</v>
      </c>
      <c r="BX2894" s="1" t="s">
        <v>72</v>
      </c>
      <c r="FR2894" s="1" t="s">
        <v>170</v>
      </c>
      <c r="GD2894" s="1" t="s">
        <v>193</v>
      </c>
      <c r="GE2894" s="1" t="s">
        <v>4137</v>
      </c>
    </row>
    <row r="2895" spans="1:187" ht="11.25" customHeight="1">
      <c r="A2895" s="1" t="s">
        <v>4138</v>
      </c>
      <c r="B2895" s="1" t="str">
        <f ca="1">IFERROR(__xludf.DUMMYFUNCTION("GOOGLETRANSLATE(A2895, ""en"", ""fr"")"),"DÉVIANT")</f>
        <v>DÉVIANT</v>
      </c>
      <c r="C2895" s="1" t="s">
        <v>196</v>
      </c>
      <c r="EM2895" s="1" t="s">
        <v>139</v>
      </c>
      <c r="EN2895" s="1" t="s">
        <v>140</v>
      </c>
      <c r="GD2895" s="1" t="s">
        <v>193</v>
      </c>
    </row>
    <row r="2896" spans="1:187" ht="11.25" customHeight="1">
      <c r="A2896" s="1" t="s">
        <v>4139</v>
      </c>
      <c r="B2896" s="1" t="str">
        <f ca="1">IFERROR(__xludf.DUMMYFUNCTION("GOOGLETRANSLATE(A2896, ""en"", ""fr"")"),"DÉVIER")</f>
        <v>DÉVIER</v>
      </c>
      <c r="C2896" s="1" t="s">
        <v>192</v>
      </c>
      <c r="E2896" s="1" t="s">
        <v>16613</v>
      </c>
      <c r="N2896" s="1" t="s">
        <v>10</v>
      </c>
      <c r="DN2896" s="1" t="s">
        <v>114</v>
      </c>
      <c r="GD2896" s="1" t="s">
        <v>189</v>
      </c>
      <c r="GE2896" s="1" t="s">
        <v>190</v>
      </c>
    </row>
    <row r="2897" spans="1:187" ht="11.25" customHeight="1">
      <c r="A2897" s="1" t="s">
        <v>4140</v>
      </c>
      <c r="B2897" s="1" t="str">
        <f ca="1">IFERROR(__xludf.DUMMYFUNCTION("GOOGLETRANSLATE(A2897, ""en"", ""fr"")"),"DÉVIATION")</f>
        <v>DÉVIATION</v>
      </c>
      <c r="C2897" s="1" t="s">
        <v>192</v>
      </c>
      <c r="E2897" s="1" t="s">
        <v>16613</v>
      </c>
      <c r="GD2897" s="1" t="s">
        <v>193</v>
      </c>
      <c r="GE2897" s="1" t="s">
        <v>190</v>
      </c>
    </row>
    <row r="2898" spans="1:187" ht="11.25" customHeight="1">
      <c r="A2898" s="1" t="s">
        <v>4141</v>
      </c>
      <c r="B2898" s="1" t="str">
        <f ca="1">IFERROR(__xludf.DUMMYFUNCTION("GOOGLETRANSLATE(A2898, ""en"", ""fr"")"),"APPAREIL")</f>
        <v>APPAREIL</v>
      </c>
      <c r="C2898" s="1" t="s">
        <v>185</v>
      </c>
      <c r="BC2898" s="1" t="s">
        <v>51</v>
      </c>
      <c r="BD2898" s="1" t="s">
        <v>52</v>
      </c>
      <c r="FQ2898" s="1" t="s">
        <v>169</v>
      </c>
      <c r="GD2898" s="1" t="s">
        <v>193</v>
      </c>
      <c r="GE2898" s="1" t="s">
        <v>190</v>
      </c>
    </row>
    <row r="2899" spans="1:187" ht="11.25" customHeight="1">
      <c r="A2899" s="1" t="s">
        <v>4142</v>
      </c>
      <c r="B2899" s="1" t="str">
        <f ca="1">IFERROR(__xludf.DUMMYFUNCTION("GOOGLETRANSLATE(A2899, ""en"", ""fr"")"),"DIABLE")</f>
        <v>DIABLE</v>
      </c>
      <c r="C2899" s="1" t="s">
        <v>185</v>
      </c>
      <c r="E2899" s="1" t="s">
        <v>16613</v>
      </c>
      <c r="H2899" s="1" t="s">
        <v>4</v>
      </c>
      <c r="I2899" s="1" t="s">
        <v>5</v>
      </c>
      <c r="AI2899" s="1" t="s">
        <v>31</v>
      </c>
      <c r="AJ2899" s="1" t="s">
        <v>32</v>
      </c>
      <c r="AT2899" s="1" t="s">
        <v>42</v>
      </c>
      <c r="EF2899" s="1" t="s">
        <v>132</v>
      </c>
      <c r="EJ2899" s="1" t="s">
        <v>136</v>
      </c>
      <c r="GD2899" s="1" t="s">
        <v>193</v>
      </c>
      <c r="GE2899" s="1" t="s">
        <v>4143</v>
      </c>
    </row>
    <row r="2900" spans="1:187" ht="11.25" customHeight="1">
      <c r="A2900" s="1" t="s">
        <v>4144</v>
      </c>
      <c r="B2900" s="1" t="str">
        <f ca="1">IFERROR(__xludf.DUMMYFUNCTION("GOOGLETRANSLATE(A2900, ""en"", ""fr"")"),"DIABOLIQUE")</f>
        <v>DIABOLIQUE</v>
      </c>
      <c r="C2900" s="1" t="s">
        <v>192</v>
      </c>
      <c r="E2900" s="1" t="s">
        <v>16613</v>
      </c>
      <c r="I2900" s="1" t="s">
        <v>5</v>
      </c>
      <c r="DR2900" s="1" t="s">
        <v>118</v>
      </c>
      <c r="GD2900" s="1" t="s">
        <v>202</v>
      </c>
      <c r="GE2900" s="1" t="s">
        <v>190</v>
      </c>
    </row>
    <row r="2901" spans="1:187" ht="11.25" customHeight="1">
      <c r="A2901" s="1" t="s">
        <v>4145</v>
      </c>
      <c r="B2901" s="1" t="str">
        <f ca="1">IFERROR(__xludf.DUMMYFUNCTION("GOOGLETRANSLATE(A2901, ""en"", ""fr"")"),"SOURNOIS")</f>
        <v>SOURNOIS</v>
      </c>
      <c r="C2901" s="1" t="s">
        <v>192</v>
      </c>
      <c r="E2901" s="1" t="s">
        <v>16613</v>
      </c>
      <c r="I2901" s="1" t="s">
        <v>5</v>
      </c>
      <c r="CG2901" s="1" t="s">
        <v>81</v>
      </c>
      <c r="DR2901" s="1" t="s">
        <v>118</v>
      </c>
      <c r="GD2901" s="1" t="s">
        <v>202</v>
      </c>
      <c r="GE2901" s="1" t="s">
        <v>190</v>
      </c>
    </row>
    <row r="2902" spans="1:187" ht="11.25" customHeight="1">
      <c r="A2902" s="1" t="s">
        <v>4146</v>
      </c>
      <c r="B2902" s="1" t="str">
        <f ca="1">IFERROR(__xludf.DUMMYFUNCTION("GOOGLETRANSLATE(A2902, ""en"", ""fr"")"),"CONCEVOIR")</f>
        <v>CONCEVOIR</v>
      </c>
      <c r="C2902" s="1" t="s">
        <v>185</v>
      </c>
      <c r="AL2902" s="1" t="s">
        <v>34</v>
      </c>
      <c r="DN2902" s="1" t="s">
        <v>114</v>
      </c>
      <c r="FO2902" s="1" t="s">
        <v>167</v>
      </c>
      <c r="GD2902" s="1" t="s">
        <v>189</v>
      </c>
      <c r="GE2902" s="1" t="s">
        <v>190</v>
      </c>
    </row>
    <row r="2903" spans="1:187" ht="11.25" customHeight="1">
      <c r="A2903" s="1" t="s">
        <v>4147</v>
      </c>
      <c r="B2903" s="1" t="str">
        <f ca="1">IFERROR(__xludf.DUMMYFUNCTION("GOOGLETRANSLATE(A2903, ""en"", ""fr"")"),"DÉPOURVU")</f>
        <v>DÉPOURVU</v>
      </c>
      <c r="C2903" s="1" t="s">
        <v>185</v>
      </c>
      <c r="E2903" s="1" t="s">
        <v>16613</v>
      </c>
      <c r="H2903" s="1" t="s">
        <v>4</v>
      </c>
      <c r="L2903" s="1" t="s">
        <v>8</v>
      </c>
      <c r="CH2903" s="1" t="s">
        <v>82</v>
      </c>
      <c r="GD2903" s="1" t="s">
        <v>202</v>
      </c>
      <c r="GE2903" s="1" t="s">
        <v>190</v>
      </c>
    </row>
    <row r="2904" spans="1:187" ht="11.25" customHeight="1">
      <c r="A2904" s="1" t="s">
        <v>4148</v>
      </c>
      <c r="B2904" s="1" t="str">
        <f ca="1">IFERROR(__xludf.DUMMYFUNCTION("GOOGLETRANSLATE(A2904, ""en"", ""fr"")"),"DÉLÉGUER")</f>
        <v>DÉLÉGUER</v>
      </c>
      <c r="C2904" s="1" t="s">
        <v>196</v>
      </c>
      <c r="EC2904" s="1" t="s">
        <v>129</v>
      </c>
      <c r="ED2904" s="1" t="s">
        <v>130</v>
      </c>
      <c r="GD2904" s="1" t="s">
        <v>189</v>
      </c>
    </row>
    <row r="2905" spans="1:187" ht="11.25" customHeight="1">
      <c r="A2905" s="1" t="s">
        <v>4149</v>
      </c>
      <c r="B2905" s="1" t="str">
        <f ca="1">IFERROR(__xludf.DUMMYFUNCTION("GOOGLETRANSLATE(A2905, ""en"", ""fr"")"),"Consacrer n ° 1")</f>
        <v>Consacrer n ° 1</v>
      </c>
      <c r="C2905" s="1" t="s">
        <v>185</v>
      </c>
      <c r="D2905" s="1" t="s">
        <v>16612</v>
      </c>
      <c r="F2905" s="1" t="s">
        <v>2</v>
      </c>
      <c r="N2905" s="1" t="s">
        <v>10</v>
      </c>
      <c r="BP2905" s="1" t="s">
        <v>64</v>
      </c>
      <c r="DN2905" s="1" t="s">
        <v>114</v>
      </c>
      <c r="EO2905" s="1" t="s">
        <v>141</v>
      </c>
      <c r="ES2905" s="1" t="s">
        <v>145</v>
      </c>
      <c r="GD2905" s="1" t="s">
        <v>189</v>
      </c>
      <c r="GE2905" s="1" t="s">
        <v>4150</v>
      </c>
    </row>
    <row r="2906" spans="1:187" ht="11.25" customHeight="1">
      <c r="A2906" s="1" t="s">
        <v>4151</v>
      </c>
      <c r="B2906" s="1" t="str">
        <f ca="1">IFERROR(__xludf.DUMMYFUNCTION("GOOGLETRANSLATE(A2906, ""en"", ""fr"")"),"Consacrer # 2")</f>
        <v>Consacrer # 2</v>
      </c>
      <c r="C2906" s="1" t="s">
        <v>185</v>
      </c>
      <c r="D2906" s="1" t="s">
        <v>16612</v>
      </c>
      <c r="F2906" s="1" t="s">
        <v>2</v>
      </c>
      <c r="M2906" s="1" t="s">
        <v>9</v>
      </c>
      <c r="P2906" s="1" t="s">
        <v>12</v>
      </c>
      <c r="T2906" s="1" t="s">
        <v>16</v>
      </c>
      <c r="ER2906" s="1" t="s">
        <v>144</v>
      </c>
      <c r="ES2906" s="1" t="s">
        <v>145</v>
      </c>
      <c r="GD2906" s="1" t="s">
        <v>202</v>
      </c>
      <c r="GE2906" s="1" t="s">
        <v>4152</v>
      </c>
    </row>
    <row r="2907" spans="1:187" ht="11.25" customHeight="1">
      <c r="A2907" s="1" t="s">
        <v>4153</v>
      </c>
      <c r="B2907" s="1" t="str">
        <f ca="1">IFERROR(__xludf.DUMMYFUNCTION("GOOGLETRANSLATE(A2907, ""en"", ""fr"")"),"DÉVOUEMENT")</f>
        <v>DÉVOUEMENT</v>
      </c>
      <c r="C2907" s="1" t="s">
        <v>185</v>
      </c>
      <c r="D2907" s="1" t="s">
        <v>16612</v>
      </c>
      <c r="F2907" s="1" t="s">
        <v>2</v>
      </c>
      <c r="G2907" s="1" t="s">
        <v>3</v>
      </c>
      <c r="M2907" s="1" t="s">
        <v>9</v>
      </c>
      <c r="O2907" s="1" t="s">
        <v>11</v>
      </c>
      <c r="S2907" s="1" t="s">
        <v>15</v>
      </c>
      <c r="T2907" s="1" t="s">
        <v>16</v>
      </c>
      <c r="AI2907" s="1" t="s">
        <v>31</v>
      </c>
      <c r="ER2907" s="1" t="s">
        <v>144</v>
      </c>
      <c r="ES2907" s="1" t="s">
        <v>145</v>
      </c>
      <c r="GD2907" s="1" t="s">
        <v>193</v>
      </c>
      <c r="GE2907" s="1" t="s">
        <v>190</v>
      </c>
    </row>
    <row r="2908" spans="1:187" ht="11.25" customHeight="1">
      <c r="A2908" s="1" t="s">
        <v>4154</v>
      </c>
      <c r="B2908" s="1" t="str">
        <f ca="1">IFERROR(__xludf.DUMMYFUNCTION("GOOGLETRANSLATE(A2908, ""en"", ""fr"")"),"PIEUX")</f>
        <v>PIEUX</v>
      </c>
      <c r="C2908" s="1" t="s">
        <v>192</v>
      </c>
      <c r="D2908" s="1" t="s">
        <v>16612</v>
      </c>
      <c r="G2908" s="1" t="s">
        <v>3</v>
      </c>
      <c r="J2908" s="1" t="s">
        <v>6</v>
      </c>
      <c r="Z2908" s="1" t="s">
        <v>22</v>
      </c>
      <c r="DR2908" s="1" t="s">
        <v>118</v>
      </c>
      <c r="GD2908" s="1" t="s">
        <v>4155</v>
      </c>
      <c r="GE2908" s="1" t="s">
        <v>190</v>
      </c>
    </row>
    <row r="2909" spans="1:187" ht="11.25" customHeight="1">
      <c r="A2909" s="1" t="s">
        <v>4156</v>
      </c>
      <c r="B2909" s="1" t="str">
        <f ca="1">IFERROR(__xludf.DUMMYFUNCTION("GOOGLETRANSLATE(A2909, ""en"", ""fr"")"),"DEXTÉRITÉ")</f>
        <v>DEXTÉRITÉ</v>
      </c>
      <c r="C2909" s="1" t="s">
        <v>192</v>
      </c>
      <c r="D2909" s="1" t="s">
        <v>16612</v>
      </c>
      <c r="J2909" s="1" t="s">
        <v>6</v>
      </c>
      <c r="BW2909" s="1" t="s">
        <v>71</v>
      </c>
      <c r="GD2909" s="1" t="s">
        <v>193</v>
      </c>
      <c r="GE2909" s="1" t="s">
        <v>190</v>
      </c>
    </row>
    <row r="2910" spans="1:187" ht="11.25" customHeight="1">
      <c r="A2910" s="1" t="s">
        <v>4157</v>
      </c>
      <c r="B2910" s="1" t="str">
        <f ca="1">IFERROR(__xludf.DUMMYFUNCTION("GOOGLETRANSLATE(A2910, ""en"", ""fr"")"),"DIABOLIQUE")</f>
        <v>DIABOLIQUE</v>
      </c>
      <c r="C2910" s="1" t="s">
        <v>192</v>
      </c>
      <c r="E2910" s="1" t="s">
        <v>16613</v>
      </c>
      <c r="I2910" s="1" t="s">
        <v>5</v>
      </c>
      <c r="CG2910" s="1" t="s">
        <v>81</v>
      </c>
      <c r="DR2910" s="1" t="s">
        <v>118</v>
      </c>
      <c r="GD2910" s="1" t="s">
        <v>202</v>
      </c>
      <c r="GE2910" s="1" t="s">
        <v>190</v>
      </c>
    </row>
    <row r="2911" spans="1:187" ht="11.25" customHeight="1">
      <c r="A2911" s="1" t="s">
        <v>4158</v>
      </c>
      <c r="B2911" s="1" t="str">
        <f ca="1">IFERROR(__xludf.DUMMYFUNCTION("GOOGLETRANSLATE(A2911, ""en"", ""fr"")"),"DIABOLIQUE")</f>
        <v>DIABOLIQUE</v>
      </c>
      <c r="C2911" s="1" t="s">
        <v>192</v>
      </c>
      <c r="E2911" s="1" t="s">
        <v>16613</v>
      </c>
      <c r="I2911" s="1" t="s">
        <v>5</v>
      </c>
      <c r="CG2911" s="1" t="s">
        <v>81</v>
      </c>
      <c r="DR2911" s="1" t="s">
        <v>118</v>
      </c>
      <c r="GD2911" s="1" t="s">
        <v>202</v>
      </c>
      <c r="GE2911" s="1" t="s">
        <v>190</v>
      </c>
    </row>
    <row r="2912" spans="1:187" ht="11.25" customHeight="1">
      <c r="A2912" s="1" t="s">
        <v>4159</v>
      </c>
      <c r="B2912" s="1" t="str">
        <f ca="1">IFERROR(__xludf.DUMMYFUNCTION("GOOGLETRANSLATE(A2912, ""en"", ""fr"")"),"DIAGNOSTIC")</f>
        <v>DIAGNOSTIC</v>
      </c>
      <c r="C2912" s="1" t="s">
        <v>185</v>
      </c>
      <c r="CH2912" s="1" t="s">
        <v>82</v>
      </c>
      <c r="FD2912" s="1" t="s">
        <v>156</v>
      </c>
      <c r="FI2912" s="1" t="s">
        <v>161</v>
      </c>
      <c r="GD2912" s="1" t="s">
        <v>193</v>
      </c>
      <c r="GE2912" s="1" t="s">
        <v>190</v>
      </c>
    </row>
    <row r="2913" spans="1:187" ht="11.25" customHeight="1">
      <c r="A2913" s="1" t="s">
        <v>4160</v>
      </c>
      <c r="B2913" s="1" t="str">
        <f ca="1">IFERROR(__xludf.DUMMYFUNCTION("GOOGLETRANSLATE(A2913, ""en"", ""fr"")"),"DIALECTE")</f>
        <v>DIALECTE</v>
      </c>
      <c r="C2913" s="1" t="s">
        <v>185</v>
      </c>
      <c r="BK2913" s="1" t="s">
        <v>59</v>
      </c>
      <c r="BL2913" s="1" t="s">
        <v>60</v>
      </c>
      <c r="GC2913" s="1" t="s">
        <v>181</v>
      </c>
      <c r="GD2913" s="1" t="s">
        <v>193</v>
      </c>
      <c r="GE2913" s="1" t="s">
        <v>190</v>
      </c>
    </row>
    <row r="2914" spans="1:187" ht="11.25" customHeight="1">
      <c r="A2914" s="1" t="s">
        <v>4161</v>
      </c>
      <c r="B2914" s="1" t="str">
        <f ca="1">IFERROR(__xludf.DUMMYFUNCTION("GOOGLETRANSLATE(A2914, ""en"", ""fr"")"),"DIALOGUE")</f>
        <v>DIALOGUE</v>
      </c>
      <c r="C2914" s="1" t="s">
        <v>185</v>
      </c>
      <c r="BK2914" s="1" t="s">
        <v>59</v>
      </c>
      <c r="BL2914" s="1" t="s">
        <v>60</v>
      </c>
      <c r="FD2914" s="1" t="s">
        <v>156</v>
      </c>
      <c r="FI2914" s="1" t="s">
        <v>161</v>
      </c>
      <c r="GC2914" s="1" t="s">
        <v>181</v>
      </c>
      <c r="GD2914" s="1" t="s">
        <v>193</v>
      </c>
      <c r="GE2914" s="1" t="s">
        <v>4162</v>
      </c>
    </row>
    <row r="2915" spans="1:187" ht="11.25" customHeight="1">
      <c r="A2915" s="1" t="s">
        <v>4163</v>
      </c>
      <c r="B2915" s="1" t="str">
        <f ca="1">IFERROR(__xludf.DUMMYFUNCTION("GOOGLETRANSLATE(A2915, ""en"", ""fr"")"),"DIAMÈTRE")</f>
        <v>DIAMÈTRE</v>
      </c>
      <c r="C2915" s="1" t="s">
        <v>185</v>
      </c>
      <c r="DA2915" s="1" t="s">
        <v>101</v>
      </c>
      <c r="GB2915" s="1" t="s">
        <v>180</v>
      </c>
      <c r="GD2915" s="1" t="s">
        <v>193</v>
      </c>
      <c r="GE2915" s="1" t="s">
        <v>190</v>
      </c>
    </row>
    <row r="2916" spans="1:187" ht="11.25" customHeight="1">
      <c r="A2916" s="1" t="s">
        <v>4164</v>
      </c>
      <c r="B2916" s="1" t="str">
        <f ca="1">IFERROR(__xludf.DUMMYFUNCTION("GOOGLETRANSLATE(A2916, ""en"", ""fr"")"),"DÉ")</f>
        <v>DÉ</v>
      </c>
      <c r="C2916" s="1" t="s">
        <v>185</v>
      </c>
      <c r="BC2916" s="1" t="s">
        <v>51</v>
      </c>
      <c r="BD2916" s="1" t="s">
        <v>52</v>
      </c>
      <c r="GD2916" s="1" t="s">
        <v>576</v>
      </c>
      <c r="GE2916" s="1" t="s">
        <v>190</v>
      </c>
    </row>
    <row r="2917" spans="1:187" ht="11.25" customHeight="1">
      <c r="A2917" s="1" t="s">
        <v>4165</v>
      </c>
      <c r="B2917" s="1" t="str">
        <f ca="1">IFERROR(__xludf.DUMMYFUNCTION("GOOGLETRANSLATE(A2917, ""en"", ""fr"")"),"DICTER")</f>
        <v>DICTER</v>
      </c>
      <c r="C2917" s="1" t="s">
        <v>185</v>
      </c>
      <c r="E2917" s="1" t="s">
        <v>16613</v>
      </c>
      <c r="G2917" s="1" t="s">
        <v>3</v>
      </c>
      <c r="K2917" s="1" t="s">
        <v>7</v>
      </c>
      <c r="N2917" s="1" t="s">
        <v>10</v>
      </c>
      <c r="AG2917" s="1" t="s">
        <v>29</v>
      </c>
      <c r="DN2917" s="1" t="s">
        <v>114</v>
      </c>
      <c r="GD2917" s="1" t="s">
        <v>189</v>
      </c>
      <c r="GE2917" s="1" t="s">
        <v>190</v>
      </c>
    </row>
    <row r="2918" spans="1:187" ht="11.25" customHeight="1">
      <c r="A2918" s="1" t="s">
        <v>4166</v>
      </c>
      <c r="B2918" s="1" t="str">
        <f ca="1">IFERROR(__xludf.DUMMYFUNCTION("GOOGLETRANSLATE(A2918, ""en"", ""fr"")"),"DICTATEUR")</f>
        <v>DICTATEUR</v>
      </c>
      <c r="C2918" s="1" t="s">
        <v>185</v>
      </c>
      <c r="J2918" s="1" t="s">
        <v>6</v>
      </c>
      <c r="K2918" s="1" t="s">
        <v>7</v>
      </c>
      <c r="AG2918" s="1" t="s">
        <v>29</v>
      </c>
      <c r="AH2918" s="1" t="s">
        <v>30</v>
      </c>
      <c r="AJ2918" s="1" t="s">
        <v>32</v>
      </c>
      <c r="AT2918" s="1" t="s">
        <v>42</v>
      </c>
      <c r="DY2918" s="1" t="s">
        <v>125</v>
      </c>
      <c r="ED2918" s="1" t="s">
        <v>130</v>
      </c>
      <c r="GD2918" s="1" t="s">
        <v>193</v>
      </c>
      <c r="GE2918" s="1" t="s">
        <v>190</v>
      </c>
    </row>
    <row r="2919" spans="1:187" ht="11.25" customHeight="1">
      <c r="A2919" s="1" t="s">
        <v>4167</v>
      </c>
      <c r="B2919" s="1" t="str">
        <f ca="1">IFERROR(__xludf.DUMMYFUNCTION("GOOGLETRANSLATE(A2919, ""en"", ""fr"")"),"DICTATORIAL")</f>
        <v>DICTATORIAL</v>
      </c>
      <c r="C2919" s="1" t="s">
        <v>192</v>
      </c>
      <c r="E2919" s="1" t="s">
        <v>16613</v>
      </c>
      <c r="G2919" s="1" t="s">
        <v>3</v>
      </c>
      <c r="K2919" s="1" t="s">
        <v>7</v>
      </c>
      <c r="N2919" s="1" t="s">
        <v>10</v>
      </c>
      <c r="AG2919" s="1" t="s">
        <v>29</v>
      </c>
      <c r="DQ2919" s="1" t="s">
        <v>117</v>
      </c>
      <c r="GD2919" s="1" t="s">
        <v>202</v>
      </c>
      <c r="GE2919" s="1" t="s">
        <v>190</v>
      </c>
    </row>
    <row r="2920" spans="1:187" ht="11.25" customHeight="1">
      <c r="A2920" s="1" t="s">
        <v>4168</v>
      </c>
      <c r="B2920" s="1" t="str">
        <f ca="1">IFERROR(__xludf.DUMMYFUNCTION("GOOGLETRANSLATE(A2920, ""en"", ""fr"")"),"DICTATURE")</f>
        <v>DICTATURE</v>
      </c>
      <c r="C2920" s="1" t="s">
        <v>185</v>
      </c>
      <c r="J2920" s="1" t="s">
        <v>6</v>
      </c>
      <c r="Z2920" s="1" t="s">
        <v>22</v>
      </c>
      <c r="AG2920" s="1" t="s">
        <v>29</v>
      </c>
      <c r="AH2920" s="1" t="s">
        <v>30</v>
      </c>
      <c r="EC2920" s="1" t="s">
        <v>129</v>
      </c>
      <c r="ED2920" s="1" t="s">
        <v>130</v>
      </c>
      <c r="GD2920" s="1" t="s">
        <v>193</v>
      </c>
      <c r="GE2920" s="1" t="s">
        <v>190</v>
      </c>
    </row>
    <row r="2921" spans="1:187" ht="11.25" customHeight="1">
      <c r="A2921" s="1" t="s">
        <v>4169</v>
      </c>
      <c r="B2921" s="1" t="str">
        <f ca="1">IFERROR(__xludf.DUMMYFUNCTION("GOOGLETRANSLATE(A2921, ""en"", ""fr"")"),"DICTION")</f>
        <v>DICTION</v>
      </c>
      <c r="C2921" s="1" t="s">
        <v>185</v>
      </c>
      <c r="BK2921" s="1" t="s">
        <v>59</v>
      </c>
      <c r="BL2921" s="1" t="s">
        <v>60</v>
      </c>
      <c r="GC2921" s="1" t="s">
        <v>181</v>
      </c>
      <c r="GD2921" s="1" t="s">
        <v>193</v>
      </c>
      <c r="GE2921" s="1" t="s">
        <v>190</v>
      </c>
    </row>
    <row r="2922" spans="1:187" ht="11.25" customHeight="1">
      <c r="A2922" s="1" t="s">
        <v>4170</v>
      </c>
      <c r="B2922" s="1" t="str">
        <f ca="1">IFERROR(__xludf.DUMMYFUNCTION("GOOGLETRANSLATE(A2922, ""en"", ""fr"")"),"DICTIONNAIRE")</f>
        <v>DICTIONNAIRE</v>
      </c>
      <c r="C2922" s="1" t="s">
        <v>185</v>
      </c>
      <c r="BC2922" s="1" t="s">
        <v>51</v>
      </c>
      <c r="BH2922" s="1" t="s">
        <v>56</v>
      </c>
      <c r="BL2922" s="1" t="s">
        <v>60</v>
      </c>
      <c r="FH2922" s="1" t="s">
        <v>160</v>
      </c>
      <c r="FI2922" s="1" t="s">
        <v>161</v>
      </c>
      <c r="GD2922" s="1" t="s">
        <v>193</v>
      </c>
      <c r="GE2922" s="1" t="s">
        <v>190</v>
      </c>
    </row>
    <row r="2923" spans="1:187" ht="11.25" customHeight="1">
      <c r="A2923" s="1" t="s">
        <v>4171</v>
      </c>
      <c r="B2923" s="1" t="str">
        <f ca="1">IFERROR(__xludf.DUMMYFUNCTION("GOOGLETRANSLATE(A2923, ""en"", ""fr"")"),"Fait n ° 1")</f>
        <v>Fait n ° 1</v>
      </c>
      <c r="C2923" s="1" t="s">
        <v>185</v>
      </c>
      <c r="DN2923" s="1" t="s">
        <v>114</v>
      </c>
      <c r="GD2923" s="1" t="s">
        <v>4172</v>
      </c>
      <c r="GE2923" s="1" t="s">
        <v>190</v>
      </c>
    </row>
    <row r="2924" spans="1:187" ht="11.25" customHeight="1">
      <c r="A2924" s="1" t="s">
        <v>4173</v>
      </c>
      <c r="B2924" s="1" t="str">
        <f ca="1">IFERROR(__xludf.DUMMYFUNCTION("GOOGLETRANSLATE(A2924, ""en"", ""fr"")"),"MOURIR")</f>
        <v>MOURIR</v>
      </c>
      <c r="C2924" s="1" t="s">
        <v>185</v>
      </c>
      <c r="BU2924" s="1" t="s">
        <v>69</v>
      </c>
      <c r="DO2924" s="1" t="s">
        <v>115</v>
      </c>
      <c r="EY2924" s="1" t="s">
        <v>151</v>
      </c>
      <c r="FC2924" s="1" t="s">
        <v>155</v>
      </c>
      <c r="GD2924" s="1" t="s">
        <v>189</v>
      </c>
      <c r="GE2924" s="1" t="s">
        <v>4174</v>
      </c>
    </row>
    <row r="2925" spans="1:187" ht="11.25" customHeight="1">
      <c r="A2925" s="1" t="s">
        <v>4175</v>
      </c>
      <c r="B2925" s="1" t="str">
        <f ca="1">IFERROR(__xludf.DUMMYFUNCTION("GOOGLETRANSLATE(A2925, ""en"", ""fr"")"),"Régime n ° 1")</f>
        <v>Régime n ° 1</v>
      </c>
      <c r="C2925" s="1" t="s">
        <v>185</v>
      </c>
      <c r="AM2925" s="1" t="s">
        <v>35</v>
      </c>
      <c r="EZ2925" s="1" t="s">
        <v>152</v>
      </c>
      <c r="FC2925" s="1" t="s">
        <v>155</v>
      </c>
      <c r="GD2925" s="1" t="s">
        <v>193</v>
      </c>
      <c r="GE2925" s="1" t="s">
        <v>190</v>
      </c>
    </row>
    <row r="2926" spans="1:187" ht="11.25" customHeight="1">
      <c r="A2926" s="1" t="s">
        <v>4176</v>
      </c>
      <c r="B2926" s="1" t="str">
        <f ca="1">IFERROR(__xludf.DUMMYFUNCTION("GOOGLETRANSLATE(A2926, ""en"", ""fr"")"),"Régime # 2")</f>
        <v>Régime # 2</v>
      </c>
      <c r="C2926" s="1" t="s">
        <v>185</v>
      </c>
      <c r="BU2926" s="1" t="s">
        <v>69</v>
      </c>
      <c r="DN2926" s="1" t="s">
        <v>114</v>
      </c>
      <c r="EZ2926" s="1" t="s">
        <v>152</v>
      </c>
      <c r="FC2926" s="1" t="s">
        <v>155</v>
      </c>
      <c r="GD2926" s="1" t="s">
        <v>189</v>
      </c>
      <c r="GE2926" s="1" t="s">
        <v>190</v>
      </c>
    </row>
    <row r="2927" spans="1:187" ht="11.25" customHeight="1">
      <c r="A2927" s="1" t="s">
        <v>4177</v>
      </c>
      <c r="B2927" s="1" t="str">
        <f ca="1">IFERROR(__xludf.DUMMYFUNCTION("GOOGLETRANSLATE(A2927, ""en"", ""fr"")"),"DIFFÉRER")</f>
        <v>DIFFÉRER</v>
      </c>
      <c r="C2927" s="1" t="s">
        <v>185</v>
      </c>
      <c r="E2927" s="1" t="s">
        <v>16613</v>
      </c>
      <c r="H2927" s="1" t="s">
        <v>4</v>
      </c>
      <c r="N2927" s="1" t="s">
        <v>10</v>
      </c>
      <c r="DD2927" s="1" t="s">
        <v>104</v>
      </c>
      <c r="DN2927" s="1" t="s">
        <v>114</v>
      </c>
      <c r="DW2927" s="1" t="s">
        <v>123</v>
      </c>
      <c r="ED2927" s="1" t="s">
        <v>130</v>
      </c>
      <c r="GD2927" s="1" t="s">
        <v>189</v>
      </c>
      <c r="GE2927" s="1" t="s">
        <v>190</v>
      </c>
    </row>
    <row r="2928" spans="1:187" ht="11.25" customHeight="1">
      <c r="A2928" s="1" t="s">
        <v>4178</v>
      </c>
      <c r="B2928" s="1" t="str">
        <f ca="1">IFERROR(__xludf.DUMMYFUNCTION("GOOGLETRANSLATE(A2928, ""en"", ""fr"")"),"DIFFÉRENCE")</f>
        <v>DIFFÉRENCE</v>
      </c>
      <c r="C2928" s="1" t="s">
        <v>185</v>
      </c>
      <c r="CH2928" s="1" t="s">
        <v>82</v>
      </c>
      <c r="CP2928" s="1" t="s">
        <v>90</v>
      </c>
      <c r="CQ2928" s="1" t="s">
        <v>91</v>
      </c>
      <c r="GD2928" s="1" t="s">
        <v>193</v>
      </c>
      <c r="GE2928" s="1" t="s">
        <v>4179</v>
      </c>
    </row>
    <row r="2929" spans="1:187" ht="11.25" customHeight="1">
      <c r="A2929" s="1" t="s">
        <v>4180</v>
      </c>
      <c r="B2929" s="1" t="str">
        <f ca="1">IFERROR(__xludf.DUMMYFUNCTION("GOOGLETRANSLATE(A2929, ""en"", ""fr"")"),"Différent # 1")</f>
        <v>Différent # 1</v>
      </c>
      <c r="C2929" s="1" t="s">
        <v>185</v>
      </c>
      <c r="CH2929" s="1" t="s">
        <v>82</v>
      </c>
      <c r="DW2929" s="1" t="s">
        <v>123</v>
      </c>
      <c r="ED2929" s="1" t="s">
        <v>130</v>
      </c>
      <c r="GD2929" s="1" t="s">
        <v>4181</v>
      </c>
      <c r="GE2929" s="1" t="s">
        <v>4182</v>
      </c>
    </row>
    <row r="2930" spans="1:187" ht="11.25" customHeight="1">
      <c r="A2930" s="1" t="s">
        <v>4183</v>
      </c>
      <c r="B2930" s="1" t="str">
        <f ca="1">IFERROR(__xludf.DUMMYFUNCTION("GOOGLETRANSLATE(A2930, ""en"", ""fr"")"),"Différent # 2")</f>
        <v>Différent # 2</v>
      </c>
      <c r="C2930" s="1" t="s">
        <v>185</v>
      </c>
      <c r="CH2930" s="1" t="s">
        <v>82</v>
      </c>
      <c r="GD2930" s="1" t="s">
        <v>202</v>
      </c>
      <c r="GE2930" s="1" t="s">
        <v>4184</v>
      </c>
    </row>
    <row r="2931" spans="1:187" ht="11.25" customHeight="1">
      <c r="A2931" s="1" t="s">
        <v>4185</v>
      </c>
      <c r="B2931" s="1" t="str">
        <f ca="1">IFERROR(__xludf.DUMMYFUNCTION("GOOGLETRANSLATE(A2931, ""en"", ""fr"")"),"DIFFÉRENTIEL")</f>
        <v>DIFFÉRENTIEL</v>
      </c>
      <c r="C2931" s="1" t="s">
        <v>185</v>
      </c>
      <c r="CH2931" s="1" t="s">
        <v>82</v>
      </c>
      <c r="GD2931" s="1" t="s">
        <v>202</v>
      </c>
      <c r="GE2931" s="1" t="s">
        <v>190</v>
      </c>
    </row>
    <row r="2932" spans="1:187" ht="11.25" customHeight="1">
      <c r="A2932" s="1" t="s">
        <v>4186</v>
      </c>
      <c r="B2932" s="1" t="str">
        <f ca="1">IFERROR(__xludf.DUMMYFUNCTION("GOOGLETRANSLATE(A2932, ""en"", ""fr"")"),"DIFFÉRENCIER")</f>
        <v>DIFFÉRENCIER</v>
      </c>
      <c r="C2932" s="1" t="s">
        <v>196</v>
      </c>
      <c r="FH2932" s="1" t="s">
        <v>160</v>
      </c>
      <c r="FI2932" s="1" t="s">
        <v>161</v>
      </c>
      <c r="GD2932" s="1" t="s">
        <v>189</v>
      </c>
    </row>
    <row r="2933" spans="1:187" ht="11.25" customHeight="1">
      <c r="A2933" s="1" t="s">
        <v>4187</v>
      </c>
      <c r="B2933" s="1" t="str">
        <f ca="1">IFERROR(__xludf.DUMMYFUNCTION("GOOGLETRANSLATE(A2933, ""en"", ""fr"")"),"DIFFICILE")</f>
        <v>DIFFICILE</v>
      </c>
      <c r="C2933" s="1" t="s">
        <v>185</v>
      </c>
      <c r="E2933" s="1" t="s">
        <v>16613</v>
      </c>
      <c r="H2933" s="1" t="s">
        <v>4</v>
      </c>
      <c r="V2933" s="1" t="s">
        <v>18</v>
      </c>
      <c r="CN2933" s="1" t="s">
        <v>88</v>
      </c>
      <c r="FL2933" s="1" t="s">
        <v>164</v>
      </c>
      <c r="FM2933" s="1" t="s">
        <v>418</v>
      </c>
      <c r="GD2933" s="1" t="s">
        <v>202</v>
      </c>
      <c r="GE2933" s="1" t="s">
        <v>4188</v>
      </c>
    </row>
    <row r="2934" spans="1:187" ht="11.25" customHeight="1">
      <c r="A2934" s="1" t="s">
        <v>4189</v>
      </c>
      <c r="B2934" s="1" t="str">
        <f ca="1">IFERROR(__xludf.DUMMYFUNCTION("GOOGLETRANSLATE(A2934, ""en"", ""fr"")"),"DIFFICULTÉ")</f>
        <v>DIFFICULTÉ</v>
      </c>
      <c r="C2934" s="1" t="s">
        <v>185</v>
      </c>
      <c r="E2934" s="1" t="s">
        <v>16613</v>
      </c>
      <c r="H2934" s="1" t="s">
        <v>4</v>
      </c>
      <c r="V2934" s="1" t="s">
        <v>18</v>
      </c>
      <c r="CP2934" s="1" t="s">
        <v>90</v>
      </c>
      <c r="CQ2934" s="1" t="s">
        <v>91</v>
      </c>
      <c r="FL2934" s="1" t="s">
        <v>164</v>
      </c>
      <c r="FM2934" s="1" t="s">
        <v>418</v>
      </c>
      <c r="GD2934" s="1" t="s">
        <v>193</v>
      </c>
      <c r="GE2934" s="1" t="s">
        <v>4190</v>
      </c>
    </row>
    <row r="2935" spans="1:187" ht="11.25" customHeight="1">
      <c r="A2935" s="1" t="s">
        <v>4191</v>
      </c>
      <c r="B2935" s="1" t="str">
        <f ca="1">IFERROR(__xludf.DUMMYFUNCTION("GOOGLETRANSLATE(A2935, ""en"", ""fr"")"),"Creuser n ° 1")</f>
        <v>Creuser n ° 1</v>
      </c>
      <c r="C2935" s="1" t="s">
        <v>185</v>
      </c>
      <c r="D2935" s="1" t="s">
        <v>16612</v>
      </c>
      <c r="F2935" s="1" t="s">
        <v>2</v>
      </c>
      <c r="CC2935" s="1" t="s">
        <v>77</v>
      </c>
      <c r="DO2935" s="1" t="s">
        <v>115</v>
      </c>
      <c r="GD2935" s="1" t="s">
        <v>400</v>
      </c>
      <c r="GE2935" s="1" t="s">
        <v>4192</v>
      </c>
    </row>
    <row r="2936" spans="1:187" ht="11.25" customHeight="1">
      <c r="A2936" s="1" t="s">
        <v>4193</v>
      </c>
      <c r="B2936" s="1" t="str">
        <f ca="1">IFERROR(__xludf.DUMMYFUNCTION("GOOGLETRANSLATE(A2936, ""en"", ""fr"")"),"Dig # 2")</f>
        <v>Dig # 2</v>
      </c>
      <c r="C2936" s="1" t="s">
        <v>185</v>
      </c>
      <c r="N2936" s="1" t="s">
        <v>10</v>
      </c>
      <c r="CO2936" s="1" t="s">
        <v>89</v>
      </c>
      <c r="DN2936" s="1" t="s">
        <v>114</v>
      </c>
      <c r="FD2936" s="1" t="s">
        <v>156</v>
      </c>
      <c r="FI2936" s="1" t="s">
        <v>161</v>
      </c>
      <c r="GD2936" s="1" t="s">
        <v>189</v>
      </c>
      <c r="GE2936" s="1" t="s">
        <v>4194</v>
      </c>
    </row>
    <row r="2937" spans="1:187" ht="11.25" customHeight="1">
      <c r="A2937" s="1" t="s">
        <v>4195</v>
      </c>
      <c r="B2937" s="1" t="str">
        <f ca="1">IFERROR(__xludf.DUMMYFUNCTION("GOOGLETRANSLATE(A2937, ""en"", ""fr"")"),"NUMÉRIQUE")</f>
        <v>NUMÉRIQUE</v>
      </c>
      <c r="C2937" s="1" t="s">
        <v>185</v>
      </c>
      <c r="BK2937" s="1" t="s">
        <v>59</v>
      </c>
      <c r="BL2937" s="1" t="s">
        <v>60</v>
      </c>
      <c r="GC2937" s="1" t="s">
        <v>181</v>
      </c>
      <c r="GD2937" s="1" t="s">
        <v>193</v>
      </c>
      <c r="GE2937" s="1" t="s">
        <v>190</v>
      </c>
    </row>
    <row r="2938" spans="1:187" ht="11.25" customHeight="1">
      <c r="A2938" s="1" t="s">
        <v>4196</v>
      </c>
      <c r="B2938" s="1" t="str">
        <f ca="1">IFERROR(__xludf.DUMMYFUNCTION("GOOGLETRANSLATE(A2938, ""en"", ""fr"")"),"DIGNE")</f>
        <v>DIGNE</v>
      </c>
      <c r="C2938" s="1" t="s">
        <v>192</v>
      </c>
      <c r="D2938" s="1" t="s">
        <v>16612</v>
      </c>
      <c r="J2938" s="1" t="s">
        <v>6</v>
      </c>
      <c r="K2938" s="1" t="s">
        <v>7</v>
      </c>
      <c r="DR2938" s="1" t="s">
        <v>118</v>
      </c>
      <c r="GD2938" s="1" t="s">
        <v>202</v>
      </c>
      <c r="GE2938" s="1" t="s">
        <v>190</v>
      </c>
    </row>
    <row r="2939" spans="1:187" ht="11.25" customHeight="1">
      <c r="A2939" s="1" t="s">
        <v>4197</v>
      </c>
      <c r="B2939" s="1" t="str">
        <f ca="1">IFERROR(__xludf.DUMMYFUNCTION("GOOGLETRANSLATE(A2939, ""en"", ""fr"")"),"HONORER")</f>
        <v>HONORER</v>
      </c>
      <c r="C2939" s="1" t="s">
        <v>192</v>
      </c>
      <c r="D2939" s="1" t="s">
        <v>16612</v>
      </c>
      <c r="N2939" s="1" t="s">
        <v>10</v>
      </c>
      <c r="BK2939" s="1" t="s">
        <v>59</v>
      </c>
      <c r="DN2939" s="1" t="s">
        <v>114</v>
      </c>
      <c r="GD2939" s="1" t="s">
        <v>670</v>
      </c>
      <c r="GE2939" s="1" t="s">
        <v>190</v>
      </c>
    </row>
    <row r="2940" spans="1:187" ht="11.25" customHeight="1">
      <c r="A2940" s="1" t="s">
        <v>4198</v>
      </c>
      <c r="B2940" s="1" t="str">
        <f ca="1">IFERROR(__xludf.DUMMYFUNCTION("GOOGLETRANSLATE(A2940, ""en"", ""fr"")"),"DIGNITÉ")</f>
        <v>DIGNITÉ</v>
      </c>
      <c r="C2940" s="1" t="s">
        <v>185</v>
      </c>
      <c r="D2940" s="1" t="s">
        <v>16612</v>
      </c>
      <c r="F2940" s="1" t="s">
        <v>2</v>
      </c>
      <c r="J2940" s="1" t="s">
        <v>6</v>
      </c>
      <c r="U2940" s="1" t="s">
        <v>17</v>
      </c>
      <c r="CP2940" s="1" t="s">
        <v>90</v>
      </c>
      <c r="CQ2940" s="1" t="s">
        <v>91</v>
      </c>
      <c r="EM2940" s="1" t="s">
        <v>139</v>
      </c>
      <c r="EN2940" s="1" t="s">
        <v>140</v>
      </c>
      <c r="GD2940" s="1" t="s">
        <v>193</v>
      </c>
      <c r="GE2940" s="1" t="s">
        <v>190</v>
      </c>
    </row>
    <row r="2941" spans="1:187" ht="11.25" customHeight="1">
      <c r="A2941" s="1" t="s">
        <v>4199</v>
      </c>
      <c r="B2941" s="1" t="str">
        <f ca="1">IFERROR(__xludf.DUMMYFUNCTION("GOOGLETRANSLATE(A2941, ""en"", ""fr"")"),"DILEMME")</f>
        <v>DILEMME</v>
      </c>
      <c r="C2941" s="1" t="s">
        <v>185</v>
      </c>
      <c r="E2941" s="1" t="s">
        <v>16613</v>
      </c>
      <c r="H2941" s="1" t="s">
        <v>4</v>
      </c>
      <c r="V2941" s="1" t="s">
        <v>18</v>
      </c>
      <c r="X2941" s="1" t="s">
        <v>20</v>
      </c>
      <c r="CP2941" s="1" t="s">
        <v>90</v>
      </c>
      <c r="CQ2941" s="1" t="s">
        <v>91</v>
      </c>
      <c r="FZ2941" s="1" t="s">
        <v>178</v>
      </c>
      <c r="GD2941" s="1" t="s">
        <v>193</v>
      </c>
      <c r="GE2941" s="1" t="s">
        <v>190</v>
      </c>
    </row>
    <row r="2942" spans="1:187" ht="11.25" customHeight="1">
      <c r="A2942" s="1" t="s">
        <v>4200</v>
      </c>
      <c r="B2942" s="1" t="str">
        <f ca="1">IFERROR(__xludf.DUMMYFUNCTION("GOOGLETRANSLATE(A2942, ""en"", ""fr"")"),"DILIGENCE")</f>
        <v>DILIGENCE</v>
      </c>
      <c r="C2942" s="1" t="s">
        <v>196</v>
      </c>
      <c r="FL2942" s="1" t="s">
        <v>164</v>
      </c>
      <c r="FM2942" s="1" t="s">
        <v>418</v>
      </c>
      <c r="GD2942" s="1" t="s">
        <v>193</v>
      </c>
    </row>
    <row r="2943" spans="1:187" ht="11.25" customHeight="1">
      <c r="A2943" s="1" t="s">
        <v>4201</v>
      </c>
      <c r="B2943" s="1" t="str">
        <f ca="1">IFERROR(__xludf.DUMMYFUNCTION("GOOGLETRANSLATE(A2943, ""en"", ""fr"")"),"DILIGENT")</f>
        <v>DILIGENT</v>
      </c>
      <c r="C2943" s="1" t="s">
        <v>185</v>
      </c>
      <c r="D2943" s="1" t="s">
        <v>16612</v>
      </c>
      <c r="F2943" s="1" t="s">
        <v>2</v>
      </c>
      <c r="J2943" s="1" t="s">
        <v>6</v>
      </c>
      <c r="N2943" s="1" t="s">
        <v>10</v>
      </c>
      <c r="U2943" s="1" t="s">
        <v>17</v>
      </c>
      <c r="FL2943" s="1" t="s">
        <v>164</v>
      </c>
      <c r="FM2943" s="1" t="s">
        <v>418</v>
      </c>
      <c r="GD2943" s="1" t="s">
        <v>202</v>
      </c>
      <c r="GE2943" s="1" t="s">
        <v>190</v>
      </c>
    </row>
    <row r="2944" spans="1:187" ht="11.25" customHeight="1">
      <c r="A2944" s="1" t="s">
        <v>4202</v>
      </c>
      <c r="B2944" s="1" t="str">
        <f ca="1">IFERROR(__xludf.DUMMYFUNCTION("GOOGLETRANSLATE(A2944, ""en"", ""fr"")"),"DIM # 1")</f>
        <v>DIM # 1</v>
      </c>
      <c r="C2944" s="1" t="s">
        <v>185</v>
      </c>
      <c r="E2944" s="1" t="s">
        <v>16613</v>
      </c>
      <c r="H2944" s="1" t="s">
        <v>4</v>
      </c>
      <c r="X2944" s="1" t="s">
        <v>20</v>
      </c>
      <c r="CR2944" s="1" t="s">
        <v>92</v>
      </c>
      <c r="GD2944" s="1" t="s">
        <v>202</v>
      </c>
      <c r="GE2944" s="1" t="s">
        <v>190</v>
      </c>
    </row>
    <row r="2945" spans="1:187" ht="11.25" customHeight="1">
      <c r="A2945" s="1" t="s">
        <v>4203</v>
      </c>
      <c r="B2945" s="1" t="str">
        <f ca="1">IFERROR(__xludf.DUMMYFUNCTION("GOOGLETRANSLATE(A2945, ""en"", ""fr"")"),"DIM # 2")</f>
        <v>DIM # 2</v>
      </c>
      <c r="C2945" s="1" t="s">
        <v>185</v>
      </c>
      <c r="E2945" s="1" t="s">
        <v>16613</v>
      </c>
      <c r="H2945" s="1" t="s">
        <v>4</v>
      </c>
      <c r="BY2945" s="1" t="s">
        <v>73</v>
      </c>
      <c r="DN2945" s="1" t="s">
        <v>114</v>
      </c>
      <c r="GD2945" s="1" t="s">
        <v>189</v>
      </c>
      <c r="GE2945" s="1" t="s">
        <v>190</v>
      </c>
    </row>
    <row r="2946" spans="1:187" ht="11.25" customHeight="1">
      <c r="A2946" s="1" t="s">
        <v>4204</v>
      </c>
      <c r="B2946" s="1" t="str">
        <f ca="1">IFERROR(__xludf.DUMMYFUNCTION("GOOGLETRANSLATE(A2946, ""en"", ""fr"")"),"DIMENSION")</f>
        <v>DIMENSION</v>
      </c>
      <c r="C2946" s="1" t="s">
        <v>185</v>
      </c>
      <c r="DA2946" s="1" t="s">
        <v>101</v>
      </c>
      <c r="FH2946" s="1" t="s">
        <v>160</v>
      </c>
      <c r="FI2946" s="1" t="s">
        <v>161</v>
      </c>
      <c r="GD2946" s="1" t="s">
        <v>193</v>
      </c>
      <c r="GE2946" s="1" t="s">
        <v>190</v>
      </c>
    </row>
    <row r="2947" spans="1:187" ht="11.25" customHeight="1">
      <c r="A2947" s="1" t="s">
        <v>4205</v>
      </c>
      <c r="B2947" s="1" t="str">
        <f ca="1">IFERROR(__xludf.DUMMYFUNCTION("GOOGLETRANSLATE(A2947, ""en"", ""fr"")"),"TALON")</f>
        <v>TALON</v>
      </c>
      <c r="C2947" s="1" t="s">
        <v>185</v>
      </c>
      <c r="L2947" s="1" t="s">
        <v>8</v>
      </c>
      <c r="O2947" s="1" t="s">
        <v>11</v>
      </c>
      <c r="BY2947" s="1" t="s">
        <v>73</v>
      </c>
      <c r="DO2947" s="1" t="s">
        <v>115</v>
      </c>
      <c r="FP2947" s="1" t="s">
        <v>168</v>
      </c>
      <c r="GD2947" s="1" t="s">
        <v>189</v>
      </c>
      <c r="GE2947" s="1" t="s">
        <v>190</v>
      </c>
    </row>
    <row r="2948" spans="1:187" ht="11.25" customHeight="1">
      <c r="A2948" s="1" t="s">
        <v>4206</v>
      </c>
      <c r="B2948" s="1" t="str">
        <f ca="1">IFERROR(__xludf.DUMMYFUNCTION("GOOGLETRANSLATE(A2948, ""en"", ""fr"")"),"VACARME")</f>
        <v>VACARME</v>
      </c>
      <c r="C2948" s="1" t="s">
        <v>192</v>
      </c>
      <c r="E2948" s="1" t="s">
        <v>16613</v>
      </c>
      <c r="J2948" s="1" t="s">
        <v>6</v>
      </c>
      <c r="BK2948" s="1" t="s">
        <v>59</v>
      </c>
      <c r="GD2948" s="1" t="s">
        <v>193</v>
      </c>
      <c r="GE2948" s="1" t="s">
        <v>190</v>
      </c>
    </row>
    <row r="2949" spans="1:187" ht="11.25" customHeight="1">
      <c r="A2949" s="1" t="s">
        <v>4207</v>
      </c>
      <c r="B2949" s="1" t="str">
        <f ca="1">IFERROR(__xludf.DUMMYFUNCTION("GOOGLETRANSLATE(A2949, ""en"", ""fr"")"),"Ding")</f>
        <v>Ding</v>
      </c>
      <c r="C2949" s="1" t="s">
        <v>196</v>
      </c>
      <c r="EE2949" s="1" t="s">
        <v>131</v>
      </c>
      <c r="EJ2949" s="1" t="s">
        <v>136</v>
      </c>
      <c r="GD2949" s="1" t="s">
        <v>189</v>
      </c>
    </row>
    <row r="2950" spans="1:187" ht="11.25" customHeight="1">
      <c r="A2950" s="1" t="s">
        <v>4208</v>
      </c>
      <c r="B2950" s="1" t="str">
        <f ca="1">IFERROR(__xludf.DUMMYFUNCTION("GOOGLETRANSLATE(A2950, ""en"", ""fr"")"),"DÎNER")</f>
        <v>DÎNER</v>
      </c>
      <c r="C2950" s="1" t="s">
        <v>185</v>
      </c>
      <c r="BC2950" s="1" t="s">
        <v>51</v>
      </c>
      <c r="BE2950" s="1" t="s">
        <v>53</v>
      </c>
      <c r="EZ2950" s="1" t="s">
        <v>152</v>
      </c>
      <c r="FC2950" s="1" t="s">
        <v>155</v>
      </c>
      <c r="GD2950" s="1" t="s">
        <v>193</v>
      </c>
      <c r="GE2950" s="1" t="s">
        <v>4209</v>
      </c>
    </row>
    <row r="2951" spans="1:187" ht="11.25" customHeight="1">
      <c r="A2951" s="1" t="s">
        <v>4210</v>
      </c>
      <c r="B2951" s="1" t="str">
        <f ca="1">IFERROR(__xludf.DUMMYFUNCTION("GOOGLETRANSLATE(A2951, ""en"", ""fr"")"),"TREMPER")</f>
        <v>TREMPER</v>
      </c>
      <c r="C2951" s="1" t="s">
        <v>185</v>
      </c>
      <c r="N2951" s="1" t="s">
        <v>10</v>
      </c>
      <c r="CF2951" s="1" t="s">
        <v>80</v>
      </c>
      <c r="DO2951" s="1" t="s">
        <v>115</v>
      </c>
      <c r="GD2951" s="1" t="s">
        <v>189</v>
      </c>
      <c r="GE2951" s="1" t="s">
        <v>190</v>
      </c>
    </row>
    <row r="2952" spans="1:187" ht="11.25" customHeight="1">
      <c r="A2952" s="1" t="s">
        <v>4211</v>
      </c>
      <c r="B2952" s="1" t="str">
        <f ca="1">IFERROR(__xludf.DUMMYFUNCTION("GOOGLETRANSLATE(A2952, ""en"", ""fr"")"),"DIPLOMATIE")</f>
        <v>DIPLOMATIE</v>
      </c>
      <c r="C2952" s="1" t="s">
        <v>185</v>
      </c>
      <c r="K2952" s="1" t="s">
        <v>7</v>
      </c>
      <c r="AG2952" s="1" t="s">
        <v>29</v>
      </c>
      <c r="AH2952" s="1" t="s">
        <v>30</v>
      </c>
      <c r="AM2952" s="1" t="s">
        <v>35</v>
      </c>
      <c r="EC2952" s="1" t="s">
        <v>129</v>
      </c>
      <c r="ED2952" s="1" t="s">
        <v>130</v>
      </c>
      <c r="GD2952" s="1" t="s">
        <v>193</v>
      </c>
      <c r="GE2952" s="1" t="s">
        <v>190</v>
      </c>
    </row>
    <row r="2953" spans="1:187" ht="11.25" customHeight="1">
      <c r="A2953" s="1" t="s">
        <v>4212</v>
      </c>
      <c r="B2953" s="1" t="str">
        <f ca="1">IFERROR(__xludf.DUMMYFUNCTION("GOOGLETRANSLATE(A2953, ""en"", ""fr"")"),"DIPLOMATIQUE")</f>
        <v>DIPLOMATIQUE</v>
      </c>
      <c r="C2953" s="1" t="s">
        <v>185</v>
      </c>
      <c r="K2953" s="1" t="s">
        <v>7</v>
      </c>
      <c r="AG2953" s="1" t="s">
        <v>29</v>
      </c>
      <c r="AH2953" s="1" t="s">
        <v>30</v>
      </c>
      <c r="BK2953" s="1" t="s">
        <v>59</v>
      </c>
      <c r="EC2953" s="1" t="s">
        <v>129</v>
      </c>
      <c r="ED2953" s="1" t="s">
        <v>130</v>
      </c>
      <c r="GC2953" s="1" t="s">
        <v>181</v>
      </c>
      <c r="GD2953" s="1" t="s">
        <v>202</v>
      </c>
      <c r="GE2953" s="1" t="s">
        <v>190</v>
      </c>
    </row>
    <row r="2954" spans="1:187" ht="11.25" customHeight="1">
      <c r="A2954" s="1" t="s">
        <v>4213</v>
      </c>
      <c r="B2954" s="1" t="str">
        <f ca="1">IFERROR(__xludf.DUMMYFUNCTION("GOOGLETRANSLATE(A2954, ""en"", ""fr"")"),"LOUCHE")</f>
        <v>LOUCHE</v>
      </c>
      <c r="C2954" s="1" t="s">
        <v>185</v>
      </c>
      <c r="BC2954" s="1" t="s">
        <v>51</v>
      </c>
      <c r="BD2954" s="1" t="s">
        <v>52</v>
      </c>
      <c r="GD2954" s="1" t="s">
        <v>193</v>
      </c>
      <c r="GE2954" s="1" t="s">
        <v>190</v>
      </c>
    </row>
    <row r="2955" spans="1:187" ht="11.25" customHeight="1">
      <c r="A2955" s="1" t="s">
        <v>4214</v>
      </c>
      <c r="B2955" s="1" t="str">
        <f ca="1">IFERROR(__xludf.DUMMYFUNCTION("GOOGLETRANSLATE(A2955, ""en"", ""fr"")"),"TERRIBLE")</f>
        <v>TERRIBLE</v>
      </c>
      <c r="C2955" s="1" t="s">
        <v>192</v>
      </c>
      <c r="E2955" s="1" t="s">
        <v>16613</v>
      </c>
      <c r="L2955" s="1" t="s">
        <v>8</v>
      </c>
      <c r="V2955" s="1" t="s">
        <v>18</v>
      </c>
      <c r="DR2955" s="1" t="s">
        <v>118</v>
      </c>
      <c r="GD2955" s="1" t="s">
        <v>202</v>
      </c>
      <c r="GE2955" s="1" t="s">
        <v>190</v>
      </c>
    </row>
    <row r="2956" spans="1:187" ht="11.25" customHeight="1">
      <c r="A2956" s="1" t="s">
        <v>4215</v>
      </c>
      <c r="B2956" s="1" t="str">
        <f ca="1">IFERROR(__xludf.DUMMYFUNCTION("GOOGLETRANSLATE(A2956, ""en"", ""fr"")"),"Direct # 1")</f>
        <v>Direct # 1</v>
      </c>
      <c r="C2956" s="1" t="s">
        <v>185</v>
      </c>
      <c r="J2956" s="1" t="s">
        <v>6</v>
      </c>
      <c r="K2956" s="1" t="s">
        <v>7</v>
      </c>
      <c r="N2956" s="1" t="s">
        <v>10</v>
      </c>
      <c r="AN2956" s="1" t="s">
        <v>36</v>
      </c>
      <c r="DN2956" s="1" t="s">
        <v>114</v>
      </c>
      <c r="FD2956" s="1" t="s">
        <v>156</v>
      </c>
      <c r="FI2956" s="1" t="s">
        <v>161</v>
      </c>
      <c r="GD2956" s="1" t="s">
        <v>189</v>
      </c>
      <c r="GE2956" s="1" t="s">
        <v>4216</v>
      </c>
    </row>
    <row r="2957" spans="1:187" ht="11.25" customHeight="1">
      <c r="A2957" s="1" t="s">
        <v>4217</v>
      </c>
      <c r="B2957" s="1" t="str">
        <f ca="1">IFERROR(__xludf.DUMMYFUNCTION("GOOGLETRANSLATE(A2957, ""en"", ""fr"")"),"Direct # 2")</f>
        <v>Direct # 2</v>
      </c>
      <c r="C2957" s="1" t="s">
        <v>185</v>
      </c>
      <c r="J2957" s="1" t="s">
        <v>6</v>
      </c>
      <c r="N2957" s="1" t="s">
        <v>10</v>
      </c>
      <c r="DA2957" s="1" t="s">
        <v>101</v>
      </c>
      <c r="GD2957" s="1" t="s">
        <v>202</v>
      </c>
      <c r="GE2957" s="1" t="s">
        <v>4218</v>
      </c>
    </row>
    <row r="2958" spans="1:187" ht="11.25" customHeight="1">
      <c r="A2958" s="1" t="s">
        <v>4219</v>
      </c>
      <c r="B2958" s="1" t="str">
        <f ca="1">IFERROR(__xludf.DUMMYFUNCTION("GOOGLETRANSLATE(A2958, ""en"", ""fr"")"),"Direct # 3")</f>
        <v>Direct # 3</v>
      </c>
      <c r="C2958" s="1" t="s">
        <v>185</v>
      </c>
      <c r="J2958" s="1" t="s">
        <v>6</v>
      </c>
      <c r="N2958" s="1" t="s">
        <v>10</v>
      </c>
      <c r="W2958" s="1" t="s">
        <v>19</v>
      </c>
      <c r="CY2958" s="1" t="s">
        <v>99</v>
      </c>
      <c r="GB2958" s="1" t="s">
        <v>180</v>
      </c>
      <c r="GD2958" s="1" t="s">
        <v>236</v>
      </c>
      <c r="GE2958" s="1" t="s">
        <v>4220</v>
      </c>
    </row>
    <row r="2959" spans="1:187" ht="11.25" customHeight="1">
      <c r="A2959" s="1" t="s">
        <v>4221</v>
      </c>
      <c r="B2959" s="1" t="str">
        <f ca="1">IFERROR(__xludf.DUMMYFUNCTION("GOOGLETRANSLATE(A2959, ""en"", ""fr"")"),"Direction n ° 1")</f>
        <v>Direction n ° 1</v>
      </c>
      <c r="C2959" s="1" t="s">
        <v>185</v>
      </c>
      <c r="CP2959" s="1" t="s">
        <v>90</v>
      </c>
      <c r="CQ2959" s="1" t="s">
        <v>91</v>
      </c>
      <c r="DA2959" s="1" t="s">
        <v>101</v>
      </c>
      <c r="GB2959" s="1" t="s">
        <v>180</v>
      </c>
      <c r="GD2959" s="1" t="s">
        <v>193</v>
      </c>
      <c r="GE2959" s="1" t="s">
        <v>4222</v>
      </c>
    </row>
    <row r="2960" spans="1:187" ht="11.25" customHeight="1">
      <c r="A2960" s="1" t="s">
        <v>4223</v>
      </c>
      <c r="B2960" s="1" t="str">
        <f ca="1">IFERROR(__xludf.DUMMYFUNCTION("GOOGLETRANSLATE(A2960, ""en"", ""fr"")"),"Direction n ° 2")</f>
        <v>Direction n ° 2</v>
      </c>
      <c r="C2960" s="1" t="s">
        <v>185</v>
      </c>
      <c r="K2960" s="1" t="s">
        <v>7</v>
      </c>
      <c r="BK2960" s="1" t="s">
        <v>59</v>
      </c>
      <c r="FD2960" s="1" t="s">
        <v>156</v>
      </c>
      <c r="FI2960" s="1" t="s">
        <v>161</v>
      </c>
      <c r="GD2960" s="1" t="s">
        <v>193</v>
      </c>
      <c r="GE2960" s="1" t="s">
        <v>4224</v>
      </c>
    </row>
    <row r="2961" spans="1:187" ht="11.25" customHeight="1">
      <c r="A2961" s="1" t="s">
        <v>4225</v>
      </c>
      <c r="B2961" s="1" t="str">
        <f ca="1">IFERROR(__xludf.DUMMYFUNCTION("GOOGLETRANSLATE(A2961, ""en"", ""fr"")"),"DIRECTEUR")</f>
        <v>DIRECTEUR</v>
      </c>
      <c r="C2961" s="1" t="s">
        <v>185</v>
      </c>
      <c r="J2961" s="1" t="s">
        <v>6</v>
      </c>
      <c r="K2961" s="1" t="s">
        <v>7</v>
      </c>
      <c r="AC2961" s="1" t="s">
        <v>25</v>
      </c>
      <c r="AJ2961" s="1" t="s">
        <v>32</v>
      </c>
      <c r="AT2961" s="1" t="s">
        <v>42</v>
      </c>
      <c r="DZ2961" s="1" t="s">
        <v>126</v>
      </c>
      <c r="ED2961" s="1" t="s">
        <v>130</v>
      </c>
      <c r="GD2961" s="1" t="s">
        <v>193</v>
      </c>
      <c r="GE2961" s="1" t="s">
        <v>190</v>
      </c>
    </row>
    <row r="2962" spans="1:187" ht="11.25" customHeight="1">
      <c r="A2962" s="1" t="s">
        <v>4226</v>
      </c>
      <c r="B2962" s="1" t="str">
        <f ca="1">IFERROR(__xludf.DUMMYFUNCTION("GOOGLETRANSLATE(A2962, ""en"", ""fr"")"),"SALETÉ")</f>
        <v>SALETÉ</v>
      </c>
      <c r="C2962" s="1" t="s">
        <v>185</v>
      </c>
      <c r="E2962" s="1" t="s">
        <v>16613</v>
      </c>
      <c r="H2962" s="1" t="s">
        <v>4</v>
      </c>
      <c r="BC2962" s="1" t="s">
        <v>51</v>
      </c>
      <c r="BI2962" s="1" t="s">
        <v>57</v>
      </c>
      <c r="GD2962" s="1" t="s">
        <v>193</v>
      </c>
      <c r="GE2962" s="1" t="s">
        <v>190</v>
      </c>
    </row>
    <row r="2963" spans="1:187" ht="11.25" customHeight="1">
      <c r="A2963" s="1" t="s">
        <v>4227</v>
      </c>
      <c r="B2963" s="1" t="str">
        <f ca="1">IFERROR(__xludf.DUMMYFUNCTION("GOOGLETRANSLATE(A2963, ""en"", ""fr"")"),"SALE")</f>
        <v>SALE</v>
      </c>
      <c r="C2963" s="1" t="s">
        <v>185</v>
      </c>
      <c r="E2963" s="1" t="s">
        <v>16613</v>
      </c>
      <c r="H2963" s="1" t="s">
        <v>4</v>
      </c>
      <c r="V2963" s="1" t="s">
        <v>18</v>
      </c>
      <c r="EE2963" s="1" t="s">
        <v>131</v>
      </c>
      <c r="EJ2963" s="1" t="s">
        <v>136</v>
      </c>
      <c r="GD2963" s="1" t="s">
        <v>202</v>
      </c>
      <c r="GE2963" s="1" t="s">
        <v>4228</v>
      </c>
    </row>
    <row r="2964" spans="1:187" ht="11.25" customHeight="1">
      <c r="A2964" s="1" t="s">
        <v>4229</v>
      </c>
      <c r="B2964" s="1" t="str">
        <f ca="1">IFERROR(__xludf.DUMMYFUNCTION("GOOGLETRANSLATE(A2964, ""en"", ""fr"")"),"INVALIDITÉ")</f>
        <v>INVALIDITÉ</v>
      </c>
      <c r="C2964" s="1" t="s">
        <v>196</v>
      </c>
      <c r="EY2964" s="1" t="s">
        <v>151</v>
      </c>
      <c r="FC2964" s="1" t="s">
        <v>155</v>
      </c>
      <c r="GD2964" s="1" t="s">
        <v>193</v>
      </c>
    </row>
    <row r="2965" spans="1:187" ht="11.25" customHeight="1">
      <c r="A2965" s="1" t="s">
        <v>4230</v>
      </c>
      <c r="B2965" s="1" t="str">
        <f ca="1">IFERROR(__xludf.DUMMYFUNCTION("GOOGLETRANSLATE(A2965, ""en"", ""fr"")"),"DÉSACTIVER")</f>
        <v>DÉSACTIVER</v>
      </c>
      <c r="C2965" s="1" t="s">
        <v>192</v>
      </c>
      <c r="E2965" s="1" t="s">
        <v>16613</v>
      </c>
      <c r="N2965" s="1" t="s">
        <v>10</v>
      </c>
      <c r="BT2965" s="1" t="s">
        <v>68</v>
      </c>
      <c r="DN2965" s="1" t="s">
        <v>114</v>
      </c>
      <c r="GD2965" s="1" t="s">
        <v>189</v>
      </c>
      <c r="GE2965" s="1" t="s">
        <v>190</v>
      </c>
    </row>
    <row r="2966" spans="1:187" ht="11.25" customHeight="1">
      <c r="A2966" s="1" t="s">
        <v>4231</v>
      </c>
      <c r="B2966" s="1" t="str">
        <f ca="1">IFERROR(__xludf.DUMMYFUNCTION("GOOGLETRANSLATE(A2966, ""en"", ""fr"")"),"DÉSAVANTAGE")</f>
        <v>DÉSAVANTAGE</v>
      </c>
      <c r="C2966" s="1" t="s">
        <v>185</v>
      </c>
      <c r="E2966" s="1" t="s">
        <v>16613</v>
      </c>
      <c r="H2966" s="1" t="s">
        <v>4</v>
      </c>
      <c r="L2966" s="1" t="s">
        <v>8</v>
      </c>
      <c r="V2966" s="1" t="s">
        <v>18</v>
      </c>
      <c r="DL2966" s="1" t="s">
        <v>112</v>
      </c>
      <c r="FR2966" s="1" t="s">
        <v>170</v>
      </c>
      <c r="GD2966" s="1" t="s">
        <v>193</v>
      </c>
      <c r="GE2966" s="1" t="s">
        <v>190</v>
      </c>
    </row>
    <row r="2967" spans="1:187" ht="11.25" customHeight="1">
      <c r="A2967" s="1" t="s">
        <v>4232</v>
      </c>
      <c r="B2967" s="1" t="str">
        <f ca="1">IFERROR(__xludf.DUMMYFUNCTION("GOOGLETRANSLATE(A2967, ""en"", ""fr"")"),"DÉSAVANTAGEUX")</f>
        <v>DÉSAVANTAGEUX</v>
      </c>
      <c r="C2967" s="1" t="s">
        <v>185</v>
      </c>
      <c r="E2967" s="1" t="s">
        <v>16613</v>
      </c>
      <c r="H2967" s="1" t="s">
        <v>4</v>
      </c>
      <c r="L2967" s="1" t="s">
        <v>8</v>
      </c>
      <c r="V2967" s="1" t="s">
        <v>18</v>
      </c>
      <c r="CN2967" s="1" t="s">
        <v>88</v>
      </c>
      <c r="DL2967" s="1" t="s">
        <v>112</v>
      </c>
      <c r="FR2967" s="1" t="s">
        <v>170</v>
      </c>
      <c r="GD2967" s="1" t="s">
        <v>202</v>
      </c>
      <c r="GE2967" s="1" t="s">
        <v>190</v>
      </c>
    </row>
    <row r="2968" spans="1:187" ht="11.25" customHeight="1">
      <c r="A2968" s="1" t="s">
        <v>4233</v>
      </c>
      <c r="B2968" s="1" t="str">
        <f ca="1">IFERROR(__xludf.DUMMYFUNCTION("GOOGLETRANSLATE(A2968, ""en"", ""fr"")"),"ÊTRE EN DÉSACCORD")</f>
        <v>ÊTRE EN DÉSACCORD</v>
      </c>
      <c r="C2968" s="1" t="s">
        <v>185</v>
      </c>
      <c r="H2968" s="1" t="s">
        <v>4</v>
      </c>
      <c r="I2968" s="1" t="s">
        <v>5</v>
      </c>
      <c r="BK2968" s="1" t="s">
        <v>59</v>
      </c>
      <c r="DK2968" s="1" t="s">
        <v>111</v>
      </c>
      <c r="DN2968" s="1" t="s">
        <v>114</v>
      </c>
      <c r="DW2968" s="1" t="s">
        <v>123</v>
      </c>
      <c r="ED2968" s="1" t="s">
        <v>130</v>
      </c>
      <c r="GD2968" s="1" t="s">
        <v>189</v>
      </c>
      <c r="GE2968" s="1" t="s">
        <v>4234</v>
      </c>
    </row>
    <row r="2969" spans="1:187" ht="11.25" customHeight="1">
      <c r="A2969" s="1" t="s">
        <v>4235</v>
      </c>
      <c r="B2969" s="1" t="str">
        <f ca="1">IFERROR(__xludf.DUMMYFUNCTION("GOOGLETRANSLATE(A2969, ""en"", ""fr"")"),"DÉSAGRÉABLE")</f>
        <v>DÉSAGRÉABLE</v>
      </c>
      <c r="C2969" s="1" t="s">
        <v>185</v>
      </c>
      <c r="E2969" s="1" t="s">
        <v>16613</v>
      </c>
      <c r="H2969" s="1" t="s">
        <v>4</v>
      </c>
      <c r="I2969" s="1" t="s">
        <v>5</v>
      </c>
      <c r="Q2969" s="1" t="s">
        <v>13</v>
      </c>
      <c r="DL2969" s="1" t="s">
        <v>112</v>
      </c>
      <c r="DW2969" s="1" t="s">
        <v>123</v>
      </c>
      <c r="ED2969" s="1" t="s">
        <v>130</v>
      </c>
      <c r="GD2969" s="1" t="s">
        <v>202</v>
      </c>
      <c r="GE2969" s="1" t="s">
        <v>190</v>
      </c>
    </row>
    <row r="2970" spans="1:187" ht="11.25" customHeight="1">
      <c r="A2970" s="1" t="s">
        <v>4236</v>
      </c>
      <c r="B2970" s="1" t="str">
        <f ca="1">IFERROR(__xludf.DUMMYFUNCTION("GOOGLETRANSLATE(A2970, ""en"", ""fr"")"),"DÉSACCORD")</f>
        <v>DÉSACCORD</v>
      </c>
      <c r="C2970" s="1" t="s">
        <v>185</v>
      </c>
      <c r="E2970" s="1" t="s">
        <v>16613</v>
      </c>
      <c r="H2970" s="1" t="s">
        <v>4</v>
      </c>
      <c r="I2970" s="1" t="s">
        <v>5</v>
      </c>
      <c r="BK2970" s="1" t="s">
        <v>59</v>
      </c>
      <c r="BL2970" s="1" t="s">
        <v>60</v>
      </c>
      <c r="DL2970" s="1" t="s">
        <v>112</v>
      </c>
      <c r="DW2970" s="1" t="s">
        <v>123</v>
      </c>
      <c r="ED2970" s="1" t="s">
        <v>130</v>
      </c>
      <c r="GC2970" s="1" t="s">
        <v>181</v>
      </c>
      <c r="GD2970" s="1" t="s">
        <v>193</v>
      </c>
      <c r="GE2970" s="1" t="s">
        <v>190</v>
      </c>
    </row>
    <row r="2971" spans="1:187" ht="11.25" customHeight="1">
      <c r="A2971" s="1" t="s">
        <v>4237</v>
      </c>
      <c r="B2971" s="1" t="str">
        <f ca="1">IFERROR(__xludf.DUMMYFUNCTION("GOOGLETRANSLATE(A2971, ""en"", ""fr"")"),"DISPARAÎTRE")</f>
        <v>DISPARAÎTRE</v>
      </c>
      <c r="C2971" s="1" t="s">
        <v>185</v>
      </c>
      <c r="O2971" s="1" t="s">
        <v>11</v>
      </c>
      <c r="CK2971" s="1" t="s">
        <v>85</v>
      </c>
      <c r="DO2971" s="1" t="s">
        <v>115</v>
      </c>
      <c r="GD2971" s="1" t="s">
        <v>189</v>
      </c>
      <c r="GE2971" s="1" t="s">
        <v>4238</v>
      </c>
    </row>
    <row r="2972" spans="1:187" ht="11.25" customHeight="1">
      <c r="A2972" s="1" t="s">
        <v>4239</v>
      </c>
      <c r="B2972" s="1" t="str">
        <f ca="1">IFERROR(__xludf.DUMMYFUNCTION("GOOGLETRANSLATE(A2972, ""en"", ""fr"")"),"DISPARITION")</f>
        <v>DISPARITION</v>
      </c>
      <c r="C2972" s="1" t="s">
        <v>185</v>
      </c>
      <c r="O2972" s="1" t="s">
        <v>11</v>
      </c>
      <c r="CK2972" s="1" t="s">
        <v>85</v>
      </c>
      <c r="GD2972" s="1" t="s">
        <v>193</v>
      </c>
      <c r="GE2972" s="1" t="s">
        <v>190</v>
      </c>
    </row>
    <row r="2973" spans="1:187" ht="11.25" customHeight="1">
      <c r="A2973" s="1" t="s">
        <v>4240</v>
      </c>
      <c r="B2973" s="1" t="str">
        <f ca="1">IFERROR(__xludf.DUMMYFUNCTION("GOOGLETRANSLATE(A2973, ""en"", ""fr"")"),"Décevoir # 1")</f>
        <v>Décevoir # 1</v>
      </c>
      <c r="C2973" s="1" t="s">
        <v>185</v>
      </c>
      <c r="E2973" s="1" t="s">
        <v>16613</v>
      </c>
      <c r="H2973" s="1" t="s">
        <v>4</v>
      </c>
      <c r="O2973" s="1" t="s">
        <v>11</v>
      </c>
      <c r="Q2973" s="1" t="s">
        <v>13</v>
      </c>
      <c r="T2973" s="1" t="s">
        <v>16</v>
      </c>
      <c r="FV2973" s="1" t="s">
        <v>174</v>
      </c>
      <c r="GD2973" s="1" t="s">
        <v>202</v>
      </c>
      <c r="GE2973" s="1" t="s">
        <v>4241</v>
      </c>
    </row>
    <row r="2974" spans="1:187" ht="11.25" customHeight="1">
      <c r="A2974" s="1" t="s">
        <v>4242</v>
      </c>
      <c r="B2974" s="1" t="str">
        <f ca="1">IFERROR(__xludf.DUMMYFUNCTION("GOOGLETRANSLATE(A2974, ""en"", ""fr"")"),"Décevoir # 2")</f>
        <v>Décevoir # 2</v>
      </c>
      <c r="C2974" s="1" t="s">
        <v>185</v>
      </c>
      <c r="E2974" s="1" t="s">
        <v>16613</v>
      </c>
      <c r="H2974" s="1" t="s">
        <v>4</v>
      </c>
      <c r="V2974" s="1" t="s">
        <v>18</v>
      </c>
      <c r="FV2974" s="1" t="s">
        <v>174</v>
      </c>
      <c r="GD2974" s="1" t="s">
        <v>202</v>
      </c>
      <c r="GE2974" s="1" t="s">
        <v>4243</v>
      </c>
    </row>
    <row r="2975" spans="1:187" ht="11.25" customHeight="1">
      <c r="A2975" s="1" t="s">
        <v>4244</v>
      </c>
      <c r="B2975" s="1" t="str">
        <f ca="1">IFERROR(__xludf.DUMMYFUNCTION("GOOGLETRANSLATE(A2975, ""en"", ""fr"")"),"Décevoir # 3")</f>
        <v>Décevoir # 3</v>
      </c>
      <c r="C2975" s="1" t="s">
        <v>185</v>
      </c>
      <c r="E2975" s="1" t="s">
        <v>16613</v>
      </c>
      <c r="H2975" s="1" t="s">
        <v>4</v>
      </c>
      <c r="BT2975" s="1" t="s">
        <v>68</v>
      </c>
      <c r="DN2975" s="1" t="s">
        <v>114</v>
      </c>
      <c r="FO2975" s="1" t="s">
        <v>167</v>
      </c>
      <c r="GD2975" s="1" t="s">
        <v>189</v>
      </c>
      <c r="GE2975" s="1" t="s">
        <v>4245</v>
      </c>
    </row>
    <row r="2976" spans="1:187" ht="11.25" customHeight="1">
      <c r="A2976" s="1" t="s">
        <v>4246</v>
      </c>
      <c r="B2976" s="1" t="str">
        <f ca="1">IFERROR(__xludf.DUMMYFUNCTION("GOOGLETRANSLATE(A2976, ""en"", ""fr"")"),"Décevoir # 4")</f>
        <v>Décevoir # 4</v>
      </c>
      <c r="C2976" s="1" t="s">
        <v>185</v>
      </c>
      <c r="E2976" s="1" t="s">
        <v>16613</v>
      </c>
      <c r="H2976" s="1" t="s">
        <v>4</v>
      </c>
      <c r="V2976" s="1" t="s">
        <v>18</v>
      </c>
      <c r="FV2976" s="1" t="s">
        <v>174</v>
      </c>
      <c r="GD2976" s="1" t="s">
        <v>202</v>
      </c>
      <c r="GE2976" s="1" t="s">
        <v>4247</v>
      </c>
    </row>
    <row r="2977" spans="1:187" ht="11.25" customHeight="1">
      <c r="A2977" s="1" t="s">
        <v>4248</v>
      </c>
      <c r="B2977" s="1" t="str">
        <f ca="1">IFERROR(__xludf.DUMMYFUNCTION("GOOGLETRANSLATE(A2977, ""en"", ""fr"")"),"DÉCEPTION")</f>
        <v>DÉCEPTION</v>
      </c>
      <c r="C2977" s="1" t="s">
        <v>185</v>
      </c>
      <c r="E2977" s="1" t="s">
        <v>16613</v>
      </c>
      <c r="H2977" s="1" t="s">
        <v>4</v>
      </c>
      <c r="O2977" s="1" t="s">
        <v>11</v>
      </c>
      <c r="Q2977" s="1" t="s">
        <v>13</v>
      </c>
      <c r="T2977" s="1" t="s">
        <v>16</v>
      </c>
      <c r="FA2977" s="1" t="s">
        <v>153</v>
      </c>
      <c r="FC2977" s="1" t="s">
        <v>155</v>
      </c>
      <c r="FV2977" s="1" t="s">
        <v>174</v>
      </c>
      <c r="GD2977" s="1" t="s">
        <v>193</v>
      </c>
      <c r="GE2977" s="1" t="s">
        <v>190</v>
      </c>
    </row>
    <row r="2978" spans="1:187" ht="11.25" customHeight="1">
      <c r="A2978" s="1" t="s">
        <v>4249</v>
      </c>
      <c r="B2978" s="1" t="str">
        <f ca="1">IFERROR(__xludf.DUMMYFUNCTION("GOOGLETRANSLATE(A2978, ""en"", ""fr"")"),"DÉSAPPROBATION")</f>
        <v>DÉSAPPROBATION</v>
      </c>
      <c r="C2978" s="1" t="s">
        <v>192</v>
      </c>
      <c r="E2978" s="1" t="s">
        <v>16613</v>
      </c>
      <c r="V2978" s="1" t="s">
        <v>18</v>
      </c>
      <c r="CM2978" s="1" t="s">
        <v>87</v>
      </c>
      <c r="GD2978" s="1" t="s">
        <v>193</v>
      </c>
      <c r="GE2978" s="1" t="s">
        <v>190</v>
      </c>
    </row>
    <row r="2979" spans="1:187" ht="11.25" customHeight="1">
      <c r="A2979" s="1" t="s">
        <v>4250</v>
      </c>
      <c r="B2979" s="1" t="str">
        <f ca="1">IFERROR(__xludf.DUMMYFUNCTION("GOOGLETRANSLATE(A2979, ""en"", ""fr"")"),"DÉSAPPROUVER")</f>
        <v>DÉSAPPROUVER</v>
      </c>
      <c r="C2979" s="1" t="s">
        <v>185</v>
      </c>
      <c r="E2979" s="1" t="s">
        <v>16613</v>
      </c>
      <c r="H2979" s="1" t="s">
        <v>4</v>
      </c>
      <c r="I2979" s="1" t="s">
        <v>5</v>
      </c>
      <c r="BK2979" s="1" t="s">
        <v>59</v>
      </c>
      <c r="DL2979" s="1" t="s">
        <v>112</v>
      </c>
      <c r="DN2979" s="1" t="s">
        <v>114</v>
      </c>
      <c r="EL2979" s="1" t="s">
        <v>138</v>
      </c>
      <c r="EN2979" s="1" t="s">
        <v>140</v>
      </c>
      <c r="GD2979" s="1" t="s">
        <v>189</v>
      </c>
      <c r="GE2979" s="1" t="s">
        <v>190</v>
      </c>
    </row>
    <row r="2980" spans="1:187" ht="11.25" customHeight="1">
      <c r="A2980" s="1" t="s">
        <v>4251</v>
      </c>
      <c r="B2980" s="1" t="str">
        <f ca="1">IFERROR(__xludf.DUMMYFUNCTION("GOOGLETRANSLATE(A2980, ""en"", ""fr"")"),"DÉSARMER")</f>
        <v>DÉSARMER</v>
      </c>
      <c r="C2980" s="1" t="s">
        <v>192</v>
      </c>
      <c r="E2980" s="1" t="s">
        <v>16613</v>
      </c>
      <c r="N2980" s="1" t="s">
        <v>10</v>
      </c>
      <c r="BT2980" s="1" t="s">
        <v>68</v>
      </c>
      <c r="DN2980" s="1" t="s">
        <v>114</v>
      </c>
      <c r="GD2980" s="1" t="s">
        <v>189</v>
      </c>
      <c r="GE2980" s="1" t="s">
        <v>190</v>
      </c>
    </row>
    <row r="2981" spans="1:187" ht="11.25" customHeight="1">
      <c r="A2981" s="1" t="s">
        <v>4252</v>
      </c>
      <c r="B2981" s="1" t="str">
        <f ca="1">IFERROR(__xludf.DUMMYFUNCTION("GOOGLETRANSLATE(A2981, ""en"", ""fr"")"),"DÉSARMEMENT")</f>
        <v>DÉSARMEMENT</v>
      </c>
      <c r="C2981" s="1" t="s">
        <v>185</v>
      </c>
      <c r="G2981" s="1" t="s">
        <v>3</v>
      </c>
      <c r="N2981" s="1" t="s">
        <v>10</v>
      </c>
      <c r="AH2981" s="1" t="s">
        <v>30</v>
      </c>
      <c r="BQ2981" s="1" t="s">
        <v>65</v>
      </c>
      <c r="DT2981" s="1" t="s">
        <v>120</v>
      </c>
      <c r="ED2981" s="1" t="s">
        <v>130</v>
      </c>
      <c r="GD2981" s="1" t="s">
        <v>193</v>
      </c>
      <c r="GE2981" s="1" t="s">
        <v>190</v>
      </c>
    </row>
    <row r="2982" spans="1:187" ht="11.25" customHeight="1">
      <c r="A2982" s="1" t="s">
        <v>4253</v>
      </c>
      <c r="B2982" s="1" t="str">
        <f ca="1">IFERROR(__xludf.DUMMYFUNCTION("GOOGLETRANSLATE(A2982, ""en"", ""fr"")"),"CATASTROPHE")</f>
        <v>CATASTROPHE</v>
      </c>
      <c r="C2982" s="1" t="s">
        <v>185</v>
      </c>
      <c r="E2982" s="1" t="s">
        <v>16613</v>
      </c>
      <c r="H2982" s="1" t="s">
        <v>4</v>
      </c>
      <c r="L2982" s="1" t="s">
        <v>8</v>
      </c>
      <c r="V2982" s="1" t="s">
        <v>18</v>
      </c>
      <c r="GD2982" s="1" t="s">
        <v>193</v>
      </c>
      <c r="GE2982" s="1" t="s">
        <v>190</v>
      </c>
    </row>
    <row r="2983" spans="1:187" ht="11.25" customHeight="1">
      <c r="A2983" s="1" t="s">
        <v>4254</v>
      </c>
      <c r="B2983" s="1" t="str">
        <f ca="1">IFERROR(__xludf.DUMMYFUNCTION("GOOGLETRANSLATE(A2983, ""en"", ""fr"")"),"CATASTROPHIQUE")</f>
        <v>CATASTROPHIQUE</v>
      </c>
      <c r="C2983" s="1" t="s">
        <v>185</v>
      </c>
      <c r="E2983" s="1" t="s">
        <v>16613</v>
      </c>
      <c r="H2983" s="1" t="s">
        <v>4</v>
      </c>
      <c r="L2983" s="1" t="s">
        <v>8</v>
      </c>
      <c r="V2983" s="1" t="s">
        <v>18</v>
      </c>
      <c r="CN2983" s="1" t="s">
        <v>88</v>
      </c>
      <c r="GD2983" s="1" t="s">
        <v>202</v>
      </c>
      <c r="GE2983" s="1" t="s">
        <v>190</v>
      </c>
    </row>
    <row r="2984" spans="1:187" ht="11.25" customHeight="1">
      <c r="A2984" s="1" t="s">
        <v>4255</v>
      </c>
      <c r="B2984" s="1" t="str">
        <f ca="1">IFERROR(__xludf.DUMMYFUNCTION("GOOGLETRANSLATE(A2984, ""en"", ""fr"")"),"DÉSAVOUER")</f>
        <v>DÉSAVOUER</v>
      </c>
      <c r="C2984" s="1" t="s">
        <v>185</v>
      </c>
      <c r="E2984" s="1" t="s">
        <v>16613</v>
      </c>
      <c r="H2984" s="1" t="s">
        <v>4</v>
      </c>
      <c r="I2984" s="1" t="s">
        <v>5</v>
      </c>
      <c r="BK2984" s="1" t="s">
        <v>59</v>
      </c>
      <c r="DL2984" s="1" t="s">
        <v>112</v>
      </c>
      <c r="DN2984" s="1" t="s">
        <v>114</v>
      </c>
      <c r="FW2984" s="1" t="s">
        <v>175</v>
      </c>
      <c r="GD2984" s="1" t="s">
        <v>189</v>
      </c>
      <c r="GE2984" s="1" t="s">
        <v>190</v>
      </c>
    </row>
    <row r="2985" spans="1:187" ht="11.25" customHeight="1">
      <c r="A2985" s="1" t="s">
        <v>4256</v>
      </c>
      <c r="B2985" s="1" t="str">
        <f ca="1">IFERROR(__xludf.DUMMYFUNCTION("GOOGLETRANSLATE(A2985, ""en"", ""fr"")"),"DÉSAVEU")</f>
        <v>DÉSAVEU</v>
      </c>
      <c r="C2985" s="1" t="s">
        <v>185</v>
      </c>
      <c r="E2985" s="1" t="s">
        <v>16613</v>
      </c>
      <c r="H2985" s="1" t="s">
        <v>4</v>
      </c>
      <c r="I2985" s="1" t="s">
        <v>5</v>
      </c>
      <c r="BK2985" s="1" t="s">
        <v>59</v>
      </c>
      <c r="BL2985" s="1" t="s">
        <v>60</v>
      </c>
      <c r="DL2985" s="1" t="s">
        <v>112</v>
      </c>
      <c r="FW2985" s="1" t="s">
        <v>175</v>
      </c>
      <c r="GC2985" s="1" t="s">
        <v>181</v>
      </c>
      <c r="GD2985" s="1" t="s">
        <v>193</v>
      </c>
      <c r="GE2985" s="1" t="s">
        <v>190</v>
      </c>
    </row>
    <row r="2986" spans="1:187" ht="11.25" customHeight="1">
      <c r="A2986" s="1" t="s">
        <v>4257</v>
      </c>
      <c r="B2986" s="1" t="str">
        <f ca="1">IFERROR(__xludf.DUMMYFUNCTION("GOOGLETRANSLATE(A2986, ""en"", ""fr"")"),"INCRÉDULITÉ")</f>
        <v>INCRÉDULITÉ</v>
      </c>
      <c r="C2986" s="1" t="s">
        <v>185</v>
      </c>
      <c r="E2986" s="1" t="s">
        <v>16613</v>
      </c>
      <c r="H2986" s="1" t="s">
        <v>4</v>
      </c>
      <c r="I2986" s="1" t="s">
        <v>5</v>
      </c>
      <c r="X2986" s="1" t="s">
        <v>20</v>
      </c>
      <c r="Z2986" s="1" t="s">
        <v>22</v>
      </c>
      <c r="DL2986" s="1" t="s">
        <v>112</v>
      </c>
      <c r="GD2986" s="1" t="s">
        <v>193</v>
      </c>
      <c r="GE2986" s="1" t="s">
        <v>190</v>
      </c>
    </row>
    <row r="2987" spans="1:187" ht="11.25" customHeight="1">
      <c r="A2987" s="1" t="s">
        <v>4258</v>
      </c>
      <c r="B2987" s="1" t="str">
        <f ca="1">IFERROR(__xludf.DUMMYFUNCTION("GOOGLETRANSLATE(A2987, ""en"", ""fr"")"),"DISQUE")</f>
        <v>DISQUE</v>
      </c>
      <c r="C2987" s="1" t="s">
        <v>185</v>
      </c>
      <c r="BC2987" s="1" t="s">
        <v>51</v>
      </c>
      <c r="BD2987" s="1" t="s">
        <v>52</v>
      </c>
      <c r="GD2987" s="1" t="s">
        <v>193</v>
      </c>
      <c r="GE2987" s="1" t="s">
        <v>190</v>
      </c>
    </row>
    <row r="2988" spans="1:187" ht="11.25" customHeight="1">
      <c r="A2988" s="1" t="s">
        <v>4259</v>
      </c>
      <c r="B2988" s="1" t="str">
        <f ca="1">IFERROR(__xludf.DUMMYFUNCTION("GOOGLETRANSLATE(A2988, ""en"", ""fr"")"),"Défaus # 1")</f>
        <v>Défaus # 1</v>
      </c>
      <c r="C2988" s="1" t="s">
        <v>185</v>
      </c>
      <c r="N2988" s="1" t="s">
        <v>10</v>
      </c>
      <c r="BZ2988" s="1" t="s">
        <v>74</v>
      </c>
      <c r="GD2988" s="1" t="s">
        <v>202</v>
      </c>
      <c r="GE2988" s="1" t="s">
        <v>190</v>
      </c>
    </row>
    <row r="2989" spans="1:187" ht="11.25" customHeight="1">
      <c r="A2989" s="1" t="s">
        <v>4260</v>
      </c>
      <c r="B2989" s="1" t="str">
        <f ca="1">IFERROR(__xludf.DUMMYFUNCTION("GOOGLETRANSLATE(A2989, ""en"", ""fr"")"),"Défaus # 2")</f>
        <v>Défaus # 2</v>
      </c>
      <c r="C2989" s="1" t="s">
        <v>185</v>
      </c>
      <c r="N2989" s="1" t="s">
        <v>10</v>
      </c>
      <c r="BZ2989" s="1" t="s">
        <v>74</v>
      </c>
      <c r="DN2989" s="1" t="s">
        <v>114</v>
      </c>
      <c r="GD2989" s="1" t="s">
        <v>189</v>
      </c>
      <c r="GE2989" s="1" t="s">
        <v>190</v>
      </c>
    </row>
    <row r="2990" spans="1:187" ht="11.25" customHeight="1">
      <c r="A2990" s="1" t="s">
        <v>4261</v>
      </c>
      <c r="B2990" s="1" t="str">
        <f ca="1">IFERROR(__xludf.DUMMYFUNCTION("GOOGLETRANSLATE(A2990, ""en"", ""fr"")"),"DISCERNER")</f>
        <v>DISCERNER</v>
      </c>
      <c r="C2990" s="1" t="s">
        <v>192</v>
      </c>
      <c r="D2990" s="1" t="s">
        <v>16612</v>
      </c>
      <c r="N2990" s="1" t="s">
        <v>10</v>
      </c>
      <c r="CK2990" s="1" t="s">
        <v>85</v>
      </c>
      <c r="CM2990" s="1" t="s">
        <v>87</v>
      </c>
      <c r="CO2990" s="1" t="s">
        <v>89</v>
      </c>
      <c r="DN2990" s="1" t="s">
        <v>114</v>
      </c>
      <c r="GD2990" s="1" t="s">
        <v>189</v>
      </c>
      <c r="GE2990" s="1" t="s">
        <v>190</v>
      </c>
    </row>
    <row r="2991" spans="1:187" ht="11.25" customHeight="1">
      <c r="A2991" s="1" t="s">
        <v>4262</v>
      </c>
      <c r="B2991" s="1" t="str">
        <f ca="1">IFERROR(__xludf.DUMMYFUNCTION("GOOGLETRANSLATE(A2991, ""en"", ""fr"")"),"PERCEPTIBLE")</f>
        <v>PERCEPTIBLE</v>
      </c>
      <c r="C2991" s="1" t="s">
        <v>185</v>
      </c>
      <c r="O2991" s="1" t="s">
        <v>11</v>
      </c>
      <c r="CK2991" s="1" t="s">
        <v>85</v>
      </c>
      <c r="FH2991" s="1" t="s">
        <v>160</v>
      </c>
      <c r="FI2991" s="1" t="s">
        <v>161</v>
      </c>
      <c r="GD2991" s="1" t="s">
        <v>202</v>
      </c>
      <c r="GE2991" s="1" t="s">
        <v>190</v>
      </c>
    </row>
    <row r="2992" spans="1:187" ht="11.25" customHeight="1">
      <c r="A2992" s="1" t="s">
        <v>4263</v>
      </c>
      <c r="B2992" s="1" t="str">
        <f ca="1">IFERROR(__xludf.DUMMYFUNCTION("GOOGLETRANSLATE(A2992, ""en"", ""fr"")"),"Décharge n ° 1")</f>
        <v>Décharge n ° 1</v>
      </c>
      <c r="C2992" s="1" t="s">
        <v>185</v>
      </c>
      <c r="E2992" s="1" t="s">
        <v>16613</v>
      </c>
      <c r="H2992" s="1" t="s">
        <v>4</v>
      </c>
      <c r="J2992" s="1" t="s">
        <v>6</v>
      </c>
      <c r="K2992" s="1" t="s">
        <v>7</v>
      </c>
      <c r="N2992" s="1" t="s">
        <v>10</v>
      </c>
      <c r="AF2992" s="1" t="s">
        <v>28</v>
      </c>
      <c r="AG2992" s="1" t="s">
        <v>29</v>
      </c>
      <c r="AM2992" s="1" t="s">
        <v>35</v>
      </c>
      <c r="DT2992" s="1" t="s">
        <v>120</v>
      </c>
      <c r="ED2992" s="1" t="s">
        <v>130</v>
      </c>
      <c r="GD2992" s="1" t="s">
        <v>193</v>
      </c>
      <c r="GE2992" s="1" t="s">
        <v>190</v>
      </c>
    </row>
    <row r="2993" spans="1:187" ht="11.25" customHeight="1">
      <c r="A2993" s="1" t="s">
        <v>4264</v>
      </c>
      <c r="B2993" s="1" t="str">
        <f ca="1">IFERROR(__xludf.DUMMYFUNCTION("GOOGLETRANSLATE(A2993, ""en"", ""fr"")"),"Décharge n ° 2")</f>
        <v>Décharge n ° 2</v>
      </c>
      <c r="C2993" s="1" t="s">
        <v>185</v>
      </c>
      <c r="E2993" s="1" t="s">
        <v>16613</v>
      </c>
      <c r="H2993" s="1" t="s">
        <v>4</v>
      </c>
      <c r="J2993" s="1" t="s">
        <v>6</v>
      </c>
      <c r="K2993" s="1" t="s">
        <v>7</v>
      </c>
      <c r="N2993" s="1" t="s">
        <v>10</v>
      </c>
      <c r="AE2993" s="1" t="s">
        <v>27</v>
      </c>
      <c r="AN2993" s="1" t="s">
        <v>36</v>
      </c>
      <c r="DN2993" s="1" t="s">
        <v>114</v>
      </c>
      <c r="FP2993" s="1" t="s">
        <v>168</v>
      </c>
      <c r="GD2993" s="1" t="s">
        <v>189</v>
      </c>
      <c r="GE2993" s="1" t="s">
        <v>190</v>
      </c>
    </row>
    <row r="2994" spans="1:187" ht="11.25" customHeight="1">
      <c r="A2994" s="1" t="s">
        <v>4265</v>
      </c>
      <c r="B2994" s="1" t="str">
        <f ca="1">IFERROR(__xludf.DUMMYFUNCTION("GOOGLETRANSLATE(A2994, ""en"", ""fr"")"),"DISCIPLE")</f>
        <v>DISCIPLE</v>
      </c>
      <c r="C2994" s="1" t="s">
        <v>185</v>
      </c>
      <c r="G2994" s="1" t="s">
        <v>3</v>
      </c>
      <c r="M2994" s="1" t="s">
        <v>9</v>
      </c>
      <c r="O2994" s="1" t="s">
        <v>11</v>
      </c>
      <c r="AJ2994" s="1" t="s">
        <v>32</v>
      </c>
      <c r="AT2994" s="1" t="s">
        <v>42</v>
      </c>
      <c r="EF2994" s="1" t="s">
        <v>132</v>
      </c>
      <c r="EJ2994" s="1" t="s">
        <v>136</v>
      </c>
      <c r="GD2994" s="1" t="s">
        <v>193</v>
      </c>
      <c r="GE2994" s="1" t="s">
        <v>4266</v>
      </c>
    </row>
    <row r="2995" spans="1:187" ht="11.25" customHeight="1">
      <c r="A2995" s="1" t="s">
        <v>4267</v>
      </c>
      <c r="B2995" s="1" t="str">
        <f ca="1">IFERROR(__xludf.DUMMYFUNCTION("GOOGLETRANSLATE(A2995, ""en"", ""fr"")"),"Discipline n ° 1")</f>
        <v>Discipline n ° 1</v>
      </c>
      <c r="C2995" s="1" t="s">
        <v>185</v>
      </c>
      <c r="J2995" s="1" t="s">
        <v>6</v>
      </c>
      <c r="U2995" s="1" t="s">
        <v>17</v>
      </c>
      <c r="EI2995" s="1" t="s">
        <v>135</v>
      </c>
      <c r="EJ2995" s="1" t="s">
        <v>136</v>
      </c>
      <c r="GD2995" s="1" t="s">
        <v>193</v>
      </c>
      <c r="GE2995" s="1" t="s">
        <v>4268</v>
      </c>
    </row>
    <row r="2996" spans="1:187" ht="11.25" customHeight="1">
      <c r="A2996" s="1" t="s">
        <v>4269</v>
      </c>
      <c r="B2996" s="1" t="str">
        <f ca="1">IFERROR(__xludf.DUMMYFUNCTION("GOOGLETRANSLATE(A2996, ""en"", ""fr"")"),"Discipline n ° 2")</f>
        <v>Discipline n ° 2</v>
      </c>
      <c r="C2996" s="1" t="s">
        <v>185</v>
      </c>
      <c r="J2996" s="1" t="s">
        <v>6</v>
      </c>
      <c r="K2996" s="1" t="s">
        <v>7</v>
      </c>
      <c r="N2996" s="1" t="s">
        <v>10</v>
      </c>
      <c r="AN2996" s="1" t="s">
        <v>36</v>
      </c>
      <c r="DN2996" s="1" t="s">
        <v>114</v>
      </c>
      <c r="EI2996" s="1" t="s">
        <v>135</v>
      </c>
      <c r="EJ2996" s="1" t="s">
        <v>136</v>
      </c>
      <c r="GD2996" s="1" t="s">
        <v>189</v>
      </c>
      <c r="GE2996" s="1" t="s">
        <v>4270</v>
      </c>
    </row>
    <row r="2997" spans="1:187" ht="11.25" customHeight="1">
      <c r="A2997" s="1" t="s">
        <v>4271</v>
      </c>
      <c r="B2997" s="1" t="str">
        <f ca="1">IFERROR(__xludf.DUMMYFUNCTION("GOOGLETRANSLATE(A2997, ""en"", ""fr"")"),"Discipline n ° 3")</f>
        <v>Discipline n ° 3</v>
      </c>
      <c r="C2997" s="1" t="s">
        <v>185</v>
      </c>
      <c r="O2997" s="1" t="s">
        <v>11</v>
      </c>
      <c r="U2997" s="1" t="s">
        <v>17</v>
      </c>
      <c r="EI2997" s="1" t="s">
        <v>135</v>
      </c>
      <c r="EJ2997" s="1" t="s">
        <v>136</v>
      </c>
      <c r="GD2997" s="1" t="s">
        <v>202</v>
      </c>
      <c r="GE2997" s="1" t="s">
        <v>4272</v>
      </c>
    </row>
    <row r="2998" spans="1:187" ht="11.25" customHeight="1">
      <c r="A2998" s="1" t="s">
        <v>4273</v>
      </c>
      <c r="B2998" s="1" t="str">
        <f ca="1">IFERROR(__xludf.DUMMYFUNCTION("GOOGLETRANSLATE(A2998, ""en"", ""fr"")"),"DÉSAVOUER")</f>
        <v>DÉSAVOUER</v>
      </c>
      <c r="C2998" s="1" t="s">
        <v>185</v>
      </c>
      <c r="E2998" s="1" t="s">
        <v>16613</v>
      </c>
      <c r="H2998" s="1" t="s">
        <v>4</v>
      </c>
      <c r="BK2998" s="1" t="s">
        <v>59</v>
      </c>
      <c r="DN2998" s="1" t="s">
        <v>114</v>
      </c>
      <c r="GD2998" s="1" t="s">
        <v>189</v>
      </c>
      <c r="GE2998" s="1" t="s">
        <v>190</v>
      </c>
    </row>
    <row r="2999" spans="1:187" ht="11.25" customHeight="1">
      <c r="A2999" s="1" t="s">
        <v>4274</v>
      </c>
      <c r="B2999" s="1" t="str">
        <f ca="1">IFERROR(__xludf.DUMMYFUNCTION("GOOGLETRANSLATE(A2999, ""en"", ""fr"")"),"Divulguer # 1")</f>
        <v>Divulguer # 1</v>
      </c>
      <c r="C2999" s="1" t="s">
        <v>185</v>
      </c>
      <c r="BK2999" s="1" t="s">
        <v>59</v>
      </c>
      <c r="FD2999" s="1" t="s">
        <v>156</v>
      </c>
      <c r="FI2999" s="1" t="s">
        <v>161</v>
      </c>
      <c r="GC2999" s="1" t="s">
        <v>181</v>
      </c>
      <c r="GD2999" s="1" t="s">
        <v>202</v>
      </c>
      <c r="GE2999" s="1" t="s">
        <v>190</v>
      </c>
    </row>
    <row r="3000" spans="1:187" ht="11.25" customHeight="1">
      <c r="A3000" s="1" t="s">
        <v>4275</v>
      </c>
      <c r="B3000" s="1" t="str">
        <f ca="1">IFERROR(__xludf.DUMMYFUNCTION("GOOGLETRANSLATE(A3000, ""en"", ""fr"")"),"Divulguer # 2")</f>
        <v>Divulguer # 2</v>
      </c>
      <c r="C3000" s="1" t="s">
        <v>185</v>
      </c>
      <c r="BK3000" s="1" t="s">
        <v>59</v>
      </c>
      <c r="DN3000" s="1" t="s">
        <v>114</v>
      </c>
      <c r="FD3000" s="1" t="s">
        <v>156</v>
      </c>
      <c r="FI3000" s="1" t="s">
        <v>161</v>
      </c>
      <c r="GD3000" s="1" t="s">
        <v>189</v>
      </c>
      <c r="GE3000" s="1" t="s">
        <v>190</v>
      </c>
    </row>
    <row r="3001" spans="1:187" ht="11.25" customHeight="1">
      <c r="A3001" s="1" t="s">
        <v>4276</v>
      </c>
      <c r="B3001" s="1" t="str">
        <f ca="1">IFERROR(__xludf.DUMMYFUNCTION("GOOGLETRANSLATE(A3001, ""en"", ""fr"")"),"DIVULGATION")</f>
        <v>DIVULGATION</v>
      </c>
      <c r="C3001" s="1" t="s">
        <v>196</v>
      </c>
      <c r="FD3001" s="1" t="s">
        <v>156</v>
      </c>
      <c r="FI3001" s="1" t="s">
        <v>161</v>
      </c>
      <c r="GD3001" s="1" t="s">
        <v>193</v>
      </c>
    </row>
    <row r="3002" spans="1:187" ht="11.25" customHeight="1">
      <c r="A3002" s="1" t="s">
        <v>4277</v>
      </c>
      <c r="B3002" s="1" t="str">
        <f ca="1">IFERROR(__xludf.DUMMYFUNCTION("GOOGLETRANSLATE(A3002, ""en"", ""fr"")"),"INCONFORT")</f>
        <v>INCONFORT</v>
      </c>
      <c r="C3002" s="1" t="s">
        <v>185</v>
      </c>
      <c r="E3002" s="1" t="s">
        <v>16613</v>
      </c>
      <c r="H3002" s="1" t="s">
        <v>4</v>
      </c>
      <c r="Q3002" s="1" t="s">
        <v>13</v>
      </c>
      <c r="DL3002" s="1" t="s">
        <v>112</v>
      </c>
      <c r="EZ3002" s="1" t="s">
        <v>152</v>
      </c>
      <c r="FC3002" s="1" t="s">
        <v>155</v>
      </c>
      <c r="GD3002" s="1" t="s">
        <v>193</v>
      </c>
      <c r="GE3002" s="1" t="s">
        <v>190</v>
      </c>
    </row>
    <row r="3003" spans="1:187" ht="11.25" customHeight="1">
      <c r="A3003" s="1" t="s">
        <v>4278</v>
      </c>
      <c r="B3003" s="1" t="str">
        <f ca="1">IFERROR(__xludf.DUMMYFUNCTION("GOOGLETRANSLATE(A3003, ""en"", ""fr"")"),"Déconcerté")</f>
        <v>Déconcerté</v>
      </c>
      <c r="C3003" s="1" t="s">
        <v>185</v>
      </c>
      <c r="E3003" s="1" t="s">
        <v>16613</v>
      </c>
      <c r="H3003" s="1" t="s">
        <v>4</v>
      </c>
      <c r="L3003" s="1" t="s">
        <v>8</v>
      </c>
      <c r="O3003" s="1" t="s">
        <v>11</v>
      </c>
      <c r="Q3003" s="1" t="s">
        <v>13</v>
      </c>
      <c r="X3003" s="1" t="s">
        <v>20</v>
      </c>
      <c r="GD3003" s="1" t="s">
        <v>202</v>
      </c>
      <c r="GE3003" s="1" t="s">
        <v>190</v>
      </c>
    </row>
    <row r="3004" spans="1:187" ht="11.25" customHeight="1">
      <c r="A3004" s="1" t="s">
        <v>4279</v>
      </c>
      <c r="B3004" s="1" t="str">
        <f ca="1">IFERROR(__xludf.DUMMYFUNCTION("GOOGLETRANSLATE(A3004, ""en"", ""fr"")"),"MÉCONTENTEMENT")</f>
        <v>MÉCONTENTEMENT</v>
      </c>
      <c r="C3004" s="1" t="s">
        <v>185</v>
      </c>
      <c r="E3004" s="1" t="s">
        <v>16613</v>
      </c>
      <c r="H3004" s="1" t="s">
        <v>4</v>
      </c>
      <c r="L3004" s="1" t="s">
        <v>8</v>
      </c>
      <c r="O3004" s="1" t="s">
        <v>11</v>
      </c>
      <c r="Q3004" s="1" t="s">
        <v>13</v>
      </c>
      <c r="DL3004" s="1" t="s">
        <v>112</v>
      </c>
      <c r="FA3004" s="1" t="s">
        <v>153</v>
      </c>
      <c r="FC3004" s="1" t="s">
        <v>155</v>
      </c>
      <c r="GD3004" s="1" t="s">
        <v>202</v>
      </c>
      <c r="GE3004" s="1" t="s">
        <v>190</v>
      </c>
    </row>
    <row r="3005" spans="1:187" ht="11.25" customHeight="1">
      <c r="A3005" s="1" t="s">
        <v>4280</v>
      </c>
      <c r="B3005" s="1" t="str">
        <f ca="1">IFERROR(__xludf.DUMMYFUNCTION("GOOGLETRANSLATE(A3005, ""en"", ""fr"")"),"Abandonner # 1")</f>
        <v>Abandonner # 1</v>
      </c>
      <c r="C3005" s="1" t="s">
        <v>185</v>
      </c>
      <c r="BZ3005" s="1" t="s">
        <v>74</v>
      </c>
      <c r="DL3005" s="1" t="s">
        <v>112</v>
      </c>
      <c r="FO3005" s="1" t="s">
        <v>167</v>
      </c>
      <c r="GD3005" s="1" t="s">
        <v>202</v>
      </c>
      <c r="GE3005" s="1" t="s">
        <v>190</v>
      </c>
    </row>
    <row r="3006" spans="1:187" ht="11.25" customHeight="1">
      <c r="A3006" s="1" t="s">
        <v>4281</v>
      </c>
      <c r="B3006" s="1" t="str">
        <f ca="1">IFERROR(__xludf.DUMMYFUNCTION("GOOGLETRANSLATE(A3006, ""en"", ""fr"")"),"Abandonner # 2")</f>
        <v>Abandonner # 2</v>
      </c>
      <c r="C3006" s="1" t="s">
        <v>185</v>
      </c>
      <c r="BZ3006" s="1" t="s">
        <v>74</v>
      </c>
      <c r="DL3006" s="1" t="s">
        <v>112</v>
      </c>
      <c r="DN3006" s="1" t="s">
        <v>114</v>
      </c>
      <c r="FO3006" s="1" t="s">
        <v>167</v>
      </c>
      <c r="GD3006" s="1" t="s">
        <v>189</v>
      </c>
      <c r="GE3006" s="1" t="s">
        <v>190</v>
      </c>
    </row>
    <row r="3007" spans="1:187" ht="11.25" customHeight="1">
      <c r="A3007" s="1" t="s">
        <v>4282</v>
      </c>
      <c r="B3007" s="1" t="str">
        <f ca="1">IFERROR(__xludf.DUMMYFUNCTION("GOOGLETRANSLATE(A3007, ""en"", ""fr"")"),"DISCORDE")</f>
        <v>DISCORDE</v>
      </c>
      <c r="C3007" s="1" t="s">
        <v>185</v>
      </c>
      <c r="E3007" s="1" t="s">
        <v>16613</v>
      </c>
      <c r="H3007" s="1" t="s">
        <v>4</v>
      </c>
      <c r="I3007" s="1" t="s">
        <v>5</v>
      </c>
      <c r="L3007" s="1" t="s">
        <v>8</v>
      </c>
      <c r="V3007" s="1" t="s">
        <v>18</v>
      </c>
      <c r="DW3007" s="1" t="s">
        <v>123</v>
      </c>
      <c r="ED3007" s="1" t="s">
        <v>130</v>
      </c>
      <c r="GD3007" s="1" t="s">
        <v>202</v>
      </c>
      <c r="GE3007" s="1" t="s">
        <v>190</v>
      </c>
    </row>
    <row r="3008" spans="1:187" ht="11.25" customHeight="1">
      <c r="A3008" s="1" t="s">
        <v>4283</v>
      </c>
      <c r="B3008" s="1" t="str">
        <f ca="1">IFERROR(__xludf.DUMMYFUNCTION("GOOGLETRANSLATE(A3008, ""en"", ""fr"")"),"DISCORDANT")</f>
        <v>DISCORDANT</v>
      </c>
      <c r="C3008" s="1" t="s">
        <v>192</v>
      </c>
      <c r="E3008" s="1" t="s">
        <v>16613</v>
      </c>
      <c r="I3008" s="1" t="s">
        <v>5</v>
      </c>
      <c r="BK3008" s="1" t="s">
        <v>59</v>
      </c>
      <c r="CM3008" s="1" t="s">
        <v>87</v>
      </c>
      <c r="DR3008" s="1" t="s">
        <v>118</v>
      </c>
      <c r="GD3008" s="1" t="s">
        <v>202</v>
      </c>
      <c r="GE3008" s="1" t="s">
        <v>190</v>
      </c>
    </row>
    <row r="3009" spans="1:187" ht="11.25" customHeight="1">
      <c r="A3009" s="1" t="s">
        <v>4284</v>
      </c>
      <c r="B3009" s="1" t="str">
        <f ca="1">IFERROR(__xludf.DUMMYFUNCTION("GOOGLETRANSLATE(A3009, ""en"", ""fr"")"),"Remise n ° 1")</f>
        <v>Remise n ° 1</v>
      </c>
      <c r="C3009" s="1" t="s">
        <v>185</v>
      </c>
      <c r="O3009" s="1" t="s">
        <v>11</v>
      </c>
      <c r="AA3009" s="1" t="s">
        <v>23</v>
      </c>
      <c r="AC3009" s="1" t="s">
        <v>25</v>
      </c>
      <c r="CS3009" s="1" t="s">
        <v>93</v>
      </c>
      <c r="GD3009" s="1" t="s">
        <v>193</v>
      </c>
      <c r="GE3009" s="1" t="s">
        <v>190</v>
      </c>
    </row>
    <row r="3010" spans="1:187" ht="11.25" customHeight="1">
      <c r="A3010" s="1" t="s">
        <v>4285</v>
      </c>
      <c r="B3010" s="1" t="str">
        <f ca="1">IFERROR(__xludf.DUMMYFUNCTION("GOOGLETRANSLATE(A3010, ""en"", ""fr"")"),"Remise n ° 2")</f>
        <v>Remise n ° 2</v>
      </c>
      <c r="C3010" s="1" t="s">
        <v>185</v>
      </c>
      <c r="O3010" s="1" t="s">
        <v>11</v>
      </c>
      <c r="BY3010" s="1" t="s">
        <v>73</v>
      </c>
      <c r="DL3010" s="1" t="s">
        <v>112</v>
      </c>
      <c r="DN3010" s="1" t="s">
        <v>114</v>
      </c>
      <c r="GD3010" s="1" t="s">
        <v>189</v>
      </c>
      <c r="GE3010" s="1" t="s">
        <v>190</v>
      </c>
    </row>
    <row r="3011" spans="1:187" ht="11.25" customHeight="1">
      <c r="A3011" s="1" t="s">
        <v>4286</v>
      </c>
      <c r="B3011" s="1" t="str">
        <f ca="1">IFERROR(__xludf.DUMMYFUNCTION("GOOGLETRANSLATE(A3011, ""en"", ""fr"")"),"Décourager n ° 1")</f>
        <v>Décourager n ° 1</v>
      </c>
      <c r="C3011" s="1" t="s">
        <v>185</v>
      </c>
      <c r="E3011" s="1" t="s">
        <v>16613</v>
      </c>
      <c r="H3011" s="1" t="s">
        <v>4</v>
      </c>
      <c r="O3011" s="1" t="s">
        <v>11</v>
      </c>
      <c r="Q3011" s="1" t="s">
        <v>13</v>
      </c>
      <c r="T3011" s="1" t="s">
        <v>16</v>
      </c>
      <c r="DL3011" s="1" t="s">
        <v>112</v>
      </c>
      <c r="FV3011" s="1" t="s">
        <v>174</v>
      </c>
      <c r="GD3011" s="1" t="s">
        <v>202</v>
      </c>
      <c r="GE3011" s="1" t="s">
        <v>190</v>
      </c>
    </row>
    <row r="3012" spans="1:187" ht="11.25" customHeight="1">
      <c r="A3012" s="1" t="s">
        <v>4287</v>
      </c>
      <c r="B3012" s="1" t="str">
        <f ca="1">IFERROR(__xludf.DUMMYFUNCTION("GOOGLETRANSLATE(A3012, ""en"", ""fr"")"),"Décourager n ° 2")</f>
        <v>Décourager n ° 2</v>
      </c>
      <c r="C3012" s="1" t="s">
        <v>185</v>
      </c>
      <c r="E3012" s="1" t="s">
        <v>16613</v>
      </c>
      <c r="H3012" s="1" t="s">
        <v>4</v>
      </c>
      <c r="I3012" s="1" t="s">
        <v>5</v>
      </c>
      <c r="N3012" s="1" t="s">
        <v>10</v>
      </c>
      <c r="Q3012" s="1" t="s">
        <v>13</v>
      </c>
      <c r="DL3012" s="1" t="s">
        <v>112</v>
      </c>
      <c r="DN3012" s="1" t="s">
        <v>114</v>
      </c>
      <c r="FV3012" s="1" t="s">
        <v>174</v>
      </c>
      <c r="GD3012" s="1" t="s">
        <v>189</v>
      </c>
      <c r="GE3012" s="1" t="s">
        <v>190</v>
      </c>
    </row>
    <row r="3013" spans="1:187" ht="11.25" customHeight="1">
      <c r="A3013" s="1" t="s">
        <v>4288</v>
      </c>
      <c r="B3013" s="1" t="str">
        <f ca="1">IFERROR(__xludf.DUMMYFUNCTION("GOOGLETRANSLATE(A3013, ""en"", ""fr"")"),"DÉCOURAGEMENT")</f>
        <v>DÉCOURAGEMENT</v>
      </c>
      <c r="C3013" s="1" t="s">
        <v>192</v>
      </c>
      <c r="E3013" s="1" t="s">
        <v>16613</v>
      </c>
      <c r="L3013" s="1" t="s">
        <v>8</v>
      </c>
      <c r="M3013" s="1" t="s">
        <v>9</v>
      </c>
      <c r="V3013" s="1" t="s">
        <v>18</v>
      </c>
      <c r="BY3013" s="1" t="s">
        <v>73</v>
      </c>
      <c r="GD3013" s="1" t="s">
        <v>193</v>
      </c>
      <c r="GE3013" s="1" t="s">
        <v>190</v>
      </c>
    </row>
    <row r="3014" spans="1:187" ht="11.25" customHeight="1">
      <c r="A3014" s="1" t="s">
        <v>4289</v>
      </c>
      <c r="B3014" s="1" t="str">
        <f ca="1">IFERROR(__xludf.DUMMYFUNCTION("GOOGLETRANSLATE(A3014, ""en"", ""fr"")"),"DISCOURS")</f>
        <v>DISCOURS</v>
      </c>
      <c r="C3014" s="1" t="s">
        <v>185</v>
      </c>
      <c r="Y3014" s="1" t="s">
        <v>21</v>
      </c>
      <c r="BK3014" s="1" t="s">
        <v>59</v>
      </c>
      <c r="BL3014" s="1" t="s">
        <v>60</v>
      </c>
      <c r="FH3014" s="1" t="s">
        <v>160</v>
      </c>
      <c r="FI3014" s="1" t="s">
        <v>161</v>
      </c>
      <c r="GC3014" s="1" t="s">
        <v>181</v>
      </c>
      <c r="GD3014" s="1" t="s">
        <v>193</v>
      </c>
      <c r="GE3014" s="1" t="s">
        <v>190</v>
      </c>
    </row>
    <row r="3015" spans="1:187" ht="11.25" customHeight="1">
      <c r="A3015" s="1" t="s">
        <v>4290</v>
      </c>
      <c r="B3015" s="1" t="str">
        <f ca="1">IFERROR(__xludf.DUMMYFUNCTION("GOOGLETRANSLATE(A3015, ""en"", ""fr"")"),"DÉCOUVRIR")</f>
        <v>DÉCOUVRIR</v>
      </c>
      <c r="C3015" s="1" t="s">
        <v>185</v>
      </c>
      <c r="CK3015" s="1" t="s">
        <v>85</v>
      </c>
      <c r="DN3015" s="1" t="s">
        <v>114</v>
      </c>
      <c r="FF3015" s="1" t="s">
        <v>158</v>
      </c>
      <c r="FI3015" s="1" t="s">
        <v>161</v>
      </c>
      <c r="GD3015" s="1" t="s">
        <v>189</v>
      </c>
      <c r="GE3015" s="1" t="s">
        <v>4291</v>
      </c>
    </row>
    <row r="3016" spans="1:187" ht="11.25" customHeight="1">
      <c r="A3016" s="1" t="s">
        <v>4292</v>
      </c>
      <c r="B3016" s="1" t="str">
        <f ca="1">IFERROR(__xludf.DUMMYFUNCTION("GOOGLETRANSLATE(A3016, ""en"", ""fr"")"),"DÉCOUVERTE")</f>
        <v>DÉCOUVERTE</v>
      </c>
      <c r="C3016" s="1" t="s">
        <v>185</v>
      </c>
      <c r="CK3016" s="1" t="s">
        <v>85</v>
      </c>
      <c r="FH3016" s="1" t="s">
        <v>160</v>
      </c>
      <c r="FI3016" s="1" t="s">
        <v>161</v>
      </c>
      <c r="GD3016" s="1" t="s">
        <v>193</v>
      </c>
      <c r="GE3016" s="1" t="s">
        <v>190</v>
      </c>
    </row>
    <row r="3017" spans="1:187" ht="11.25" customHeight="1">
      <c r="A3017" s="1" t="s">
        <v>4293</v>
      </c>
      <c r="B3017" s="1" t="str">
        <f ca="1">IFERROR(__xludf.DUMMYFUNCTION("GOOGLETRANSLATE(A3017, ""en"", ""fr"")"),"DISCRÉDIT")</f>
        <v>DISCRÉDIT</v>
      </c>
      <c r="C3017" s="1" t="s">
        <v>192</v>
      </c>
      <c r="E3017" s="1" t="s">
        <v>16613</v>
      </c>
      <c r="I3017" s="1" t="s">
        <v>5</v>
      </c>
      <c r="N3017" s="1" t="s">
        <v>10</v>
      </c>
      <c r="BK3017" s="1" t="s">
        <v>59</v>
      </c>
      <c r="DN3017" s="1" t="s">
        <v>114</v>
      </c>
      <c r="GD3017" s="1" t="s">
        <v>189</v>
      </c>
      <c r="GE3017" s="1" t="s">
        <v>190</v>
      </c>
    </row>
    <row r="3018" spans="1:187" ht="11.25" customHeight="1">
      <c r="A3018" s="1" t="s">
        <v>4294</v>
      </c>
      <c r="B3018" s="1" t="str">
        <f ca="1">IFERROR(__xludf.DUMMYFUNCTION("GOOGLETRANSLATE(A3018, ""en"", ""fr"")"),"DISCRET")</f>
        <v>DISCRET</v>
      </c>
      <c r="C3018" s="1" t="s">
        <v>185</v>
      </c>
      <c r="D3018" s="1" t="s">
        <v>16612</v>
      </c>
      <c r="F3018" s="1" t="s">
        <v>2</v>
      </c>
      <c r="U3018" s="1" t="s">
        <v>17</v>
      </c>
      <c r="GD3018" s="1" t="s">
        <v>202</v>
      </c>
      <c r="GE3018" s="1" t="s">
        <v>190</v>
      </c>
    </row>
    <row r="3019" spans="1:187" ht="11.25" customHeight="1">
      <c r="A3019" s="1" t="s">
        <v>4295</v>
      </c>
      <c r="B3019" s="1" t="str">
        <f ca="1">IFERROR(__xludf.DUMMYFUNCTION("GOOGLETRANSLATE(A3019, ""en"", ""fr"")"),"DIVERGENCE")</f>
        <v>DIVERGENCE</v>
      </c>
      <c r="C3019" s="1" t="s">
        <v>185</v>
      </c>
      <c r="CH3019" s="1" t="s">
        <v>82</v>
      </c>
      <c r="GD3019" s="1" t="s">
        <v>193</v>
      </c>
      <c r="GE3019" s="1" t="s">
        <v>190</v>
      </c>
    </row>
    <row r="3020" spans="1:187" ht="11.25" customHeight="1">
      <c r="A3020" s="1" t="s">
        <v>4296</v>
      </c>
      <c r="B3020" s="1" t="str">
        <f ca="1">IFERROR(__xludf.DUMMYFUNCTION("GOOGLETRANSLATE(A3020, ""en"", ""fr"")"),"Divertissant")</f>
        <v>Divertissant</v>
      </c>
      <c r="C3020" s="1" t="s">
        <v>192</v>
      </c>
      <c r="E3020" s="1" t="s">
        <v>16613</v>
      </c>
      <c r="I3020" s="1" t="s">
        <v>5</v>
      </c>
      <c r="BK3020" s="1" t="s">
        <v>59</v>
      </c>
      <c r="CM3020" s="1" t="s">
        <v>87</v>
      </c>
      <c r="DR3020" s="1" t="s">
        <v>118</v>
      </c>
      <c r="GD3020" s="1" t="s">
        <v>202</v>
      </c>
      <c r="GE3020" s="1" t="s">
        <v>190</v>
      </c>
    </row>
    <row r="3021" spans="1:187" ht="11.25" customHeight="1">
      <c r="A3021" s="1" t="s">
        <v>4297</v>
      </c>
      <c r="B3021" s="1" t="str">
        <f ca="1">IFERROR(__xludf.DUMMYFUNCTION("GOOGLETRANSLATE(A3021, ""en"", ""fr"")"),"DISCRÉTION")</f>
        <v>DISCRÉTION</v>
      </c>
      <c r="C3021" s="1" t="s">
        <v>185</v>
      </c>
      <c r="D3021" s="1" t="s">
        <v>16612</v>
      </c>
      <c r="F3021" s="1" t="s">
        <v>2</v>
      </c>
      <c r="U3021" s="1" t="s">
        <v>17</v>
      </c>
      <c r="GD3021" s="1" t="s">
        <v>193</v>
      </c>
      <c r="GE3021" s="1" t="s">
        <v>190</v>
      </c>
    </row>
    <row r="3022" spans="1:187" ht="11.25" customHeight="1">
      <c r="A3022" s="1" t="s">
        <v>4298</v>
      </c>
      <c r="B3022" s="1" t="str">
        <f ca="1">IFERROR(__xludf.DUMMYFUNCTION("GOOGLETRANSLATE(A3022, ""en"", ""fr"")"),"Discriminer")</f>
        <v>Discriminer</v>
      </c>
      <c r="C3022" s="1" t="s">
        <v>192</v>
      </c>
      <c r="E3022" s="1" t="s">
        <v>16613</v>
      </c>
      <c r="N3022" s="1" t="s">
        <v>10</v>
      </c>
      <c r="CM3022" s="1" t="s">
        <v>87</v>
      </c>
      <c r="DN3022" s="1" t="s">
        <v>114</v>
      </c>
      <c r="GD3022" s="1" t="s">
        <v>189</v>
      </c>
      <c r="GE3022" s="1" t="s">
        <v>190</v>
      </c>
    </row>
    <row r="3023" spans="1:187" ht="11.25" customHeight="1">
      <c r="A3023" s="1" t="s">
        <v>4299</v>
      </c>
      <c r="B3023" s="1" t="str">
        <f ca="1">IFERROR(__xludf.DUMMYFUNCTION("GOOGLETRANSLATE(A3023, ""en"", ""fr"")"),"DISCRIMINATION")</f>
        <v>DISCRIMINATION</v>
      </c>
      <c r="C3023" s="1" t="s">
        <v>185</v>
      </c>
      <c r="I3023" s="1" t="s">
        <v>5</v>
      </c>
      <c r="V3023" s="1" t="s">
        <v>18</v>
      </c>
      <c r="AC3023" s="1" t="s">
        <v>25</v>
      </c>
      <c r="AH3023" s="1" t="s">
        <v>30</v>
      </c>
      <c r="AO3023" s="1" t="s">
        <v>37</v>
      </c>
      <c r="EM3023" s="1" t="s">
        <v>139</v>
      </c>
      <c r="EN3023" s="1" t="s">
        <v>140</v>
      </c>
      <c r="GD3023" s="1" t="s">
        <v>849</v>
      </c>
      <c r="GE3023" s="1" t="s">
        <v>4300</v>
      </c>
    </row>
    <row r="3024" spans="1:187" ht="11.25" customHeight="1">
      <c r="A3024" s="1" t="s">
        <v>4301</v>
      </c>
      <c r="B3024" s="1" t="str">
        <f ca="1">IFERROR(__xludf.DUMMYFUNCTION("GOOGLETRANSLATE(A3024, ""en"", ""fr"")"),"DISCRIMINATOIRE")</f>
        <v>DISCRIMINATOIRE</v>
      </c>
      <c r="C3024" s="1" t="s">
        <v>196</v>
      </c>
      <c r="EM3024" s="1" t="s">
        <v>139</v>
      </c>
      <c r="EN3024" s="1" t="s">
        <v>140</v>
      </c>
      <c r="GD3024" s="1" t="s">
        <v>202</v>
      </c>
    </row>
    <row r="3025" spans="1:187" ht="11.25" customHeight="1">
      <c r="A3025" s="1" t="s">
        <v>4302</v>
      </c>
      <c r="B3025" s="1" t="str">
        <f ca="1">IFERROR(__xludf.DUMMYFUNCTION("GOOGLETRANSLATE(A3025, ""en"", ""fr"")"),"DISCUTER")</f>
        <v>DISCUTER</v>
      </c>
      <c r="C3025" s="1" t="s">
        <v>185</v>
      </c>
      <c r="D3025" s="1" t="s">
        <v>16612</v>
      </c>
      <c r="F3025" s="1" t="s">
        <v>2</v>
      </c>
      <c r="BK3025" s="1" t="s">
        <v>59</v>
      </c>
      <c r="DN3025" s="1" t="s">
        <v>114</v>
      </c>
      <c r="FH3025" s="1" t="s">
        <v>160</v>
      </c>
      <c r="FI3025" s="1" t="s">
        <v>161</v>
      </c>
      <c r="GD3025" s="1" t="s">
        <v>189</v>
      </c>
      <c r="GE3025" s="1" t="s">
        <v>4303</v>
      </c>
    </row>
    <row r="3026" spans="1:187" ht="11.25" customHeight="1">
      <c r="A3026" s="1" t="s">
        <v>4304</v>
      </c>
      <c r="B3026" s="1" t="str">
        <f ca="1">IFERROR(__xludf.DUMMYFUNCTION("GOOGLETRANSLATE(A3026, ""en"", ""fr"")"),"DISCUSSION")</f>
        <v>DISCUSSION</v>
      </c>
      <c r="C3026" s="1" t="s">
        <v>185</v>
      </c>
      <c r="BK3026" s="1" t="s">
        <v>59</v>
      </c>
      <c r="BL3026" s="1" t="s">
        <v>60</v>
      </c>
      <c r="FH3026" s="1" t="s">
        <v>160</v>
      </c>
      <c r="FI3026" s="1" t="s">
        <v>161</v>
      </c>
      <c r="GC3026" s="1" t="s">
        <v>181</v>
      </c>
      <c r="GD3026" s="1" t="s">
        <v>193</v>
      </c>
      <c r="GE3026" s="1" t="s">
        <v>4305</v>
      </c>
    </row>
    <row r="3027" spans="1:187" ht="11.25" customHeight="1">
      <c r="A3027" s="1" t="s">
        <v>4306</v>
      </c>
      <c r="B3027" s="1" t="str">
        <f ca="1">IFERROR(__xludf.DUMMYFUNCTION("GOOGLETRANSLATE(A3027, ""en"", ""fr"")"),"MÉPRIS")</f>
        <v>MÉPRIS</v>
      </c>
      <c r="C3027" s="1" t="s">
        <v>192</v>
      </c>
      <c r="E3027" s="1" t="s">
        <v>16613</v>
      </c>
      <c r="K3027" s="1" t="s">
        <v>7</v>
      </c>
      <c r="V3027" s="1" t="s">
        <v>18</v>
      </c>
      <c r="CM3027" s="1" t="s">
        <v>87</v>
      </c>
      <c r="GD3027" s="1" t="s">
        <v>193</v>
      </c>
      <c r="GE3027" s="1" t="s">
        <v>190</v>
      </c>
    </row>
    <row r="3028" spans="1:187" ht="11.25" customHeight="1">
      <c r="A3028" s="1" t="s">
        <v>4307</v>
      </c>
      <c r="B3028" s="1" t="str">
        <f ca="1">IFERROR(__xludf.DUMMYFUNCTION("GOOGLETRANSLATE(A3028, ""en"", ""fr"")"),"MALADIE")</f>
        <v>MALADIE</v>
      </c>
      <c r="C3028" s="1" t="s">
        <v>185</v>
      </c>
      <c r="E3028" s="1" t="s">
        <v>16613</v>
      </c>
      <c r="H3028" s="1" t="s">
        <v>4</v>
      </c>
      <c r="V3028" s="1" t="s">
        <v>18</v>
      </c>
      <c r="EZ3028" s="1" t="s">
        <v>152</v>
      </c>
      <c r="FC3028" s="1" t="s">
        <v>155</v>
      </c>
      <c r="GD3028" s="1" t="s">
        <v>193</v>
      </c>
      <c r="GE3028" s="1" t="s">
        <v>190</v>
      </c>
    </row>
    <row r="3029" spans="1:187" ht="11.25" customHeight="1">
      <c r="A3029" s="1" t="s">
        <v>4308</v>
      </c>
      <c r="B3029" s="1" t="str">
        <f ca="1">IFERROR(__xludf.DUMMYFUNCTION("GOOGLETRANSLATE(A3029, ""en"", ""fr"")"),"Malade")</f>
        <v>Malade</v>
      </c>
      <c r="C3029" s="1" t="s">
        <v>192</v>
      </c>
      <c r="E3029" s="1" t="s">
        <v>16613</v>
      </c>
      <c r="L3029" s="1" t="s">
        <v>8</v>
      </c>
      <c r="V3029" s="1" t="s">
        <v>18</v>
      </c>
      <c r="DR3029" s="1" t="s">
        <v>118</v>
      </c>
      <c r="GD3029" s="1" t="s">
        <v>202</v>
      </c>
      <c r="GE3029" s="1" t="s">
        <v>190</v>
      </c>
    </row>
    <row r="3030" spans="1:187" ht="11.25" customHeight="1">
      <c r="A3030" s="1" t="s">
        <v>4309</v>
      </c>
      <c r="B3030" s="1" t="str">
        <f ca="1">IFERROR(__xludf.DUMMYFUNCTION("GOOGLETRANSLATE(A3030, ""en"", ""fr"")"),"DISGRÂCE")</f>
        <v>DISGRÂCE</v>
      </c>
      <c r="C3030" s="1" t="s">
        <v>185</v>
      </c>
      <c r="E3030" s="1" t="s">
        <v>16613</v>
      </c>
      <c r="L3030" s="1" t="s">
        <v>8</v>
      </c>
      <c r="V3030" s="1" t="s">
        <v>18</v>
      </c>
      <c r="CM3030" s="1" t="s">
        <v>87</v>
      </c>
      <c r="EL3030" s="1" t="s">
        <v>138</v>
      </c>
      <c r="EN3030" s="1" t="s">
        <v>140</v>
      </c>
      <c r="GD3030" s="1" t="s">
        <v>193</v>
      </c>
      <c r="GE3030" s="1" t="s">
        <v>190</v>
      </c>
    </row>
    <row r="3031" spans="1:187" ht="11.25" customHeight="1">
      <c r="A3031" s="1" t="s">
        <v>4310</v>
      </c>
      <c r="B3031" s="1" t="str">
        <f ca="1">IFERROR(__xludf.DUMMYFUNCTION("GOOGLETRANSLATE(A3031, ""en"", ""fr"")"),"DÉGUISEMENT")</f>
        <v>DÉGUISEMENT</v>
      </c>
      <c r="C3031" s="1" t="s">
        <v>192</v>
      </c>
      <c r="E3031" s="1" t="s">
        <v>16613</v>
      </c>
      <c r="BC3031" s="1" t="s">
        <v>51</v>
      </c>
      <c r="GD3031" s="1" t="s">
        <v>193</v>
      </c>
      <c r="GE3031" s="1" t="s">
        <v>190</v>
      </c>
    </row>
    <row r="3032" spans="1:187" ht="11.25" customHeight="1">
      <c r="A3032" s="1" t="s">
        <v>4311</v>
      </c>
      <c r="B3032" s="1" t="str">
        <f ca="1">IFERROR(__xludf.DUMMYFUNCTION("GOOGLETRANSLATE(A3032, ""en"", ""fr"")"),"Dégoût n ° 1")</f>
        <v>Dégoût n ° 1</v>
      </c>
      <c r="C3032" s="1" t="s">
        <v>185</v>
      </c>
      <c r="E3032" s="1" t="s">
        <v>16613</v>
      </c>
      <c r="H3032" s="1" t="s">
        <v>4</v>
      </c>
      <c r="I3032" s="1" t="s">
        <v>5</v>
      </c>
      <c r="L3032" s="1" t="s">
        <v>8</v>
      </c>
      <c r="O3032" s="1" t="s">
        <v>11</v>
      </c>
      <c r="Q3032" s="1" t="s">
        <v>13</v>
      </c>
      <c r="T3032" s="1" t="s">
        <v>16</v>
      </c>
      <c r="FW3032" s="1" t="s">
        <v>175</v>
      </c>
      <c r="GD3032" s="1" t="s">
        <v>193</v>
      </c>
      <c r="GE3032" s="1" t="s">
        <v>4312</v>
      </c>
    </row>
    <row r="3033" spans="1:187" ht="11.25" customHeight="1">
      <c r="A3033" s="1" t="s">
        <v>4313</v>
      </c>
      <c r="B3033" s="1" t="str">
        <f ca="1">IFERROR(__xludf.DUMMYFUNCTION("GOOGLETRANSLATE(A3033, ""en"", ""fr"")"),"Dégoût n ° 2")</f>
        <v>Dégoût n ° 2</v>
      </c>
      <c r="C3033" s="1" t="s">
        <v>185</v>
      </c>
      <c r="E3033" s="1" t="s">
        <v>16613</v>
      </c>
      <c r="H3033" s="1" t="s">
        <v>4</v>
      </c>
      <c r="I3033" s="1" t="s">
        <v>5</v>
      </c>
      <c r="Q3033" s="1" t="s">
        <v>13</v>
      </c>
      <c r="DN3033" s="1" t="s">
        <v>114</v>
      </c>
      <c r="FW3033" s="1" t="s">
        <v>175</v>
      </c>
      <c r="GD3033" s="1" t="s">
        <v>189</v>
      </c>
      <c r="GE3033" s="1" t="s">
        <v>4314</v>
      </c>
    </row>
    <row r="3034" spans="1:187" ht="11.25" customHeight="1">
      <c r="A3034" s="1" t="s">
        <v>4315</v>
      </c>
      <c r="B3034" s="1" t="str">
        <f ca="1">IFERROR(__xludf.DUMMYFUNCTION("GOOGLETRANSLATE(A3034, ""en"", ""fr"")"),"Dégoût n ° 3")</f>
        <v>Dégoût n ° 3</v>
      </c>
      <c r="C3034" s="1" t="s">
        <v>185</v>
      </c>
      <c r="E3034" s="1" t="s">
        <v>16613</v>
      </c>
      <c r="H3034" s="1" t="s">
        <v>4</v>
      </c>
      <c r="L3034" s="1" t="s">
        <v>8</v>
      </c>
      <c r="Q3034" s="1" t="s">
        <v>13</v>
      </c>
      <c r="FW3034" s="1" t="s">
        <v>175</v>
      </c>
      <c r="GD3034" s="1" t="s">
        <v>236</v>
      </c>
      <c r="GE3034" s="1" t="s">
        <v>4316</v>
      </c>
    </row>
    <row r="3035" spans="1:187" ht="11.25" customHeight="1">
      <c r="A3035" s="1" t="s">
        <v>4317</v>
      </c>
      <c r="B3035" s="1" t="str">
        <f ca="1">IFERROR(__xludf.DUMMYFUNCTION("GOOGLETRANSLATE(A3035, ""en"", ""fr"")"),"Dégoût n ° 4")</f>
        <v>Dégoût n ° 4</v>
      </c>
      <c r="C3035" s="1" t="s">
        <v>185</v>
      </c>
      <c r="E3035" s="1" t="s">
        <v>16613</v>
      </c>
      <c r="H3035" s="1" t="s">
        <v>4</v>
      </c>
      <c r="I3035" s="1" t="s">
        <v>5</v>
      </c>
      <c r="L3035" s="1" t="s">
        <v>8</v>
      </c>
      <c r="O3035" s="1" t="s">
        <v>11</v>
      </c>
      <c r="Q3035" s="1" t="s">
        <v>13</v>
      </c>
      <c r="T3035" s="1" t="s">
        <v>16</v>
      </c>
      <c r="FW3035" s="1" t="s">
        <v>175</v>
      </c>
      <c r="GD3035" s="1" t="s">
        <v>202</v>
      </c>
      <c r="GE3035" s="1" t="s">
        <v>4318</v>
      </c>
    </row>
    <row r="3036" spans="1:187" ht="11.25" customHeight="1">
      <c r="A3036" s="1" t="s">
        <v>4319</v>
      </c>
      <c r="B3036" s="1" t="str">
        <f ca="1">IFERROR(__xludf.DUMMYFUNCTION("GOOGLETRANSLATE(A3036, ""en"", ""fr"")"),"Dégoût n ° 5")</f>
        <v>Dégoût n ° 5</v>
      </c>
      <c r="C3036" s="1" t="s">
        <v>185</v>
      </c>
      <c r="E3036" s="1" t="s">
        <v>16613</v>
      </c>
      <c r="H3036" s="1" t="s">
        <v>4</v>
      </c>
      <c r="L3036" s="1" t="s">
        <v>8</v>
      </c>
      <c r="Q3036" s="1" t="s">
        <v>13</v>
      </c>
      <c r="CN3036" s="1" t="s">
        <v>88</v>
      </c>
      <c r="FW3036" s="1" t="s">
        <v>175</v>
      </c>
      <c r="GD3036" s="1" t="s">
        <v>202</v>
      </c>
      <c r="GE3036" s="1" t="s">
        <v>4320</v>
      </c>
    </row>
    <row r="3037" spans="1:187" ht="11.25" customHeight="1">
      <c r="A3037" s="1" t="s">
        <v>4321</v>
      </c>
      <c r="B3037" s="1" t="str">
        <f ca="1">IFERROR(__xludf.DUMMYFUNCTION("GOOGLETRANSLATE(A3037, ""en"", ""fr"")"),"Plat # 1")</f>
        <v>Plat # 1</v>
      </c>
      <c r="C3037" s="1" t="s">
        <v>185</v>
      </c>
      <c r="BC3037" s="1" t="s">
        <v>51</v>
      </c>
      <c r="BD3037" s="1" t="s">
        <v>52</v>
      </c>
      <c r="GD3037" s="1" t="s">
        <v>193</v>
      </c>
      <c r="GE3037" s="1" t="s">
        <v>190</v>
      </c>
    </row>
    <row r="3038" spans="1:187" ht="11.25" customHeight="1">
      <c r="A3038" s="1" t="s">
        <v>4322</v>
      </c>
      <c r="B3038" s="1" t="str">
        <f ca="1">IFERROR(__xludf.DUMMYFUNCTION("GOOGLETRANSLATE(A3038, ""en"", ""fr"")"),"Plat n ° 2")</f>
        <v>Plat n ° 2</v>
      </c>
      <c r="C3038" s="1" t="s">
        <v>185</v>
      </c>
      <c r="CC3038" s="1" t="s">
        <v>77</v>
      </c>
      <c r="DN3038" s="1" t="s">
        <v>114</v>
      </c>
      <c r="GD3038" s="1" t="s">
        <v>189</v>
      </c>
      <c r="GE3038" s="1" t="s">
        <v>190</v>
      </c>
    </row>
    <row r="3039" spans="1:187" ht="11.25" customHeight="1">
      <c r="A3039" s="1" t="s">
        <v>4323</v>
      </c>
      <c r="B3039" s="1" t="str">
        <f ca="1">IFERROR(__xludf.DUMMYFUNCTION("GOOGLETRANSLATE(A3039, ""en"", ""fr"")"),"DÉCOURAGER")</f>
        <v>DÉCOURAGER</v>
      </c>
      <c r="C3039" s="1" t="s">
        <v>185</v>
      </c>
      <c r="E3039" s="1" t="s">
        <v>16613</v>
      </c>
      <c r="L3039" s="1" t="s">
        <v>8</v>
      </c>
      <c r="M3039" s="1" t="s">
        <v>9</v>
      </c>
      <c r="Q3039" s="1" t="s">
        <v>13</v>
      </c>
      <c r="T3039" s="1" t="s">
        <v>16</v>
      </c>
      <c r="DR3039" s="1" t="s">
        <v>118</v>
      </c>
      <c r="EY3039" s="1" t="s">
        <v>151</v>
      </c>
      <c r="FC3039" s="1" t="s">
        <v>155</v>
      </c>
      <c r="FV3039" s="1" t="s">
        <v>174</v>
      </c>
      <c r="GD3039" s="1" t="s">
        <v>202</v>
      </c>
      <c r="GE3039" s="1" t="s">
        <v>190</v>
      </c>
    </row>
    <row r="3040" spans="1:187" ht="11.25" customHeight="1">
      <c r="A3040" s="1" t="s">
        <v>4324</v>
      </c>
      <c r="B3040" s="1" t="str">
        <f ca="1">IFERROR(__xludf.DUMMYFUNCTION("GOOGLETRANSLATE(A3040, ""en"", ""fr"")"),"MALHONNÊTE")</f>
        <v>MALHONNÊTE</v>
      </c>
      <c r="C3040" s="1" t="s">
        <v>192</v>
      </c>
      <c r="E3040" s="1" t="s">
        <v>16613</v>
      </c>
      <c r="L3040" s="1" t="s">
        <v>8</v>
      </c>
      <c r="BK3040" s="1" t="s">
        <v>59</v>
      </c>
      <c r="DQ3040" s="1" t="s">
        <v>117</v>
      </c>
      <c r="GD3040" s="1" t="s">
        <v>202</v>
      </c>
      <c r="GE3040" s="1" t="s">
        <v>190</v>
      </c>
    </row>
    <row r="3041" spans="1:187" ht="11.25" customHeight="1">
      <c r="A3041" s="1" t="s">
        <v>4325</v>
      </c>
      <c r="B3041" s="1" t="str">
        <f ca="1">IFERROR(__xludf.DUMMYFUNCTION("GOOGLETRANSLATE(A3041, ""en"", ""fr"")"),"DÉSHONORER")</f>
        <v>DÉSHONORER</v>
      </c>
      <c r="C3041" s="1" t="s">
        <v>185</v>
      </c>
      <c r="E3041" s="1" t="s">
        <v>16613</v>
      </c>
      <c r="L3041" s="1" t="s">
        <v>8</v>
      </c>
      <c r="M3041" s="1" t="s">
        <v>9</v>
      </c>
      <c r="N3041" s="1" t="s">
        <v>10</v>
      </c>
      <c r="Q3041" s="1" t="s">
        <v>13</v>
      </c>
      <c r="DN3041" s="1" t="s">
        <v>114</v>
      </c>
      <c r="EH3041" s="1" t="s">
        <v>134</v>
      </c>
      <c r="EJ3041" s="1" t="s">
        <v>136</v>
      </c>
      <c r="GD3041" s="1" t="s">
        <v>189</v>
      </c>
      <c r="GE3041" s="1" t="s">
        <v>190</v>
      </c>
    </row>
    <row r="3042" spans="1:187" ht="11.25" customHeight="1">
      <c r="A3042" s="1" t="s">
        <v>4326</v>
      </c>
      <c r="B3042" s="1" t="str">
        <f ca="1">IFERROR(__xludf.DUMMYFUNCTION("GOOGLETRANSLATE(A3042, ""en"", ""fr"")"),"DÉSILLUSION")</f>
        <v>DÉSILLUSION</v>
      </c>
      <c r="C3042" s="1" t="s">
        <v>185</v>
      </c>
      <c r="Q3042" s="1" t="s">
        <v>13</v>
      </c>
      <c r="T3042" s="1" t="s">
        <v>16</v>
      </c>
      <c r="FV3042" s="1" t="s">
        <v>174</v>
      </c>
      <c r="GD3042" s="1" t="s">
        <v>193</v>
      </c>
      <c r="GE3042" s="1" t="s">
        <v>190</v>
      </c>
    </row>
    <row r="3043" spans="1:187" ht="11.25" customHeight="1">
      <c r="A3043" s="1" t="s">
        <v>4327</v>
      </c>
      <c r="B3043" s="1" t="str">
        <f ca="1">IFERROR(__xludf.DUMMYFUNCTION("GOOGLETRANSLATE(A3043, ""en"", ""fr"")"),"FOURBE")</f>
        <v>FOURBE</v>
      </c>
      <c r="C3043" s="1" t="s">
        <v>192</v>
      </c>
      <c r="E3043" s="1" t="s">
        <v>16613</v>
      </c>
      <c r="L3043" s="1" t="s">
        <v>8</v>
      </c>
      <c r="BK3043" s="1" t="s">
        <v>59</v>
      </c>
      <c r="DQ3043" s="1" t="s">
        <v>117</v>
      </c>
      <c r="GD3043" s="1" t="s">
        <v>202</v>
      </c>
      <c r="GE3043" s="1" t="s">
        <v>190</v>
      </c>
    </row>
    <row r="3044" spans="1:187" ht="11.25" customHeight="1">
      <c r="A3044" s="1" t="s">
        <v>4328</v>
      </c>
      <c r="B3044" s="1" t="str">
        <f ca="1">IFERROR(__xludf.DUMMYFUNCTION("GOOGLETRANSLATE(A3044, ""en"", ""fr"")"),"DÉSINTÉRESSEMENT")</f>
        <v>DÉSINTÉRESSEMENT</v>
      </c>
      <c r="C3044" s="1" t="s">
        <v>192</v>
      </c>
      <c r="E3044" s="1" t="s">
        <v>16613</v>
      </c>
      <c r="V3044" s="1" t="s">
        <v>18</v>
      </c>
      <c r="CA3044" s="1" t="s">
        <v>75</v>
      </c>
      <c r="GD3044" s="1" t="s">
        <v>193</v>
      </c>
      <c r="GE3044" s="1" t="s">
        <v>190</v>
      </c>
    </row>
    <row r="3045" spans="1:187" ht="11.25" customHeight="1">
      <c r="A3045" s="1" t="s">
        <v>4329</v>
      </c>
      <c r="B3045" s="1" t="str">
        <f ca="1">IFERROR(__xludf.DUMMYFUNCTION("GOOGLETRANSLATE(A3045, ""en"", ""fr"")"),"Je n'aime pas # 1")</f>
        <v>Je n'aime pas # 1</v>
      </c>
      <c r="C3045" s="1" t="s">
        <v>185</v>
      </c>
      <c r="E3045" s="1" t="s">
        <v>16613</v>
      </c>
      <c r="H3045" s="1" t="s">
        <v>4</v>
      </c>
      <c r="I3045" s="1" t="s">
        <v>5</v>
      </c>
      <c r="O3045" s="1" t="s">
        <v>11</v>
      </c>
      <c r="S3045" s="1" t="s">
        <v>15</v>
      </c>
      <c r="DL3045" s="1" t="s">
        <v>112</v>
      </c>
      <c r="DO3045" s="1" t="s">
        <v>115</v>
      </c>
      <c r="FW3045" s="1" t="s">
        <v>175</v>
      </c>
      <c r="GD3045" s="1" t="s">
        <v>189</v>
      </c>
      <c r="GE3045" s="1" t="s">
        <v>4330</v>
      </c>
    </row>
    <row r="3046" spans="1:187" ht="11.25" customHeight="1">
      <c r="A3046" s="1" t="s">
        <v>4331</v>
      </c>
      <c r="B3046" s="1" t="str">
        <f ca="1">IFERROR(__xludf.DUMMYFUNCTION("GOOGLETRANSLATE(A3046, ""en"", ""fr"")"),"Je n'aime pas # 2")</f>
        <v>Je n'aime pas # 2</v>
      </c>
      <c r="C3046" s="1" t="s">
        <v>185</v>
      </c>
      <c r="E3046" s="1" t="s">
        <v>16613</v>
      </c>
      <c r="H3046" s="1" t="s">
        <v>4</v>
      </c>
      <c r="I3046" s="1" t="s">
        <v>5</v>
      </c>
      <c r="O3046" s="1" t="s">
        <v>11</v>
      </c>
      <c r="S3046" s="1" t="s">
        <v>15</v>
      </c>
      <c r="T3046" s="1" t="s">
        <v>16</v>
      </c>
      <c r="DL3046" s="1" t="s">
        <v>112</v>
      </c>
      <c r="FW3046" s="1" t="s">
        <v>175</v>
      </c>
      <c r="GD3046" s="1" t="s">
        <v>202</v>
      </c>
      <c r="GE3046" s="1" t="s">
        <v>4332</v>
      </c>
    </row>
    <row r="3047" spans="1:187" ht="11.25" customHeight="1">
      <c r="A3047" s="1" t="s">
        <v>4333</v>
      </c>
      <c r="B3047" s="1" t="str">
        <f ca="1">IFERROR(__xludf.DUMMYFUNCTION("GOOGLETRANSLATE(A3047, ""en"", ""fr"")"),"LUGUBRE")</f>
        <v>LUGUBRE</v>
      </c>
      <c r="C3047" s="1" t="s">
        <v>185</v>
      </c>
      <c r="E3047" s="1" t="s">
        <v>16613</v>
      </c>
      <c r="H3047" s="1" t="s">
        <v>4</v>
      </c>
      <c r="L3047" s="1" t="s">
        <v>8</v>
      </c>
      <c r="V3047" s="1" t="s">
        <v>18</v>
      </c>
      <c r="CN3047" s="1" t="s">
        <v>88</v>
      </c>
      <c r="FV3047" s="1" t="s">
        <v>174</v>
      </c>
      <c r="GD3047" s="1" t="s">
        <v>202</v>
      </c>
      <c r="GE3047" s="1" t="s">
        <v>190</v>
      </c>
    </row>
    <row r="3048" spans="1:187" ht="11.25" customHeight="1">
      <c r="A3048" s="1" t="s">
        <v>4334</v>
      </c>
      <c r="B3048" s="1" t="str">
        <f ca="1">IFERROR(__xludf.DUMMYFUNCTION("GOOGLETRANSLATE(A3048, ""en"", ""fr"")"),"CONSTERNATION")</f>
        <v>CONSTERNATION</v>
      </c>
      <c r="C3048" s="1" t="s">
        <v>185</v>
      </c>
      <c r="Q3048" s="1" t="s">
        <v>13</v>
      </c>
      <c r="T3048" s="1" t="s">
        <v>16</v>
      </c>
      <c r="X3048" s="1" t="s">
        <v>20</v>
      </c>
      <c r="FW3048" s="1" t="s">
        <v>175</v>
      </c>
      <c r="GD3048" s="1" t="s">
        <v>193</v>
      </c>
      <c r="GE3048" s="1" t="s">
        <v>190</v>
      </c>
    </row>
    <row r="3049" spans="1:187" ht="11.25" customHeight="1">
      <c r="A3049" s="1" t="s">
        <v>4335</v>
      </c>
      <c r="B3049" s="1" t="str">
        <f ca="1">IFERROR(__xludf.DUMMYFUNCTION("GOOGLETRANSLATE(A3049, ""en"", ""fr"")"),"Rejet n ° 1")</f>
        <v>Rejet n ° 1</v>
      </c>
      <c r="C3049" s="1" t="s">
        <v>185</v>
      </c>
      <c r="E3049" s="1" t="s">
        <v>16613</v>
      </c>
      <c r="H3049" s="1" t="s">
        <v>4</v>
      </c>
      <c r="I3049" s="1" t="s">
        <v>5</v>
      </c>
      <c r="N3049" s="1" t="s">
        <v>10</v>
      </c>
      <c r="BZ3049" s="1" t="s">
        <v>74</v>
      </c>
      <c r="DT3049" s="1" t="s">
        <v>120</v>
      </c>
      <c r="ED3049" s="1" t="s">
        <v>130</v>
      </c>
      <c r="GD3049" s="1" t="s">
        <v>202</v>
      </c>
      <c r="GE3049" s="1" t="s">
        <v>190</v>
      </c>
    </row>
    <row r="3050" spans="1:187" ht="11.25" customHeight="1">
      <c r="A3050" s="1" t="s">
        <v>4336</v>
      </c>
      <c r="B3050" s="1" t="str">
        <f ca="1">IFERROR(__xludf.DUMMYFUNCTION("GOOGLETRANSLATE(A3050, ""en"", ""fr"")"),"Licenciement n ° 2")</f>
        <v>Licenciement n ° 2</v>
      </c>
      <c r="C3050" s="1" t="s">
        <v>185</v>
      </c>
      <c r="E3050" s="1" t="s">
        <v>16613</v>
      </c>
      <c r="H3050" s="1" t="s">
        <v>4</v>
      </c>
      <c r="I3050" s="1" t="s">
        <v>5</v>
      </c>
      <c r="K3050" s="1" t="s">
        <v>7</v>
      </c>
      <c r="N3050" s="1" t="s">
        <v>10</v>
      </c>
      <c r="AN3050" s="1" t="s">
        <v>36</v>
      </c>
      <c r="DN3050" s="1" t="s">
        <v>114</v>
      </c>
      <c r="DT3050" s="1" t="s">
        <v>120</v>
      </c>
      <c r="ED3050" s="1" t="s">
        <v>130</v>
      </c>
      <c r="GD3050" s="1" t="s">
        <v>189</v>
      </c>
      <c r="GE3050" s="1" t="s">
        <v>190</v>
      </c>
    </row>
    <row r="3051" spans="1:187" ht="11.25" customHeight="1">
      <c r="A3051" s="1" t="s">
        <v>4337</v>
      </c>
      <c r="B3051" s="1" t="str">
        <f ca="1">IFERROR(__xludf.DUMMYFUNCTION("GOOGLETRANSLATE(A3051, ""en"", ""fr"")"),"DÉSOBÉISSANCE")</f>
        <v>DÉSOBÉISSANCE</v>
      </c>
      <c r="C3051" s="1" t="s">
        <v>192</v>
      </c>
      <c r="E3051" s="1" t="s">
        <v>16613</v>
      </c>
      <c r="I3051" s="1" t="s">
        <v>5</v>
      </c>
      <c r="V3051" s="1" t="s">
        <v>18</v>
      </c>
      <c r="GD3051" s="1" t="s">
        <v>193</v>
      </c>
      <c r="GE3051" s="1" t="s">
        <v>190</v>
      </c>
    </row>
    <row r="3052" spans="1:187" ht="11.25" customHeight="1">
      <c r="A3052" s="1" t="s">
        <v>4338</v>
      </c>
      <c r="B3052" s="1" t="str">
        <f ca="1">IFERROR(__xludf.DUMMYFUNCTION("GOOGLETRANSLATE(A3052, ""en"", ""fr"")"),"DÉSOBÉISSANT")</f>
        <v>DÉSOBÉISSANT</v>
      </c>
      <c r="C3052" s="1" t="s">
        <v>192</v>
      </c>
      <c r="E3052" s="1" t="s">
        <v>16613</v>
      </c>
      <c r="I3052" s="1" t="s">
        <v>5</v>
      </c>
      <c r="V3052" s="1" t="s">
        <v>18</v>
      </c>
      <c r="DQ3052" s="1" t="s">
        <v>117</v>
      </c>
      <c r="GD3052" s="1" t="s">
        <v>202</v>
      </c>
      <c r="GE3052" s="1" t="s">
        <v>190</v>
      </c>
    </row>
    <row r="3053" spans="1:187" ht="11.25" customHeight="1">
      <c r="A3053" s="1" t="s">
        <v>4339</v>
      </c>
      <c r="B3053" s="1" t="str">
        <f ca="1">IFERROR(__xludf.DUMMYFUNCTION("GOOGLETRANSLATE(A3053, ""en"", ""fr"")"),"DÉSORDRE")</f>
        <v>DÉSORDRE</v>
      </c>
      <c r="C3053" s="1" t="s">
        <v>185</v>
      </c>
      <c r="E3053" s="1" t="s">
        <v>16613</v>
      </c>
      <c r="H3053" s="1" t="s">
        <v>4</v>
      </c>
      <c r="L3053" s="1" t="s">
        <v>8</v>
      </c>
      <c r="V3053" s="1" t="s">
        <v>18</v>
      </c>
      <c r="DL3053" s="1" t="s">
        <v>112</v>
      </c>
      <c r="DW3053" s="1" t="s">
        <v>123</v>
      </c>
      <c r="ED3053" s="1" t="s">
        <v>130</v>
      </c>
      <c r="GD3053" s="1" t="s">
        <v>193</v>
      </c>
      <c r="GE3053" s="1" t="s">
        <v>190</v>
      </c>
    </row>
    <row r="3054" spans="1:187" ht="11.25" customHeight="1">
      <c r="A3054" s="1" t="s">
        <v>4340</v>
      </c>
      <c r="B3054" s="1" t="str">
        <f ca="1">IFERROR(__xludf.DUMMYFUNCTION("GOOGLETRANSLATE(A3054, ""en"", ""fr"")"),"Désorganisé")</f>
        <v>Désorganisé</v>
      </c>
      <c r="C3054" s="1" t="s">
        <v>185</v>
      </c>
      <c r="E3054" s="1" t="s">
        <v>16613</v>
      </c>
      <c r="H3054" s="1" t="s">
        <v>4</v>
      </c>
      <c r="L3054" s="1" t="s">
        <v>8</v>
      </c>
      <c r="O3054" s="1" t="s">
        <v>11</v>
      </c>
      <c r="V3054" s="1" t="s">
        <v>18</v>
      </c>
      <c r="DL3054" s="1" t="s">
        <v>112</v>
      </c>
      <c r="DR3054" s="1" t="s">
        <v>118</v>
      </c>
      <c r="GD3054" s="1" t="s">
        <v>202</v>
      </c>
      <c r="GE3054" s="1" t="s">
        <v>190</v>
      </c>
    </row>
    <row r="3055" spans="1:187" ht="11.25" customHeight="1">
      <c r="A3055" s="1" t="s">
        <v>4341</v>
      </c>
      <c r="B3055" s="1" t="str">
        <f ca="1">IFERROR(__xludf.DUMMYFUNCTION("GOOGLETRANSLATE(A3055, ""en"", ""fr"")"),"DISSIPER")</f>
        <v>DISSIPER</v>
      </c>
      <c r="C3055" s="1" t="s">
        <v>185</v>
      </c>
      <c r="E3055" s="1" t="s">
        <v>16613</v>
      </c>
      <c r="K3055" s="1" t="s">
        <v>7</v>
      </c>
      <c r="N3055" s="1" t="s">
        <v>10</v>
      </c>
      <c r="BK3055" s="1" t="s">
        <v>59</v>
      </c>
      <c r="BY3055" s="1" t="s">
        <v>73</v>
      </c>
      <c r="DN3055" s="1" t="s">
        <v>114</v>
      </c>
      <c r="DT3055" s="1" t="s">
        <v>120</v>
      </c>
      <c r="ED3055" s="1" t="s">
        <v>130</v>
      </c>
      <c r="GD3055" s="1" t="s">
        <v>189</v>
      </c>
      <c r="GE3055" s="1" t="s">
        <v>190</v>
      </c>
    </row>
    <row r="3056" spans="1:187" ht="11.25" customHeight="1">
      <c r="A3056" s="1" t="s">
        <v>4342</v>
      </c>
      <c r="B3056" s="1" t="str">
        <f ca="1">IFERROR(__xludf.DUMMYFUNCTION("GOOGLETRANSLATE(A3056, ""en"", ""fr"")"),"Dispensabilité")</f>
        <v>Dispensabilité</v>
      </c>
      <c r="C3056" s="1" t="s">
        <v>192</v>
      </c>
      <c r="E3056" s="1" t="s">
        <v>16613</v>
      </c>
      <c r="L3056" s="1" t="s">
        <v>8</v>
      </c>
      <c r="M3056" s="1" t="s">
        <v>9</v>
      </c>
      <c r="GD3056" s="1" t="s">
        <v>193</v>
      </c>
      <c r="GE3056" s="1" t="s">
        <v>190</v>
      </c>
    </row>
    <row r="3057" spans="1:187" ht="11.25" customHeight="1">
      <c r="A3057" s="1" t="s">
        <v>4343</v>
      </c>
      <c r="B3057" s="1" t="str">
        <f ca="1">IFERROR(__xludf.DUMMYFUNCTION("GOOGLETRANSLATE(A3057, ""en"", ""fr"")"),"DISPENSER")</f>
        <v>DISPENSER</v>
      </c>
      <c r="C3057" s="1" t="s">
        <v>192</v>
      </c>
      <c r="E3057" s="1" t="s">
        <v>16613</v>
      </c>
      <c r="K3057" s="1" t="s">
        <v>7</v>
      </c>
      <c r="N3057" s="1" t="s">
        <v>10</v>
      </c>
      <c r="BY3057" s="1" t="s">
        <v>73</v>
      </c>
      <c r="DN3057" s="1" t="s">
        <v>114</v>
      </c>
      <c r="GD3057" s="1" t="s">
        <v>189</v>
      </c>
      <c r="GE3057" s="1" t="s">
        <v>190</v>
      </c>
    </row>
    <row r="3058" spans="1:187" ht="11.25" customHeight="1">
      <c r="A3058" s="1" t="s">
        <v>4344</v>
      </c>
      <c r="B3058" s="1" t="str">
        <f ca="1">IFERROR(__xludf.DUMMYFUNCTION("GOOGLETRANSLATE(A3058, ""en"", ""fr"")"),"DISPERSER")</f>
        <v>DISPERSER</v>
      </c>
      <c r="C3058" s="1" t="s">
        <v>185</v>
      </c>
      <c r="N3058" s="1" t="s">
        <v>10</v>
      </c>
      <c r="CE3058" s="1" t="s">
        <v>79</v>
      </c>
      <c r="DO3058" s="1" t="s">
        <v>115</v>
      </c>
      <c r="GD3058" s="1" t="s">
        <v>189</v>
      </c>
      <c r="GE3058" s="1" t="s">
        <v>190</v>
      </c>
    </row>
    <row r="3059" spans="1:187" ht="11.25" customHeight="1">
      <c r="A3059" s="1" t="s">
        <v>4345</v>
      </c>
      <c r="B3059" s="1" t="str">
        <f ca="1">IFERROR(__xludf.DUMMYFUNCTION("GOOGLETRANSLATE(A3059, ""en"", ""fr"")"),"DÉPLACER")</f>
        <v>DÉPLACER</v>
      </c>
      <c r="C3059" s="1" t="s">
        <v>185</v>
      </c>
      <c r="E3059" s="1" t="s">
        <v>16613</v>
      </c>
      <c r="K3059" s="1" t="s">
        <v>7</v>
      </c>
      <c r="N3059" s="1" t="s">
        <v>10</v>
      </c>
      <c r="DN3059" s="1" t="s">
        <v>114</v>
      </c>
      <c r="DT3059" s="1" t="s">
        <v>120</v>
      </c>
      <c r="ED3059" s="1" t="s">
        <v>130</v>
      </c>
      <c r="GD3059" s="1" t="s">
        <v>189</v>
      </c>
      <c r="GE3059" s="1" t="s">
        <v>190</v>
      </c>
    </row>
    <row r="3060" spans="1:187" ht="11.25" customHeight="1">
      <c r="A3060" s="1" t="s">
        <v>4346</v>
      </c>
      <c r="B3060" s="1" t="str">
        <f ca="1">IFERROR(__xludf.DUMMYFUNCTION("GOOGLETRANSLATE(A3060, ""en"", ""fr"")"),"DÉPLACEMENT")</f>
        <v>DÉPLACEMENT</v>
      </c>
      <c r="C3060" s="1" t="s">
        <v>185</v>
      </c>
      <c r="J3060" s="1" t="s">
        <v>6</v>
      </c>
      <c r="N3060" s="1" t="s">
        <v>10</v>
      </c>
      <c r="DA3060" s="1" t="s">
        <v>101</v>
      </c>
      <c r="EC3060" s="1" t="s">
        <v>129</v>
      </c>
      <c r="ED3060" s="1" t="s">
        <v>130</v>
      </c>
      <c r="GD3060" s="1" t="s">
        <v>193</v>
      </c>
      <c r="GE3060" s="1" t="s">
        <v>190</v>
      </c>
    </row>
    <row r="3061" spans="1:187" ht="11.25" customHeight="1">
      <c r="A3061" s="1" t="s">
        <v>4347</v>
      </c>
      <c r="B3061" s="1" t="str">
        <f ca="1">IFERROR(__xludf.DUMMYFUNCTION("GOOGLETRANSLATE(A3061, ""en"", ""fr"")"),"Affichage n ° 1")</f>
        <v>Affichage n ° 1</v>
      </c>
      <c r="C3061" s="1" t="s">
        <v>185</v>
      </c>
      <c r="BK3061" s="1" t="s">
        <v>59</v>
      </c>
      <c r="FD3061" s="1" t="s">
        <v>156</v>
      </c>
      <c r="FI3061" s="1" t="s">
        <v>161</v>
      </c>
      <c r="GD3061" s="1" t="s">
        <v>193</v>
      </c>
      <c r="GE3061" s="1" t="s">
        <v>190</v>
      </c>
    </row>
    <row r="3062" spans="1:187" ht="11.25" customHeight="1">
      <c r="A3062" s="1" t="s">
        <v>4348</v>
      </c>
      <c r="B3062" s="1" t="str">
        <f ca="1">IFERROR(__xludf.DUMMYFUNCTION("GOOGLETRANSLATE(A3062, ""en"", ""fr"")"),"Affichage n ° 2")</f>
        <v>Affichage n ° 2</v>
      </c>
      <c r="C3062" s="1" t="s">
        <v>185</v>
      </c>
      <c r="BK3062" s="1" t="s">
        <v>59</v>
      </c>
      <c r="DO3062" s="1" t="s">
        <v>115</v>
      </c>
      <c r="FD3062" s="1" t="s">
        <v>156</v>
      </c>
      <c r="FI3062" s="1" t="s">
        <v>161</v>
      </c>
      <c r="GD3062" s="1" t="s">
        <v>189</v>
      </c>
      <c r="GE3062" s="1" t="s">
        <v>190</v>
      </c>
    </row>
    <row r="3063" spans="1:187" ht="11.25" customHeight="1">
      <c r="A3063" s="1" t="s">
        <v>4349</v>
      </c>
      <c r="B3063" s="1" t="str">
        <f ca="1">IFERROR(__xludf.DUMMYFUNCTION("GOOGLETRANSLATE(A3063, ""en"", ""fr"")"),"MÉCONTENTER")</f>
        <v>MÉCONTENTER</v>
      </c>
      <c r="C3063" s="1" t="s">
        <v>192</v>
      </c>
      <c r="E3063" s="1" t="s">
        <v>16613</v>
      </c>
      <c r="L3063" s="1" t="s">
        <v>8</v>
      </c>
      <c r="O3063" s="1" t="s">
        <v>11</v>
      </c>
      <c r="DN3063" s="1" t="s">
        <v>114</v>
      </c>
      <c r="GD3063" s="1" t="s">
        <v>189</v>
      </c>
      <c r="GE3063" s="1" t="s">
        <v>190</v>
      </c>
    </row>
    <row r="3064" spans="1:187" ht="11.25" customHeight="1">
      <c r="A3064" s="1" t="s">
        <v>4350</v>
      </c>
      <c r="B3064" s="1" t="str">
        <f ca="1">IFERROR(__xludf.DUMMYFUNCTION("GOOGLETRANSLATE(A3064, ""en"", ""fr"")"),"MÉCONTENTEMENT")</f>
        <v>MÉCONTENTEMENT</v>
      </c>
      <c r="C3064" s="1" t="s">
        <v>185</v>
      </c>
      <c r="E3064" s="1" t="s">
        <v>16613</v>
      </c>
      <c r="H3064" s="1" t="s">
        <v>4</v>
      </c>
      <c r="I3064" s="1" t="s">
        <v>5</v>
      </c>
      <c r="L3064" s="1" t="s">
        <v>8</v>
      </c>
      <c r="O3064" s="1" t="s">
        <v>11</v>
      </c>
      <c r="Q3064" s="1" t="s">
        <v>13</v>
      </c>
      <c r="T3064" s="1" t="s">
        <v>16</v>
      </c>
      <c r="DL3064" s="1" t="s">
        <v>112</v>
      </c>
      <c r="FW3064" s="1" t="s">
        <v>175</v>
      </c>
      <c r="GD3064" s="1" t="s">
        <v>193</v>
      </c>
      <c r="GE3064" s="1" t="s">
        <v>190</v>
      </c>
    </row>
    <row r="3065" spans="1:187" ht="11.25" customHeight="1">
      <c r="A3065" s="1" t="s">
        <v>4351</v>
      </c>
      <c r="B3065" s="1" t="str">
        <f ca="1">IFERROR(__xludf.DUMMYFUNCTION("GOOGLETRANSLATE(A3065, ""en"", ""fr"")"),"ÉLIMINATION")</f>
        <v>ÉLIMINATION</v>
      </c>
      <c r="C3065" s="1" t="s">
        <v>185</v>
      </c>
      <c r="E3065" s="1" t="s">
        <v>16613</v>
      </c>
      <c r="H3065" s="1" t="s">
        <v>4</v>
      </c>
      <c r="BQ3065" s="1" t="s">
        <v>65</v>
      </c>
      <c r="EC3065" s="1" t="s">
        <v>129</v>
      </c>
      <c r="ED3065" s="1" t="s">
        <v>130</v>
      </c>
      <c r="GD3065" s="1" t="s">
        <v>193</v>
      </c>
      <c r="GE3065" s="1" t="s">
        <v>190</v>
      </c>
    </row>
    <row r="3066" spans="1:187" ht="11.25" customHeight="1">
      <c r="A3066" s="1" t="s">
        <v>4352</v>
      </c>
      <c r="B3066" s="1" t="str">
        <f ca="1">IFERROR(__xludf.DUMMYFUNCTION("GOOGLETRANSLATE(A3066, ""en"", ""fr"")"),"Disposer n ° 1")</f>
        <v>Disposer n ° 1</v>
      </c>
      <c r="C3066" s="1" t="s">
        <v>185</v>
      </c>
      <c r="E3066" s="1" t="s">
        <v>16613</v>
      </c>
      <c r="H3066" s="1" t="s">
        <v>4</v>
      </c>
      <c r="I3066" s="1" t="s">
        <v>5</v>
      </c>
      <c r="J3066" s="1" t="s">
        <v>6</v>
      </c>
      <c r="N3066" s="1" t="s">
        <v>10</v>
      </c>
      <c r="S3066" s="1" t="s">
        <v>15</v>
      </c>
      <c r="DT3066" s="1" t="s">
        <v>120</v>
      </c>
      <c r="ED3066" s="1" t="s">
        <v>130</v>
      </c>
      <c r="GD3066" s="1" t="s">
        <v>202</v>
      </c>
      <c r="GE3066" s="1" t="s">
        <v>190</v>
      </c>
    </row>
    <row r="3067" spans="1:187" ht="11.25" customHeight="1">
      <c r="A3067" s="1" t="s">
        <v>4353</v>
      </c>
      <c r="B3067" s="1" t="str">
        <f ca="1">IFERROR(__xludf.DUMMYFUNCTION("GOOGLETRANSLATE(A3067, ""en"", ""fr"")"),"Disposer n ° 2")</f>
        <v>Disposer n ° 2</v>
      </c>
      <c r="C3067" s="1" t="s">
        <v>185</v>
      </c>
      <c r="E3067" s="1" t="s">
        <v>16613</v>
      </c>
      <c r="H3067" s="1" t="s">
        <v>4</v>
      </c>
      <c r="J3067" s="1" t="s">
        <v>6</v>
      </c>
      <c r="N3067" s="1" t="s">
        <v>10</v>
      </c>
      <c r="BZ3067" s="1" t="s">
        <v>74</v>
      </c>
      <c r="DN3067" s="1" t="s">
        <v>114</v>
      </c>
      <c r="DT3067" s="1" t="s">
        <v>120</v>
      </c>
      <c r="ED3067" s="1" t="s">
        <v>130</v>
      </c>
      <c r="GD3067" s="1" t="s">
        <v>189</v>
      </c>
      <c r="GE3067" s="1" t="s">
        <v>190</v>
      </c>
    </row>
    <row r="3068" spans="1:187" ht="11.25" customHeight="1">
      <c r="A3068" s="1" t="s">
        <v>4354</v>
      </c>
      <c r="B3068" s="1" t="str">
        <f ca="1">IFERROR(__xludf.DUMMYFUNCTION("GOOGLETRANSLATE(A3068, ""en"", ""fr"")"),"DISPOSITION")</f>
        <v>DISPOSITION</v>
      </c>
      <c r="C3068" s="1" t="s">
        <v>185</v>
      </c>
      <c r="O3068" s="1" t="s">
        <v>11</v>
      </c>
      <c r="S3068" s="1" t="s">
        <v>15</v>
      </c>
      <c r="FA3068" s="1" t="s">
        <v>153</v>
      </c>
      <c r="FC3068" s="1" t="s">
        <v>155</v>
      </c>
      <c r="GD3068" s="1" t="s">
        <v>193</v>
      </c>
      <c r="GE3068" s="1" t="s">
        <v>190</v>
      </c>
    </row>
    <row r="3069" spans="1:187" ht="11.25" customHeight="1">
      <c r="A3069" s="1" t="s">
        <v>4355</v>
      </c>
      <c r="B3069" s="1" t="str">
        <f ca="1">IFERROR(__xludf.DUMMYFUNCTION("GOOGLETRANSLATE(A3069, ""en"", ""fr"")"),"DISPROPORTIONNÉ")</f>
        <v>DISPROPORTIONNÉ</v>
      </c>
      <c r="C3069" s="1" t="s">
        <v>192</v>
      </c>
      <c r="E3069" s="1" t="s">
        <v>16613</v>
      </c>
      <c r="CM3069" s="1" t="s">
        <v>87</v>
      </c>
      <c r="CS3069" s="1" t="s">
        <v>93</v>
      </c>
      <c r="DR3069" s="1" t="s">
        <v>118</v>
      </c>
      <c r="GD3069" s="1" t="s">
        <v>202</v>
      </c>
      <c r="GE3069" s="1" t="s">
        <v>190</v>
      </c>
    </row>
    <row r="3070" spans="1:187" ht="11.25" customHeight="1">
      <c r="A3070" s="1" t="s">
        <v>4356</v>
      </c>
      <c r="B3070" s="1" t="str">
        <f ca="1">IFERROR(__xludf.DUMMYFUNCTION("GOOGLETRANSLATE(A3070, ""en"", ""fr"")"),"RÉFUTER")</f>
        <v>RÉFUTER</v>
      </c>
      <c r="C3070" s="1" t="s">
        <v>185</v>
      </c>
      <c r="E3070" s="1" t="s">
        <v>16613</v>
      </c>
      <c r="H3070" s="1" t="s">
        <v>4</v>
      </c>
      <c r="N3070" s="1" t="s">
        <v>10</v>
      </c>
      <c r="CO3070" s="1" t="s">
        <v>89</v>
      </c>
      <c r="DL3070" s="1" t="s">
        <v>112</v>
      </c>
      <c r="DN3070" s="1" t="s">
        <v>114</v>
      </c>
      <c r="FH3070" s="1" t="s">
        <v>160</v>
      </c>
      <c r="FI3070" s="1" t="s">
        <v>161</v>
      </c>
      <c r="GD3070" s="1" t="s">
        <v>189</v>
      </c>
      <c r="GE3070" s="1" t="s">
        <v>190</v>
      </c>
    </row>
    <row r="3071" spans="1:187" ht="11.25" customHeight="1">
      <c r="A3071" s="1" t="s">
        <v>4357</v>
      </c>
      <c r="B3071" s="1" t="str">
        <f ca="1">IFERROR(__xludf.DUMMYFUNCTION("GOOGLETRANSLATE(A3071, ""en"", ""fr"")"),"CONTESTABLE")</f>
        <v>CONTESTABLE</v>
      </c>
      <c r="C3071" s="1" t="s">
        <v>185</v>
      </c>
      <c r="E3071" s="1" t="s">
        <v>16613</v>
      </c>
      <c r="H3071" s="1" t="s">
        <v>4</v>
      </c>
      <c r="I3071" s="1" t="s">
        <v>5</v>
      </c>
      <c r="V3071" s="1" t="s">
        <v>18</v>
      </c>
      <c r="X3071" s="1" t="s">
        <v>20</v>
      </c>
      <c r="AE3071" s="1" t="s">
        <v>27</v>
      </c>
      <c r="DW3071" s="1" t="s">
        <v>123</v>
      </c>
      <c r="ED3071" s="1" t="s">
        <v>130</v>
      </c>
      <c r="GD3071" s="1" t="s">
        <v>202</v>
      </c>
      <c r="GE3071" s="1" t="s">
        <v>190</v>
      </c>
    </row>
    <row r="3072" spans="1:187" ht="11.25" customHeight="1">
      <c r="A3072" s="1" t="s">
        <v>4358</v>
      </c>
      <c r="B3072" s="1" t="str">
        <f ca="1">IFERROR(__xludf.DUMMYFUNCTION("GOOGLETRANSLATE(A3072, ""en"", ""fr"")"),"Différend n ° 1")</f>
        <v>Différend n ° 1</v>
      </c>
      <c r="C3072" s="1" t="s">
        <v>185</v>
      </c>
      <c r="E3072" s="1" t="s">
        <v>16613</v>
      </c>
      <c r="H3072" s="1" t="s">
        <v>4</v>
      </c>
      <c r="I3072" s="1" t="s">
        <v>5</v>
      </c>
      <c r="N3072" s="1" t="s">
        <v>10</v>
      </c>
      <c r="AH3072" s="1" t="s">
        <v>30</v>
      </c>
      <c r="BK3072" s="1" t="s">
        <v>59</v>
      </c>
      <c r="BL3072" s="1" t="s">
        <v>60</v>
      </c>
      <c r="DL3072" s="1" t="s">
        <v>112</v>
      </c>
      <c r="DW3072" s="1" t="s">
        <v>123</v>
      </c>
      <c r="ED3072" s="1" t="s">
        <v>130</v>
      </c>
      <c r="GC3072" s="1" t="s">
        <v>181</v>
      </c>
      <c r="GD3072" s="1" t="s">
        <v>193</v>
      </c>
      <c r="GE3072" s="1" t="s">
        <v>190</v>
      </c>
    </row>
    <row r="3073" spans="1:187" ht="11.25" customHeight="1">
      <c r="A3073" s="1" t="s">
        <v>4359</v>
      </c>
      <c r="B3073" s="1" t="str">
        <f ca="1">IFERROR(__xludf.DUMMYFUNCTION("GOOGLETRANSLATE(A3073, ""en"", ""fr"")"),"Différend n ° 2")</f>
        <v>Différend n ° 2</v>
      </c>
      <c r="C3073" s="1" t="s">
        <v>185</v>
      </c>
      <c r="E3073" s="1" t="s">
        <v>16613</v>
      </c>
      <c r="H3073" s="1" t="s">
        <v>4</v>
      </c>
      <c r="I3073" s="1" t="s">
        <v>5</v>
      </c>
      <c r="N3073" s="1" t="s">
        <v>10</v>
      </c>
      <c r="AH3073" s="1" t="s">
        <v>30</v>
      </c>
      <c r="BK3073" s="1" t="s">
        <v>59</v>
      </c>
      <c r="BL3073" s="1" t="s">
        <v>60</v>
      </c>
      <c r="DL3073" s="1" t="s">
        <v>112</v>
      </c>
      <c r="DN3073" s="1" t="s">
        <v>114</v>
      </c>
      <c r="DW3073" s="1" t="s">
        <v>123</v>
      </c>
      <c r="ED3073" s="1" t="s">
        <v>130</v>
      </c>
      <c r="GD3073" s="1" t="s">
        <v>189</v>
      </c>
      <c r="GE3073" s="1" t="s">
        <v>190</v>
      </c>
    </row>
    <row r="3074" spans="1:187" ht="11.25" customHeight="1">
      <c r="A3074" s="1" t="s">
        <v>4360</v>
      </c>
      <c r="B3074" s="1" t="str">
        <f ca="1">IFERROR(__xludf.DUMMYFUNCTION("GOOGLETRANSLATE(A3074, ""en"", ""fr"")"),"MÉPRIS")</f>
        <v>MÉPRIS</v>
      </c>
      <c r="C3074" s="1" t="s">
        <v>185</v>
      </c>
      <c r="E3074" s="1" t="s">
        <v>16613</v>
      </c>
      <c r="N3074" s="1" t="s">
        <v>10</v>
      </c>
      <c r="CK3074" s="1" t="s">
        <v>85</v>
      </c>
      <c r="DN3074" s="1" t="s">
        <v>114</v>
      </c>
      <c r="FH3074" s="1" t="s">
        <v>160</v>
      </c>
      <c r="FI3074" s="1" t="s">
        <v>161</v>
      </c>
      <c r="GD3074" s="1" t="s">
        <v>189</v>
      </c>
      <c r="GE3074" s="1" t="s">
        <v>190</v>
      </c>
    </row>
    <row r="3075" spans="1:187" ht="11.25" customHeight="1">
      <c r="A3075" s="1" t="s">
        <v>4361</v>
      </c>
      <c r="B3075" s="1" t="str">
        <f ca="1">IFERROR(__xludf.DUMMYFUNCTION("GOOGLETRANSLATE(A3075, ""en"", ""fr"")"),"PERTURBER")</f>
        <v>PERTURBER</v>
      </c>
      <c r="C3075" s="1" t="s">
        <v>185</v>
      </c>
      <c r="E3075" s="1" t="s">
        <v>16613</v>
      </c>
      <c r="I3075" s="1" t="s">
        <v>5</v>
      </c>
      <c r="N3075" s="1" t="s">
        <v>10</v>
      </c>
      <c r="DN3075" s="1" t="s">
        <v>114</v>
      </c>
      <c r="FO3075" s="1" t="s">
        <v>167</v>
      </c>
      <c r="GD3075" s="1" t="s">
        <v>670</v>
      </c>
      <c r="GE3075" s="1" t="s">
        <v>190</v>
      </c>
    </row>
    <row r="3076" spans="1:187" ht="11.25" customHeight="1">
      <c r="A3076" s="1" t="s">
        <v>4362</v>
      </c>
      <c r="B3076" s="1" t="str">
        <f ca="1">IFERROR(__xludf.DUMMYFUNCTION("GOOGLETRANSLATE(A3076, ""en"", ""fr"")"),"PERTURBATION")</f>
        <v>PERTURBATION</v>
      </c>
      <c r="C3076" s="1" t="s">
        <v>192</v>
      </c>
      <c r="E3076" s="1" t="s">
        <v>16613</v>
      </c>
      <c r="I3076" s="1" t="s">
        <v>5</v>
      </c>
      <c r="V3076" s="1" t="s">
        <v>18</v>
      </c>
      <c r="GD3076" s="1" t="s">
        <v>193</v>
      </c>
      <c r="GE3076" s="1" t="s">
        <v>190</v>
      </c>
    </row>
    <row r="3077" spans="1:187" ht="11.25" customHeight="1">
      <c r="A3077" s="1" t="s">
        <v>4363</v>
      </c>
      <c r="B3077" s="1" t="str">
        <f ca="1">IFERROR(__xludf.DUMMYFUNCTION("GOOGLETRANSLATE(A3077, ""en"", ""fr"")"),"PERTURBATEUR")</f>
        <v>PERTURBATEUR</v>
      </c>
      <c r="C3077" s="1" t="s">
        <v>196</v>
      </c>
      <c r="FR3077" s="1" t="s">
        <v>170</v>
      </c>
      <c r="GD3077" s="1" t="s">
        <v>202</v>
      </c>
    </row>
    <row r="3078" spans="1:187" ht="11.25" customHeight="1">
      <c r="A3078" s="1" t="s">
        <v>4364</v>
      </c>
      <c r="B3078" s="1" t="str">
        <f ca="1">IFERROR(__xludf.DUMMYFUNCTION("GOOGLETRANSLATE(A3078, ""en"", ""fr"")"),"INSATISFACTION")</f>
        <v>INSATISFACTION</v>
      </c>
      <c r="C3078" s="1" t="s">
        <v>185</v>
      </c>
      <c r="E3078" s="1" t="s">
        <v>16613</v>
      </c>
      <c r="Q3078" s="1" t="s">
        <v>13</v>
      </c>
      <c r="V3078" s="1" t="s">
        <v>18</v>
      </c>
      <c r="FW3078" s="1" t="s">
        <v>175</v>
      </c>
      <c r="GD3078" s="1" t="s">
        <v>193</v>
      </c>
      <c r="GE3078" s="1" t="s">
        <v>190</v>
      </c>
    </row>
    <row r="3079" spans="1:187" ht="11.25" customHeight="1">
      <c r="A3079" s="1" t="s">
        <v>4365</v>
      </c>
      <c r="B3079" s="1" t="str">
        <f ca="1">IFERROR(__xludf.DUMMYFUNCTION("GOOGLETRANSLATE(A3079, ""en"", ""fr"")"),"MÉCONTENT")</f>
        <v>MÉCONTENT</v>
      </c>
      <c r="C3079" s="1" t="s">
        <v>185</v>
      </c>
      <c r="E3079" s="1" t="s">
        <v>16613</v>
      </c>
      <c r="I3079" s="1" t="s">
        <v>5</v>
      </c>
      <c r="Q3079" s="1" t="s">
        <v>13</v>
      </c>
      <c r="DR3079" s="1" t="s">
        <v>118</v>
      </c>
      <c r="FV3079" s="1" t="s">
        <v>174</v>
      </c>
      <c r="GD3079" s="1" t="s">
        <v>202</v>
      </c>
      <c r="GE3079" s="1" t="s">
        <v>190</v>
      </c>
    </row>
    <row r="3080" spans="1:187" ht="11.25" customHeight="1">
      <c r="A3080" s="1" t="s">
        <v>4366</v>
      </c>
      <c r="B3080" s="1" t="str">
        <f ca="1">IFERROR(__xludf.DUMMYFUNCTION("GOOGLETRANSLATE(A3080, ""en"", ""fr"")"),"MÉCONTENTER")</f>
        <v>MÉCONTENTER</v>
      </c>
      <c r="C3080" s="1" t="s">
        <v>192</v>
      </c>
      <c r="E3080" s="1" t="s">
        <v>16613</v>
      </c>
      <c r="L3080" s="1" t="s">
        <v>8</v>
      </c>
      <c r="BT3080" s="1" t="s">
        <v>68</v>
      </c>
      <c r="DN3080" s="1" t="s">
        <v>114</v>
      </c>
      <c r="GD3080" s="1" t="s">
        <v>189</v>
      </c>
      <c r="GE3080" s="1" t="s">
        <v>190</v>
      </c>
    </row>
    <row r="3081" spans="1:187" ht="11.25" customHeight="1">
      <c r="A3081" s="1" t="s">
        <v>4367</v>
      </c>
      <c r="B3081" s="1" t="str">
        <f ca="1">IFERROR(__xludf.DUMMYFUNCTION("GOOGLETRANSLATE(A3081, ""en"", ""fr"")"),"DISSÉMINATION")</f>
        <v>DISSÉMINATION</v>
      </c>
      <c r="C3081" s="1" t="s">
        <v>196</v>
      </c>
      <c r="FD3081" s="1" t="s">
        <v>156</v>
      </c>
      <c r="FI3081" s="1" t="s">
        <v>161</v>
      </c>
      <c r="GD3081" s="1" t="s">
        <v>193</v>
      </c>
    </row>
    <row r="3082" spans="1:187" ht="11.25" customHeight="1">
      <c r="A3082" s="1" t="s">
        <v>4368</v>
      </c>
      <c r="B3082" s="1" t="str">
        <f ca="1">IFERROR(__xludf.DUMMYFUNCTION("GOOGLETRANSLATE(A3082, ""en"", ""fr"")"),"DISSENSION")</f>
        <v>DISSENSION</v>
      </c>
      <c r="C3082" s="1" t="s">
        <v>196</v>
      </c>
      <c r="FW3082" s="1" t="s">
        <v>175</v>
      </c>
      <c r="GD3082" s="1" t="s">
        <v>193</v>
      </c>
    </row>
    <row r="3083" spans="1:187" ht="11.25" customHeight="1">
      <c r="A3083" s="1" t="s">
        <v>4369</v>
      </c>
      <c r="B3083" s="1" t="str">
        <f ca="1">IFERROR(__xludf.DUMMYFUNCTION("GOOGLETRANSLATE(A3083, ""en"", ""fr"")"),"CONTESTATION")</f>
        <v>CONTESTATION</v>
      </c>
      <c r="C3083" s="1" t="s">
        <v>192</v>
      </c>
      <c r="E3083" s="1" t="s">
        <v>16613</v>
      </c>
      <c r="G3083" s="1" t="s">
        <v>3</v>
      </c>
      <c r="I3083" s="1" t="s">
        <v>5</v>
      </c>
      <c r="V3083" s="1" t="s">
        <v>18</v>
      </c>
      <c r="GD3083" s="1" t="s">
        <v>193</v>
      </c>
      <c r="GE3083" s="1" t="s">
        <v>190</v>
      </c>
    </row>
    <row r="3084" spans="1:187" ht="11.25" customHeight="1">
      <c r="A3084" s="1" t="s">
        <v>4370</v>
      </c>
      <c r="B3084" s="1" t="str">
        <f ca="1">IFERROR(__xludf.DUMMYFUNCTION("GOOGLETRANSLATE(A3084, ""en"", ""fr"")"),"Distention")</f>
        <v>Distention</v>
      </c>
      <c r="C3084" s="1" t="s">
        <v>192</v>
      </c>
      <c r="E3084" s="1" t="s">
        <v>16613</v>
      </c>
      <c r="G3084" s="1" t="s">
        <v>3</v>
      </c>
      <c r="I3084" s="1" t="s">
        <v>5</v>
      </c>
      <c r="V3084" s="1" t="s">
        <v>18</v>
      </c>
      <c r="GD3084" s="1" t="s">
        <v>193</v>
      </c>
      <c r="GE3084" s="1" t="s">
        <v>190</v>
      </c>
    </row>
    <row r="3085" spans="1:187" ht="11.25" customHeight="1">
      <c r="A3085" s="1" t="s">
        <v>4371</v>
      </c>
      <c r="B3085" s="1" t="str">
        <f ca="1">IFERROR(__xludf.DUMMYFUNCTION("GOOGLETRANSLATE(A3085, ""en"", ""fr"")"),"DIFFÉRENT")</f>
        <v>DIFFÉRENT</v>
      </c>
      <c r="C3085" s="1" t="s">
        <v>185</v>
      </c>
      <c r="DD3085" s="1" t="s">
        <v>104</v>
      </c>
      <c r="DL3085" s="1" t="s">
        <v>112</v>
      </c>
      <c r="GD3085" s="1" t="s">
        <v>202</v>
      </c>
      <c r="GE3085" s="1" t="s">
        <v>190</v>
      </c>
    </row>
    <row r="3086" spans="1:187" ht="11.25" customHeight="1">
      <c r="A3086" s="1" t="s">
        <v>4372</v>
      </c>
      <c r="B3086" s="1" t="str">
        <f ca="1">IFERROR(__xludf.DUMMYFUNCTION("GOOGLETRANSLATE(A3086, ""en"", ""fr"")"),"DISSOLUTION")</f>
        <v>DISSOLUTION</v>
      </c>
      <c r="C3086" s="1" t="s">
        <v>192</v>
      </c>
      <c r="E3086" s="1" t="s">
        <v>16613</v>
      </c>
      <c r="G3086" s="1" t="s">
        <v>3</v>
      </c>
      <c r="Q3086" s="1" t="s">
        <v>13</v>
      </c>
      <c r="CG3086" s="1" t="s">
        <v>81</v>
      </c>
      <c r="CK3086" s="1" t="s">
        <v>85</v>
      </c>
      <c r="GD3086" s="1" t="s">
        <v>193</v>
      </c>
      <c r="GE3086" s="1" t="s">
        <v>190</v>
      </c>
    </row>
    <row r="3087" spans="1:187" ht="11.25" customHeight="1">
      <c r="A3087" s="1" t="s">
        <v>4373</v>
      </c>
      <c r="B3087" s="1" t="str">
        <f ca="1">IFERROR(__xludf.DUMMYFUNCTION("GOOGLETRANSLATE(A3087, ""en"", ""fr"")"),"Dissoudre n ° 1")</f>
        <v>Dissoudre n ° 1</v>
      </c>
      <c r="C3087" s="1" t="s">
        <v>185</v>
      </c>
      <c r="J3087" s="1" t="s">
        <v>6</v>
      </c>
      <c r="N3087" s="1" t="s">
        <v>10</v>
      </c>
      <c r="BU3087" s="1" t="s">
        <v>69</v>
      </c>
      <c r="GD3087" s="1" t="s">
        <v>202</v>
      </c>
      <c r="GE3087" s="1" t="s">
        <v>190</v>
      </c>
    </row>
    <row r="3088" spans="1:187" ht="11.25" customHeight="1">
      <c r="A3088" s="1" t="s">
        <v>4374</v>
      </c>
      <c r="B3088" s="1" t="str">
        <f ca="1">IFERROR(__xludf.DUMMYFUNCTION("GOOGLETRANSLATE(A3088, ""en"", ""fr"")"),"Dissoudre n ° 2")</f>
        <v>Dissoudre n ° 2</v>
      </c>
      <c r="C3088" s="1" t="s">
        <v>185</v>
      </c>
      <c r="J3088" s="1" t="s">
        <v>6</v>
      </c>
      <c r="N3088" s="1" t="s">
        <v>10</v>
      </c>
      <c r="BZ3088" s="1" t="s">
        <v>74</v>
      </c>
      <c r="DN3088" s="1" t="s">
        <v>114</v>
      </c>
      <c r="GD3088" s="1" t="s">
        <v>189</v>
      </c>
      <c r="GE3088" s="1" t="s">
        <v>190</v>
      </c>
    </row>
    <row r="3089" spans="1:187" ht="11.25" customHeight="1">
      <c r="A3089" s="1" t="s">
        <v>4375</v>
      </c>
      <c r="B3089" s="1" t="str">
        <f ca="1">IFERROR(__xludf.DUMMYFUNCTION("GOOGLETRANSLATE(A3089, ""en"", ""fr"")"),"DISTANCE")</f>
        <v>DISTANCE</v>
      </c>
      <c r="C3089" s="1" t="s">
        <v>185</v>
      </c>
      <c r="CQ3089" s="1" t="s">
        <v>91</v>
      </c>
      <c r="CX3089" s="1" t="s">
        <v>98</v>
      </c>
      <c r="DA3089" s="1" t="s">
        <v>101</v>
      </c>
      <c r="GB3089" s="1" t="s">
        <v>180</v>
      </c>
      <c r="GD3089" s="1" t="s">
        <v>193</v>
      </c>
      <c r="GE3089" s="1" t="s">
        <v>4376</v>
      </c>
    </row>
    <row r="3090" spans="1:187" ht="11.25" customHeight="1">
      <c r="A3090" s="1" t="s">
        <v>4377</v>
      </c>
      <c r="B3090" s="1" t="str">
        <f ca="1">IFERROR(__xludf.DUMMYFUNCTION("GOOGLETRANSLATE(A3090, ""en"", ""fr"")"),"LOIN")</f>
        <v>LOIN</v>
      </c>
      <c r="C3090" s="1" t="s">
        <v>185</v>
      </c>
      <c r="DA3090" s="1" t="s">
        <v>101</v>
      </c>
      <c r="GB3090" s="1" t="s">
        <v>180</v>
      </c>
      <c r="GD3090" s="1" t="s">
        <v>202</v>
      </c>
      <c r="GE3090" s="1" t="s">
        <v>190</v>
      </c>
    </row>
    <row r="3091" spans="1:187" ht="11.25" customHeight="1">
      <c r="A3091" s="1" t="s">
        <v>4378</v>
      </c>
      <c r="B3091" s="1" t="str">
        <f ca="1">IFERROR(__xludf.DUMMYFUNCTION("GOOGLETRANSLATE(A3091, ""en"", ""fr"")"),"DISTINCT")</f>
        <v>DISTINCT</v>
      </c>
      <c r="C3091" s="1" t="s">
        <v>185</v>
      </c>
      <c r="D3091" s="1" t="s">
        <v>16612</v>
      </c>
      <c r="F3091" s="1" t="s">
        <v>2</v>
      </c>
      <c r="W3091" s="1" t="s">
        <v>19</v>
      </c>
      <c r="CK3091" s="1" t="s">
        <v>85</v>
      </c>
      <c r="FH3091" s="1" t="s">
        <v>160</v>
      </c>
      <c r="FI3091" s="1" t="s">
        <v>161</v>
      </c>
      <c r="GD3091" s="1" t="s">
        <v>202</v>
      </c>
      <c r="GE3091" s="1" t="s">
        <v>190</v>
      </c>
    </row>
    <row r="3092" spans="1:187" ht="11.25" customHeight="1">
      <c r="A3092" s="1" t="s">
        <v>4379</v>
      </c>
      <c r="B3092" s="1" t="str">
        <f ca="1">IFERROR(__xludf.DUMMYFUNCTION("GOOGLETRANSLATE(A3092, ""en"", ""fr"")"),"DISTINCTION")</f>
        <v>DISTINCTION</v>
      </c>
      <c r="C3092" s="1" t="s">
        <v>185</v>
      </c>
      <c r="D3092" s="1" t="s">
        <v>16612</v>
      </c>
      <c r="F3092" s="1" t="s">
        <v>2</v>
      </c>
      <c r="CH3092" s="1" t="s">
        <v>82</v>
      </c>
      <c r="FH3092" s="1" t="s">
        <v>160</v>
      </c>
      <c r="FI3092" s="1" t="s">
        <v>161</v>
      </c>
      <c r="GD3092" s="1" t="s">
        <v>193</v>
      </c>
      <c r="GE3092" s="1" t="s">
        <v>190</v>
      </c>
    </row>
    <row r="3093" spans="1:187" ht="11.25" customHeight="1">
      <c r="A3093" s="1" t="s">
        <v>4380</v>
      </c>
      <c r="B3093" s="1" t="str">
        <f ca="1">IFERROR(__xludf.DUMMYFUNCTION("GOOGLETRANSLATE(A3093, ""en"", ""fr"")"),"DISTINCTIF")</f>
        <v>DISTINCTIF</v>
      </c>
      <c r="C3093" s="1" t="s">
        <v>185</v>
      </c>
      <c r="D3093" s="1" t="s">
        <v>16612</v>
      </c>
      <c r="F3093" s="1" t="s">
        <v>2</v>
      </c>
      <c r="CK3093" s="1" t="s">
        <v>85</v>
      </c>
      <c r="CN3093" s="1" t="s">
        <v>88</v>
      </c>
      <c r="FH3093" s="1" t="s">
        <v>160</v>
      </c>
      <c r="FI3093" s="1" t="s">
        <v>161</v>
      </c>
      <c r="GD3093" s="1" t="s">
        <v>202</v>
      </c>
      <c r="GE3093" s="1" t="s">
        <v>190</v>
      </c>
    </row>
    <row r="3094" spans="1:187" ht="11.25" customHeight="1">
      <c r="A3094" s="1" t="s">
        <v>4381</v>
      </c>
      <c r="B3094" s="1" t="str">
        <f ca="1">IFERROR(__xludf.DUMMYFUNCTION("GOOGLETRANSLATE(A3094, ""en"", ""fr"")"),"DISTINGIUSH # 1")</f>
        <v>DISTINGIUSH # 1</v>
      </c>
      <c r="C3094" s="1" t="s">
        <v>196</v>
      </c>
      <c r="EM3094" s="1" t="s">
        <v>139</v>
      </c>
      <c r="EN3094" s="1" t="s">
        <v>140</v>
      </c>
      <c r="GD3094" s="1" t="s">
        <v>202</v>
      </c>
    </row>
    <row r="3095" spans="1:187" ht="11.25" customHeight="1">
      <c r="A3095" s="1" t="s">
        <v>4382</v>
      </c>
      <c r="B3095" s="1" t="str">
        <f ca="1">IFERROR(__xludf.DUMMYFUNCTION("GOOGLETRANSLATE(A3095, ""en"", ""fr"")"),"DISTINGIUSH # 2")</f>
        <v>DISTINGIUSH # 2</v>
      </c>
      <c r="C3095" s="1" t="s">
        <v>196</v>
      </c>
      <c r="FD3095" s="1" t="s">
        <v>156</v>
      </c>
      <c r="FI3095" s="1" t="s">
        <v>161</v>
      </c>
      <c r="GD3095" s="1" t="s">
        <v>189</v>
      </c>
    </row>
    <row r="3096" spans="1:187" ht="11.25" customHeight="1">
      <c r="A3096" s="1" t="s">
        <v>4383</v>
      </c>
      <c r="B3096" s="1" t="str">
        <f ca="1">IFERROR(__xludf.DUMMYFUNCTION("GOOGLETRANSLATE(A3096, ""en"", ""fr"")"),"Distinguer # 1")</f>
        <v>Distinguer # 1</v>
      </c>
      <c r="C3096" s="1" t="s">
        <v>185</v>
      </c>
      <c r="D3096" s="1" t="s">
        <v>16612</v>
      </c>
      <c r="F3096" s="1" t="s">
        <v>2</v>
      </c>
      <c r="K3096" s="1" t="s">
        <v>7</v>
      </c>
      <c r="U3096" s="1" t="s">
        <v>17</v>
      </c>
      <c r="EM3096" s="1" t="s">
        <v>139</v>
      </c>
      <c r="EN3096" s="1" t="s">
        <v>140</v>
      </c>
      <c r="GD3096" s="1" t="s">
        <v>202</v>
      </c>
      <c r="GE3096" s="1" t="s">
        <v>190</v>
      </c>
    </row>
    <row r="3097" spans="1:187" ht="11.25" customHeight="1">
      <c r="A3097" s="1" t="s">
        <v>4384</v>
      </c>
      <c r="B3097" s="1" t="str">
        <f ca="1">IFERROR(__xludf.DUMMYFUNCTION("GOOGLETRANSLATE(A3097, ""en"", ""fr"")"),"Distinguer # 2")</f>
        <v>Distinguer # 2</v>
      </c>
      <c r="C3097" s="1" t="s">
        <v>185</v>
      </c>
      <c r="D3097" s="1" t="s">
        <v>16612</v>
      </c>
      <c r="F3097" s="1" t="s">
        <v>2</v>
      </c>
      <c r="CO3097" s="1" t="s">
        <v>89</v>
      </c>
      <c r="DN3097" s="1" t="s">
        <v>114</v>
      </c>
      <c r="FD3097" s="1" t="s">
        <v>156</v>
      </c>
      <c r="FI3097" s="1" t="s">
        <v>161</v>
      </c>
      <c r="GD3097" s="1" t="s">
        <v>189</v>
      </c>
      <c r="GE3097" s="1" t="s">
        <v>190</v>
      </c>
    </row>
    <row r="3098" spans="1:187" ht="11.25" customHeight="1">
      <c r="A3098" s="1" t="s">
        <v>4385</v>
      </c>
      <c r="B3098" s="1" t="str">
        <f ca="1">IFERROR(__xludf.DUMMYFUNCTION("GOOGLETRANSLATE(A3098, ""en"", ""fr"")"),"DISTINGUÉ")</f>
        <v>DISTINGUÉ</v>
      </c>
      <c r="C3098" s="1" t="s">
        <v>192</v>
      </c>
      <c r="D3098" s="1" t="s">
        <v>16612</v>
      </c>
      <c r="J3098" s="1" t="s">
        <v>6</v>
      </c>
      <c r="K3098" s="1" t="s">
        <v>7</v>
      </c>
      <c r="DR3098" s="1" t="s">
        <v>118</v>
      </c>
      <c r="GD3098" s="1" t="s">
        <v>202</v>
      </c>
      <c r="GE3098" s="1" t="s">
        <v>190</v>
      </c>
    </row>
    <row r="3099" spans="1:187" ht="11.25" customHeight="1">
      <c r="A3099" s="1" t="s">
        <v>4386</v>
      </c>
      <c r="B3099" s="1" t="str">
        <f ca="1">IFERROR(__xludf.DUMMYFUNCTION("GOOGLETRANSLATE(A3099, ""en"", ""fr"")"),"FAUSSER")</f>
        <v>FAUSSER</v>
      </c>
      <c r="C3099" s="1" t="s">
        <v>185</v>
      </c>
      <c r="E3099" s="1" t="s">
        <v>16613</v>
      </c>
      <c r="H3099" s="1" t="s">
        <v>4</v>
      </c>
      <c r="I3099" s="1" t="s">
        <v>5</v>
      </c>
      <c r="BK3099" s="1" t="s">
        <v>59</v>
      </c>
      <c r="DN3099" s="1" t="s">
        <v>114</v>
      </c>
      <c r="FE3099" s="1" t="s">
        <v>157</v>
      </c>
      <c r="FI3099" s="1" t="s">
        <v>161</v>
      </c>
      <c r="GD3099" s="1" t="s">
        <v>189</v>
      </c>
      <c r="GE3099" s="1" t="s">
        <v>190</v>
      </c>
    </row>
    <row r="3100" spans="1:187" ht="11.25" customHeight="1">
      <c r="A3100" s="1" t="s">
        <v>4387</v>
      </c>
      <c r="B3100" s="1" t="str">
        <f ca="1">IFERROR(__xludf.DUMMYFUNCTION("GOOGLETRANSLATE(A3100, ""en"", ""fr"")"),"DISTORSION")</f>
        <v>DISTORSION</v>
      </c>
      <c r="C3100" s="1" t="s">
        <v>192</v>
      </c>
      <c r="E3100" s="1" t="s">
        <v>16613</v>
      </c>
      <c r="CK3100" s="1" t="s">
        <v>85</v>
      </c>
      <c r="GD3100" s="1" t="s">
        <v>193</v>
      </c>
      <c r="GE3100" s="1" t="s">
        <v>190</v>
      </c>
    </row>
    <row r="3101" spans="1:187" ht="11.25" customHeight="1">
      <c r="A3101" s="1" t="s">
        <v>4388</v>
      </c>
      <c r="B3101" s="1" t="str">
        <f ca="1">IFERROR(__xludf.DUMMYFUNCTION("GOOGLETRANSLATE(A3101, ""en"", ""fr"")"),"DISTRAIRE")</f>
        <v>DISTRAIRE</v>
      </c>
      <c r="C3101" s="1" t="s">
        <v>185</v>
      </c>
      <c r="E3101" s="1" t="s">
        <v>16613</v>
      </c>
      <c r="N3101" s="1" t="s">
        <v>10</v>
      </c>
      <c r="DN3101" s="1" t="s">
        <v>114</v>
      </c>
      <c r="FE3101" s="1" t="s">
        <v>157</v>
      </c>
      <c r="FI3101" s="1" t="s">
        <v>161</v>
      </c>
      <c r="GD3101" s="1" t="s">
        <v>670</v>
      </c>
      <c r="GE3101" s="1" t="s">
        <v>190</v>
      </c>
    </row>
    <row r="3102" spans="1:187" ht="11.25" customHeight="1">
      <c r="A3102" s="1" t="s">
        <v>4389</v>
      </c>
      <c r="B3102" s="1" t="str">
        <f ca="1">IFERROR(__xludf.DUMMYFUNCTION("GOOGLETRANSLATE(A3102, ""en"", ""fr"")"),"Distrayant")</f>
        <v>Distrayant</v>
      </c>
      <c r="C3102" s="1" t="s">
        <v>192</v>
      </c>
      <c r="E3102" s="1" t="s">
        <v>16613</v>
      </c>
      <c r="W3102" s="1" t="s">
        <v>19</v>
      </c>
      <c r="DR3102" s="1" t="s">
        <v>118</v>
      </c>
      <c r="GD3102" s="1" t="s">
        <v>202</v>
      </c>
      <c r="GE3102" s="1" t="s">
        <v>190</v>
      </c>
    </row>
    <row r="3103" spans="1:187" ht="11.25" customHeight="1">
      <c r="A3103" s="1" t="s">
        <v>4390</v>
      </c>
      <c r="B3103" s="1" t="str">
        <f ca="1">IFERROR(__xludf.DUMMYFUNCTION("GOOGLETRANSLATE(A3103, ""en"", ""fr"")"),"DISTRACTION")</f>
        <v>DISTRACTION</v>
      </c>
      <c r="C3103" s="1" t="s">
        <v>192</v>
      </c>
      <c r="E3103" s="1" t="s">
        <v>16613</v>
      </c>
      <c r="V3103" s="1" t="s">
        <v>18</v>
      </c>
      <c r="W3103" s="1" t="s">
        <v>19</v>
      </c>
      <c r="GD3103" s="1" t="s">
        <v>193</v>
      </c>
      <c r="GE3103" s="1" t="s">
        <v>190</v>
      </c>
    </row>
    <row r="3104" spans="1:187" ht="11.25" customHeight="1">
      <c r="A3104" s="1" t="s">
        <v>4391</v>
      </c>
      <c r="B3104" s="1" t="str">
        <f ca="1">IFERROR(__xludf.DUMMYFUNCTION("GOOGLETRANSLATE(A3104, ""en"", ""fr"")"),"Détresse n ° 1")</f>
        <v>Détresse n ° 1</v>
      </c>
      <c r="C3104" s="1" t="s">
        <v>185</v>
      </c>
      <c r="E3104" s="1" t="s">
        <v>16613</v>
      </c>
      <c r="H3104" s="1" t="s">
        <v>4</v>
      </c>
      <c r="L3104" s="1" t="s">
        <v>8</v>
      </c>
      <c r="O3104" s="1" t="s">
        <v>11</v>
      </c>
      <c r="Q3104" s="1" t="s">
        <v>13</v>
      </c>
      <c r="T3104" s="1" t="s">
        <v>16</v>
      </c>
      <c r="FA3104" s="1" t="s">
        <v>153</v>
      </c>
      <c r="FC3104" s="1" t="s">
        <v>155</v>
      </c>
      <c r="GD3104" s="1" t="s">
        <v>193</v>
      </c>
      <c r="GE3104" s="1" t="s">
        <v>190</v>
      </c>
    </row>
    <row r="3105" spans="1:187" ht="11.25" customHeight="1">
      <c r="A3105" s="1" t="s">
        <v>4392</v>
      </c>
      <c r="B3105" s="1" t="str">
        <f ca="1">IFERROR(__xludf.DUMMYFUNCTION("GOOGLETRANSLATE(A3105, ""en"", ""fr"")"),"Détresse n ° 2")</f>
        <v>Détresse n ° 2</v>
      </c>
      <c r="C3105" s="1" t="s">
        <v>185</v>
      </c>
      <c r="E3105" s="1" t="s">
        <v>16613</v>
      </c>
      <c r="H3105" s="1" t="s">
        <v>4</v>
      </c>
      <c r="L3105" s="1" t="s">
        <v>8</v>
      </c>
      <c r="O3105" s="1" t="s">
        <v>11</v>
      </c>
      <c r="Q3105" s="1" t="s">
        <v>13</v>
      </c>
      <c r="DN3105" s="1" t="s">
        <v>114</v>
      </c>
      <c r="FA3105" s="1" t="s">
        <v>153</v>
      </c>
      <c r="FC3105" s="1" t="s">
        <v>155</v>
      </c>
      <c r="GD3105" s="1" t="s">
        <v>189</v>
      </c>
      <c r="GE3105" s="1" t="s">
        <v>190</v>
      </c>
    </row>
    <row r="3106" spans="1:187" ht="11.25" customHeight="1">
      <c r="A3106" s="1" t="s">
        <v>4393</v>
      </c>
      <c r="B3106" s="1" t="str">
        <f ca="1">IFERROR(__xludf.DUMMYFUNCTION("GOOGLETRANSLATE(A3106, ""en"", ""fr"")"),"DISTRIBUER")</f>
        <v>DISTRIBUER</v>
      </c>
      <c r="C3106" s="1" t="s">
        <v>185</v>
      </c>
      <c r="N3106" s="1" t="s">
        <v>10</v>
      </c>
      <c r="CD3106" s="1" t="s">
        <v>78</v>
      </c>
      <c r="DN3106" s="1" t="s">
        <v>114</v>
      </c>
      <c r="FP3106" s="1" t="s">
        <v>168</v>
      </c>
      <c r="GD3106" s="1" t="s">
        <v>189</v>
      </c>
      <c r="GE3106" s="1" t="s">
        <v>190</v>
      </c>
    </row>
    <row r="3107" spans="1:187" ht="11.25" customHeight="1">
      <c r="A3107" s="1" t="s">
        <v>4394</v>
      </c>
      <c r="B3107" s="1" t="str">
        <f ca="1">IFERROR(__xludf.DUMMYFUNCTION("GOOGLETRANSLATE(A3107, ""en"", ""fr"")"),"DISTRIBUTION")</f>
        <v>DISTRIBUTION</v>
      </c>
      <c r="C3107" s="1" t="s">
        <v>185</v>
      </c>
      <c r="N3107" s="1" t="s">
        <v>10</v>
      </c>
      <c r="AC3107" s="1" t="s">
        <v>25</v>
      </c>
      <c r="CP3107" s="1" t="s">
        <v>90</v>
      </c>
      <c r="CQ3107" s="1" t="s">
        <v>91</v>
      </c>
      <c r="DA3107" s="1" t="s">
        <v>101</v>
      </c>
      <c r="FP3107" s="1" t="s">
        <v>168</v>
      </c>
      <c r="GD3107" s="1" t="s">
        <v>193</v>
      </c>
      <c r="GE3107" s="1" t="s">
        <v>190</v>
      </c>
    </row>
    <row r="3108" spans="1:187" ht="11.25" customHeight="1">
      <c r="A3108" s="1" t="s">
        <v>4395</v>
      </c>
      <c r="B3108" s="1" t="str">
        <f ca="1">IFERROR(__xludf.DUMMYFUNCTION("GOOGLETRANSLATE(A3108, ""en"", ""fr"")"),"DISTRIBUTEUR")</f>
        <v>DISTRIBUTEUR</v>
      </c>
      <c r="C3108" s="1" t="s">
        <v>185</v>
      </c>
      <c r="AA3108" s="1" t="s">
        <v>23</v>
      </c>
      <c r="AC3108" s="1" t="s">
        <v>25</v>
      </c>
      <c r="AJ3108" s="1" t="s">
        <v>32</v>
      </c>
      <c r="AT3108" s="1" t="s">
        <v>42</v>
      </c>
      <c r="ET3108" s="1" t="s">
        <v>146</v>
      </c>
      <c r="EW3108" s="1" t="s">
        <v>149</v>
      </c>
      <c r="GD3108" s="1" t="s">
        <v>193</v>
      </c>
      <c r="GE3108" s="1" t="s">
        <v>190</v>
      </c>
    </row>
    <row r="3109" spans="1:187" ht="11.25" customHeight="1">
      <c r="A3109" s="1" t="s">
        <v>4396</v>
      </c>
      <c r="B3109" s="1" t="str">
        <f ca="1">IFERROR(__xludf.DUMMYFUNCTION("GOOGLETRANSLATE(A3109, ""en"", ""fr"")"),"DISTRICT")</f>
        <v>DISTRICT</v>
      </c>
      <c r="C3109" s="1" t="s">
        <v>196</v>
      </c>
      <c r="GD3109" s="1" t="s">
        <v>3319</v>
      </c>
    </row>
    <row r="3110" spans="1:187" ht="11.25" customHeight="1">
      <c r="A3110" s="1" t="s">
        <v>4397</v>
      </c>
      <c r="B3110" s="1" t="str">
        <f ca="1">IFERROR(__xludf.DUMMYFUNCTION("GOOGLETRANSLATE(A3110, ""en"", ""fr"")"),"MÉFIANCE")</f>
        <v>MÉFIANCE</v>
      </c>
      <c r="C3110" s="1" t="s">
        <v>185</v>
      </c>
      <c r="I3110" s="1" t="s">
        <v>5</v>
      </c>
      <c r="S3110" s="1" t="s">
        <v>15</v>
      </c>
      <c r="FW3110" s="1" t="s">
        <v>175</v>
      </c>
      <c r="GD3110" s="1" t="s">
        <v>193</v>
      </c>
      <c r="GE3110" s="1" t="s">
        <v>190</v>
      </c>
    </row>
    <row r="3111" spans="1:187" ht="11.25" customHeight="1">
      <c r="A3111" s="1" t="s">
        <v>4398</v>
      </c>
      <c r="B3111" s="1" t="str">
        <f ca="1">IFERROR(__xludf.DUMMYFUNCTION("GOOGLETRANSLATE(A3111, ""en"", ""fr"")"),"MÉFIANT")</f>
        <v>MÉFIANT</v>
      </c>
      <c r="C3111" s="1" t="s">
        <v>192</v>
      </c>
      <c r="E3111" s="1" t="s">
        <v>16613</v>
      </c>
      <c r="Q3111" s="1" t="s">
        <v>13</v>
      </c>
      <c r="CK3111" s="1" t="s">
        <v>85</v>
      </c>
      <c r="DQ3111" s="1" t="s">
        <v>117</v>
      </c>
      <c r="GD3111" s="1" t="s">
        <v>202</v>
      </c>
      <c r="GE3111" s="1" t="s">
        <v>190</v>
      </c>
    </row>
    <row r="3112" spans="1:187" ht="11.25" customHeight="1">
      <c r="A3112" s="1" t="s">
        <v>4399</v>
      </c>
      <c r="B3112" s="1" t="str">
        <f ca="1">IFERROR(__xludf.DUMMYFUNCTION("GOOGLETRANSLATE(A3112, ""en"", ""fr"")"),"Perturber # 1")</f>
        <v>Perturber # 1</v>
      </c>
      <c r="C3112" s="1" t="s">
        <v>185</v>
      </c>
      <c r="E3112" s="1" t="s">
        <v>16613</v>
      </c>
      <c r="H3112" s="1" t="s">
        <v>4</v>
      </c>
      <c r="I3112" s="1" t="s">
        <v>5</v>
      </c>
      <c r="N3112" s="1" t="s">
        <v>10</v>
      </c>
      <c r="BK3112" s="1" t="s">
        <v>59</v>
      </c>
      <c r="DN3112" s="1" t="s">
        <v>114</v>
      </c>
      <c r="FZ3112" s="1" t="s">
        <v>178</v>
      </c>
      <c r="GD3112" s="1" t="s">
        <v>189</v>
      </c>
      <c r="GE3112" s="1" t="s">
        <v>4400</v>
      </c>
    </row>
    <row r="3113" spans="1:187" ht="11.25" customHeight="1">
      <c r="A3113" s="1" t="s">
        <v>4401</v>
      </c>
      <c r="B3113" s="1" t="str">
        <f ca="1">IFERROR(__xludf.DUMMYFUNCTION("GOOGLETRANSLATE(A3113, ""en"", ""fr"")"),"Perturber # 2")</f>
        <v>Perturber # 2</v>
      </c>
      <c r="C3113" s="1" t="s">
        <v>185</v>
      </c>
      <c r="E3113" s="1" t="s">
        <v>16613</v>
      </c>
      <c r="H3113" s="1" t="s">
        <v>4</v>
      </c>
      <c r="N3113" s="1" t="s">
        <v>10</v>
      </c>
      <c r="V3113" s="1" t="s">
        <v>18</v>
      </c>
      <c r="FA3113" s="1" t="s">
        <v>153</v>
      </c>
      <c r="FC3113" s="1" t="s">
        <v>155</v>
      </c>
      <c r="GD3113" s="1" t="s">
        <v>202</v>
      </c>
      <c r="GE3113" s="1" t="s">
        <v>4402</v>
      </c>
    </row>
    <row r="3114" spans="1:187" ht="11.25" customHeight="1">
      <c r="A3114" s="1" t="s">
        <v>4403</v>
      </c>
      <c r="B3114" s="1" t="str">
        <f ca="1">IFERROR(__xludf.DUMMYFUNCTION("GOOGLETRANSLATE(A3114, ""en"", ""fr"")"),"Perturber # 3")</f>
        <v>Perturber # 3</v>
      </c>
      <c r="C3114" s="1" t="s">
        <v>185</v>
      </c>
      <c r="E3114" s="1" t="s">
        <v>16613</v>
      </c>
      <c r="H3114" s="1" t="s">
        <v>4</v>
      </c>
      <c r="O3114" s="1" t="s">
        <v>11</v>
      </c>
      <c r="Q3114" s="1" t="s">
        <v>13</v>
      </c>
      <c r="T3114" s="1" t="s">
        <v>16</v>
      </c>
      <c r="FA3114" s="1" t="s">
        <v>153</v>
      </c>
      <c r="FC3114" s="1" t="s">
        <v>155</v>
      </c>
      <c r="GD3114" s="1" t="s">
        <v>202</v>
      </c>
      <c r="GE3114" s="1" t="s">
        <v>4404</v>
      </c>
    </row>
    <row r="3115" spans="1:187" ht="11.25" customHeight="1">
      <c r="A3115" s="1" t="s">
        <v>4405</v>
      </c>
      <c r="B3115" s="1" t="str">
        <f ca="1">IFERROR(__xludf.DUMMYFUNCTION("GOOGLETRANSLATE(A3115, ""en"", ""fr"")"),"PERTURBATION")</f>
        <v>PERTURBATION</v>
      </c>
      <c r="C3115" s="1" t="s">
        <v>185</v>
      </c>
      <c r="E3115" s="1" t="s">
        <v>16613</v>
      </c>
      <c r="H3115" s="1" t="s">
        <v>4</v>
      </c>
      <c r="I3115" s="1" t="s">
        <v>5</v>
      </c>
      <c r="N3115" s="1" t="s">
        <v>10</v>
      </c>
      <c r="V3115" s="1" t="s">
        <v>18</v>
      </c>
      <c r="GD3115" s="1" t="s">
        <v>193</v>
      </c>
      <c r="GE3115" s="1" t="s">
        <v>190</v>
      </c>
    </row>
    <row r="3116" spans="1:187" ht="11.25" customHeight="1">
      <c r="A3116" s="1" t="s">
        <v>4406</v>
      </c>
      <c r="B3116" s="1" t="str">
        <f ca="1">IFERROR(__xludf.DUMMYFUNCTION("GOOGLETRANSLATE(A3116, ""en"", ""fr"")"),"DÉSUNION")</f>
        <v>DÉSUNION</v>
      </c>
      <c r="C3116" s="1" t="s">
        <v>196</v>
      </c>
      <c r="DW3116" s="1" t="s">
        <v>123</v>
      </c>
      <c r="ED3116" s="1" t="s">
        <v>130</v>
      </c>
      <c r="GD3116" s="1" t="s">
        <v>193</v>
      </c>
    </row>
    <row r="3117" spans="1:187" ht="11.25" customHeight="1">
      <c r="A3117" s="1" t="s">
        <v>4407</v>
      </c>
      <c r="B3117" s="1" t="str">
        <f ca="1">IFERROR(__xludf.DUMMYFUNCTION("GOOGLETRANSLATE(A3117, ""en"", ""fr"")"),"DÉSUNION")</f>
        <v>DÉSUNION</v>
      </c>
      <c r="C3117" s="1" t="s">
        <v>196</v>
      </c>
      <c r="DW3117" s="1" t="s">
        <v>123</v>
      </c>
      <c r="ED3117" s="1" t="s">
        <v>130</v>
      </c>
      <c r="GD3117" s="1" t="s">
        <v>193</v>
      </c>
    </row>
    <row r="3118" spans="1:187" ht="11.25" customHeight="1">
      <c r="A3118" s="1" t="s">
        <v>4408</v>
      </c>
      <c r="B3118" s="1" t="str">
        <f ca="1">IFERROR(__xludf.DUMMYFUNCTION("GOOGLETRANSLATE(A3118, ""en"", ""fr"")"),"Fossé n ° 1")</f>
        <v>Fossé n ° 1</v>
      </c>
      <c r="C3118" s="1" t="s">
        <v>185</v>
      </c>
      <c r="AV3118" s="1" t="s">
        <v>44</v>
      </c>
      <c r="BA3118" s="1" t="s">
        <v>49</v>
      </c>
      <c r="GD3118" s="1" t="s">
        <v>193</v>
      </c>
      <c r="GE3118" s="1" t="s">
        <v>190</v>
      </c>
    </row>
    <row r="3119" spans="1:187" ht="11.25" customHeight="1">
      <c r="A3119" s="1" t="s">
        <v>4409</v>
      </c>
      <c r="B3119" s="1" t="str">
        <f ca="1">IFERROR(__xludf.DUMMYFUNCTION("GOOGLETRANSLATE(A3119, ""en"", ""fr"")"),"Fossé n ° 2")</f>
        <v>Fossé n ° 2</v>
      </c>
      <c r="C3119" s="1" t="s">
        <v>185</v>
      </c>
      <c r="I3119" s="1" t="s">
        <v>5</v>
      </c>
      <c r="CE3119" s="1" t="s">
        <v>79</v>
      </c>
      <c r="DN3119" s="1" t="s">
        <v>114</v>
      </c>
      <c r="GD3119" s="1" t="s">
        <v>189</v>
      </c>
      <c r="GE3119" s="1" t="s">
        <v>190</v>
      </c>
    </row>
    <row r="3120" spans="1:187" ht="11.25" customHeight="1">
      <c r="A3120" s="1" t="s">
        <v>4410</v>
      </c>
      <c r="B3120" s="1" t="str">
        <f ca="1">IFERROR(__xludf.DUMMYFUNCTION("GOOGLETRANSLATE(A3120, ""en"", ""fr"")"),"DIURNE")</f>
        <v>DIURNE</v>
      </c>
      <c r="C3120" s="1" t="s">
        <v>185</v>
      </c>
      <c r="CW3120" s="1" t="s">
        <v>97</v>
      </c>
      <c r="GB3120" s="1" t="s">
        <v>180</v>
      </c>
      <c r="GD3120" s="1" t="s">
        <v>202</v>
      </c>
      <c r="GE3120" s="1" t="s">
        <v>190</v>
      </c>
    </row>
    <row r="3121" spans="1:187" ht="11.25" customHeight="1">
      <c r="A3121" s="1" t="s">
        <v>4411</v>
      </c>
      <c r="B3121" s="1" t="str">
        <f ca="1">IFERROR(__xludf.DUMMYFUNCTION("GOOGLETRANSLATE(A3121, ""en"", ""fr"")"),"PLONGER")</f>
        <v>PLONGER</v>
      </c>
      <c r="C3121" s="1" t="s">
        <v>185</v>
      </c>
      <c r="N3121" s="1" t="s">
        <v>10</v>
      </c>
      <c r="CF3121" s="1" t="s">
        <v>80</v>
      </c>
      <c r="DO3121" s="1" t="s">
        <v>115</v>
      </c>
      <c r="GD3121" s="1" t="s">
        <v>189</v>
      </c>
      <c r="GE3121" s="1" t="s">
        <v>190</v>
      </c>
    </row>
    <row r="3122" spans="1:187" ht="11.25" customHeight="1">
      <c r="A3122" s="1" t="s">
        <v>4412</v>
      </c>
      <c r="B3122" s="1" t="str">
        <f ca="1">IFERROR(__xludf.DUMMYFUNCTION("GOOGLETRANSLATE(A3122, ""en"", ""fr"")"),"PLONGEUR")</f>
        <v>PLONGEUR</v>
      </c>
      <c r="C3122" s="1" t="s">
        <v>185</v>
      </c>
      <c r="N3122" s="1" t="s">
        <v>10</v>
      </c>
      <c r="AJ3122" s="1" t="s">
        <v>32</v>
      </c>
      <c r="AT3122" s="1" t="s">
        <v>42</v>
      </c>
      <c r="FK3122" s="1" t="s">
        <v>163</v>
      </c>
      <c r="FM3122" s="1" t="s">
        <v>418</v>
      </c>
      <c r="GD3122" s="1" t="s">
        <v>193</v>
      </c>
      <c r="GE3122" s="1" t="s">
        <v>190</v>
      </c>
    </row>
    <row r="3123" spans="1:187" ht="11.25" customHeight="1">
      <c r="A3123" s="1" t="s">
        <v>4413</v>
      </c>
      <c r="B3123" s="1" t="str">
        <f ca="1">IFERROR(__xludf.DUMMYFUNCTION("GOOGLETRANSLATE(A3123, ""en"", ""fr"")"),"DÉRIVATION")</f>
        <v>DÉRIVATION</v>
      </c>
      <c r="C3123" s="1" t="s">
        <v>185</v>
      </c>
      <c r="E3123" s="1" t="s">
        <v>16613</v>
      </c>
      <c r="W3123" s="1" t="s">
        <v>19</v>
      </c>
      <c r="CK3123" s="1" t="s">
        <v>85</v>
      </c>
      <c r="GD3123" s="1" t="s">
        <v>193</v>
      </c>
      <c r="GE3123" s="1" t="s">
        <v>190</v>
      </c>
    </row>
    <row r="3124" spans="1:187" ht="11.25" customHeight="1">
      <c r="A3124" s="1" t="s">
        <v>4414</v>
      </c>
      <c r="B3124" s="1" t="str">
        <f ca="1">IFERROR(__xludf.DUMMYFUNCTION("GOOGLETRANSLATE(A3124, ""en"", ""fr"")"),"DIVERSITÉ")</f>
        <v>DIVERSITÉ</v>
      </c>
      <c r="C3124" s="1" t="s">
        <v>185</v>
      </c>
      <c r="CH3124" s="1" t="s">
        <v>82</v>
      </c>
      <c r="GD3124" s="1" t="s">
        <v>193</v>
      </c>
      <c r="GE3124" s="1" t="s">
        <v>190</v>
      </c>
    </row>
    <row r="3125" spans="1:187" ht="11.25" customHeight="1">
      <c r="A3125" s="1" t="s">
        <v>4415</v>
      </c>
      <c r="B3125" s="1" t="str">
        <f ca="1">IFERROR(__xludf.DUMMYFUNCTION("GOOGLETRANSLATE(A3125, ""en"", ""fr"")"),"DÉROUTER")</f>
        <v>DÉROUTER</v>
      </c>
      <c r="C3125" s="1" t="s">
        <v>185</v>
      </c>
      <c r="E3125" s="1" t="s">
        <v>16613</v>
      </c>
      <c r="N3125" s="1" t="s">
        <v>10</v>
      </c>
      <c r="BW3125" s="1" t="s">
        <v>71</v>
      </c>
      <c r="DN3125" s="1" t="s">
        <v>114</v>
      </c>
      <c r="GD3125" s="1" t="s">
        <v>189</v>
      </c>
      <c r="GE3125" s="1" t="s">
        <v>190</v>
      </c>
    </row>
    <row r="3126" spans="1:187" ht="11.25" customHeight="1">
      <c r="A3126" s="1" t="s">
        <v>4416</v>
      </c>
      <c r="B3126" s="1" t="str">
        <f ca="1">IFERROR(__xludf.DUMMYFUNCTION("GOOGLETRANSLATE(A3126, ""en"", ""fr"")"),"Diviser # 1")</f>
        <v>Diviser # 1</v>
      </c>
      <c r="C3126" s="1" t="s">
        <v>185</v>
      </c>
      <c r="E3126" s="1" t="s">
        <v>16613</v>
      </c>
      <c r="H3126" s="1" t="s">
        <v>4</v>
      </c>
      <c r="J3126" s="1" t="s">
        <v>6</v>
      </c>
      <c r="N3126" s="1" t="s">
        <v>10</v>
      </c>
      <c r="CO3126" s="1" t="s">
        <v>89</v>
      </c>
      <c r="DO3126" s="1" t="s">
        <v>115</v>
      </c>
      <c r="DW3126" s="1" t="s">
        <v>123</v>
      </c>
      <c r="ED3126" s="1" t="s">
        <v>130</v>
      </c>
      <c r="GD3126" s="1" t="s">
        <v>400</v>
      </c>
      <c r="GE3126" s="1" t="s">
        <v>4417</v>
      </c>
    </row>
    <row r="3127" spans="1:187" ht="11.25" customHeight="1">
      <c r="A3127" s="1" t="s">
        <v>4418</v>
      </c>
      <c r="B3127" s="1" t="str">
        <f ca="1">IFERROR(__xludf.DUMMYFUNCTION("GOOGLETRANSLATE(A3127, ""en"", ""fr"")"),"Diviser # 2")</f>
        <v>Diviser # 2</v>
      </c>
      <c r="C3127" s="1" t="s">
        <v>185</v>
      </c>
      <c r="E3127" s="1" t="s">
        <v>16613</v>
      </c>
      <c r="H3127" s="1" t="s">
        <v>4</v>
      </c>
      <c r="L3127" s="1" t="s">
        <v>8</v>
      </c>
      <c r="O3127" s="1" t="s">
        <v>11</v>
      </c>
      <c r="DA3127" s="1" t="s">
        <v>101</v>
      </c>
      <c r="DW3127" s="1" t="s">
        <v>123</v>
      </c>
      <c r="ED3127" s="1" t="s">
        <v>130</v>
      </c>
      <c r="GD3127" s="1" t="s">
        <v>202</v>
      </c>
      <c r="GE3127" s="1" t="s">
        <v>4419</v>
      </c>
    </row>
    <row r="3128" spans="1:187" ht="11.25" customHeight="1">
      <c r="A3128" s="1" t="s">
        <v>4420</v>
      </c>
      <c r="B3128" s="1" t="str">
        <f ca="1">IFERROR(__xludf.DUMMYFUNCTION("GOOGLETRANSLATE(A3128, ""en"", ""fr"")"),"Divin # 1")</f>
        <v>Divin # 1</v>
      </c>
      <c r="C3128" s="1" t="s">
        <v>185</v>
      </c>
      <c r="D3128" s="1" t="s">
        <v>16612</v>
      </c>
      <c r="F3128" s="1" t="s">
        <v>2</v>
      </c>
      <c r="J3128" s="1" t="s">
        <v>6</v>
      </c>
      <c r="U3128" s="1" t="s">
        <v>17</v>
      </c>
      <c r="AI3128" s="1" t="s">
        <v>31</v>
      </c>
      <c r="CN3128" s="1" t="s">
        <v>88</v>
      </c>
      <c r="EF3128" s="1" t="s">
        <v>132</v>
      </c>
      <c r="EJ3128" s="1" t="s">
        <v>136</v>
      </c>
      <c r="GD3128" s="1" t="s">
        <v>202</v>
      </c>
      <c r="GE3128" s="1" t="s">
        <v>190</v>
      </c>
    </row>
    <row r="3129" spans="1:187" ht="11.25" customHeight="1">
      <c r="A3129" s="1" t="s">
        <v>4421</v>
      </c>
      <c r="B3129" s="1" t="str">
        <f ca="1">IFERROR(__xludf.DUMMYFUNCTION("GOOGLETRANSLATE(A3129, ""en"", ""fr"")"),"Divin # 2")</f>
        <v>Divin # 2</v>
      </c>
      <c r="C3129" s="1" t="s">
        <v>185</v>
      </c>
      <c r="D3129" s="1" t="s">
        <v>16612</v>
      </c>
      <c r="F3129" s="1" t="s">
        <v>2</v>
      </c>
      <c r="J3129" s="1" t="s">
        <v>6</v>
      </c>
      <c r="CO3129" s="1" t="s">
        <v>89</v>
      </c>
      <c r="DN3129" s="1" t="s">
        <v>114</v>
      </c>
      <c r="EF3129" s="1" t="s">
        <v>132</v>
      </c>
      <c r="EJ3129" s="1" t="s">
        <v>136</v>
      </c>
      <c r="GD3129" s="1" t="s">
        <v>189</v>
      </c>
      <c r="GE3129" s="1" t="s">
        <v>190</v>
      </c>
    </row>
    <row r="3130" spans="1:187" ht="11.25" customHeight="1">
      <c r="A3130" s="1" t="s">
        <v>4422</v>
      </c>
      <c r="B3130" s="1" t="str">
        <f ca="1">IFERROR(__xludf.DUMMYFUNCTION("GOOGLETRANSLATE(A3130, ""en"", ""fr"")"),"DIVINITÉ")</f>
        <v>DIVINITÉ</v>
      </c>
      <c r="C3130" s="1" t="s">
        <v>185</v>
      </c>
      <c r="D3130" s="1" t="s">
        <v>16612</v>
      </c>
      <c r="F3130" s="1" t="s">
        <v>2</v>
      </c>
      <c r="J3130" s="1" t="s">
        <v>6</v>
      </c>
      <c r="U3130" s="1" t="s">
        <v>17</v>
      </c>
      <c r="AI3130" s="1" t="s">
        <v>31</v>
      </c>
      <c r="EF3130" s="1" t="s">
        <v>132</v>
      </c>
      <c r="EJ3130" s="1" t="s">
        <v>136</v>
      </c>
      <c r="GD3130" s="1" t="s">
        <v>193</v>
      </c>
      <c r="GE3130" s="1" t="s">
        <v>190</v>
      </c>
    </row>
    <row r="3131" spans="1:187" ht="11.25" customHeight="1">
      <c r="A3131" s="1" t="s">
        <v>4423</v>
      </c>
      <c r="B3131" s="1" t="str">
        <f ca="1">IFERROR(__xludf.DUMMYFUNCTION("GOOGLETRANSLATE(A3131, ""en"", ""fr"")"),"DIVISION")</f>
        <v>DIVISION</v>
      </c>
      <c r="C3131" s="1" t="s">
        <v>185</v>
      </c>
      <c r="E3131" s="1" t="s">
        <v>16613</v>
      </c>
      <c r="H3131" s="1" t="s">
        <v>4</v>
      </c>
      <c r="L3131" s="1" t="s">
        <v>8</v>
      </c>
      <c r="AH3131" s="1" t="s">
        <v>30</v>
      </c>
      <c r="AK3131" s="1" t="s">
        <v>33</v>
      </c>
      <c r="AT3131" s="1" t="s">
        <v>42</v>
      </c>
      <c r="EC3131" s="1" t="s">
        <v>129</v>
      </c>
      <c r="ED3131" s="1" t="s">
        <v>130</v>
      </c>
      <c r="GD3131" s="1" t="s">
        <v>193</v>
      </c>
      <c r="GE3131" s="1" t="s">
        <v>190</v>
      </c>
    </row>
    <row r="3132" spans="1:187" ht="11.25" customHeight="1">
      <c r="A3132" s="1" t="s">
        <v>4424</v>
      </c>
      <c r="B3132" s="1" t="str">
        <f ca="1">IFERROR(__xludf.DUMMYFUNCTION("GOOGLETRANSLATE(A3132, ""en"", ""fr"")"),"Divorce n ° 1")</f>
        <v>Divorce n ° 1</v>
      </c>
      <c r="C3132" s="1" t="s">
        <v>185</v>
      </c>
      <c r="E3132" s="1" t="s">
        <v>16613</v>
      </c>
      <c r="H3132" s="1" t="s">
        <v>4</v>
      </c>
      <c r="I3132" s="1" t="s">
        <v>5</v>
      </c>
      <c r="V3132" s="1" t="s">
        <v>18</v>
      </c>
      <c r="AE3132" s="1" t="s">
        <v>27</v>
      </c>
      <c r="AP3132" s="1" t="s">
        <v>38</v>
      </c>
      <c r="EP3132" s="1" t="s">
        <v>142</v>
      </c>
      <c r="ES3132" s="1" t="s">
        <v>145</v>
      </c>
      <c r="GD3132" s="1" t="s">
        <v>193</v>
      </c>
      <c r="GE3132" s="1" t="s">
        <v>4425</v>
      </c>
    </row>
    <row r="3133" spans="1:187" ht="11.25" customHeight="1">
      <c r="A3133" s="1" t="s">
        <v>4426</v>
      </c>
      <c r="B3133" s="1" t="str">
        <f ca="1">IFERROR(__xludf.DUMMYFUNCTION("GOOGLETRANSLATE(A3133, ""en"", ""fr"")"),"Divorce n ° 2")</f>
        <v>Divorce n ° 2</v>
      </c>
      <c r="C3133" s="1" t="s">
        <v>185</v>
      </c>
      <c r="E3133" s="1" t="s">
        <v>16613</v>
      </c>
      <c r="H3133" s="1" t="s">
        <v>4</v>
      </c>
      <c r="I3133" s="1" t="s">
        <v>5</v>
      </c>
      <c r="N3133" s="1" t="s">
        <v>10</v>
      </c>
      <c r="AE3133" s="1" t="s">
        <v>27</v>
      </c>
      <c r="AN3133" s="1" t="s">
        <v>36</v>
      </c>
      <c r="AP3133" s="1" t="s">
        <v>38</v>
      </c>
      <c r="DO3133" s="1" t="s">
        <v>115</v>
      </c>
      <c r="EP3133" s="1" t="s">
        <v>142</v>
      </c>
      <c r="ES3133" s="1" t="s">
        <v>145</v>
      </c>
      <c r="GD3133" s="1" t="s">
        <v>189</v>
      </c>
      <c r="GE3133" s="1" t="s">
        <v>4427</v>
      </c>
    </row>
    <row r="3134" spans="1:187" ht="11.25" customHeight="1">
      <c r="A3134" s="1" t="s">
        <v>4428</v>
      </c>
      <c r="B3134" s="1" t="str">
        <f ca="1">IFERROR(__xludf.DUMMYFUNCTION("GOOGLETRANSLATE(A3134, ""en"", ""fr"")"),"Divorce n ° 3")</f>
        <v>Divorce n ° 3</v>
      </c>
      <c r="C3134" s="1" t="s">
        <v>185</v>
      </c>
      <c r="E3134" s="1" t="s">
        <v>16613</v>
      </c>
      <c r="H3134" s="1" t="s">
        <v>4</v>
      </c>
      <c r="I3134" s="1" t="s">
        <v>5</v>
      </c>
      <c r="AE3134" s="1" t="s">
        <v>27</v>
      </c>
      <c r="AN3134" s="1" t="s">
        <v>36</v>
      </c>
      <c r="AP3134" s="1" t="s">
        <v>38</v>
      </c>
      <c r="EP3134" s="1" t="s">
        <v>142</v>
      </c>
      <c r="ES3134" s="1" t="s">
        <v>145</v>
      </c>
      <c r="GD3134" s="1" t="s">
        <v>202</v>
      </c>
      <c r="GE3134" s="1" t="s">
        <v>4429</v>
      </c>
    </row>
    <row r="3135" spans="1:187" ht="11.25" customHeight="1">
      <c r="A3135" s="1" t="s">
        <v>4430</v>
      </c>
      <c r="B3135" s="1" t="str">
        <f ca="1">IFERROR(__xludf.DUMMYFUNCTION("GOOGLETRANSLATE(A3135, ""en"", ""fr"")"),"VERTIGINEUX")</f>
        <v>VERTIGINEUX</v>
      </c>
      <c r="C3135" s="1" t="s">
        <v>192</v>
      </c>
      <c r="E3135" s="1" t="s">
        <v>16613</v>
      </c>
      <c r="Q3135" s="1" t="s">
        <v>13</v>
      </c>
      <c r="DR3135" s="1" t="s">
        <v>118</v>
      </c>
      <c r="GD3135" s="1" t="s">
        <v>202</v>
      </c>
      <c r="GE3135" s="1" t="s">
        <v>190</v>
      </c>
    </row>
    <row r="3136" spans="1:187" ht="11.25" customHeight="1">
      <c r="A3136" s="1" t="s">
        <v>4431</v>
      </c>
      <c r="B3136" s="1" t="str">
        <f ca="1">IFERROR(__xludf.DUMMYFUNCTION("GOOGLETRANSLATE(A3136, ""en"", ""fr"")"),"Faire n ° 1")</f>
        <v>Faire n ° 1</v>
      </c>
      <c r="C3136" s="1" t="s">
        <v>185</v>
      </c>
      <c r="J3136" s="1" t="s">
        <v>6</v>
      </c>
      <c r="N3136" s="1" t="s">
        <v>10</v>
      </c>
      <c r="AL3136" s="1" t="s">
        <v>34</v>
      </c>
      <c r="DO3136" s="1" t="s">
        <v>115</v>
      </c>
      <c r="GD3136" s="1" t="s">
        <v>4432</v>
      </c>
      <c r="GE3136" s="1" t="s">
        <v>4433</v>
      </c>
    </row>
    <row r="3137" spans="1:187" ht="11.25" customHeight="1">
      <c r="A3137" s="1" t="s">
        <v>4434</v>
      </c>
      <c r="B3137" s="1" t="str">
        <f ca="1">IFERROR(__xludf.DUMMYFUNCTION("GOOGLETRANSLATE(A3137, ""en"", ""fr"")"),"Faire # 2")</f>
        <v>Faire # 2</v>
      </c>
      <c r="C3137" s="1" t="s">
        <v>185</v>
      </c>
      <c r="DP3137" s="1" t="s">
        <v>116</v>
      </c>
      <c r="GD3137" s="1" t="s">
        <v>4432</v>
      </c>
      <c r="GE3137" s="1" t="s">
        <v>4435</v>
      </c>
    </row>
    <row r="3138" spans="1:187" ht="11.25" customHeight="1">
      <c r="A3138" s="1" t="s">
        <v>4436</v>
      </c>
      <c r="B3138" s="1" t="str">
        <f ca="1">IFERROR(__xludf.DUMMYFUNCTION("GOOGLETRANSLATE(A3138, ""en"", ""fr"")"),"Faire # 3")</f>
        <v>Faire # 3</v>
      </c>
      <c r="C3138" s="1" t="s">
        <v>185</v>
      </c>
      <c r="W3138" s="1" t="s">
        <v>19</v>
      </c>
      <c r="DP3138" s="1" t="s">
        <v>116</v>
      </c>
      <c r="GD3138" s="1" t="s">
        <v>4432</v>
      </c>
      <c r="GE3138" s="1" t="s">
        <v>4437</v>
      </c>
    </row>
    <row r="3139" spans="1:187" ht="11.25" customHeight="1">
      <c r="A3139" s="1" t="s">
        <v>4438</v>
      </c>
      <c r="B3139" s="1" t="str">
        <f ca="1">IFERROR(__xludf.DUMMYFUNCTION("GOOGLETRANSLATE(A3139, ""en"", ""fr"")"),"Faire # 4")</f>
        <v>Faire # 4</v>
      </c>
      <c r="C3139" s="1" t="s">
        <v>185</v>
      </c>
      <c r="CO3139" s="1" t="s">
        <v>89</v>
      </c>
      <c r="DN3139" s="1" t="s">
        <v>114</v>
      </c>
      <c r="FR3139" s="1" t="s">
        <v>170</v>
      </c>
      <c r="GD3139" s="1" t="s">
        <v>4432</v>
      </c>
      <c r="GE3139" s="1" t="s">
        <v>4439</v>
      </c>
    </row>
    <row r="3140" spans="1:187" ht="11.25" customHeight="1">
      <c r="A3140" s="1" t="s">
        <v>4440</v>
      </c>
      <c r="B3140" s="1" t="str">
        <f ca="1">IFERROR(__xludf.DUMMYFUNCTION("GOOGLETRANSLATE(A3140, ""en"", ""fr"")"),"Docteur # 1")</f>
        <v>Docteur # 1</v>
      </c>
      <c r="C3140" s="1" t="s">
        <v>185</v>
      </c>
      <c r="AA3140" s="1" t="s">
        <v>23</v>
      </c>
      <c r="AJ3140" s="1" t="s">
        <v>32</v>
      </c>
      <c r="AT3140" s="1" t="s">
        <v>42</v>
      </c>
      <c r="FK3140" s="1" t="s">
        <v>163</v>
      </c>
      <c r="FM3140" s="1" t="s">
        <v>418</v>
      </c>
      <c r="GD3140" s="1" t="s">
        <v>849</v>
      </c>
      <c r="GE3140" s="1" t="s">
        <v>4441</v>
      </c>
    </row>
    <row r="3141" spans="1:187" ht="11.25" customHeight="1">
      <c r="A3141" s="1" t="s">
        <v>4442</v>
      </c>
      <c r="B3141" s="1" t="str">
        <f ca="1">IFERROR(__xludf.DUMMYFUNCTION("GOOGLETRANSLATE(A3141, ""en"", ""fr"")"),"Docteur # 2")</f>
        <v>Docteur # 2</v>
      </c>
      <c r="C3141" s="1" t="s">
        <v>185</v>
      </c>
      <c r="G3141" s="1" t="s">
        <v>3</v>
      </c>
      <c r="AN3141" s="1" t="s">
        <v>36</v>
      </c>
      <c r="DN3141" s="1" t="s">
        <v>114</v>
      </c>
      <c r="EX3141" s="1" t="s">
        <v>150</v>
      </c>
      <c r="FC3141" s="1" t="s">
        <v>155</v>
      </c>
      <c r="GD3141" s="1" t="s">
        <v>189</v>
      </c>
      <c r="GE3141" s="1" t="s">
        <v>4443</v>
      </c>
    </row>
    <row r="3142" spans="1:187" ht="11.25" customHeight="1">
      <c r="A3142" s="1" t="s">
        <v>4444</v>
      </c>
      <c r="B3142" s="1" t="str">
        <f ca="1">IFERROR(__xludf.DUMMYFUNCTION("GOOGLETRANSLATE(A3142, ""en"", ""fr"")"),"Docteur # 3")</f>
        <v>Docteur # 3</v>
      </c>
      <c r="C3142" s="1" t="s">
        <v>185</v>
      </c>
      <c r="GD3142" s="1" t="s">
        <v>225</v>
      </c>
      <c r="GE3142" s="1" t="s">
        <v>4445</v>
      </c>
    </row>
    <row r="3143" spans="1:187" ht="11.25" customHeight="1">
      <c r="A3143" s="1" t="s">
        <v>4446</v>
      </c>
      <c r="B3143" s="1" t="str">
        <f ca="1">IFERROR(__xludf.DUMMYFUNCTION("GOOGLETRANSLATE(A3143, ""en"", ""fr"")"),"DOCTRINE")</f>
        <v>DOCTRINE</v>
      </c>
      <c r="C3143" s="1" t="s">
        <v>185</v>
      </c>
      <c r="Z3143" s="1" t="s">
        <v>22</v>
      </c>
      <c r="AH3143" s="1" t="s">
        <v>30</v>
      </c>
      <c r="CP3143" s="1" t="s">
        <v>90</v>
      </c>
      <c r="CQ3143" s="1" t="s">
        <v>91</v>
      </c>
      <c r="EA3143" s="1" t="s">
        <v>127</v>
      </c>
      <c r="ED3143" s="1" t="s">
        <v>130</v>
      </c>
      <c r="GD3143" s="1" t="s">
        <v>193</v>
      </c>
      <c r="GE3143" s="1" t="s">
        <v>190</v>
      </c>
    </row>
    <row r="3144" spans="1:187" ht="11.25" customHeight="1">
      <c r="A3144" s="1" t="s">
        <v>4447</v>
      </c>
      <c r="B3144" s="1" t="str">
        <f ca="1">IFERROR(__xludf.DUMMYFUNCTION("GOOGLETRANSLATE(A3144, ""en"", ""fr"")"),"DOCUMENT")</f>
        <v>DOCUMENT</v>
      </c>
      <c r="C3144" s="1" t="s">
        <v>185</v>
      </c>
      <c r="BC3144" s="1" t="s">
        <v>51</v>
      </c>
      <c r="BH3144" s="1" t="s">
        <v>56</v>
      </c>
      <c r="BL3144" s="1" t="s">
        <v>60</v>
      </c>
      <c r="GD3144" s="1" t="s">
        <v>193</v>
      </c>
      <c r="GE3144" s="1" t="s">
        <v>190</v>
      </c>
    </row>
    <row r="3145" spans="1:187" ht="11.25" customHeight="1">
      <c r="A3145" s="1" t="s">
        <v>4448</v>
      </c>
      <c r="B3145" s="1" t="str">
        <f ca="1">IFERROR(__xludf.DUMMYFUNCTION("GOOGLETRANSLATE(A3145, ""en"", ""fr"")"),"AUTEUR")</f>
        <v>AUTEUR</v>
      </c>
      <c r="C3145" s="1" t="s">
        <v>185</v>
      </c>
      <c r="N3145" s="1" t="s">
        <v>10</v>
      </c>
      <c r="AJ3145" s="1" t="s">
        <v>32</v>
      </c>
      <c r="AT3145" s="1" t="s">
        <v>42</v>
      </c>
      <c r="FK3145" s="1" t="s">
        <v>163</v>
      </c>
      <c r="FM3145" s="1" t="s">
        <v>418</v>
      </c>
      <c r="GD3145" s="1" t="s">
        <v>193</v>
      </c>
      <c r="GE3145" s="1" t="s">
        <v>190</v>
      </c>
    </row>
    <row r="3146" spans="1:187" ht="11.25" customHeight="1">
      <c r="A3146" s="1" t="s">
        <v>4449</v>
      </c>
      <c r="B3146" s="1" t="str">
        <f ca="1">IFERROR(__xludf.DUMMYFUNCTION("GOOGLETRANSLATE(A3146, ""en"", ""fr"")"),"CHIEN")</f>
        <v>CHIEN</v>
      </c>
      <c r="C3146" s="1" t="s">
        <v>185</v>
      </c>
      <c r="AU3146" s="1" t="s">
        <v>43</v>
      </c>
      <c r="GD3146" s="1" t="s">
        <v>193</v>
      </c>
      <c r="GE3146" s="1" t="s">
        <v>4450</v>
      </c>
    </row>
    <row r="3147" spans="1:187" ht="11.25" customHeight="1">
      <c r="A3147" s="1" t="s">
        <v>4451</v>
      </c>
      <c r="B3147" s="1" t="str">
        <f ca="1">IFERROR(__xludf.DUMMYFUNCTION("GOOGLETRANSLATE(A3147, ""en"", ""fr"")"),"DOGME")</f>
        <v>DOGME</v>
      </c>
      <c r="C3147" s="1" t="s">
        <v>196</v>
      </c>
      <c r="EA3147" s="1" t="s">
        <v>127</v>
      </c>
      <c r="ED3147" s="1" t="s">
        <v>130</v>
      </c>
      <c r="GD3147" s="1" t="s">
        <v>193</v>
      </c>
    </row>
    <row r="3148" spans="1:187" ht="11.25" customHeight="1">
      <c r="A3148" s="1" t="s">
        <v>4452</v>
      </c>
      <c r="B3148" s="1" t="str">
        <f ca="1">IFERROR(__xludf.DUMMYFUNCTION("GOOGLETRANSLATE(A3148, ""en"", ""fr"")"),"DOGMATISME")</f>
        <v>DOGMATISME</v>
      </c>
      <c r="C3148" s="1" t="s">
        <v>196</v>
      </c>
      <c r="EA3148" s="1" t="s">
        <v>127</v>
      </c>
      <c r="ED3148" s="1" t="s">
        <v>130</v>
      </c>
      <c r="GD3148" s="1" t="s">
        <v>193</v>
      </c>
    </row>
    <row r="3149" spans="1:187" ht="11.25" customHeight="1">
      <c r="A3149" s="1" t="s">
        <v>4453</v>
      </c>
      <c r="B3149" s="1" t="str">
        <f ca="1">IFERROR(__xludf.DUMMYFUNCTION("GOOGLETRANSLATE(A3149, ""en"", ""fr"")"),"Marasme")</f>
        <v>Marasme</v>
      </c>
      <c r="C3149" s="1" t="s">
        <v>192</v>
      </c>
      <c r="E3149" s="1" t="s">
        <v>16613</v>
      </c>
      <c r="Q3149" s="1" t="s">
        <v>13</v>
      </c>
      <c r="V3149" s="1" t="s">
        <v>18</v>
      </c>
      <c r="GD3149" s="1" t="s">
        <v>193</v>
      </c>
      <c r="GE3149" s="1" t="s">
        <v>190</v>
      </c>
    </row>
    <row r="3150" spans="1:187" ht="11.25" customHeight="1">
      <c r="A3150" s="1" t="s">
        <v>4454</v>
      </c>
      <c r="B3150" s="1" t="str">
        <f ca="1">IFERROR(__xludf.DUMMYFUNCTION("GOOGLETRANSLATE(A3150, ""en"", ""fr"")"),"POUPÉE")</f>
        <v>POUPÉE</v>
      </c>
      <c r="C3150" s="1" t="s">
        <v>185</v>
      </c>
      <c r="BC3150" s="1" t="s">
        <v>51</v>
      </c>
      <c r="BD3150" s="1" t="s">
        <v>52</v>
      </c>
      <c r="FT3150" s="1" t="s">
        <v>172</v>
      </c>
      <c r="GD3150" s="1" t="s">
        <v>193</v>
      </c>
      <c r="GE3150" s="1" t="s">
        <v>190</v>
      </c>
    </row>
    <row r="3151" spans="1:187" ht="11.25" customHeight="1">
      <c r="A3151" s="1" t="s">
        <v>4455</v>
      </c>
      <c r="B3151" s="1" t="str">
        <f ca="1">IFERROR(__xludf.DUMMYFUNCTION("GOOGLETRANSLATE(A3151, ""en"", ""fr"")"),"DOLLAR")</f>
        <v>DOLLAR</v>
      </c>
      <c r="C3151" s="1" t="s">
        <v>185</v>
      </c>
      <c r="AA3151" s="1" t="s">
        <v>23</v>
      </c>
      <c r="AC3151" s="1" t="s">
        <v>25</v>
      </c>
      <c r="AH3151" s="1" t="s">
        <v>30</v>
      </c>
      <c r="BC3151" s="1" t="s">
        <v>51</v>
      </c>
      <c r="BH3151" s="1" t="s">
        <v>56</v>
      </c>
      <c r="BL3151" s="1" t="s">
        <v>60</v>
      </c>
      <c r="EV3151" s="1" t="s">
        <v>148</v>
      </c>
      <c r="EW3151" s="1" t="s">
        <v>149</v>
      </c>
      <c r="GD3151" s="1" t="s">
        <v>193</v>
      </c>
      <c r="GE3151" s="1" t="s">
        <v>4456</v>
      </c>
    </row>
    <row r="3152" spans="1:187" ht="11.25" customHeight="1">
      <c r="A3152" s="1" t="s">
        <v>4457</v>
      </c>
      <c r="B3152" s="1" t="str">
        <f ca="1">IFERROR(__xludf.DUMMYFUNCTION("GOOGLETRANSLATE(A3152, ""en"", ""fr"")"),"CHARIOT")</f>
        <v>CHARIOT</v>
      </c>
      <c r="C3152" s="1" t="s">
        <v>185</v>
      </c>
      <c r="BC3152" s="1" t="s">
        <v>51</v>
      </c>
      <c r="BD3152" s="1" t="s">
        <v>52</v>
      </c>
      <c r="FT3152" s="1" t="s">
        <v>172</v>
      </c>
      <c r="GD3152" s="1" t="s">
        <v>193</v>
      </c>
      <c r="GE3152" s="1" t="s">
        <v>190</v>
      </c>
    </row>
    <row r="3153" spans="1:187" ht="11.25" customHeight="1">
      <c r="A3153" s="1" t="s">
        <v>4458</v>
      </c>
      <c r="B3153" s="1" t="str">
        <f ca="1">IFERROR(__xludf.DUMMYFUNCTION("GOOGLETRANSLATE(A3153, ""en"", ""fr"")"),"DOMAINE")</f>
        <v>DOMAINE</v>
      </c>
      <c r="C3153" s="1" t="s">
        <v>185</v>
      </c>
      <c r="DA3153" s="1" t="s">
        <v>101</v>
      </c>
      <c r="GD3153" s="1" t="s">
        <v>193</v>
      </c>
      <c r="GE3153" s="1" t="s">
        <v>190</v>
      </c>
    </row>
    <row r="3154" spans="1:187" ht="11.25" customHeight="1">
      <c r="A3154" s="1" t="s">
        <v>4459</v>
      </c>
      <c r="B3154" s="1" t="str">
        <f ca="1">IFERROR(__xludf.DUMMYFUNCTION("GOOGLETRANSLATE(A3154, ""en"", ""fr"")"),"DOMESTIQUE")</f>
        <v>DOMESTIQUE</v>
      </c>
      <c r="C3154" s="1" t="s">
        <v>185</v>
      </c>
      <c r="Z3154" s="1" t="s">
        <v>22</v>
      </c>
      <c r="AC3154" s="1" t="s">
        <v>25</v>
      </c>
      <c r="AH3154" s="1" t="s">
        <v>30</v>
      </c>
      <c r="EC3154" s="1" t="s">
        <v>129</v>
      </c>
      <c r="ED3154" s="1" t="s">
        <v>130</v>
      </c>
      <c r="GD3154" s="1" t="s">
        <v>202</v>
      </c>
      <c r="GE3154" s="1" t="s">
        <v>190</v>
      </c>
    </row>
    <row r="3155" spans="1:187" ht="11.25" customHeight="1">
      <c r="A3155" s="1" t="s">
        <v>4460</v>
      </c>
      <c r="B3155" s="1" t="str">
        <f ca="1">IFERROR(__xludf.DUMMYFUNCTION("GOOGLETRANSLATE(A3155, ""en"", ""fr"")"),"DOMINANCE")</f>
        <v>DOMINANCE</v>
      </c>
      <c r="C3155" s="1" t="s">
        <v>192</v>
      </c>
      <c r="D3155" s="1" t="s">
        <v>16612</v>
      </c>
      <c r="K3155" s="1" t="s">
        <v>7</v>
      </c>
      <c r="GD3155" s="1" t="s">
        <v>1177</v>
      </c>
      <c r="GE3155" s="1" t="s">
        <v>190</v>
      </c>
    </row>
    <row r="3156" spans="1:187" ht="11.25" customHeight="1">
      <c r="A3156" s="1" t="s">
        <v>4461</v>
      </c>
      <c r="B3156" s="1" t="str">
        <f ca="1">IFERROR(__xludf.DUMMYFUNCTION("GOOGLETRANSLATE(A3156, ""en"", ""fr"")"),"DOMINANT")</f>
        <v>DOMINANT</v>
      </c>
      <c r="C3156" s="1" t="s">
        <v>185</v>
      </c>
      <c r="J3156" s="1" t="s">
        <v>6</v>
      </c>
      <c r="K3156" s="1" t="s">
        <v>7</v>
      </c>
      <c r="V3156" s="1" t="s">
        <v>18</v>
      </c>
      <c r="W3156" s="1" t="s">
        <v>19</v>
      </c>
      <c r="AH3156" s="1" t="s">
        <v>30</v>
      </c>
      <c r="EC3156" s="1" t="s">
        <v>129</v>
      </c>
      <c r="ED3156" s="1" t="s">
        <v>130</v>
      </c>
      <c r="GD3156" s="1" t="s">
        <v>202</v>
      </c>
      <c r="GE3156" s="1" t="s">
        <v>190</v>
      </c>
    </row>
    <row r="3157" spans="1:187" ht="11.25" customHeight="1">
      <c r="A3157" s="1" t="s">
        <v>4462</v>
      </c>
      <c r="B3157" s="1" t="str">
        <f ca="1">IFERROR(__xludf.DUMMYFUNCTION("GOOGLETRANSLATE(A3157, ""en"", ""fr"")"),"Dominer n ° 1")</f>
        <v>Dominer n ° 1</v>
      </c>
      <c r="C3157" s="1" t="s">
        <v>185</v>
      </c>
      <c r="E3157" s="1" t="s">
        <v>16613</v>
      </c>
      <c r="H3157" s="1" t="s">
        <v>4</v>
      </c>
      <c r="J3157" s="1" t="s">
        <v>6</v>
      </c>
      <c r="K3157" s="1" t="s">
        <v>7</v>
      </c>
      <c r="N3157" s="1" t="s">
        <v>10</v>
      </c>
      <c r="AN3157" s="1" t="s">
        <v>36</v>
      </c>
      <c r="DN3157" s="1" t="s">
        <v>114</v>
      </c>
      <c r="DT3157" s="1" t="s">
        <v>120</v>
      </c>
      <c r="ED3157" s="1" t="s">
        <v>130</v>
      </c>
      <c r="GD3157" s="1" t="s">
        <v>400</v>
      </c>
      <c r="GE3157" s="1" t="s">
        <v>4463</v>
      </c>
    </row>
    <row r="3158" spans="1:187" ht="11.25" customHeight="1">
      <c r="A3158" s="1" t="s">
        <v>4464</v>
      </c>
      <c r="B3158" s="1" t="str">
        <f ca="1">IFERROR(__xludf.DUMMYFUNCTION("GOOGLETRANSLATE(A3158, ""en"", ""fr"")"),"Dominer # 2")</f>
        <v>Dominer # 2</v>
      </c>
      <c r="C3158" s="1" t="s">
        <v>185</v>
      </c>
      <c r="E3158" s="1" t="s">
        <v>16613</v>
      </c>
      <c r="H3158" s="1" t="s">
        <v>4</v>
      </c>
      <c r="J3158" s="1" t="s">
        <v>6</v>
      </c>
      <c r="K3158" s="1" t="s">
        <v>7</v>
      </c>
      <c r="N3158" s="1" t="s">
        <v>10</v>
      </c>
      <c r="AN3158" s="1" t="s">
        <v>36</v>
      </c>
      <c r="DT3158" s="1" t="s">
        <v>120</v>
      </c>
      <c r="ED3158" s="1" t="s">
        <v>130</v>
      </c>
      <c r="GD3158" s="1" t="s">
        <v>202</v>
      </c>
      <c r="GE3158" s="1" t="s">
        <v>4465</v>
      </c>
    </row>
    <row r="3159" spans="1:187" ht="11.25" customHeight="1">
      <c r="A3159" s="1" t="s">
        <v>4466</v>
      </c>
      <c r="B3159" s="1" t="str">
        <f ca="1">IFERROR(__xludf.DUMMYFUNCTION("GOOGLETRANSLATE(A3159, ""en"", ""fr"")"),"Dominer # 3")</f>
        <v>Dominer # 3</v>
      </c>
      <c r="C3159" s="1" t="s">
        <v>185</v>
      </c>
      <c r="E3159" s="1" t="s">
        <v>16613</v>
      </c>
      <c r="H3159" s="1" t="s">
        <v>4</v>
      </c>
      <c r="J3159" s="1" t="s">
        <v>6</v>
      </c>
      <c r="K3159" s="1" t="s">
        <v>7</v>
      </c>
      <c r="N3159" s="1" t="s">
        <v>10</v>
      </c>
      <c r="AN3159" s="1" t="s">
        <v>36</v>
      </c>
      <c r="DT3159" s="1" t="s">
        <v>120</v>
      </c>
      <c r="ED3159" s="1" t="s">
        <v>130</v>
      </c>
      <c r="GD3159" s="1" t="s">
        <v>202</v>
      </c>
      <c r="GE3159" s="1" t="s">
        <v>4467</v>
      </c>
    </row>
    <row r="3160" spans="1:187" ht="11.25" customHeight="1">
      <c r="A3160" s="1" t="s">
        <v>4468</v>
      </c>
      <c r="B3160" s="1" t="str">
        <f ca="1">IFERROR(__xludf.DUMMYFUNCTION("GOOGLETRANSLATE(A3160, ""en"", ""fr"")"),"DOMINATION")</f>
        <v>DOMINATION</v>
      </c>
      <c r="C3160" s="1" t="s">
        <v>185</v>
      </c>
      <c r="E3160" s="1" t="s">
        <v>16613</v>
      </c>
      <c r="H3160" s="1" t="s">
        <v>4</v>
      </c>
      <c r="J3160" s="1" t="s">
        <v>6</v>
      </c>
      <c r="K3160" s="1" t="s">
        <v>7</v>
      </c>
      <c r="N3160" s="1" t="s">
        <v>10</v>
      </c>
      <c r="V3160" s="1" t="s">
        <v>18</v>
      </c>
      <c r="AC3160" s="1" t="s">
        <v>25</v>
      </c>
      <c r="AH3160" s="1" t="s">
        <v>30</v>
      </c>
      <c r="DT3160" s="1" t="s">
        <v>120</v>
      </c>
      <c r="ED3160" s="1" t="s">
        <v>130</v>
      </c>
      <c r="GD3160" s="1" t="s">
        <v>193</v>
      </c>
      <c r="GE3160" s="1" t="s">
        <v>190</v>
      </c>
    </row>
    <row r="3161" spans="1:187" ht="11.25" customHeight="1">
      <c r="A3161" s="1" t="s">
        <v>4469</v>
      </c>
      <c r="B3161" s="1" t="str">
        <f ca="1">IFERROR(__xludf.DUMMYFUNCTION("GOOGLETRANSLATE(A3161, ""en"", ""fr"")"),"DOMINICAIN")</f>
        <v>DOMINICAIN</v>
      </c>
      <c r="C3161" s="1" t="s">
        <v>185</v>
      </c>
      <c r="AC3161" s="1" t="s">
        <v>25</v>
      </c>
      <c r="AH3161" s="1" t="s">
        <v>30</v>
      </c>
      <c r="DI3161" s="1" t="s">
        <v>109</v>
      </c>
      <c r="FU3161" s="1" t="s">
        <v>173</v>
      </c>
      <c r="GD3161" s="1" t="s">
        <v>193</v>
      </c>
      <c r="GE3161" s="1" t="s">
        <v>190</v>
      </c>
    </row>
    <row r="3162" spans="1:187" ht="11.25" customHeight="1">
      <c r="A3162" s="1" t="s">
        <v>4470</v>
      </c>
      <c r="B3162" s="1" t="str">
        <f ca="1">IFERROR(__xludf.DUMMYFUNCTION("GOOGLETRANSLATE(A3162, ""en"", ""fr"")"),"RÉPUBLIQUE DOMINICAINE")</f>
        <v>RÉPUBLIQUE DOMINICAINE</v>
      </c>
      <c r="C3162" s="1" t="s">
        <v>196</v>
      </c>
      <c r="FU3162" s="1" t="s">
        <v>173</v>
      </c>
      <c r="GD3162" s="1" t="s">
        <v>545</v>
      </c>
    </row>
    <row r="3163" spans="1:187" ht="11.25" customHeight="1">
      <c r="A3163" s="1" t="s">
        <v>4471</v>
      </c>
      <c r="B3163" s="1" t="str">
        <f ca="1">IFERROR(__xludf.DUMMYFUNCTION("GOOGLETRANSLATE(A3163, ""en"", ""fr"")"),"DOMINATION")</f>
        <v>DOMINATION</v>
      </c>
      <c r="C3163" s="1" t="s">
        <v>196</v>
      </c>
      <c r="DV3163" s="1" t="s">
        <v>122</v>
      </c>
      <c r="ED3163" s="1" t="s">
        <v>130</v>
      </c>
      <c r="GD3163" s="1" t="s">
        <v>3319</v>
      </c>
    </row>
    <row r="3164" spans="1:187" ht="11.25" customHeight="1">
      <c r="A3164" s="1" t="s">
        <v>4472</v>
      </c>
      <c r="B3164" s="1" t="str">
        <f ca="1">IFERROR(__xludf.DUMMYFUNCTION("GOOGLETRANSLATE(A3164, ""en"", ""fr"")"),"NE LE FAITES PAS")</f>
        <v>NE LE FAITES PAS</v>
      </c>
      <c r="C3164" s="1" t="s">
        <v>185</v>
      </c>
      <c r="DL3164" s="1" t="s">
        <v>112</v>
      </c>
      <c r="DP3164" s="1" t="s">
        <v>116</v>
      </c>
      <c r="GD3164" s="1" t="s">
        <v>4473</v>
      </c>
      <c r="GE3164" s="1" t="s">
        <v>190</v>
      </c>
    </row>
    <row r="3165" spans="1:187" ht="11.25" customHeight="1">
      <c r="A3165" s="1" t="s">
        <v>4474</v>
      </c>
      <c r="B3165" s="1" t="str">
        <f ca="1">IFERROR(__xludf.DUMMYFUNCTION("GOOGLETRANSLATE(A3165, ""en"", ""fr"")"),"FAIRE UN DON")</f>
        <v>FAIRE UN DON</v>
      </c>
      <c r="C3165" s="1" t="s">
        <v>192</v>
      </c>
      <c r="D3165" s="1" t="s">
        <v>16612</v>
      </c>
      <c r="N3165" s="1" t="s">
        <v>10</v>
      </c>
      <c r="AA3165" s="1" t="s">
        <v>23</v>
      </c>
      <c r="AB3165" s="1" t="s">
        <v>24</v>
      </c>
      <c r="AD3165" s="1" t="s">
        <v>26</v>
      </c>
      <c r="CD3165" s="1" t="s">
        <v>78</v>
      </c>
      <c r="DO3165" s="1" t="s">
        <v>115</v>
      </c>
      <c r="GD3165" s="1" t="s">
        <v>189</v>
      </c>
      <c r="GE3165" s="1" t="s">
        <v>190</v>
      </c>
    </row>
    <row r="3166" spans="1:187" ht="11.25" customHeight="1">
      <c r="A3166" s="1" t="s">
        <v>4475</v>
      </c>
      <c r="B3166" s="1" t="str">
        <f ca="1">IFERROR(__xludf.DUMMYFUNCTION("GOOGLETRANSLATE(A3166, ""en"", ""fr"")"),"DON")</f>
        <v>DON</v>
      </c>
      <c r="C3166" s="1" t="s">
        <v>192</v>
      </c>
      <c r="D3166" s="1" t="s">
        <v>16612</v>
      </c>
      <c r="AA3166" s="1" t="s">
        <v>23</v>
      </c>
      <c r="AB3166" s="1" t="s">
        <v>24</v>
      </c>
      <c r="AD3166" s="1" t="s">
        <v>26</v>
      </c>
      <c r="CD3166" s="1" t="s">
        <v>78</v>
      </c>
      <c r="GD3166" s="1" t="s">
        <v>193</v>
      </c>
      <c r="GE3166" s="1" t="s">
        <v>190</v>
      </c>
    </row>
    <row r="3167" spans="1:187" ht="11.25" customHeight="1">
      <c r="A3167" s="1" t="s">
        <v>4476</v>
      </c>
      <c r="B3167" s="1" t="str">
        <f ca="1">IFERROR(__xludf.DUMMYFUNCTION("GOOGLETRANSLATE(A3167, ""en"", ""fr"")"),"FAIT")</f>
        <v>FAIT</v>
      </c>
      <c r="C3167" s="1" t="s">
        <v>185</v>
      </c>
      <c r="J3167" s="1" t="s">
        <v>6</v>
      </c>
      <c r="AL3167" s="1" t="s">
        <v>34</v>
      </c>
      <c r="DO3167" s="1" t="s">
        <v>115</v>
      </c>
      <c r="GD3167" s="1" t="s">
        <v>4172</v>
      </c>
      <c r="GE3167" s="1" t="s">
        <v>4477</v>
      </c>
    </row>
    <row r="3168" spans="1:187" ht="11.25" customHeight="1">
      <c r="A3168" s="1" t="s">
        <v>4478</v>
      </c>
      <c r="B3168" s="1" t="str">
        <f ca="1">IFERROR(__xludf.DUMMYFUNCTION("GOOGLETRANSLATE(A3168, ""en"", ""fr"")"),"Doom # 1")</f>
        <v>Doom # 1</v>
      </c>
      <c r="C3168" s="1" t="s">
        <v>185</v>
      </c>
      <c r="E3168" s="1" t="s">
        <v>16613</v>
      </c>
      <c r="H3168" s="1" t="s">
        <v>4</v>
      </c>
      <c r="L3168" s="1" t="s">
        <v>8</v>
      </c>
      <c r="O3168" s="1" t="s">
        <v>11</v>
      </c>
      <c r="V3168" s="1" t="s">
        <v>18</v>
      </c>
      <c r="GD3168" s="1" t="s">
        <v>193</v>
      </c>
      <c r="GE3168" s="1" t="s">
        <v>190</v>
      </c>
    </row>
    <row r="3169" spans="1:187" ht="11.25" customHeight="1">
      <c r="A3169" s="1" t="s">
        <v>4479</v>
      </c>
      <c r="B3169" s="1" t="str">
        <f ca="1">IFERROR(__xludf.DUMMYFUNCTION("GOOGLETRANSLATE(A3169, ""en"", ""fr"")"),"Doom # 2")</f>
        <v>Doom # 2</v>
      </c>
      <c r="C3169" s="1" t="s">
        <v>185</v>
      </c>
      <c r="E3169" s="1" t="s">
        <v>16613</v>
      </c>
      <c r="H3169" s="1" t="s">
        <v>4</v>
      </c>
      <c r="L3169" s="1" t="s">
        <v>8</v>
      </c>
      <c r="O3169" s="1" t="s">
        <v>11</v>
      </c>
      <c r="BZ3169" s="1" t="s">
        <v>74</v>
      </c>
      <c r="DN3169" s="1" t="s">
        <v>114</v>
      </c>
      <c r="GD3169" s="1" t="s">
        <v>189</v>
      </c>
      <c r="GE3169" s="1" t="s">
        <v>190</v>
      </c>
    </row>
    <row r="3170" spans="1:187" ht="11.25" customHeight="1">
      <c r="A3170" s="1" t="s">
        <v>4480</v>
      </c>
      <c r="B3170" s="1" t="str">
        <f ca="1">IFERROR(__xludf.DUMMYFUNCTION("GOOGLETRANSLATE(A3170, ""en"", ""fr"")"),"JOUR DU JUGEMENT DERNIER")</f>
        <v>JOUR DU JUGEMENT DERNIER</v>
      </c>
      <c r="C3170" s="1" t="s">
        <v>192</v>
      </c>
      <c r="E3170" s="1" t="s">
        <v>16613</v>
      </c>
      <c r="BZ3170" s="1" t="s">
        <v>74</v>
      </c>
      <c r="GD3170" s="1" t="s">
        <v>193</v>
      </c>
      <c r="GE3170" s="1" t="s">
        <v>190</v>
      </c>
    </row>
    <row r="3171" spans="1:187" ht="11.25" customHeight="1">
      <c r="A3171" s="1" t="s">
        <v>4481</v>
      </c>
      <c r="B3171" s="1" t="str">
        <f ca="1">IFERROR(__xludf.DUMMYFUNCTION("GOOGLETRANSLATE(A3171, ""en"", ""fr"")"),"Porte n ° 1")</f>
        <v>Porte n ° 1</v>
      </c>
      <c r="C3171" s="1" t="s">
        <v>185</v>
      </c>
      <c r="DA3171" s="1" t="s">
        <v>101</v>
      </c>
      <c r="GD3171" s="1" t="s">
        <v>421</v>
      </c>
      <c r="GE3171" s="1" t="s">
        <v>4482</v>
      </c>
    </row>
    <row r="3172" spans="1:187" ht="11.25" customHeight="1">
      <c r="A3172" s="1" t="s">
        <v>4483</v>
      </c>
      <c r="B3172" s="1" t="str">
        <f ca="1">IFERROR(__xludf.DUMMYFUNCTION("GOOGLETRANSLATE(A3172, ""en"", ""fr"")"),"Porte n ° 2")</f>
        <v>Porte n ° 2</v>
      </c>
      <c r="C3172" s="1" t="s">
        <v>185</v>
      </c>
      <c r="DA3172" s="1" t="s">
        <v>101</v>
      </c>
      <c r="GB3172" s="1" t="s">
        <v>180</v>
      </c>
      <c r="GD3172" s="1" t="s">
        <v>193</v>
      </c>
      <c r="GE3172" s="1" t="s">
        <v>4484</v>
      </c>
    </row>
    <row r="3173" spans="1:187" ht="11.25" customHeight="1">
      <c r="A3173" s="1" t="s">
        <v>4485</v>
      </c>
      <c r="B3173" s="1" t="str">
        <f ca="1">IFERROR(__xludf.DUMMYFUNCTION("GOOGLETRANSLATE(A3173, ""en"", ""fr"")"),"PORTE")</f>
        <v>PORTE</v>
      </c>
      <c r="C3173" s="1" t="s">
        <v>185</v>
      </c>
      <c r="BC3173" s="1" t="s">
        <v>51</v>
      </c>
      <c r="BG3173" s="1" t="s">
        <v>55</v>
      </c>
      <c r="GD3173" s="1" t="s">
        <v>193</v>
      </c>
      <c r="GE3173" s="1" t="s">
        <v>190</v>
      </c>
    </row>
    <row r="3174" spans="1:187" ht="11.25" customHeight="1">
      <c r="A3174" s="1" t="s">
        <v>4486</v>
      </c>
      <c r="B3174" s="1" t="str">
        <f ca="1">IFERROR(__xludf.DUMMYFUNCTION("GOOGLETRANSLATE(A3174, ""en"", ""fr"")"),"DROGUE")</f>
        <v>DROGUE</v>
      </c>
      <c r="C3174" s="1" t="s">
        <v>192</v>
      </c>
      <c r="E3174" s="1" t="s">
        <v>16613</v>
      </c>
      <c r="V3174" s="1" t="s">
        <v>18</v>
      </c>
      <c r="AT3174" s="1" t="s">
        <v>42</v>
      </c>
      <c r="GD3174" s="1" t="s">
        <v>193</v>
      </c>
      <c r="GE3174" s="1" t="s">
        <v>190</v>
      </c>
    </row>
    <row r="3175" spans="1:187" ht="11.25" customHeight="1">
      <c r="A3175" s="1" t="s">
        <v>4487</v>
      </c>
      <c r="B3175" s="1" t="str">
        <f ca="1">IFERROR(__xludf.DUMMYFUNCTION("GOOGLETRANSLATE(A3175, ""en"", ""fr"")"),"Bousiller")</f>
        <v>Bousiller</v>
      </c>
      <c r="C3175" s="1" t="s">
        <v>192</v>
      </c>
      <c r="D3175" s="1" t="s">
        <v>16612</v>
      </c>
      <c r="N3175" s="1" t="s">
        <v>10</v>
      </c>
      <c r="P3175" s="1" t="s">
        <v>12</v>
      </c>
      <c r="DN3175" s="1" t="s">
        <v>114</v>
      </c>
      <c r="GD3175" s="1" t="s">
        <v>670</v>
      </c>
      <c r="GE3175" s="1" t="s">
        <v>190</v>
      </c>
    </row>
    <row r="3176" spans="1:187" ht="11.25" customHeight="1">
      <c r="A3176" s="1" t="s">
        <v>4488</v>
      </c>
      <c r="B3176" s="1" t="str">
        <f ca="1">IFERROR(__xludf.DUMMYFUNCTION("GOOGLETRANSLATE(A3176, ""en"", ""fr"")"),"Double # 1")</f>
        <v>Double # 1</v>
      </c>
      <c r="C3176" s="1" t="s">
        <v>185</v>
      </c>
      <c r="J3176" s="1" t="s">
        <v>6</v>
      </c>
      <c r="CS3176" s="1" t="s">
        <v>93</v>
      </c>
      <c r="GD3176" s="1" t="s">
        <v>202</v>
      </c>
      <c r="GE3176" s="1" t="s">
        <v>4489</v>
      </c>
    </row>
    <row r="3177" spans="1:187" ht="11.25" customHeight="1">
      <c r="A3177" s="1" t="s">
        <v>4490</v>
      </c>
      <c r="B3177" s="1" t="str">
        <f ca="1">IFERROR(__xludf.DUMMYFUNCTION("GOOGLETRANSLATE(A3177, ""en"", ""fr"")"),"Double # 2")</f>
        <v>Double # 2</v>
      </c>
      <c r="C3177" s="1" t="s">
        <v>185</v>
      </c>
      <c r="J3177" s="1" t="s">
        <v>6</v>
      </c>
      <c r="N3177" s="1" t="s">
        <v>10</v>
      </c>
      <c r="BX3177" s="1" t="s">
        <v>72</v>
      </c>
      <c r="DO3177" s="1" t="s">
        <v>115</v>
      </c>
      <c r="GD3177" s="1" t="s">
        <v>189</v>
      </c>
      <c r="GE3177" s="1" t="s">
        <v>4491</v>
      </c>
    </row>
    <row r="3178" spans="1:187" ht="11.25" customHeight="1">
      <c r="A3178" s="1" t="s">
        <v>4492</v>
      </c>
      <c r="B3178" s="1" t="str">
        <f ca="1">IFERROR(__xludf.DUMMYFUNCTION("GOOGLETRANSLATE(A3178, ""en"", ""fr"")"),"Double # 3")</f>
        <v>Double # 3</v>
      </c>
      <c r="C3178" s="1" t="s">
        <v>185</v>
      </c>
      <c r="E3178" s="1" t="s">
        <v>16613</v>
      </c>
      <c r="H3178" s="1" t="s">
        <v>4</v>
      </c>
      <c r="I3178" s="1" t="s">
        <v>5</v>
      </c>
      <c r="BK3178" s="1" t="s">
        <v>59</v>
      </c>
      <c r="BL3178" s="1" t="s">
        <v>60</v>
      </c>
      <c r="EL3178" s="1" t="s">
        <v>138</v>
      </c>
      <c r="EN3178" s="1" t="s">
        <v>140</v>
      </c>
      <c r="GC3178" s="1" t="s">
        <v>181</v>
      </c>
      <c r="GD3178" s="1" t="s">
        <v>193</v>
      </c>
      <c r="GE3178" s="1" t="s">
        <v>4493</v>
      </c>
    </row>
    <row r="3179" spans="1:187" ht="11.25" customHeight="1">
      <c r="A3179" s="1" t="s">
        <v>4494</v>
      </c>
      <c r="B3179" s="1" t="str">
        <f ca="1">IFERROR(__xludf.DUMMYFUNCTION("GOOGLETRANSLATE(A3179, ""en"", ""fr"")"),"Double # 4")</f>
        <v>Double # 4</v>
      </c>
      <c r="C3179" s="1" t="s">
        <v>185</v>
      </c>
      <c r="E3179" s="1" t="s">
        <v>16613</v>
      </c>
      <c r="H3179" s="1" t="s">
        <v>4</v>
      </c>
      <c r="I3179" s="1" t="s">
        <v>5</v>
      </c>
      <c r="V3179" s="1" t="s">
        <v>18</v>
      </c>
      <c r="EG3179" s="1" t="s">
        <v>133</v>
      </c>
      <c r="EJ3179" s="1" t="s">
        <v>136</v>
      </c>
      <c r="GD3179" s="1" t="s">
        <v>193</v>
      </c>
      <c r="GE3179" s="1" t="s">
        <v>4495</v>
      </c>
    </row>
    <row r="3180" spans="1:187" ht="11.25" customHeight="1">
      <c r="A3180" s="1" t="s">
        <v>4496</v>
      </c>
      <c r="B3180" s="1" t="str">
        <f ca="1">IFERROR(__xludf.DUMMYFUNCTION("GOOGLETRANSLATE(A3180, ""en"", ""fr"")"),"Double # 5")</f>
        <v>Double # 5</v>
      </c>
      <c r="C3180" s="1" t="s">
        <v>185</v>
      </c>
      <c r="CF3180" s="1" t="s">
        <v>80</v>
      </c>
      <c r="DN3180" s="1" t="s">
        <v>114</v>
      </c>
      <c r="GD3180" s="1" t="s">
        <v>189</v>
      </c>
      <c r="GE3180" s="1" t="s">
        <v>4497</v>
      </c>
    </row>
    <row r="3181" spans="1:187" ht="11.25" customHeight="1">
      <c r="A3181" s="1" t="s">
        <v>4498</v>
      </c>
      <c r="B3181" s="1" t="str">
        <f ca="1">IFERROR(__xludf.DUMMYFUNCTION("GOOGLETRANSLATE(A3181, ""en"", ""fr"")"),"Double # 6")</f>
        <v>Double # 6</v>
      </c>
      <c r="C3181" s="1" t="s">
        <v>185</v>
      </c>
      <c r="AM3181" s="1" t="s">
        <v>35</v>
      </c>
      <c r="GD3181" s="1" t="s">
        <v>193</v>
      </c>
      <c r="GE3181" s="1" t="s">
        <v>4499</v>
      </c>
    </row>
    <row r="3182" spans="1:187" ht="11.25" customHeight="1">
      <c r="A3182" s="1" t="s">
        <v>4500</v>
      </c>
      <c r="B3182" s="1" t="str">
        <f ca="1">IFERROR(__xludf.DUMMYFUNCTION("GOOGLETRANSLATE(A3182, ""en"", ""fr"")"),"Double # 7")</f>
        <v>Double # 7</v>
      </c>
      <c r="C3182" s="1" t="s">
        <v>185</v>
      </c>
      <c r="J3182" s="1" t="s">
        <v>6</v>
      </c>
      <c r="CS3182" s="1" t="s">
        <v>93</v>
      </c>
      <c r="GD3182" s="1" t="s">
        <v>236</v>
      </c>
      <c r="GE3182" s="1" t="s">
        <v>4501</v>
      </c>
    </row>
    <row r="3183" spans="1:187" ht="11.25" customHeight="1">
      <c r="A3183" s="1" t="s">
        <v>4502</v>
      </c>
      <c r="B3183" s="1" t="str">
        <f ca="1">IFERROR(__xludf.DUMMYFUNCTION("GOOGLETRANSLATE(A3183, ""en"", ""fr"")"),"Doute n ° 1")</f>
        <v>Doute n ° 1</v>
      </c>
      <c r="C3183" s="1" t="s">
        <v>185</v>
      </c>
      <c r="E3183" s="1" t="s">
        <v>16613</v>
      </c>
      <c r="H3183" s="1" t="s">
        <v>4</v>
      </c>
      <c r="O3183" s="1" t="s">
        <v>11</v>
      </c>
      <c r="T3183" s="1" t="s">
        <v>16</v>
      </c>
      <c r="X3183" s="1" t="s">
        <v>20</v>
      </c>
      <c r="BQ3183" s="1" t="s">
        <v>65</v>
      </c>
      <c r="FZ3183" s="1" t="s">
        <v>178</v>
      </c>
      <c r="GD3183" s="1" t="s">
        <v>193</v>
      </c>
      <c r="GE3183" s="1" t="s">
        <v>4503</v>
      </c>
    </row>
    <row r="3184" spans="1:187" ht="11.25" customHeight="1">
      <c r="A3184" s="1" t="s">
        <v>4504</v>
      </c>
      <c r="B3184" s="1" t="str">
        <f ca="1">IFERROR(__xludf.DUMMYFUNCTION("GOOGLETRANSLATE(A3184, ""en"", ""fr"")"),"Doute n ° 2")</f>
        <v>Doute n ° 2</v>
      </c>
      <c r="C3184" s="1" t="s">
        <v>185</v>
      </c>
      <c r="E3184" s="1" t="s">
        <v>16613</v>
      </c>
      <c r="H3184" s="1" t="s">
        <v>4</v>
      </c>
      <c r="O3184" s="1" t="s">
        <v>11</v>
      </c>
      <c r="X3184" s="1" t="s">
        <v>20</v>
      </c>
      <c r="BK3184" s="1" t="s">
        <v>59</v>
      </c>
      <c r="DP3184" s="1" t="s">
        <v>116</v>
      </c>
      <c r="FZ3184" s="1" t="s">
        <v>178</v>
      </c>
      <c r="GD3184" s="1" t="s">
        <v>189</v>
      </c>
      <c r="GE3184" s="1" t="s">
        <v>4505</v>
      </c>
    </row>
    <row r="3185" spans="1:187" ht="11.25" customHeight="1">
      <c r="A3185" s="1" t="s">
        <v>4506</v>
      </c>
      <c r="B3185" s="1" t="str">
        <f ca="1">IFERROR(__xludf.DUMMYFUNCTION("GOOGLETRANSLATE(A3185, ""en"", ""fr"")"),"Doute n ° 3")</f>
        <v>Doute n ° 3</v>
      </c>
      <c r="C3185" s="1" t="s">
        <v>185</v>
      </c>
      <c r="U3185" s="1" t="s">
        <v>17</v>
      </c>
      <c r="W3185" s="1" t="s">
        <v>19</v>
      </c>
      <c r="FY3185" s="1" t="s">
        <v>177</v>
      </c>
      <c r="GD3185" s="1" t="s">
        <v>236</v>
      </c>
      <c r="GE3185" s="1" t="s">
        <v>4507</v>
      </c>
    </row>
    <row r="3186" spans="1:187" ht="11.25" customHeight="1">
      <c r="A3186" s="1" t="s">
        <v>4508</v>
      </c>
      <c r="B3186" s="1" t="str">
        <f ca="1">IFERROR(__xludf.DUMMYFUNCTION("GOOGLETRANSLATE(A3186, ""en"", ""fr"")"),"Doute n ° 4")</f>
        <v>Doute n ° 4</v>
      </c>
      <c r="C3186" s="1" t="s">
        <v>185</v>
      </c>
      <c r="E3186" s="1" t="s">
        <v>16613</v>
      </c>
      <c r="H3186" s="1" t="s">
        <v>4</v>
      </c>
      <c r="O3186" s="1" t="s">
        <v>11</v>
      </c>
      <c r="BQ3186" s="1" t="s">
        <v>65</v>
      </c>
      <c r="FZ3186" s="1" t="s">
        <v>178</v>
      </c>
      <c r="GD3186" s="1" t="s">
        <v>202</v>
      </c>
      <c r="GE3186" s="1" t="s">
        <v>4509</v>
      </c>
    </row>
    <row r="3187" spans="1:187" ht="11.25" customHeight="1">
      <c r="A3187" s="1" t="s">
        <v>4510</v>
      </c>
      <c r="B3187" s="1" t="str">
        <f ca="1">IFERROR(__xludf.DUMMYFUNCTION("GOOGLETRANSLATE(A3187, ""en"", ""fr"")"),"DOUTEUX")</f>
        <v>DOUTEUX</v>
      </c>
      <c r="C3187" s="1" t="s">
        <v>185</v>
      </c>
      <c r="E3187" s="1" t="s">
        <v>16613</v>
      </c>
      <c r="H3187" s="1" t="s">
        <v>4</v>
      </c>
      <c r="L3187" s="1" t="s">
        <v>8</v>
      </c>
      <c r="V3187" s="1" t="s">
        <v>18</v>
      </c>
      <c r="X3187" s="1" t="s">
        <v>20</v>
      </c>
      <c r="CK3187" s="1" t="s">
        <v>85</v>
      </c>
      <c r="DR3187" s="1" t="s">
        <v>118</v>
      </c>
      <c r="FZ3187" s="1" t="s">
        <v>178</v>
      </c>
      <c r="GD3187" s="1" t="s">
        <v>202</v>
      </c>
      <c r="GE3187" s="1" t="s">
        <v>190</v>
      </c>
    </row>
    <row r="3188" spans="1:187" ht="11.25" customHeight="1">
      <c r="A3188" s="1" t="s">
        <v>4511</v>
      </c>
      <c r="B3188" s="1" t="str">
        <f ca="1">IFERROR(__xludf.DUMMYFUNCTION("GOOGLETRANSLATE(A3188, ""en"", ""fr"")"),"SANS AUCUN DOUTE")</f>
        <v>SANS AUCUN DOUTE</v>
      </c>
      <c r="C3188" s="1" t="s">
        <v>185</v>
      </c>
      <c r="D3188" s="1" t="s">
        <v>16612</v>
      </c>
      <c r="F3188" s="1" t="s">
        <v>2</v>
      </c>
      <c r="J3188" s="1" t="s">
        <v>6</v>
      </c>
      <c r="U3188" s="1" t="s">
        <v>17</v>
      </c>
      <c r="W3188" s="1" t="s">
        <v>19</v>
      </c>
      <c r="FY3188" s="1" t="s">
        <v>177</v>
      </c>
      <c r="GD3188" s="1" t="s">
        <v>236</v>
      </c>
      <c r="GE3188" s="1" t="s">
        <v>190</v>
      </c>
    </row>
    <row r="3189" spans="1:187" ht="11.25" customHeight="1">
      <c r="A3189" s="1" t="s">
        <v>4512</v>
      </c>
      <c r="B3189" s="1" t="str">
        <f ca="1">IFERROR(__xludf.DUMMYFUNCTION("GOOGLETRANSLATE(A3189, ""en"", ""fr"")"),"VERS LE BAS")</f>
        <v>VERS LE BAS</v>
      </c>
      <c r="C3189" s="1" t="s">
        <v>185</v>
      </c>
      <c r="DA3189" s="1" t="s">
        <v>101</v>
      </c>
      <c r="GD3189" s="1" t="s">
        <v>207</v>
      </c>
      <c r="GE3189" s="1" t="s">
        <v>4513</v>
      </c>
    </row>
    <row r="3190" spans="1:187" ht="11.25" customHeight="1">
      <c r="A3190" s="1" t="s">
        <v>4514</v>
      </c>
      <c r="B3190" s="1" t="str">
        <f ca="1">IFERROR(__xludf.DUMMYFUNCTION("GOOGLETRANSLATE(A3190, ""en"", ""fr"")"),"ABATTU")</f>
        <v>ABATTU</v>
      </c>
      <c r="C3190" s="1" t="s">
        <v>192</v>
      </c>
      <c r="E3190" s="1" t="s">
        <v>16613</v>
      </c>
      <c r="Q3190" s="1" t="s">
        <v>13</v>
      </c>
      <c r="DR3190" s="1" t="s">
        <v>118</v>
      </c>
      <c r="GD3190" s="1" t="s">
        <v>202</v>
      </c>
      <c r="GE3190" s="1" t="s">
        <v>190</v>
      </c>
    </row>
    <row r="3191" spans="1:187" ht="11.25" customHeight="1">
      <c r="A3191" s="1" t="s">
        <v>4515</v>
      </c>
      <c r="B3191" s="1" t="str">
        <f ca="1">IFERROR(__xludf.DUMMYFUNCTION("GOOGLETRANSLATE(A3191, ""en"", ""fr"")"),"CHUTE")</f>
        <v>CHUTE</v>
      </c>
      <c r="C3191" s="1" t="s">
        <v>192</v>
      </c>
      <c r="E3191" s="1" t="s">
        <v>16613</v>
      </c>
      <c r="Q3191" s="1" t="s">
        <v>13</v>
      </c>
      <c r="BZ3191" s="1" t="s">
        <v>74</v>
      </c>
      <c r="GD3191" s="1" t="s">
        <v>193</v>
      </c>
      <c r="GE3191" s="1" t="s">
        <v>190</v>
      </c>
    </row>
    <row r="3192" spans="1:187" ht="11.25" customHeight="1">
      <c r="A3192" s="1" t="s">
        <v>4516</v>
      </c>
      <c r="B3192" s="1" t="str">
        <f ca="1">IFERROR(__xludf.DUMMYFUNCTION("GOOGLETRANSLATE(A3192, ""en"", ""fr"")"),"DÉCOURAGÉ")</f>
        <v>DÉCOURAGÉ</v>
      </c>
      <c r="C3192" s="1" t="s">
        <v>192</v>
      </c>
      <c r="E3192" s="1" t="s">
        <v>16613</v>
      </c>
      <c r="Q3192" s="1" t="s">
        <v>13</v>
      </c>
      <c r="T3192" s="1" t="s">
        <v>16</v>
      </c>
      <c r="DR3192" s="1" t="s">
        <v>118</v>
      </c>
      <c r="GD3192" s="1" t="s">
        <v>202</v>
      </c>
      <c r="GE3192" s="1" t="s">
        <v>190</v>
      </c>
    </row>
    <row r="3193" spans="1:187" ht="11.25" customHeight="1">
      <c r="A3193" s="1" t="s">
        <v>4517</v>
      </c>
      <c r="B3193" s="1" t="str">
        <f ca="1">IFERROR(__xludf.DUMMYFUNCTION("GOOGLETRANSLATE(A3193, ""en"", ""fr"")"),"CENTRE VILLE")</f>
        <v>CENTRE VILLE</v>
      </c>
      <c r="C3193" s="1" t="s">
        <v>185</v>
      </c>
      <c r="AV3193" s="1" t="s">
        <v>44</v>
      </c>
      <c r="AX3193" s="1" t="s">
        <v>46</v>
      </c>
      <c r="GD3193" s="1" t="s">
        <v>193</v>
      </c>
      <c r="GE3193" s="1" t="s">
        <v>190</v>
      </c>
    </row>
    <row r="3194" spans="1:187" ht="11.25" customHeight="1">
      <c r="A3194" s="1" t="s">
        <v>4518</v>
      </c>
      <c r="B3194" s="1" t="str">
        <f ca="1">IFERROR(__xludf.DUMMYFUNCTION("GOOGLETRANSLATE(A3194, ""en"", ""fr"")"),"DOUZAINE")</f>
        <v>DOUZAINE</v>
      </c>
      <c r="C3194" s="1" t="s">
        <v>185</v>
      </c>
      <c r="CS3194" s="1" t="s">
        <v>93</v>
      </c>
      <c r="CT3194" s="1" t="s">
        <v>94</v>
      </c>
      <c r="CV3194" s="1" t="s">
        <v>96</v>
      </c>
      <c r="GD3194" s="1" t="s">
        <v>1756</v>
      </c>
      <c r="GE3194" s="1" t="s">
        <v>190</v>
      </c>
    </row>
    <row r="3195" spans="1:187" ht="11.25" customHeight="1">
      <c r="A3195" s="1" t="s">
        <v>4519</v>
      </c>
      <c r="B3195" s="1" t="str">
        <f ca="1">IFERROR(__xludf.DUMMYFUNCTION("GOOGLETRANSLATE(A3195, ""en"", ""fr"")"),"Dr")</f>
        <v>Dr</v>
      </c>
      <c r="C3195" s="1" t="s">
        <v>185</v>
      </c>
      <c r="Y3195" s="1" t="s">
        <v>21</v>
      </c>
      <c r="AJ3195" s="1" t="s">
        <v>32</v>
      </c>
      <c r="AT3195" s="1" t="s">
        <v>42</v>
      </c>
      <c r="EM3195" s="1" t="s">
        <v>139</v>
      </c>
      <c r="EN3195" s="1" t="s">
        <v>140</v>
      </c>
      <c r="GD3195" s="1" t="s">
        <v>202</v>
      </c>
      <c r="GE3195" s="1" t="s">
        <v>190</v>
      </c>
    </row>
    <row r="3196" spans="1:187" ht="11.25" customHeight="1">
      <c r="A3196" s="1" t="s">
        <v>4520</v>
      </c>
      <c r="B3196" s="1" t="str">
        <f ca="1">IFERROR(__xludf.DUMMYFUNCTION("GOOGLETRANSLATE(A3196, ""en"", ""fr"")"),"Dr.")</f>
        <v>Dr.</v>
      </c>
      <c r="C3196" s="1" t="s">
        <v>196</v>
      </c>
      <c r="EM3196" s="1" t="s">
        <v>139</v>
      </c>
      <c r="EN3196" s="1" t="s">
        <v>140</v>
      </c>
      <c r="GD3196" s="1" t="s">
        <v>4521</v>
      </c>
    </row>
    <row r="3197" spans="1:187" ht="11.25" customHeight="1">
      <c r="A3197" s="1" t="s">
        <v>4522</v>
      </c>
      <c r="B3197" s="1" t="str">
        <f ca="1">IFERROR(__xludf.DUMMYFUNCTION("GOOGLETRANSLATE(A3197, ""en"", ""fr"")"),"TERNE")</f>
        <v>TERNE</v>
      </c>
      <c r="C3197" s="1" t="s">
        <v>192</v>
      </c>
      <c r="E3197" s="1" t="s">
        <v>16613</v>
      </c>
      <c r="V3197" s="1" t="s">
        <v>18</v>
      </c>
      <c r="DR3197" s="1" t="s">
        <v>118</v>
      </c>
      <c r="GD3197" s="1" t="s">
        <v>202</v>
      </c>
      <c r="GE3197" s="1" t="s">
        <v>190</v>
      </c>
    </row>
    <row r="3198" spans="1:187" ht="11.25" customHeight="1">
      <c r="A3198" s="1" t="s">
        <v>4523</v>
      </c>
      <c r="B3198" s="1" t="str">
        <f ca="1">IFERROR(__xludf.DUMMYFUNCTION("GOOGLETRANSLATE(A3198, ""en"", ""fr"")"),"Draft n ° 1")</f>
        <v>Draft n ° 1</v>
      </c>
      <c r="C3198" s="1" t="s">
        <v>185</v>
      </c>
      <c r="K3198" s="1" t="s">
        <v>7</v>
      </c>
      <c r="AF3198" s="1" t="s">
        <v>28</v>
      </c>
      <c r="AG3198" s="1" t="s">
        <v>29</v>
      </c>
      <c r="AH3198" s="1" t="s">
        <v>30</v>
      </c>
      <c r="AM3198" s="1" t="s">
        <v>35</v>
      </c>
      <c r="GD3198" s="1" t="s">
        <v>193</v>
      </c>
      <c r="GE3198" s="1" t="s">
        <v>190</v>
      </c>
    </row>
    <row r="3199" spans="1:187" ht="11.25" customHeight="1">
      <c r="A3199" s="1" t="s">
        <v>4524</v>
      </c>
      <c r="B3199" s="1" t="str">
        <f ca="1">IFERROR(__xludf.DUMMYFUNCTION("GOOGLETRANSLATE(A3199, ""en"", ""fr"")"),"Draft n ° 2")</f>
        <v>Draft n ° 2</v>
      </c>
      <c r="C3199" s="1" t="s">
        <v>185</v>
      </c>
      <c r="AL3199" s="1" t="s">
        <v>34</v>
      </c>
      <c r="DN3199" s="1" t="s">
        <v>114</v>
      </c>
      <c r="GD3199" s="1" t="s">
        <v>189</v>
      </c>
      <c r="GE3199" s="1" t="s">
        <v>190</v>
      </c>
    </row>
    <row r="3200" spans="1:187" ht="11.25" customHeight="1">
      <c r="A3200" s="1" t="s">
        <v>4525</v>
      </c>
      <c r="B3200" s="1" t="str">
        <f ca="1">IFERROR(__xludf.DUMMYFUNCTION("GOOGLETRANSLATE(A3200, ""en"", ""fr"")"),"TRAÎNER")</f>
        <v>TRAÎNER</v>
      </c>
      <c r="C3200" s="1" t="s">
        <v>185</v>
      </c>
      <c r="E3200" s="1" t="s">
        <v>16613</v>
      </c>
      <c r="H3200" s="1" t="s">
        <v>4</v>
      </c>
      <c r="I3200" s="1" t="s">
        <v>5</v>
      </c>
      <c r="N3200" s="1" t="s">
        <v>10</v>
      </c>
      <c r="CC3200" s="1" t="s">
        <v>77</v>
      </c>
      <c r="DO3200" s="1" t="s">
        <v>115</v>
      </c>
      <c r="GD3200" s="1" t="s">
        <v>189</v>
      </c>
      <c r="GE3200" s="1" t="s">
        <v>190</v>
      </c>
    </row>
    <row r="3201" spans="1:187" ht="11.25" customHeight="1">
      <c r="A3201" s="1" t="s">
        <v>4526</v>
      </c>
      <c r="B3201" s="1" t="str">
        <f ca="1">IFERROR(__xludf.DUMMYFUNCTION("GOOGLETRANSLATE(A3201, ""en"", ""fr"")"),"Égoutter n ° 1")</f>
        <v>Égoutter n ° 1</v>
      </c>
      <c r="C3201" s="1" t="s">
        <v>185</v>
      </c>
      <c r="BC3201" s="1" t="s">
        <v>51</v>
      </c>
      <c r="BD3201" s="1" t="s">
        <v>52</v>
      </c>
      <c r="GD3201" s="1" t="s">
        <v>193</v>
      </c>
      <c r="GE3201" s="1" t="s">
        <v>190</v>
      </c>
    </row>
    <row r="3202" spans="1:187" ht="11.25" customHeight="1">
      <c r="A3202" s="1" t="s">
        <v>4527</v>
      </c>
      <c r="B3202" s="1" t="str">
        <f ca="1">IFERROR(__xludf.DUMMYFUNCTION("GOOGLETRANSLATE(A3202, ""en"", ""fr"")"),"Égoutter n ° 2")</f>
        <v>Égoutter n ° 2</v>
      </c>
      <c r="C3202" s="1" t="s">
        <v>185</v>
      </c>
      <c r="BY3202" s="1" t="s">
        <v>73</v>
      </c>
      <c r="DO3202" s="1" t="s">
        <v>115</v>
      </c>
      <c r="GD3202" s="1" t="s">
        <v>189</v>
      </c>
      <c r="GE3202" s="1" t="s">
        <v>190</v>
      </c>
    </row>
    <row r="3203" spans="1:187" ht="11.25" customHeight="1">
      <c r="A3203" s="1" t="s">
        <v>4528</v>
      </c>
      <c r="B3203" s="1" t="str">
        <f ca="1">IFERROR(__xludf.DUMMYFUNCTION("GOOGLETRANSLATE(A3203, ""en"", ""fr"")"),"DRAME")</f>
        <v>DRAME</v>
      </c>
      <c r="C3203" s="1" t="s">
        <v>185</v>
      </c>
      <c r="AD3203" s="1" t="s">
        <v>26</v>
      </c>
      <c r="AM3203" s="1" t="s">
        <v>35</v>
      </c>
      <c r="GD3203" s="1" t="s">
        <v>193</v>
      </c>
      <c r="GE3203" s="1" t="s">
        <v>190</v>
      </c>
    </row>
    <row r="3204" spans="1:187" ht="11.25" customHeight="1">
      <c r="A3204" s="1" t="s">
        <v>4529</v>
      </c>
      <c r="B3204" s="1" t="str">
        <f ca="1">IFERROR(__xludf.DUMMYFUNCTION("GOOGLETRANSLATE(A3204, ""en"", ""fr"")"),"SPECTACULAIRE")</f>
        <v>SPECTACULAIRE</v>
      </c>
      <c r="C3204" s="1" t="s">
        <v>185</v>
      </c>
      <c r="AD3204" s="1" t="s">
        <v>26</v>
      </c>
      <c r="AM3204" s="1" t="s">
        <v>35</v>
      </c>
      <c r="CN3204" s="1" t="s">
        <v>88</v>
      </c>
      <c r="GC3204" s="1" t="s">
        <v>181</v>
      </c>
      <c r="GD3204" s="1" t="s">
        <v>202</v>
      </c>
      <c r="GE3204" s="1" t="s">
        <v>190</v>
      </c>
    </row>
    <row r="3205" spans="1:187" ht="11.25" customHeight="1">
      <c r="A3205" s="1" t="s">
        <v>4530</v>
      </c>
      <c r="B3205" s="1" t="str">
        <f ca="1">IFERROR(__xludf.DUMMYFUNCTION("GOOGLETRANSLATE(A3205, ""en"", ""fr"")"),"BUVAIT")</f>
        <v>BUVAIT</v>
      </c>
      <c r="C3205" s="1" t="s">
        <v>185</v>
      </c>
      <c r="N3205" s="1" t="s">
        <v>10</v>
      </c>
      <c r="BU3205" s="1" t="s">
        <v>69</v>
      </c>
      <c r="DO3205" s="1" t="s">
        <v>115</v>
      </c>
      <c r="GD3205" s="1" t="s">
        <v>1076</v>
      </c>
      <c r="GE3205" s="1" t="s">
        <v>4531</v>
      </c>
    </row>
    <row r="3206" spans="1:187" ht="11.25" customHeight="1">
      <c r="A3206" s="1" t="s">
        <v>4532</v>
      </c>
      <c r="B3206" s="1" t="str">
        <f ca="1">IFERROR(__xludf.DUMMYFUNCTION("GOOGLETRANSLATE(A3206, ""en"", ""fr"")"),"RADICAL")</f>
        <v>RADICAL</v>
      </c>
      <c r="C3206" s="1" t="s">
        <v>196</v>
      </c>
      <c r="FY3206" s="1" t="s">
        <v>177</v>
      </c>
      <c r="GD3206" s="1" t="s">
        <v>202</v>
      </c>
    </row>
    <row r="3207" spans="1:187" ht="11.25" customHeight="1">
      <c r="A3207" s="1" t="s">
        <v>4533</v>
      </c>
      <c r="B3207" s="1" t="str">
        <f ca="1">IFERROR(__xludf.DUMMYFUNCTION("GOOGLETRANSLATE(A3207, ""en"", ""fr"")"),"Dessiner n ° 1")</f>
        <v>Dessiner n ° 1</v>
      </c>
      <c r="C3207" s="1" t="s">
        <v>185</v>
      </c>
      <c r="N3207" s="1" t="s">
        <v>10</v>
      </c>
      <c r="CD3207" s="1" t="s">
        <v>78</v>
      </c>
      <c r="DO3207" s="1" t="s">
        <v>115</v>
      </c>
      <c r="GD3207" s="1" t="s">
        <v>189</v>
      </c>
      <c r="GE3207" s="1" t="s">
        <v>4534</v>
      </c>
    </row>
    <row r="3208" spans="1:187" ht="11.25" customHeight="1">
      <c r="A3208" s="1" t="s">
        <v>4535</v>
      </c>
      <c r="B3208" s="1" t="str">
        <f ca="1">IFERROR(__xludf.DUMMYFUNCTION("GOOGLETRANSLATE(A3208, ""en"", ""fr"")"),"Dessiner # 2")</f>
        <v>Dessiner # 2</v>
      </c>
      <c r="C3208" s="1" t="s">
        <v>185</v>
      </c>
      <c r="AD3208" s="1" t="s">
        <v>26</v>
      </c>
      <c r="BK3208" s="1" t="s">
        <v>59</v>
      </c>
      <c r="DO3208" s="1" t="s">
        <v>115</v>
      </c>
      <c r="GD3208" s="1" t="s">
        <v>189</v>
      </c>
      <c r="GE3208" s="1" t="s">
        <v>4536</v>
      </c>
    </row>
    <row r="3209" spans="1:187" ht="11.25" customHeight="1">
      <c r="A3209" s="1" t="s">
        <v>4537</v>
      </c>
      <c r="B3209" s="1" t="str">
        <f ca="1">IFERROR(__xludf.DUMMYFUNCTION("GOOGLETRANSLATE(A3209, ""en"", ""fr"")"),"Dessiner # 3")</f>
        <v>Dessiner # 3</v>
      </c>
      <c r="C3209" s="1" t="s">
        <v>185</v>
      </c>
      <c r="J3209" s="1" t="s">
        <v>6</v>
      </c>
      <c r="K3209" s="1" t="s">
        <v>7</v>
      </c>
      <c r="AN3209" s="1" t="s">
        <v>36</v>
      </c>
      <c r="DN3209" s="1" t="s">
        <v>114</v>
      </c>
      <c r="DW3209" s="1" t="s">
        <v>123</v>
      </c>
      <c r="ED3209" s="1" t="s">
        <v>130</v>
      </c>
      <c r="GD3209" s="1" t="s">
        <v>189</v>
      </c>
      <c r="GE3209" s="1" t="s">
        <v>4538</v>
      </c>
    </row>
    <row r="3210" spans="1:187" ht="11.25" customHeight="1">
      <c r="A3210" s="1" t="s">
        <v>4539</v>
      </c>
      <c r="B3210" s="1" t="str">
        <f ca="1">IFERROR(__xludf.DUMMYFUNCTION("GOOGLETRANSLATE(A3210, ""en"", ""fr"")"),"Dessiner # 4")</f>
        <v>Dessiner # 4</v>
      </c>
      <c r="C3210" s="1" t="s">
        <v>185</v>
      </c>
      <c r="AL3210" s="1" t="s">
        <v>34</v>
      </c>
      <c r="DN3210" s="1" t="s">
        <v>114</v>
      </c>
      <c r="GD3210" s="1" t="s">
        <v>189</v>
      </c>
      <c r="GE3210" s="1" t="s">
        <v>4540</v>
      </c>
    </row>
    <row r="3211" spans="1:187" ht="11.25" customHeight="1">
      <c r="A3211" s="1" t="s">
        <v>4541</v>
      </c>
      <c r="B3211" s="1" t="str">
        <f ca="1">IFERROR(__xludf.DUMMYFUNCTION("GOOGLETRANSLATE(A3211, ""en"", ""fr"")"),"Dessiner # 5")</f>
        <v>Dessiner # 5</v>
      </c>
      <c r="C3211" s="1" t="s">
        <v>185</v>
      </c>
      <c r="BC3211" s="1" t="s">
        <v>51</v>
      </c>
      <c r="BH3211" s="1" t="s">
        <v>56</v>
      </c>
      <c r="BL3211" s="1" t="s">
        <v>60</v>
      </c>
      <c r="GD3211" s="1" t="s">
        <v>193</v>
      </c>
      <c r="GE3211" s="1" t="s">
        <v>4542</v>
      </c>
    </row>
    <row r="3212" spans="1:187" ht="11.25" customHeight="1">
      <c r="A3212" s="1" t="s">
        <v>4543</v>
      </c>
      <c r="B3212" s="1" t="str">
        <f ca="1">IFERROR(__xludf.DUMMYFUNCTION("GOOGLETRANSLATE(A3212, ""en"", ""fr"")"),"Dessiné # 1")</f>
        <v>Dessiné # 1</v>
      </c>
      <c r="C3212" s="1" t="s">
        <v>192</v>
      </c>
      <c r="GD3212" s="1" t="s">
        <v>1085</v>
      </c>
      <c r="GE3212" s="1" t="s">
        <v>190</v>
      </c>
    </row>
    <row r="3213" spans="1:187" ht="11.25" customHeight="1">
      <c r="A3213" s="1" t="s">
        <v>4544</v>
      </c>
      <c r="B3213" s="1" t="str">
        <f ca="1">IFERROR(__xludf.DUMMYFUNCTION("GOOGLETRANSLATE(A3213, ""en"", ""fr"")"),"REDOUTER")</f>
        <v>REDOUTER</v>
      </c>
      <c r="C3213" s="1" t="s">
        <v>185</v>
      </c>
      <c r="E3213" s="1" t="s">
        <v>16613</v>
      </c>
      <c r="O3213" s="1" t="s">
        <v>11</v>
      </c>
      <c r="Q3213" s="1" t="s">
        <v>13</v>
      </c>
      <c r="T3213" s="1" t="s">
        <v>16</v>
      </c>
      <c r="DP3213" s="1" t="s">
        <v>116</v>
      </c>
      <c r="FA3213" s="1" t="s">
        <v>153</v>
      </c>
      <c r="FC3213" s="1" t="s">
        <v>155</v>
      </c>
      <c r="GD3213" s="1" t="s">
        <v>189</v>
      </c>
      <c r="GE3213" s="1" t="s">
        <v>190</v>
      </c>
    </row>
    <row r="3214" spans="1:187" ht="11.25" customHeight="1">
      <c r="A3214" s="1" t="s">
        <v>4545</v>
      </c>
      <c r="B3214" s="1" t="str">
        <f ca="1">IFERROR(__xludf.DUMMYFUNCTION("GOOGLETRANSLATE(A3214, ""en"", ""fr"")"),"TERRIBLE")</f>
        <v>TERRIBLE</v>
      </c>
      <c r="C3214" s="1" t="s">
        <v>185</v>
      </c>
      <c r="E3214" s="1" t="s">
        <v>16613</v>
      </c>
      <c r="H3214" s="1" t="s">
        <v>4</v>
      </c>
      <c r="L3214" s="1" t="s">
        <v>8</v>
      </c>
      <c r="O3214" s="1" t="s">
        <v>11</v>
      </c>
      <c r="V3214" s="1" t="s">
        <v>18</v>
      </c>
      <c r="W3214" s="1" t="s">
        <v>19</v>
      </c>
      <c r="FA3214" s="1" t="s">
        <v>153</v>
      </c>
      <c r="FC3214" s="1" t="s">
        <v>155</v>
      </c>
      <c r="GD3214" s="1" t="s">
        <v>202</v>
      </c>
      <c r="GE3214" s="1" t="s">
        <v>190</v>
      </c>
    </row>
    <row r="3215" spans="1:187" ht="11.25" customHeight="1">
      <c r="A3215" s="1" t="s">
        <v>4546</v>
      </c>
      <c r="B3215" s="1" t="str">
        <f ca="1">IFERROR(__xludf.DUMMYFUNCTION("GOOGLETRANSLATE(A3215, ""en"", ""fr"")"),"Rêve n ° 1")</f>
        <v>Rêve n ° 1</v>
      </c>
      <c r="C3215" s="1" t="s">
        <v>185</v>
      </c>
      <c r="O3215" s="1" t="s">
        <v>11</v>
      </c>
      <c r="BU3215" s="1" t="s">
        <v>69</v>
      </c>
      <c r="FR3215" s="1" t="s">
        <v>170</v>
      </c>
      <c r="GD3215" s="1" t="s">
        <v>193</v>
      </c>
      <c r="GE3215" s="1" t="s">
        <v>4547</v>
      </c>
    </row>
    <row r="3216" spans="1:187" ht="11.25" customHeight="1">
      <c r="A3216" s="1" t="s">
        <v>4548</v>
      </c>
      <c r="B3216" s="1" t="str">
        <f ca="1">IFERROR(__xludf.DUMMYFUNCTION("GOOGLETRANSLATE(A3216, ""en"", ""fr"")"),"Rêve n ° 2")</f>
        <v>Rêve n ° 2</v>
      </c>
      <c r="C3216" s="1" t="s">
        <v>185</v>
      </c>
      <c r="O3216" s="1" t="s">
        <v>11</v>
      </c>
      <c r="BU3216" s="1" t="s">
        <v>69</v>
      </c>
      <c r="DO3216" s="1" t="s">
        <v>115</v>
      </c>
      <c r="FR3216" s="1" t="s">
        <v>170</v>
      </c>
      <c r="GD3216" s="1" t="s">
        <v>189</v>
      </c>
      <c r="GE3216" s="1" t="s">
        <v>4549</v>
      </c>
    </row>
    <row r="3217" spans="1:187" ht="11.25" customHeight="1">
      <c r="A3217" s="1" t="s">
        <v>4550</v>
      </c>
      <c r="B3217" s="1" t="str">
        <f ca="1">IFERROR(__xludf.DUMMYFUNCTION("GOOGLETRANSLATE(A3217, ""en"", ""fr"")"),"Dreamer # 1")</f>
        <v>Dreamer # 1</v>
      </c>
      <c r="C3217" s="1" t="s">
        <v>185</v>
      </c>
      <c r="O3217" s="1" t="s">
        <v>11</v>
      </c>
      <c r="AJ3217" s="1" t="s">
        <v>32</v>
      </c>
      <c r="AT3217" s="1" t="s">
        <v>42</v>
      </c>
      <c r="FT3217" s="1" t="s">
        <v>172</v>
      </c>
      <c r="GD3217" s="1" t="s">
        <v>193</v>
      </c>
      <c r="GE3217" s="1" t="s">
        <v>4551</v>
      </c>
    </row>
    <row r="3218" spans="1:187" ht="11.25" customHeight="1">
      <c r="A3218" s="1" t="s">
        <v>4552</v>
      </c>
      <c r="B3218" s="1" t="str">
        <f ca="1">IFERROR(__xludf.DUMMYFUNCTION("GOOGLETRANSLATE(A3218, ""en"", ""fr"")"),"Dreamer # 2")</f>
        <v>Dreamer # 2</v>
      </c>
      <c r="C3218" s="1" t="s">
        <v>185</v>
      </c>
      <c r="O3218" s="1" t="s">
        <v>11</v>
      </c>
      <c r="AJ3218" s="1" t="s">
        <v>32</v>
      </c>
      <c r="AT3218" s="1" t="s">
        <v>42</v>
      </c>
      <c r="GD3218" s="1" t="s">
        <v>193</v>
      </c>
      <c r="GE3218" s="1" t="s">
        <v>4553</v>
      </c>
    </row>
    <row r="3219" spans="1:187" ht="11.25" customHeight="1">
      <c r="A3219" s="1" t="s">
        <v>4554</v>
      </c>
      <c r="B3219" s="1" t="str">
        <f ca="1">IFERROR(__xludf.DUMMYFUNCTION("GOOGLETRANSLATE(A3219, ""en"", ""fr"")"),"PAYS DE RÊVE")</f>
        <v>PAYS DE RÊVE</v>
      </c>
      <c r="C3219" s="1" t="s">
        <v>192</v>
      </c>
      <c r="D3219" s="1" t="s">
        <v>16612</v>
      </c>
      <c r="P3219" s="1" t="s">
        <v>12</v>
      </c>
      <c r="CG3219" s="1" t="s">
        <v>81</v>
      </c>
      <c r="CK3219" s="1" t="s">
        <v>85</v>
      </c>
      <c r="GD3219" s="1" t="s">
        <v>4555</v>
      </c>
      <c r="GE3219" s="1" t="s">
        <v>190</v>
      </c>
    </row>
    <row r="3220" spans="1:187" ht="11.25" customHeight="1">
      <c r="A3220" s="1" t="s">
        <v>4556</v>
      </c>
      <c r="B3220" s="1" t="str">
        <f ca="1">IFERROR(__xludf.DUMMYFUNCTION("GOOGLETRANSLATE(A3220, ""en"", ""fr"")"),"Rêvé")</f>
        <v>Rêvé</v>
      </c>
      <c r="C3220" s="1" t="s">
        <v>185</v>
      </c>
      <c r="O3220" s="1" t="s">
        <v>11</v>
      </c>
      <c r="BU3220" s="1" t="s">
        <v>69</v>
      </c>
      <c r="DO3220" s="1" t="s">
        <v>115</v>
      </c>
      <c r="FR3220" s="1" t="s">
        <v>170</v>
      </c>
      <c r="GD3220" s="1" t="s">
        <v>1076</v>
      </c>
      <c r="GE3220" s="1" t="s">
        <v>4557</v>
      </c>
    </row>
    <row r="3221" spans="1:187" ht="11.25" customHeight="1">
      <c r="A3221" s="1" t="s">
        <v>4558</v>
      </c>
      <c r="B3221" s="1" t="str">
        <f ca="1">IFERROR(__xludf.DUMMYFUNCTION("GOOGLETRANSLATE(A3221, ""en"", ""fr"")"),"MORNE")</f>
        <v>MORNE</v>
      </c>
      <c r="C3221" s="1" t="s">
        <v>192</v>
      </c>
      <c r="E3221" s="1" t="s">
        <v>16613</v>
      </c>
      <c r="V3221" s="1" t="s">
        <v>18</v>
      </c>
      <c r="DR3221" s="1" t="s">
        <v>118</v>
      </c>
      <c r="GD3221" s="1" t="s">
        <v>202</v>
      </c>
      <c r="GE3221" s="1" t="s">
        <v>190</v>
      </c>
    </row>
    <row r="3222" spans="1:187" ht="11.25" customHeight="1">
      <c r="A3222" s="1" t="s">
        <v>4559</v>
      </c>
      <c r="B3222" s="1" t="str">
        <f ca="1">IFERROR(__xludf.DUMMYFUNCTION("GOOGLETRANSLATE(A3222, ""en"", ""fr"")"),"Robe n ° 1")</f>
        <v>Robe n ° 1</v>
      </c>
      <c r="C3222" s="1" t="s">
        <v>185</v>
      </c>
      <c r="BC3222" s="1" t="s">
        <v>51</v>
      </c>
      <c r="BD3222" s="1" t="s">
        <v>52</v>
      </c>
      <c r="GD3222" s="1" t="s">
        <v>193</v>
      </c>
      <c r="GE3222" s="1" t="s">
        <v>4560</v>
      </c>
    </row>
    <row r="3223" spans="1:187" ht="11.25" customHeight="1">
      <c r="A3223" s="1" t="s">
        <v>4561</v>
      </c>
      <c r="B3223" s="1" t="str">
        <f ca="1">IFERROR(__xludf.DUMMYFUNCTION("GOOGLETRANSLATE(A3223, ""en"", ""fr"")"),"Robe n ° 2")</f>
        <v>Robe n ° 2</v>
      </c>
      <c r="C3223" s="1" t="s">
        <v>185</v>
      </c>
      <c r="N3223" s="1" t="s">
        <v>10</v>
      </c>
      <c r="AL3223" s="1" t="s">
        <v>34</v>
      </c>
      <c r="DO3223" s="1" t="s">
        <v>115</v>
      </c>
      <c r="GD3223" s="1" t="s">
        <v>189</v>
      </c>
      <c r="GE3223" s="1" t="s">
        <v>4562</v>
      </c>
    </row>
    <row r="3224" spans="1:187" ht="11.25" customHeight="1">
      <c r="A3224" s="1" t="s">
        <v>4563</v>
      </c>
      <c r="B3224" s="1" t="str">
        <f ca="1">IFERROR(__xludf.DUMMYFUNCTION("GOOGLETRANSLATE(A3224, ""en"", ""fr"")"),"Robe n ° 3")</f>
        <v>Robe n ° 3</v>
      </c>
      <c r="C3224" s="1" t="s">
        <v>185</v>
      </c>
      <c r="BC3224" s="1" t="s">
        <v>51</v>
      </c>
      <c r="BD3224" s="1" t="s">
        <v>52</v>
      </c>
      <c r="GD3224" s="1" t="s">
        <v>202</v>
      </c>
      <c r="GE3224" s="1" t="s">
        <v>4564</v>
      </c>
    </row>
    <row r="3225" spans="1:187" ht="11.25" customHeight="1">
      <c r="A3225" s="1" t="s">
        <v>4565</v>
      </c>
      <c r="B3225" s="1" t="str">
        <f ca="1">IFERROR(__xludf.DUMMYFUNCTION("GOOGLETRANSLATE(A3225, ""en"", ""fr"")"),"Robe n ° 4")</f>
        <v>Robe n ° 4</v>
      </c>
      <c r="C3225" s="1" t="s">
        <v>185</v>
      </c>
      <c r="N3225" s="1" t="s">
        <v>10</v>
      </c>
      <c r="AL3225" s="1" t="s">
        <v>34</v>
      </c>
      <c r="GD3225" s="1" t="s">
        <v>193</v>
      </c>
      <c r="GE3225" s="1" t="s">
        <v>4566</v>
      </c>
    </row>
    <row r="3226" spans="1:187" ht="11.25" customHeight="1">
      <c r="A3226" s="1" t="s">
        <v>4567</v>
      </c>
      <c r="B3226" s="1" t="str">
        <f ca="1">IFERROR(__xludf.DUMMYFUNCTION("GOOGLETRANSLATE(A3226, ""en"", ""fr"")"),"LA COMMODE")</f>
        <v>LA COMMODE</v>
      </c>
      <c r="C3226" s="1" t="s">
        <v>185</v>
      </c>
      <c r="BC3226" s="1" t="s">
        <v>51</v>
      </c>
      <c r="BD3226" s="1" t="s">
        <v>52</v>
      </c>
      <c r="GD3226" s="1" t="s">
        <v>193</v>
      </c>
      <c r="GE3226" s="1" t="s">
        <v>190</v>
      </c>
    </row>
    <row r="3227" spans="1:187" ht="11.25" customHeight="1">
      <c r="A3227" s="1" t="s">
        <v>4568</v>
      </c>
      <c r="B3227" s="1" t="str">
        <f ca="1">IFERROR(__xludf.DUMMYFUNCTION("GOOGLETRANSLATE(A3227, ""en"", ""fr"")"),"Drew # 1")</f>
        <v>Drew # 1</v>
      </c>
      <c r="C3227" s="1" t="s">
        <v>185</v>
      </c>
      <c r="DO3227" s="1" t="s">
        <v>115</v>
      </c>
      <c r="GD3227" s="1" t="s">
        <v>1076</v>
      </c>
      <c r="GE3227" s="1" t="s">
        <v>190</v>
      </c>
    </row>
    <row r="3228" spans="1:187" ht="11.25" customHeight="1">
      <c r="A3228" s="1" t="s">
        <v>4569</v>
      </c>
      <c r="B3228" s="1" t="str">
        <f ca="1">IFERROR(__xludf.DUMMYFUNCTION("GOOGLETRANSLATE(A3228, ""en"", ""fr"")"),"Dérive n ° 1")</f>
        <v>Dérive n ° 1</v>
      </c>
      <c r="C3228" s="1" t="s">
        <v>185</v>
      </c>
      <c r="O3228" s="1" t="s">
        <v>11</v>
      </c>
      <c r="CE3228" s="1" t="s">
        <v>79</v>
      </c>
      <c r="GD3228" s="1" t="s">
        <v>193</v>
      </c>
      <c r="GE3228" s="1" t="s">
        <v>190</v>
      </c>
    </row>
    <row r="3229" spans="1:187" ht="11.25" customHeight="1">
      <c r="A3229" s="1" t="s">
        <v>4570</v>
      </c>
      <c r="B3229" s="1" t="str">
        <f ca="1">IFERROR(__xludf.DUMMYFUNCTION("GOOGLETRANSLATE(A3229, ""en"", ""fr"")"),"Drift # 2")</f>
        <v>Drift # 2</v>
      </c>
      <c r="C3229" s="1" t="s">
        <v>185</v>
      </c>
      <c r="O3229" s="1" t="s">
        <v>11</v>
      </c>
      <c r="CE3229" s="1" t="s">
        <v>79</v>
      </c>
      <c r="DN3229" s="1" t="s">
        <v>114</v>
      </c>
      <c r="GD3229" s="1" t="s">
        <v>189</v>
      </c>
      <c r="GE3229" s="1" t="s">
        <v>190</v>
      </c>
    </row>
    <row r="3230" spans="1:187" ht="11.25" customHeight="1">
      <c r="A3230" s="1" t="s">
        <v>4571</v>
      </c>
      <c r="B3230" s="1" t="str">
        <f ca="1">IFERROR(__xludf.DUMMYFUNCTION("GOOGLETRANSLATE(A3230, ""en"", ""fr"")"),"Dériveur")</f>
        <v>Dériveur</v>
      </c>
      <c r="C3230" s="1" t="s">
        <v>185</v>
      </c>
      <c r="O3230" s="1" t="s">
        <v>11</v>
      </c>
      <c r="AJ3230" s="1" t="s">
        <v>32</v>
      </c>
      <c r="AT3230" s="1" t="s">
        <v>42</v>
      </c>
      <c r="FT3230" s="1" t="s">
        <v>172</v>
      </c>
      <c r="GD3230" s="1" t="s">
        <v>193</v>
      </c>
      <c r="GE3230" s="1" t="s">
        <v>190</v>
      </c>
    </row>
    <row r="3231" spans="1:187" ht="11.25" customHeight="1">
      <c r="A3231" s="1" t="s">
        <v>4572</v>
      </c>
      <c r="B3231" s="1" t="str">
        <f ca="1">IFERROR(__xludf.DUMMYFUNCTION("GOOGLETRANSLATE(A3231, ""en"", ""fr"")"),"Perceuse n ° 1")</f>
        <v>Perceuse n ° 1</v>
      </c>
      <c r="C3231" s="1" t="s">
        <v>185</v>
      </c>
      <c r="BC3231" s="1" t="s">
        <v>51</v>
      </c>
      <c r="BD3231" s="1" t="s">
        <v>52</v>
      </c>
      <c r="GD3231" s="1" t="s">
        <v>193</v>
      </c>
      <c r="GE3231" s="1" t="s">
        <v>190</v>
      </c>
    </row>
    <row r="3232" spans="1:187" ht="11.25" customHeight="1">
      <c r="A3232" s="1" t="s">
        <v>4573</v>
      </c>
      <c r="B3232" s="1" t="str">
        <f ca="1">IFERROR(__xludf.DUMMYFUNCTION("GOOGLETRANSLATE(A3232, ""en"", ""fr"")"),"Drill # 2")</f>
        <v>Drill # 2</v>
      </c>
      <c r="C3232" s="1" t="s">
        <v>185</v>
      </c>
      <c r="N3232" s="1" t="s">
        <v>10</v>
      </c>
      <c r="AL3232" s="1" t="s">
        <v>34</v>
      </c>
      <c r="DN3232" s="1" t="s">
        <v>114</v>
      </c>
      <c r="GD3232" s="1" t="s">
        <v>189</v>
      </c>
      <c r="GE3232" s="1" t="s">
        <v>190</v>
      </c>
    </row>
    <row r="3233" spans="1:187" ht="11.25" customHeight="1">
      <c r="A3233" s="1" t="s">
        <v>4574</v>
      </c>
      <c r="B3233" s="1" t="str">
        <f ca="1">IFERROR(__xludf.DUMMYFUNCTION("GOOGLETRANSLATE(A3233, ""en"", ""fr"")"),"Boire # 1")</f>
        <v>Boire # 1</v>
      </c>
      <c r="C3233" s="1" t="s">
        <v>185</v>
      </c>
      <c r="BC3233" s="1" t="s">
        <v>51</v>
      </c>
      <c r="BE3233" s="1" t="s">
        <v>53</v>
      </c>
      <c r="GD3233" s="1" t="s">
        <v>193</v>
      </c>
      <c r="GE3233" s="1" t="s">
        <v>4575</v>
      </c>
    </row>
    <row r="3234" spans="1:187" ht="11.25" customHeight="1">
      <c r="A3234" s="1" t="s">
        <v>4576</v>
      </c>
      <c r="B3234" s="1" t="str">
        <f ca="1">IFERROR(__xludf.DUMMYFUNCTION("GOOGLETRANSLATE(A3234, ""en"", ""fr"")"),"Boisson n ° 2")</f>
        <v>Boisson n ° 2</v>
      </c>
      <c r="C3234" s="1" t="s">
        <v>185</v>
      </c>
      <c r="N3234" s="1" t="s">
        <v>10</v>
      </c>
      <c r="BU3234" s="1" t="s">
        <v>69</v>
      </c>
      <c r="DO3234" s="1" t="s">
        <v>115</v>
      </c>
      <c r="GD3234" s="1" t="s">
        <v>189</v>
      </c>
      <c r="GE3234" s="1" t="s">
        <v>4577</v>
      </c>
    </row>
    <row r="3235" spans="1:187" ht="11.25" customHeight="1">
      <c r="A3235" s="1" t="s">
        <v>4578</v>
      </c>
      <c r="B3235" s="1" t="str">
        <f ca="1">IFERROR(__xludf.DUMMYFUNCTION("GOOGLETRANSLATE(A3235, ""en"", ""fr"")"),"Boisson # 3")</f>
        <v>Boisson # 3</v>
      </c>
      <c r="C3235" s="1" t="s">
        <v>185</v>
      </c>
      <c r="N3235" s="1" t="s">
        <v>10</v>
      </c>
      <c r="BU3235" s="1" t="s">
        <v>69</v>
      </c>
      <c r="GD3235" s="1" t="s">
        <v>193</v>
      </c>
      <c r="GE3235" s="1" t="s">
        <v>4579</v>
      </c>
    </row>
    <row r="3236" spans="1:187" ht="11.25" customHeight="1">
      <c r="A3236" s="1" t="s">
        <v>4580</v>
      </c>
      <c r="B3236" s="1" t="str">
        <f ca="1">IFERROR(__xludf.DUMMYFUNCTION("GOOGLETRANSLATE(A3236, ""en"", ""fr"")"),"Boisson # 4")</f>
        <v>Boisson # 4</v>
      </c>
      <c r="C3236" s="1" t="s">
        <v>185</v>
      </c>
      <c r="GD3236" s="1" t="s">
        <v>225</v>
      </c>
      <c r="GE3236" s="1" t="s">
        <v>4581</v>
      </c>
    </row>
    <row r="3237" spans="1:187" ht="11.25" customHeight="1">
      <c r="A3237" s="1" t="s">
        <v>4582</v>
      </c>
      <c r="B3237" s="1" t="str">
        <f ca="1">IFERROR(__xludf.DUMMYFUNCTION("GOOGLETRANSLATE(A3237, ""en"", ""fr"")"),"BUVEUR")</f>
        <v>BUVEUR</v>
      </c>
      <c r="C3237" s="1" t="s">
        <v>185</v>
      </c>
      <c r="AJ3237" s="1" t="s">
        <v>32</v>
      </c>
      <c r="AT3237" s="1" t="s">
        <v>42</v>
      </c>
      <c r="FT3237" s="1" t="s">
        <v>172</v>
      </c>
      <c r="GD3237" s="1" t="s">
        <v>193</v>
      </c>
      <c r="GE3237" s="1" t="s">
        <v>190</v>
      </c>
    </row>
    <row r="3238" spans="1:187" ht="11.25" customHeight="1">
      <c r="A3238" s="1" t="s">
        <v>4583</v>
      </c>
      <c r="B3238" s="1" t="str">
        <f ca="1">IFERROR(__xludf.DUMMYFUNCTION("GOOGLETRANSLATE(A3238, ""en"", ""fr"")"),"Goutte à goutte n ° 1")</f>
        <v>Goutte à goutte n ° 1</v>
      </c>
      <c r="C3238" s="1" t="s">
        <v>185</v>
      </c>
      <c r="BU3238" s="1" t="s">
        <v>69</v>
      </c>
      <c r="GD3238" s="1" t="s">
        <v>193</v>
      </c>
      <c r="GE3238" s="1" t="s">
        <v>190</v>
      </c>
    </row>
    <row r="3239" spans="1:187" ht="11.25" customHeight="1">
      <c r="A3239" s="1" t="s">
        <v>4584</v>
      </c>
      <c r="B3239" s="1" t="str">
        <f ca="1">IFERROR(__xludf.DUMMYFUNCTION("GOOGLETRANSLATE(A3239, ""en"", ""fr"")"),"Goutte à goutte")</f>
        <v>Goutte à goutte</v>
      </c>
      <c r="C3239" s="1" t="s">
        <v>185</v>
      </c>
      <c r="BU3239" s="1" t="s">
        <v>69</v>
      </c>
      <c r="DO3239" s="1" t="s">
        <v>115</v>
      </c>
      <c r="GD3239" s="1" t="s">
        <v>189</v>
      </c>
      <c r="GE3239" s="1" t="s">
        <v>190</v>
      </c>
    </row>
    <row r="3240" spans="1:187" ht="11.25" customHeight="1">
      <c r="A3240" s="1" t="s">
        <v>4585</v>
      </c>
      <c r="B3240" s="1" t="str">
        <f ca="1">IFERROR(__xludf.DUMMYFUNCTION("GOOGLETRANSLATE(A3240, ""en"", ""fr"")"),"Lecteur n ° 1")</f>
        <v>Lecteur n ° 1</v>
      </c>
      <c r="C3240" s="1" t="s">
        <v>185</v>
      </c>
      <c r="K3240" s="1" t="s">
        <v>7</v>
      </c>
      <c r="N3240" s="1" t="s">
        <v>10</v>
      </c>
      <c r="AL3240" s="1" t="s">
        <v>34</v>
      </c>
      <c r="DO3240" s="1" t="s">
        <v>115</v>
      </c>
      <c r="GD3240" s="1" t="s">
        <v>189</v>
      </c>
      <c r="GE3240" s="1" t="s">
        <v>4586</v>
      </c>
    </row>
    <row r="3241" spans="1:187" ht="11.25" customHeight="1">
      <c r="A3241" s="1" t="s">
        <v>4587</v>
      </c>
      <c r="B3241" s="1" t="str">
        <f ca="1">IFERROR(__xludf.DUMMYFUNCTION("GOOGLETRANSLATE(A3241, ""en"", ""fr"")"),"Lecteur n ° 2")</f>
        <v>Lecteur n ° 2</v>
      </c>
      <c r="C3241" s="1" t="s">
        <v>185</v>
      </c>
      <c r="E3241" s="1" t="s">
        <v>16613</v>
      </c>
      <c r="H3241" s="1" t="s">
        <v>4</v>
      </c>
      <c r="I3241" s="1" t="s">
        <v>5</v>
      </c>
      <c r="J3241" s="1" t="s">
        <v>6</v>
      </c>
      <c r="N3241" s="1" t="s">
        <v>10</v>
      </c>
      <c r="AN3241" s="1" t="s">
        <v>36</v>
      </c>
      <c r="DN3241" s="1" t="s">
        <v>114</v>
      </c>
      <c r="EC3241" s="1" t="s">
        <v>129</v>
      </c>
      <c r="ED3241" s="1" t="s">
        <v>130</v>
      </c>
      <c r="GD3241" s="1" t="s">
        <v>189</v>
      </c>
      <c r="GE3241" s="1" t="s">
        <v>4588</v>
      </c>
    </row>
    <row r="3242" spans="1:187" ht="11.25" customHeight="1">
      <c r="A3242" s="1" t="s">
        <v>4589</v>
      </c>
      <c r="B3242" s="1" t="str">
        <f ca="1">IFERROR(__xludf.DUMMYFUNCTION("GOOGLETRANSLATE(A3242, ""en"", ""fr"")"),"Lecteur n ° 3")</f>
        <v>Lecteur n ° 3</v>
      </c>
      <c r="C3242" s="1" t="s">
        <v>185</v>
      </c>
      <c r="AM3242" s="1" t="s">
        <v>35</v>
      </c>
      <c r="GD3242" s="1" t="s">
        <v>193</v>
      </c>
      <c r="GE3242" s="1" t="s">
        <v>4590</v>
      </c>
    </row>
    <row r="3243" spans="1:187" ht="11.25" customHeight="1">
      <c r="A3243" s="1" t="s">
        <v>4591</v>
      </c>
      <c r="B3243" s="1" t="str">
        <f ca="1">IFERROR(__xludf.DUMMYFUNCTION("GOOGLETRANSLATE(A3243, ""en"", ""fr"")"),"Lecteur n ° 4")</f>
        <v>Lecteur n ° 4</v>
      </c>
      <c r="C3243" s="1" t="s">
        <v>185</v>
      </c>
      <c r="N3243" s="1" t="s">
        <v>10</v>
      </c>
      <c r="AM3243" s="1" t="s">
        <v>35</v>
      </c>
      <c r="FR3243" s="1" t="s">
        <v>170</v>
      </c>
      <c r="GD3243" s="1" t="s">
        <v>193</v>
      </c>
      <c r="GE3243" s="1" t="s">
        <v>4592</v>
      </c>
    </row>
    <row r="3244" spans="1:187" ht="11.25" customHeight="1">
      <c r="A3244" s="1" t="s">
        <v>4593</v>
      </c>
      <c r="B3244" s="1" t="str">
        <f ca="1">IFERROR(__xludf.DUMMYFUNCTION("GOOGLETRANSLATE(A3244, ""en"", ""fr"")"),"Lecteur n ° 5")</f>
        <v>Lecteur n ° 5</v>
      </c>
      <c r="C3244" s="1" t="s">
        <v>185</v>
      </c>
      <c r="J3244" s="1" t="s">
        <v>6</v>
      </c>
      <c r="K3244" s="1" t="s">
        <v>7</v>
      </c>
      <c r="N3244" s="1" t="s">
        <v>10</v>
      </c>
      <c r="BU3244" s="1" t="s">
        <v>69</v>
      </c>
      <c r="FR3244" s="1" t="s">
        <v>170</v>
      </c>
      <c r="GD3244" s="1" t="s">
        <v>193</v>
      </c>
      <c r="GE3244" s="1" t="s">
        <v>4594</v>
      </c>
    </row>
    <row r="3245" spans="1:187" ht="11.25" customHeight="1">
      <c r="A3245" s="1" t="s">
        <v>4595</v>
      </c>
      <c r="B3245" s="1" t="str">
        <f ca="1">IFERROR(__xludf.DUMMYFUNCTION("GOOGLETRANSLATE(A3245, ""en"", ""fr"")"),"Lecteur n ° 6")</f>
        <v>Lecteur n ° 6</v>
      </c>
      <c r="C3245" s="1" t="s">
        <v>185</v>
      </c>
      <c r="K3245" s="1" t="s">
        <v>7</v>
      </c>
      <c r="N3245" s="1" t="s">
        <v>10</v>
      </c>
      <c r="CE3245" s="1" t="s">
        <v>79</v>
      </c>
      <c r="GD3245" s="1" t="s">
        <v>193</v>
      </c>
      <c r="GE3245" s="1" t="s">
        <v>4596</v>
      </c>
    </row>
    <row r="3246" spans="1:187" ht="11.25" customHeight="1">
      <c r="A3246" s="1" t="s">
        <v>4597</v>
      </c>
      <c r="B3246" s="1" t="str">
        <f ca="1">IFERROR(__xludf.DUMMYFUNCTION("GOOGLETRANSLATE(A3246, ""en"", ""fr"")"),"Entraînement")</f>
        <v>Entraînement</v>
      </c>
      <c r="C3246" s="1" t="s">
        <v>196</v>
      </c>
      <c r="GD3246" s="1" t="s">
        <v>4598</v>
      </c>
    </row>
    <row r="3247" spans="1:187" ht="11.25" customHeight="1">
      <c r="A3247" s="1" t="s">
        <v>4599</v>
      </c>
      <c r="B3247" s="1" t="str">
        <f ca="1">IFERROR(__xludf.DUMMYFUNCTION("GOOGLETRANSLATE(A3247, ""en"", ""fr"")"),"Conduit n ° 1")</f>
        <v>Conduit n ° 1</v>
      </c>
      <c r="C3247" s="1" t="s">
        <v>185</v>
      </c>
      <c r="DN3247" s="1" t="s">
        <v>114</v>
      </c>
      <c r="GD3247" s="1" t="s">
        <v>1076</v>
      </c>
      <c r="GE3247" s="1" t="s">
        <v>190</v>
      </c>
    </row>
    <row r="3248" spans="1:187" ht="11.25" customHeight="1">
      <c r="A3248" s="1" t="s">
        <v>4600</v>
      </c>
      <c r="B3248" s="1" t="str">
        <f ca="1">IFERROR(__xludf.DUMMYFUNCTION("GOOGLETRANSLATE(A3248, ""en"", ""fr"")"),"CONDUCTEUR")</f>
        <v>CONDUCTEUR</v>
      </c>
      <c r="C3248" s="1" t="s">
        <v>185</v>
      </c>
      <c r="N3248" s="1" t="s">
        <v>10</v>
      </c>
      <c r="AJ3248" s="1" t="s">
        <v>32</v>
      </c>
      <c r="AT3248" s="1" t="s">
        <v>42</v>
      </c>
      <c r="FK3248" s="1" t="s">
        <v>163</v>
      </c>
      <c r="FM3248" s="1" t="s">
        <v>418</v>
      </c>
      <c r="GD3248" s="1" t="s">
        <v>193</v>
      </c>
      <c r="GE3248" s="1" t="s">
        <v>190</v>
      </c>
    </row>
    <row r="3249" spans="1:187" ht="11.25" customHeight="1">
      <c r="A3249" s="1" t="s">
        <v>4601</v>
      </c>
      <c r="B3249" s="1" t="str">
        <f ca="1">IFERROR(__xludf.DUMMYFUNCTION("GOOGLETRANSLATE(A3249, ""en"", ""fr"")"),"ALLÉE")</f>
        <v>ALLÉE</v>
      </c>
      <c r="C3249" s="1" t="s">
        <v>185</v>
      </c>
      <c r="AV3249" s="1" t="s">
        <v>44</v>
      </c>
      <c r="AY3249" s="1" t="s">
        <v>47</v>
      </c>
      <c r="GD3249" s="1" t="s">
        <v>193</v>
      </c>
      <c r="GE3249" s="1" t="s">
        <v>190</v>
      </c>
    </row>
    <row r="3250" spans="1:187" ht="11.25" customHeight="1">
      <c r="A3250" s="1" t="s">
        <v>4602</v>
      </c>
      <c r="B3250" s="1" t="str">
        <f ca="1">IFERROR(__xludf.DUMMYFUNCTION("GOOGLETRANSLATE(A3250, ""en"", ""fr"")"),"Arroser # 1")</f>
        <v>Arroser # 1</v>
      </c>
      <c r="C3250" s="1" t="s">
        <v>185</v>
      </c>
      <c r="BU3250" s="1" t="s">
        <v>69</v>
      </c>
      <c r="GD3250" s="1" t="s">
        <v>193</v>
      </c>
      <c r="GE3250" s="1" t="s">
        <v>190</v>
      </c>
    </row>
    <row r="3251" spans="1:187" ht="11.25" customHeight="1">
      <c r="A3251" s="1" t="s">
        <v>4603</v>
      </c>
      <c r="B3251" s="1" t="str">
        <f ca="1">IFERROR(__xludf.DUMMYFUNCTION("GOOGLETRANSLATE(A3251, ""en"", ""fr"")"),"Arroser # 2")</f>
        <v>Arroser # 2</v>
      </c>
      <c r="C3251" s="1" t="s">
        <v>185</v>
      </c>
      <c r="BU3251" s="1" t="s">
        <v>69</v>
      </c>
      <c r="DO3251" s="1" t="s">
        <v>115</v>
      </c>
      <c r="GD3251" s="1" t="s">
        <v>189</v>
      </c>
      <c r="GE3251" s="1" t="s">
        <v>190</v>
      </c>
    </row>
    <row r="3252" spans="1:187" ht="11.25" customHeight="1">
      <c r="A3252" s="1" t="s">
        <v>4604</v>
      </c>
      <c r="B3252" s="1" t="str">
        <f ca="1">IFERROR(__xludf.DUMMYFUNCTION("GOOGLETRANSLATE(A3252, ""en"", ""fr"")"),"AFFAISSEMENT")</f>
        <v>AFFAISSEMENT</v>
      </c>
      <c r="C3252" s="1" t="s">
        <v>192</v>
      </c>
      <c r="E3252" s="1" t="s">
        <v>16613</v>
      </c>
      <c r="L3252" s="1" t="s">
        <v>8</v>
      </c>
      <c r="O3252" s="1" t="s">
        <v>11</v>
      </c>
      <c r="BT3252" s="1" t="s">
        <v>68</v>
      </c>
      <c r="DO3252" s="1" t="s">
        <v>115</v>
      </c>
      <c r="GD3252" s="1" t="s">
        <v>189</v>
      </c>
      <c r="GE3252" s="1" t="s">
        <v>190</v>
      </c>
    </row>
    <row r="3253" spans="1:187" ht="11.25" customHeight="1">
      <c r="A3253" s="1" t="s">
        <v>4605</v>
      </c>
      <c r="B3253" s="1" t="str">
        <f ca="1">IFERROR(__xludf.DUMMYFUNCTION("GOOGLETRANSLATE(A3253, ""en"", ""fr"")"),"Drop # 1")</f>
        <v>Drop # 1</v>
      </c>
      <c r="C3253" s="1" t="s">
        <v>185</v>
      </c>
      <c r="E3253" s="1" t="s">
        <v>16613</v>
      </c>
      <c r="H3253" s="1" t="s">
        <v>4</v>
      </c>
      <c r="L3253" s="1" t="s">
        <v>8</v>
      </c>
      <c r="O3253" s="1" t="s">
        <v>11</v>
      </c>
      <c r="CF3253" s="1" t="s">
        <v>80</v>
      </c>
      <c r="GD3253" s="1" t="s">
        <v>193</v>
      </c>
      <c r="GE3253" s="1" t="s">
        <v>4606</v>
      </c>
    </row>
    <row r="3254" spans="1:187" ht="11.25" customHeight="1">
      <c r="A3254" s="1" t="s">
        <v>4607</v>
      </c>
      <c r="B3254" s="1" t="str">
        <f ca="1">IFERROR(__xludf.DUMMYFUNCTION("GOOGLETRANSLATE(A3254, ""en"", ""fr"")"),"Drop # 2")</f>
        <v>Drop # 2</v>
      </c>
      <c r="C3254" s="1" t="s">
        <v>185</v>
      </c>
      <c r="BC3254" s="1" t="s">
        <v>51</v>
      </c>
      <c r="BI3254" s="1" t="s">
        <v>57</v>
      </c>
      <c r="GD3254" s="1" t="s">
        <v>193</v>
      </c>
      <c r="GE3254" s="1" t="s">
        <v>4608</v>
      </c>
    </row>
    <row r="3255" spans="1:187" ht="11.25" customHeight="1">
      <c r="A3255" s="1" t="s">
        <v>4609</v>
      </c>
      <c r="B3255" s="1" t="str">
        <f ca="1">IFERROR(__xludf.DUMMYFUNCTION("GOOGLETRANSLATE(A3255, ""en"", ""fr"")"),"Drop # 3")</f>
        <v>Drop # 3</v>
      </c>
      <c r="C3255" s="1" t="s">
        <v>185</v>
      </c>
      <c r="E3255" s="1" t="s">
        <v>16613</v>
      </c>
      <c r="H3255" s="1" t="s">
        <v>4</v>
      </c>
      <c r="L3255" s="1" t="s">
        <v>8</v>
      </c>
      <c r="O3255" s="1" t="s">
        <v>11</v>
      </c>
      <c r="CF3255" s="1" t="s">
        <v>80</v>
      </c>
      <c r="DO3255" s="1" t="s">
        <v>115</v>
      </c>
      <c r="GD3255" s="1" t="s">
        <v>189</v>
      </c>
      <c r="GE3255" s="1" t="s">
        <v>4610</v>
      </c>
    </row>
    <row r="3256" spans="1:187" ht="11.25" customHeight="1">
      <c r="A3256" s="1" t="s">
        <v>4611</v>
      </c>
      <c r="B3256" s="1" t="str">
        <f ca="1">IFERROR(__xludf.DUMMYFUNCTION("GOOGLETRANSLATE(A3256, ""en"", ""fr"")"),"Drop # 4")</f>
        <v>Drop # 4</v>
      </c>
      <c r="C3256" s="1" t="s">
        <v>185</v>
      </c>
      <c r="E3256" s="1" t="s">
        <v>16613</v>
      </c>
      <c r="H3256" s="1" t="s">
        <v>4</v>
      </c>
      <c r="L3256" s="1" t="s">
        <v>8</v>
      </c>
      <c r="N3256" s="1" t="s">
        <v>10</v>
      </c>
      <c r="BT3256" s="1" t="s">
        <v>68</v>
      </c>
      <c r="DO3256" s="1" t="s">
        <v>115</v>
      </c>
      <c r="GD3256" s="1" t="s">
        <v>189</v>
      </c>
      <c r="GE3256" s="1" t="s">
        <v>4612</v>
      </c>
    </row>
    <row r="3257" spans="1:187" ht="11.25" customHeight="1">
      <c r="A3257" s="1" t="s">
        <v>4613</v>
      </c>
      <c r="B3257" s="1" t="str">
        <f ca="1">IFERROR(__xludf.DUMMYFUNCTION("GOOGLETRANSLATE(A3257, ""en"", ""fr"")"),"SÉCHERESSE")</f>
        <v>SÉCHERESSE</v>
      </c>
      <c r="C3257" s="1" t="s">
        <v>192</v>
      </c>
      <c r="E3257" s="1" t="s">
        <v>16613</v>
      </c>
      <c r="BT3257" s="1" t="s">
        <v>68</v>
      </c>
      <c r="CS3257" s="1" t="s">
        <v>93</v>
      </c>
      <c r="GD3257" s="1" t="s">
        <v>193</v>
      </c>
      <c r="GE3257" s="1" t="s">
        <v>190</v>
      </c>
    </row>
    <row r="3258" spans="1:187" ht="11.25" customHeight="1">
      <c r="A3258" s="1" t="s">
        <v>4614</v>
      </c>
      <c r="B3258" s="1" t="str">
        <f ca="1">IFERROR(__xludf.DUMMYFUNCTION("GOOGLETRANSLATE(A3258, ""en"", ""fr"")"),"Conduit n ° 1")</f>
        <v>Conduit n ° 1</v>
      </c>
      <c r="C3258" s="1" t="s">
        <v>185</v>
      </c>
      <c r="K3258" s="1" t="s">
        <v>7</v>
      </c>
      <c r="N3258" s="1" t="s">
        <v>10</v>
      </c>
      <c r="AL3258" s="1" t="s">
        <v>34</v>
      </c>
      <c r="DO3258" s="1" t="s">
        <v>115</v>
      </c>
      <c r="GD3258" s="1" t="s">
        <v>2413</v>
      </c>
      <c r="GE3258" s="1" t="s">
        <v>4615</v>
      </c>
    </row>
    <row r="3259" spans="1:187" ht="11.25" customHeight="1">
      <c r="A3259" s="1" t="s">
        <v>4616</v>
      </c>
      <c r="B3259" s="1" t="str">
        <f ca="1">IFERROR(__xludf.DUMMYFUNCTION("GOOGLETRANSLATE(A3259, ""en"", ""fr"")"),"Conduit n ° 2")</f>
        <v>Conduit n ° 2</v>
      </c>
      <c r="C3259" s="1" t="s">
        <v>185</v>
      </c>
      <c r="AK3259" s="1" t="s">
        <v>33</v>
      </c>
      <c r="AT3259" s="1" t="s">
        <v>42</v>
      </c>
      <c r="GD3259" s="1" t="s">
        <v>193</v>
      </c>
      <c r="GE3259" s="1" t="s">
        <v>4617</v>
      </c>
    </row>
    <row r="3260" spans="1:187" ht="11.25" customHeight="1">
      <c r="A3260" s="1" t="s">
        <v>4618</v>
      </c>
      <c r="B3260" s="1" t="str">
        <f ca="1">IFERROR(__xludf.DUMMYFUNCTION("GOOGLETRANSLATE(A3260, ""en"", ""fr"")"),"Noyer # 1")</f>
        <v>Noyer # 1</v>
      </c>
      <c r="C3260" s="1" t="s">
        <v>185</v>
      </c>
      <c r="E3260" s="1" t="s">
        <v>16613</v>
      </c>
      <c r="H3260" s="1" t="s">
        <v>4</v>
      </c>
      <c r="L3260" s="1" t="s">
        <v>8</v>
      </c>
      <c r="O3260" s="1" t="s">
        <v>11</v>
      </c>
      <c r="BU3260" s="1" t="s">
        <v>69</v>
      </c>
      <c r="EZ3260" s="1" t="s">
        <v>152</v>
      </c>
      <c r="FC3260" s="1" t="s">
        <v>155</v>
      </c>
      <c r="GD3260" s="1" t="s">
        <v>193</v>
      </c>
      <c r="GE3260" s="1" t="s">
        <v>4619</v>
      </c>
    </row>
    <row r="3261" spans="1:187" ht="11.25" customHeight="1">
      <c r="A3261" s="1" t="s">
        <v>4620</v>
      </c>
      <c r="B3261" s="1" t="str">
        <f ca="1">IFERROR(__xludf.DUMMYFUNCTION("GOOGLETRANSLATE(A3261, ""en"", ""fr"")"),"Noyer # 2")</f>
        <v>Noyer # 2</v>
      </c>
      <c r="C3261" s="1" t="s">
        <v>185</v>
      </c>
      <c r="E3261" s="1" t="s">
        <v>16613</v>
      </c>
      <c r="H3261" s="1" t="s">
        <v>4</v>
      </c>
      <c r="L3261" s="1" t="s">
        <v>8</v>
      </c>
      <c r="O3261" s="1" t="s">
        <v>11</v>
      </c>
      <c r="BU3261" s="1" t="s">
        <v>69</v>
      </c>
      <c r="DO3261" s="1" t="s">
        <v>115</v>
      </c>
      <c r="EY3261" s="1" t="s">
        <v>151</v>
      </c>
      <c r="FC3261" s="1" t="s">
        <v>155</v>
      </c>
      <c r="GD3261" s="1" t="s">
        <v>189</v>
      </c>
      <c r="GE3261" s="1" t="s">
        <v>4621</v>
      </c>
    </row>
    <row r="3262" spans="1:187" ht="11.25" customHeight="1">
      <c r="A3262" s="1" t="s">
        <v>4622</v>
      </c>
      <c r="B3262" s="1" t="str">
        <f ca="1">IFERROR(__xludf.DUMMYFUNCTION("GOOGLETRANSLATE(A3262, ""en"", ""fr"")"),"SOMNOLENCE")</f>
        <v>SOMNOLENCE</v>
      </c>
      <c r="C3262" s="1" t="s">
        <v>192</v>
      </c>
      <c r="E3262" s="1" t="s">
        <v>16613</v>
      </c>
      <c r="O3262" s="1" t="s">
        <v>11</v>
      </c>
      <c r="BU3262" s="1" t="s">
        <v>69</v>
      </c>
      <c r="GD3262" s="1" t="s">
        <v>193</v>
      </c>
      <c r="GE3262" s="1" t="s">
        <v>190</v>
      </c>
    </row>
    <row r="3263" spans="1:187" ht="11.25" customHeight="1">
      <c r="A3263" s="1" t="s">
        <v>4623</v>
      </c>
      <c r="B3263" s="1" t="str">
        <f ca="1">IFERROR(__xludf.DUMMYFUNCTION("GOOGLETRANSLATE(A3263, ""en"", ""fr"")"),"SOMNOLENT")</f>
        <v>SOMNOLENT</v>
      </c>
      <c r="C3263" s="1" t="s">
        <v>192</v>
      </c>
      <c r="E3263" s="1" t="s">
        <v>16613</v>
      </c>
      <c r="O3263" s="1" t="s">
        <v>11</v>
      </c>
      <c r="BU3263" s="1" t="s">
        <v>69</v>
      </c>
      <c r="DR3263" s="1" t="s">
        <v>118</v>
      </c>
      <c r="GD3263" s="1" t="s">
        <v>202</v>
      </c>
      <c r="GE3263" s="1" t="s">
        <v>190</v>
      </c>
    </row>
    <row r="3264" spans="1:187" ht="11.25" customHeight="1">
      <c r="A3264" s="1" t="s">
        <v>4624</v>
      </c>
      <c r="B3264" s="1" t="str">
        <f ca="1">IFERROR(__xludf.DUMMYFUNCTION("GOOGLETRANSLATE(A3264, ""en"", ""fr"")"),"MÉDICAMENT")</f>
        <v>MÉDICAMENT</v>
      </c>
      <c r="C3264" s="1" t="s">
        <v>185</v>
      </c>
      <c r="BC3264" s="1" t="s">
        <v>51</v>
      </c>
      <c r="BE3264" s="1" t="s">
        <v>53</v>
      </c>
      <c r="GD3264" s="1" t="s">
        <v>193</v>
      </c>
      <c r="GE3264" s="1" t="s">
        <v>4625</v>
      </c>
    </row>
    <row r="3265" spans="1:187" ht="11.25" customHeight="1">
      <c r="A3265" s="1" t="s">
        <v>4626</v>
      </c>
      <c r="B3265" s="1" t="str">
        <f ca="1">IFERROR(__xludf.DUMMYFUNCTION("GOOGLETRANSLATE(A3265, ""en"", ""fr"")"),"TAMBOUR")</f>
        <v>TAMBOUR</v>
      </c>
      <c r="C3265" s="1" t="s">
        <v>185</v>
      </c>
      <c r="AD3265" s="1" t="s">
        <v>26</v>
      </c>
      <c r="BC3265" s="1" t="s">
        <v>51</v>
      </c>
      <c r="BD3265" s="1" t="s">
        <v>52</v>
      </c>
      <c r="GD3265" s="1" t="s">
        <v>193</v>
      </c>
      <c r="GE3265" s="1" t="s">
        <v>190</v>
      </c>
    </row>
    <row r="3266" spans="1:187" ht="11.25" customHeight="1">
      <c r="A3266" s="1" t="s">
        <v>4627</v>
      </c>
      <c r="B3266" s="1" t="str">
        <f ca="1">IFERROR(__xludf.DUMMYFUNCTION("GOOGLETRANSLATE(A3266, ""en"", ""fr"")"),"Ivre # 1")</f>
        <v>Ivre # 1</v>
      </c>
      <c r="C3266" s="1" t="s">
        <v>185</v>
      </c>
      <c r="E3266" s="1" t="s">
        <v>16613</v>
      </c>
      <c r="H3266" s="1" t="s">
        <v>4</v>
      </c>
      <c r="L3266" s="1" t="s">
        <v>8</v>
      </c>
      <c r="O3266" s="1" t="s">
        <v>11</v>
      </c>
      <c r="V3266" s="1" t="s">
        <v>18</v>
      </c>
      <c r="EZ3266" s="1" t="s">
        <v>152</v>
      </c>
      <c r="FC3266" s="1" t="s">
        <v>155</v>
      </c>
      <c r="GD3266" s="1" t="s">
        <v>421</v>
      </c>
      <c r="GE3266" s="1" t="s">
        <v>4628</v>
      </c>
    </row>
    <row r="3267" spans="1:187" ht="11.25" customHeight="1">
      <c r="A3267" s="1" t="s">
        <v>4629</v>
      </c>
      <c r="B3267" s="1" t="str">
        <f ca="1">IFERROR(__xludf.DUMMYFUNCTION("GOOGLETRANSLATE(A3267, ""en"", ""fr"")"),"Ivre # 2")</f>
        <v>Ivre # 2</v>
      </c>
      <c r="C3267" s="1" t="s">
        <v>185</v>
      </c>
      <c r="E3267" s="1" t="s">
        <v>16613</v>
      </c>
      <c r="H3267" s="1" t="s">
        <v>4</v>
      </c>
      <c r="L3267" s="1" t="s">
        <v>8</v>
      </c>
      <c r="O3267" s="1" t="s">
        <v>11</v>
      </c>
      <c r="AJ3267" s="1" t="s">
        <v>32</v>
      </c>
      <c r="AT3267" s="1" t="s">
        <v>42</v>
      </c>
      <c r="EY3267" s="1" t="s">
        <v>151</v>
      </c>
      <c r="FC3267" s="1" t="s">
        <v>155</v>
      </c>
      <c r="GD3267" s="1" t="s">
        <v>193</v>
      </c>
      <c r="GE3267" s="1" t="s">
        <v>4630</v>
      </c>
    </row>
    <row r="3268" spans="1:187" ht="11.25" customHeight="1">
      <c r="A3268" s="1" t="s">
        <v>4631</v>
      </c>
      <c r="B3268" s="1" t="str">
        <f ca="1">IFERROR(__xludf.DUMMYFUNCTION("GOOGLETRANSLATE(A3268, ""en"", ""fr"")"),"Ivre # 3")</f>
        <v>Ivre # 3</v>
      </c>
      <c r="C3268" s="1" t="s">
        <v>185</v>
      </c>
      <c r="BU3268" s="1" t="s">
        <v>69</v>
      </c>
      <c r="DO3268" s="1" t="s">
        <v>115</v>
      </c>
      <c r="EZ3268" s="1" t="s">
        <v>152</v>
      </c>
      <c r="FC3268" s="1" t="s">
        <v>155</v>
      </c>
      <c r="GD3268" s="1" t="s">
        <v>1076</v>
      </c>
      <c r="GE3268" s="1" t="s">
        <v>4632</v>
      </c>
    </row>
    <row r="3269" spans="1:187" ht="11.25" customHeight="1">
      <c r="A3269" s="1" t="s">
        <v>4633</v>
      </c>
      <c r="B3269" s="1" t="str">
        <f ca="1">IFERROR(__xludf.DUMMYFUNCTION("GOOGLETRANSLATE(A3269, ""en"", ""fr"")"),"IVROGNE")</f>
        <v>IVROGNE</v>
      </c>
      <c r="C3269" s="1" t="s">
        <v>192</v>
      </c>
      <c r="E3269" s="1" t="s">
        <v>16613</v>
      </c>
      <c r="L3269" s="1" t="s">
        <v>8</v>
      </c>
      <c r="V3269" s="1" t="s">
        <v>18</v>
      </c>
      <c r="AT3269" s="1" t="s">
        <v>42</v>
      </c>
      <c r="GD3269" s="1" t="s">
        <v>193</v>
      </c>
      <c r="GE3269" s="1" t="s">
        <v>190</v>
      </c>
    </row>
    <row r="3270" spans="1:187" ht="11.25" customHeight="1">
      <c r="A3270" s="1" t="s">
        <v>4634</v>
      </c>
      <c r="B3270" s="1" t="str">
        <f ca="1">IFERROR(__xludf.DUMMYFUNCTION("GOOGLETRANSLATE(A3270, ""en"", ""fr"")"),"IVRE")</f>
        <v>IVRE</v>
      </c>
      <c r="C3270" s="1" t="s">
        <v>185</v>
      </c>
      <c r="E3270" s="1" t="s">
        <v>16613</v>
      </c>
      <c r="L3270" s="1" t="s">
        <v>8</v>
      </c>
      <c r="O3270" s="1" t="s">
        <v>11</v>
      </c>
      <c r="V3270" s="1" t="s">
        <v>18</v>
      </c>
      <c r="DR3270" s="1" t="s">
        <v>118</v>
      </c>
      <c r="EZ3270" s="1" t="s">
        <v>152</v>
      </c>
      <c r="FC3270" s="1" t="s">
        <v>155</v>
      </c>
      <c r="GD3270" s="1" t="s">
        <v>202</v>
      </c>
      <c r="GE3270" s="1" t="s">
        <v>190</v>
      </c>
    </row>
    <row r="3271" spans="1:187" ht="11.25" customHeight="1">
      <c r="A3271" s="1" t="s">
        <v>4635</v>
      </c>
      <c r="B3271" s="1" t="str">
        <f ca="1">IFERROR(__xludf.DUMMYFUNCTION("GOOGLETRANSLATE(A3271, ""en"", ""fr"")"),"Sec n ° 1")</f>
        <v>Sec n ° 1</v>
      </c>
      <c r="C3271" s="1" t="s">
        <v>185</v>
      </c>
      <c r="CR3271" s="1" t="s">
        <v>92</v>
      </c>
      <c r="GD3271" s="1" t="s">
        <v>193</v>
      </c>
      <c r="GE3271" s="1" t="s">
        <v>4636</v>
      </c>
    </row>
    <row r="3272" spans="1:187" ht="11.25" customHeight="1">
      <c r="A3272" s="1" t="s">
        <v>4637</v>
      </c>
      <c r="B3272" s="1" t="str">
        <f ca="1">IFERROR(__xludf.DUMMYFUNCTION("GOOGLETRANSLATE(A3272, ""en"", ""fr"")"),"Sec n ° 2")</f>
        <v>Sec n ° 2</v>
      </c>
      <c r="C3272" s="1" t="s">
        <v>185</v>
      </c>
      <c r="BU3272" s="1" t="s">
        <v>69</v>
      </c>
      <c r="DO3272" s="1" t="s">
        <v>115</v>
      </c>
      <c r="GD3272" s="1" t="s">
        <v>189</v>
      </c>
      <c r="GE3272" s="1" t="s">
        <v>4638</v>
      </c>
    </row>
    <row r="3273" spans="1:187" ht="11.25" customHeight="1">
      <c r="A3273" s="1" t="s">
        <v>4639</v>
      </c>
      <c r="B3273" s="1" t="str">
        <f ca="1">IFERROR(__xludf.DUMMYFUNCTION("GOOGLETRANSLATE(A3273, ""en"", ""fr"")"),"SÉCHOIR")</f>
        <v>SÉCHOIR</v>
      </c>
      <c r="C3273" s="1" t="s">
        <v>185</v>
      </c>
      <c r="BC3273" s="1" t="s">
        <v>51</v>
      </c>
      <c r="BD3273" s="1" t="s">
        <v>52</v>
      </c>
      <c r="GD3273" s="1" t="s">
        <v>193</v>
      </c>
      <c r="GE3273" s="1" t="s">
        <v>190</v>
      </c>
    </row>
    <row r="3274" spans="1:187" ht="11.25" customHeight="1">
      <c r="A3274" s="1" t="s">
        <v>4640</v>
      </c>
      <c r="B3274" s="1" t="str">
        <f ca="1">IFERROR(__xludf.DUMMYFUNCTION("GOOGLETRANSLATE(A3274, ""en"", ""fr"")"),"DOUBLE")</f>
        <v>DOUBLE</v>
      </c>
      <c r="C3274" s="1" t="s">
        <v>185</v>
      </c>
      <c r="CS3274" s="1" t="s">
        <v>93</v>
      </c>
      <c r="GD3274" s="1" t="s">
        <v>202</v>
      </c>
      <c r="GE3274" s="1" t="s">
        <v>190</v>
      </c>
    </row>
    <row r="3275" spans="1:187" ht="11.25" customHeight="1">
      <c r="A3275" s="1" t="s">
        <v>4641</v>
      </c>
      <c r="B3275" s="1" t="str">
        <f ca="1">IFERROR(__xludf.DUMMYFUNCTION("GOOGLETRANSLATE(A3275, ""en"", ""fr"")"),"DOUTEUX")</f>
        <v>DOUTEUX</v>
      </c>
      <c r="C3275" s="1" t="s">
        <v>185</v>
      </c>
      <c r="E3275" s="1" t="s">
        <v>16613</v>
      </c>
      <c r="H3275" s="1" t="s">
        <v>4</v>
      </c>
      <c r="V3275" s="1" t="s">
        <v>18</v>
      </c>
      <c r="X3275" s="1" t="s">
        <v>20</v>
      </c>
      <c r="FZ3275" s="1" t="s">
        <v>178</v>
      </c>
      <c r="GD3275" s="1" t="s">
        <v>202</v>
      </c>
      <c r="GE3275" s="1" t="s">
        <v>190</v>
      </c>
    </row>
    <row r="3276" spans="1:187" ht="11.25" customHeight="1">
      <c r="A3276" s="1" t="s">
        <v>4642</v>
      </c>
      <c r="B3276" s="1" t="str">
        <f ca="1">IFERROR(__xludf.DUMMYFUNCTION("GOOGLETRANSLATE(A3276, ""en"", ""fr"")"),"CANAL")</f>
        <v>CANAL</v>
      </c>
      <c r="C3276" s="1" t="s">
        <v>185</v>
      </c>
      <c r="BC3276" s="1" t="s">
        <v>51</v>
      </c>
      <c r="BD3276" s="1" t="s">
        <v>52</v>
      </c>
      <c r="GD3276" s="1" t="s">
        <v>193</v>
      </c>
      <c r="GE3276" s="1" t="s">
        <v>190</v>
      </c>
    </row>
    <row r="3277" spans="1:187" ht="11.25" customHeight="1">
      <c r="A3277" s="1" t="s">
        <v>4643</v>
      </c>
      <c r="B3277" s="1" t="str">
        <f ca="1">IFERROR(__xludf.DUMMYFUNCTION("GOOGLETRANSLATE(A3277, ""en"", ""fr"")"),"Dû n ° 1")</f>
        <v>Dû n ° 1</v>
      </c>
      <c r="C3277" s="1" t="s">
        <v>185</v>
      </c>
      <c r="CI3277" s="1" t="s">
        <v>83</v>
      </c>
      <c r="FH3277" s="1" t="s">
        <v>160</v>
      </c>
      <c r="FI3277" s="1" t="s">
        <v>161</v>
      </c>
      <c r="GD3277" s="1" t="s">
        <v>202</v>
      </c>
      <c r="GE3277" s="1" t="s">
        <v>4644</v>
      </c>
    </row>
    <row r="3278" spans="1:187" ht="11.25" customHeight="1">
      <c r="A3278" s="1" t="s">
        <v>4645</v>
      </c>
      <c r="B3278" s="1" t="str">
        <f ca="1">IFERROR(__xludf.DUMMYFUNCTION("GOOGLETRANSLATE(A3278, ""en"", ""fr"")"),"Dû n ° 2")</f>
        <v>Dû n ° 2</v>
      </c>
      <c r="C3278" s="1" t="s">
        <v>185</v>
      </c>
      <c r="AB3278" s="1" t="s">
        <v>24</v>
      </c>
      <c r="GD3278" s="1" t="s">
        <v>202</v>
      </c>
      <c r="GE3278" s="1" t="s">
        <v>4646</v>
      </c>
    </row>
    <row r="3279" spans="1:187" ht="11.25" customHeight="1">
      <c r="A3279" s="1" t="s">
        <v>4647</v>
      </c>
      <c r="B3279" s="1" t="str">
        <f ca="1">IFERROR(__xludf.DUMMYFUNCTION("GOOGLETRANSLATE(A3279, ""en"", ""fr"")"),"Dû n ° 3")</f>
        <v>Dû n ° 3</v>
      </c>
      <c r="C3279" s="1" t="s">
        <v>185</v>
      </c>
      <c r="M3279" s="1" t="s">
        <v>9</v>
      </c>
      <c r="Z3279" s="1" t="s">
        <v>22</v>
      </c>
      <c r="GD3279" s="1" t="s">
        <v>193</v>
      </c>
      <c r="GE3279" s="1" t="s">
        <v>4648</v>
      </c>
    </row>
    <row r="3280" spans="1:187" ht="11.25" customHeight="1">
      <c r="A3280" s="1" t="s">
        <v>4649</v>
      </c>
      <c r="B3280" s="1" t="str">
        <f ca="1">IFERROR(__xludf.DUMMYFUNCTION("GOOGLETRANSLATE(A3280, ""en"", ""fr"")"),"Dû n ° 4")</f>
        <v>Dû n ° 4</v>
      </c>
      <c r="C3280" s="1" t="s">
        <v>185</v>
      </c>
      <c r="DD3280" s="1" t="s">
        <v>104</v>
      </c>
      <c r="GB3280" s="1" t="s">
        <v>180</v>
      </c>
      <c r="GD3280" s="1" t="s">
        <v>202</v>
      </c>
      <c r="GE3280" s="1" t="s">
        <v>4650</v>
      </c>
    </row>
    <row r="3281" spans="1:187" ht="11.25" customHeight="1">
      <c r="A3281" s="1" t="s">
        <v>4651</v>
      </c>
      <c r="B3281" s="1" t="str">
        <f ca="1">IFERROR(__xludf.DUMMYFUNCTION("GOOGLETRANSLATE(A3281, ""en"", ""fr"")"),"Dû n ° 5")</f>
        <v>Dû n ° 5</v>
      </c>
      <c r="C3281" s="1" t="s">
        <v>185</v>
      </c>
      <c r="AA3281" s="1" t="s">
        <v>23</v>
      </c>
      <c r="AC3281" s="1" t="s">
        <v>25</v>
      </c>
      <c r="BK3281" s="1" t="s">
        <v>59</v>
      </c>
      <c r="BL3281" s="1" t="s">
        <v>60</v>
      </c>
      <c r="GD3281" s="1" t="s">
        <v>193</v>
      </c>
      <c r="GE3281" s="1" t="s">
        <v>4652</v>
      </c>
    </row>
    <row r="3282" spans="1:187" ht="11.25" customHeight="1">
      <c r="A3282" s="1" t="s">
        <v>4653</v>
      </c>
      <c r="B3282" s="1" t="str">
        <f ca="1">IFERROR(__xludf.DUMMYFUNCTION("GOOGLETRANSLATE(A3282, ""en"", ""fr"")"),"Dû n ° 6")</f>
        <v>Dû n ° 6</v>
      </c>
      <c r="C3282" s="1" t="s">
        <v>185</v>
      </c>
      <c r="U3282" s="1" t="s">
        <v>17</v>
      </c>
      <c r="W3282" s="1" t="s">
        <v>19</v>
      </c>
      <c r="EI3282" s="1" t="s">
        <v>135</v>
      </c>
      <c r="EJ3282" s="1" t="s">
        <v>136</v>
      </c>
      <c r="GC3282" s="1" t="s">
        <v>181</v>
      </c>
      <c r="GD3282" s="1" t="s">
        <v>236</v>
      </c>
      <c r="GE3282" s="1" t="s">
        <v>4654</v>
      </c>
    </row>
    <row r="3283" spans="1:187" ht="11.25" customHeight="1">
      <c r="A3283" s="1" t="s">
        <v>4655</v>
      </c>
      <c r="B3283" s="1" t="str">
        <f ca="1">IFERROR(__xludf.DUMMYFUNCTION("GOOGLETRANSLATE(A3283, ""en"", ""fr"")"),"Creusé n ° 1")</f>
        <v>Creusé n ° 1</v>
      </c>
      <c r="C3283" s="1" t="s">
        <v>192</v>
      </c>
      <c r="GD3283" s="1" t="s">
        <v>1085</v>
      </c>
      <c r="GE3283" s="1" t="s">
        <v>190</v>
      </c>
    </row>
    <row r="3284" spans="1:187" ht="11.25" customHeight="1">
      <c r="A3284" s="1" t="s">
        <v>4656</v>
      </c>
      <c r="B3284" s="1" t="str">
        <f ca="1">IFERROR(__xludf.DUMMYFUNCTION("GOOGLETRANSLATE(A3284, ""en"", ""fr"")"),"TERNE")</f>
        <v>TERNE</v>
      </c>
      <c r="C3284" s="1" t="s">
        <v>185</v>
      </c>
      <c r="E3284" s="1" t="s">
        <v>16613</v>
      </c>
      <c r="H3284" s="1" t="s">
        <v>4</v>
      </c>
      <c r="L3284" s="1" t="s">
        <v>8</v>
      </c>
      <c r="O3284" s="1" t="s">
        <v>11</v>
      </c>
      <c r="CN3284" s="1" t="s">
        <v>88</v>
      </c>
      <c r="CR3284" s="1" t="s">
        <v>92</v>
      </c>
      <c r="FH3284" s="1" t="s">
        <v>160</v>
      </c>
      <c r="FI3284" s="1" t="s">
        <v>161</v>
      </c>
      <c r="GD3284" s="1" t="s">
        <v>202</v>
      </c>
      <c r="GE3284" s="1" t="s">
        <v>190</v>
      </c>
    </row>
    <row r="3285" spans="1:187" ht="11.25" customHeight="1">
      <c r="A3285" s="1" t="s">
        <v>4657</v>
      </c>
      <c r="B3285" s="1" t="str">
        <f ca="1">IFERROR(__xludf.DUMMYFUNCTION("GOOGLETRANSLATE(A3285, ""en"", ""fr"")"),"IDIOT")</f>
        <v>IDIOT</v>
      </c>
      <c r="C3285" s="1" t="s">
        <v>185</v>
      </c>
      <c r="E3285" s="1" t="s">
        <v>16613</v>
      </c>
      <c r="H3285" s="1" t="s">
        <v>4</v>
      </c>
      <c r="L3285" s="1" t="s">
        <v>8</v>
      </c>
      <c r="O3285" s="1" t="s">
        <v>11</v>
      </c>
      <c r="BK3285" s="1" t="s">
        <v>59</v>
      </c>
      <c r="FL3285" s="1" t="s">
        <v>164</v>
      </c>
      <c r="FM3285" s="1" t="s">
        <v>418</v>
      </c>
      <c r="GC3285" s="1" t="s">
        <v>181</v>
      </c>
      <c r="GD3285" s="1" t="s">
        <v>202</v>
      </c>
      <c r="GE3285" s="1" t="s">
        <v>190</v>
      </c>
    </row>
    <row r="3286" spans="1:187" ht="11.25" customHeight="1">
      <c r="A3286" s="1" t="s">
        <v>4658</v>
      </c>
      <c r="B3286" s="1" t="str">
        <f ca="1">IFERROR(__xludf.DUMMYFUNCTION("GOOGLETRANSLATE(A3286, ""en"", ""fr"")"),"Décharge n ° 1")</f>
        <v>Décharge n ° 1</v>
      </c>
      <c r="C3286" s="1" t="s">
        <v>185</v>
      </c>
      <c r="E3286" s="1" t="s">
        <v>16613</v>
      </c>
      <c r="H3286" s="1" t="s">
        <v>4</v>
      </c>
      <c r="AV3286" s="1" t="s">
        <v>44</v>
      </c>
      <c r="AW3286" s="1" t="s">
        <v>45</v>
      </c>
      <c r="FW3286" s="1" t="s">
        <v>175</v>
      </c>
      <c r="GD3286" s="1" t="s">
        <v>193</v>
      </c>
      <c r="GE3286" s="1" t="s">
        <v>190</v>
      </c>
    </row>
    <row r="3287" spans="1:187" ht="11.25" customHeight="1">
      <c r="A3287" s="1" t="s">
        <v>4659</v>
      </c>
      <c r="B3287" s="1" t="str">
        <f ca="1">IFERROR(__xludf.DUMMYFUNCTION("GOOGLETRANSLATE(A3287, ""en"", ""fr"")"),"Dump n ° 2")</f>
        <v>Dump n ° 2</v>
      </c>
      <c r="C3287" s="1" t="s">
        <v>185</v>
      </c>
      <c r="E3287" s="1" t="s">
        <v>16613</v>
      </c>
      <c r="H3287" s="1" t="s">
        <v>4</v>
      </c>
      <c r="I3287" s="1" t="s">
        <v>5</v>
      </c>
      <c r="N3287" s="1" t="s">
        <v>10</v>
      </c>
      <c r="CC3287" s="1" t="s">
        <v>77</v>
      </c>
      <c r="DN3287" s="1" t="s">
        <v>114</v>
      </c>
      <c r="FW3287" s="1" t="s">
        <v>175</v>
      </c>
      <c r="GD3287" s="1" t="s">
        <v>189</v>
      </c>
      <c r="GE3287" s="1" t="s">
        <v>190</v>
      </c>
    </row>
    <row r="3288" spans="1:187" ht="11.25" customHeight="1">
      <c r="A3288" s="1" t="s">
        <v>4660</v>
      </c>
      <c r="B3288" s="1" t="str">
        <f ca="1">IFERROR(__xludf.DUMMYFUNCTION("GOOGLETRANSLATE(A3288, ""en"", ""fr"")"),"CANCRE")</f>
        <v>CANCRE</v>
      </c>
      <c r="C3288" s="1" t="s">
        <v>192</v>
      </c>
      <c r="E3288" s="1" t="s">
        <v>16613</v>
      </c>
      <c r="V3288" s="1" t="s">
        <v>18</v>
      </c>
      <c r="AT3288" s="1" t="s">
        <v>42</v>
      </c>
      <c r="GD3288" s="1" t="s">
        <v>193</v>
      </c>
      <c r="GE3288" s="1" t="s">
        <v>190</v>
      </c>
    </row>
    <row r="3289" spans="1:187" ht="11.25" customHeight="1">
      <c r="A3289" s="1" t="s">
        <v>4661</v>
      </c>
      <c r="B3289" s="1" t="str">
        <f ca="1">IFERROR(__xludf.DUMMYFUNCTION("GOOGLETRANSLATE(A3289, ""en"", ""fr"")"),"DONJON")</f>
        <v>DONJON</v>
      </c>
      <c r="C3289" s="1" t="s">
        <v>192</v>
      </c>
      <c r="E3289" s="1" t="s">
        <v>16613</v>
      </c>
      <c r="AV3289" s="1" t="s">
        <v>44</v>
      </c>
      <c r="GD3289" s="1" t="s">
        <v>193</v>
      </c>
      <c r="GE3289" s="1" t="s">
        <v>190</v>
      </c>
    </row>
    <row r="3290" spans="1:187" ht="11.25" customHeight="1">
      <c r="A3290" s="1" t="s">
        <v>4662</v>
      </c>
      <c r="B3290" s="1" t="str">
        <f ca="1">IFERROR(__xludf.DUMMYFUNCTION("GOOGLETRANSLATE(A3290, ""en"", ""fr"")"),"REPRODUCTION")</f>
        <v>REPRODUCTION</v>
      </c>
      <c r="C3290" s="1" t="s">
        <v>185</v>
      </c>
      <c r="N3290" s="1" t="s">
        <v>10</v>
      </c>
      <c r="CH3290" s="1" t="s">
        <v>82</v>
      </c>
      <c r="GD3290" s="1" t="s">
        <v>193</v>
      </c>
      <c r="GE3290" s="1" t="s">
        <v>190</v>
      </c>
    </row>
    <row r="3291" spans="1:187" ht="11.25" customHeight="1">
      <c r="A3291" s="1" t="s">
        <v>4663</v>
      </c>
      <c r="B3291" s="1" t="str">
        <f ca="1">IFERROR(__xludf.DUMMYFUNCTION("GOOGLETRANSLATE(A3291, ""en"", ""fr"")"),"DURABILITÉ")</f>
        <v>DURABILITÉ</v>
      </c>
      <c r="C3291" s="1" t="s">
        <v>192</v>
      </c>
      <c r="D3291" s="1" t="s">
        <v>16612</v>
      </c>
      <c r="J3291" s="1" t="s">
        <v>6</v>
      </c>
      <c r="CA3291" s="1" t="s">
        <v>75</v>
      </c>
      <c r="GD3291" s="1" t="s">
        <v>193</v>
      </c>
      <c r="GE3291" s="1" t="s">
        <v>190</v>
      </c>
    </row>
    <row r="3292" spans="1:187" ht="11.25" customHeight="1">
      <c r="A3292" s="1" t="s">
        <v>4664</v>
      </c>
      <c r="B3292" s="1" t="str">
        <f ca="1">IFERROR(__xludf.DUMMYFUNCTION("GOOGLETRANSLATE(A3292, ""en"", ""fr"")"),"DURABLE")</f>
        <v>DURABLE</v>
      </c>
      <c r="C3292" s="1" t="s">
        <v>185</v>
      </c>
      <c r="D3292" s="1" t="s">
        <v>16612</v>
      </c>
      <c r="F3292" s="1" t="s">
        <v>2</v>
      </c>
      <c r="J3292" s="1" t="s">
        <v>6</v>
      </c>
      <c r="BQ3292" s="1" t="s">
        <v>65</v>
      </c>
      <c r="EZ3292" s="1" t="s">
        <v>152</v>
      </c>
      <c r="FC3292" s="1" t="s">
        <v>155</v>
      </c>
      <c r="GD3292" s="1" t="s">
        <v>202</v>
      </c>
      <c r="GE3292" s="1" t="s">
        <v>190</v>
      </c>
    </row>
    <row r="3293" spans="1:187" ht="11.25" customHeight="1">
      <c r="A3293" s="1" t="s">
        <v>4665</v>
      </c>
      <c r="B3293" s="1" t="str">
        <f ca="1">IFERROR(__xludf.DUMMYFUNCTION("GOOGLETRANSLATE(A3293, ""en"", ""fr"")"),"DURÉE")</f>
        <v>DURÉE</v>
      </c>
      <c r="C3293" s="1" t="s">
        <v>196</v>
      </c>
      <c r="GB3293" s="1" t="s">
        <v>180</v>
      </c>
      <c r="GD3293" s="1" t="s">
        <v>193</v>
      </c>
    </row>
    <row r="3294" spans="1:187" ht="11.25" customHeight="1">
      <c r="A3294" s="1" t="s">
        <v>4666</v>
      </c>
      <c r="B3294" s="1" t="str">
        <f ca="1">IFERROR(__xludf.DUMMYFUNCTION("GOOGLETRANSLATE(A3294, ""en"", ""fr"")"),"PENDANT")</f>
        <v>PENDANT</v>
      </c>
      <c r="C3294" s="1" t="s">
        <v>185</v>
      </c>
      <c r="CY3294" s="1" t="s">
        <v>99</v>
      </c>
      <c r="GB3294" s="1" t="s">
        <v>180</v>
      </c>
      <c r="GD3294" s="1" t="s">
        <v>215</v>
      </c>
      <c r="GE3294" s="1" t="s">
        <v>4667</v>
      </c>
    </row>
    <row r="3295" spans="1:187" ht="11.25" customHeight="1">
      <c r="A3295" s="1" t="s">
        <v>4668</v>
      </c>
      <c r="B3295" s="1" t="str">
        <f ca="1">IFERROR(__xludf.DUMMYFUNCTION("GOOGLETRANSLATE(A3295, ""en"", ""fr"")"),"CRÉPUSCULE")</f>
        <v>CRÉPUSCULE</v>
      </c>
      <c r="C3295" s="1" t="s">
        <v>185</v>
      </c>
      <c r="CQ3295" s="1" t="s">
        <v>91</v>
      </c>
      <c r="CY3295" s="1" t="s">
        <v>99</v>
      </c>
      <c r="CZ3295" s="1" t="s">
        <v>100</v>
      </c>
      <c r="GB3295" s="1" t="s">
        <v>180</v>
      </c>
      <c r="GD3295" s="1" t="s">
        <v>193</v>
      </c>
      <c r="GE3295" s="1" t="s">
        <v>190</v>
      </c>
    </row>
    <row r="3296" spans="1:187" ht="11.25" customHeight="1">
      <c r="A3296" s="1" t="s">
        <v>4669</v>
      </c>
      <c r="B3296" s="1" t="str">
        <f ca="1">IFERROR(__xludf.DUMMYFUNCTION("GOOGLETRANSLATE(A3296, ""en"", ""fr"")"),"POUSSIÈRE")</f>
        <v>POUSSIÈRE</v>
      </c>
      <c r="C3296" s="1" t="s">
        <v>185</v>
      </c>
      <c r="BC3296" s="1" t="s">
        <v>51</v>
      </c>
      <c r="BI3296" s="1" t="s">
        <v>57</v>
      </c>
      <c r="GD3296" s="1" t="s">
        <v>193</v>
      </c>
      <c r="GE3296" s="1" t="s">
        <v>190</v>
      </c>
    </row>
    <row r="3297" spans="1:187" ht="11.25" customHeight="1">
      <c r="A3297" s="1" t="s">
        <v>4670</v>
      </c>
      <c r="B3297" s="1" t="str">
        <f ca="1">IFERROR(__xludf.DUMMYFUNCTION("GOOGLETRANSLATE(A3297, ""en"", ""fr"")"),"POUSSIÉREUX")</f>
        <v>POUSSIÉREUX</v>
      </c>
      <c r="C3297" s="1" t="s">
        <v>185</v>
      </c>
      <c r="CR3297" s="1" t="s">
        <v>92</v>
      </c>
      <c r="GD3297" s="1" t="s">
        <v>4671</v>
      </c>
      <c r="GE3297" s="1" t="s">
        <v>190</v>
      </c>
    </row>
    <row r="3298" spans="1:187" ht="11.25" customHeight="1">
      <c r="A3298" s="1" t="s">
        <v>4672</v>
      </c>
      <c r="B3298" s="1" t="str">
        <f ca="1">IFERROR(__xludf.DUMMYFUNCTION("GOOGLETRANSLATE(A3298, ""en"", ""fr"")"),"DEVOIR")</f>
        <v>DEVOIR</v>
      </c>
      <c r="C3298" s="1" t="s">
        <v>185</v>
      </c>
      <c r="E3298" s="1" t="s">
        <v>16613</v>
      </c>
      <c r="H3298" s="1" t="s">
        <v>4</v>
      </c>
      <c r="J3298" s="1" t="s">
        <v>6</v>
      </c>
      <c r="M3298" s="1" t="s">
        <v>9</v>
      </c>
      <c r="U3298" s="1" t="s">
        <v>17</v>
      </c>
      <c r="CP3298" s="1" t="s">
        <v>90</v>
      </c>
      <c r="CQ3298" s="1" t="s">
        <v>91</v>
      </c>
      <c r="EE3298" s="1" t="s">
        <v>131</v>
      </c>
      <c r="EJ3298" s="1" t="s">
        <v>136</v>
      </c>
      <c r="GD3298" s="1" t="s">
        <v>193</v>
      </c>
      <c r="GE3298" s="1" t="s">
        <v>4673</v>
      </c>
    </row>
    <row r="3299" spans="1:187" ht="11.25" customHeight="1">
      <c r="A3299" s="1" t="s">
        <v>4674</v>
      </c>
      <c r="B3299" s="1" t="str">
        <f ca="1">IFERROR(__xludf.DUMMYFUNCTION("GOOGLETRANSLATE(A3299, ""en"", ""fr"")"),"DEMEURER")</f>
        <v>DEMEURER</v>
      </c>
      <c r="C3299" s="1" t="s">
        <v>185</v>
      </c>
      <c r="O3299" s="1" t="s">
        <v>11</v>
      </c>
      <c r="CA3299" s="1" t="s">
        <v>75</v>
      </c>
      <c r="DO3299" s="1" t="s">
        <v>115</v>
      </c>
      <c r="GD3299" s="1" t="s">
        <v>189</v>
      </c>
      <c r="GE3299" s="1" t="s">
        <v>190</v>
      </c>
    </row>
    <row r="3300" spans="1:187" ht="11.25" customHeight="1">
      <c r="A3300" s="1" t="s">
        <v>4675</v>
      </c>
      <c r="B3300" s="1" t="str">
        <f ca="1">IFERROR(__xludf.DUMMYFUNCTION("GOOGLETRANSLATE(A3300, ""en"", ""fr"")"),"LOGEMENT")</f>
        <v>LOGEMENT</v>
      </c>
      <c r="C3300" s="1" t="s">
        <v>185</v>
      </c>
      <c r="AV3300" s="1" t="s">
        <v>44</v>
      </c>
      <c r="AW3300" s="1" t="s">
        <v>45</v>
      </c>
      <c r="GD3300" s="1" t="s">
        <v>193</v>
      </c>
      <c r="GE3300" s="1" t="s">
        <v>190</v>
      </c>
    </row>
    <row r="3301" spans="1:187" ht="11.25" customHeight="1">
      <c r="A3301" s="1" t="s">
        <v>4676</v>
      </c>
      <c r="B3301" s="1" t="str">
        <f ca="1">IFERROR(__xludf.DUMMYFUNCTION("GOOGLETRANSLATE(A3301, ""en"", ""fr"")"),"DIMINUER")</f>
        <v>DIMINUER</v>
      </c>
      <c r="C3301" s="1" t="s">
        <v>192</v>
      </c>
      <c r="E3301" s="1" t="s">
        <v>16613</v>
      </c>
      <c r="BY3301" s="1" t="s">
        <v>73</v>
      </c>
      <c r="DN3301" s="1" t="s">
        <v>114</v>
      </c>
      <c r="GD3301" s="1" t="s">
        <v>189</v>
      </c>
      <c r="GE3301" s="1" t="s">
        <v>190</v>
      </c>
    </row>
    <row r="3302" spans="1:187" ht="11.25" customHeight="1">
      <c r="A3302" s="1" t="s">
        <v>4677</v>
      </c>
      <c r="B3302" s="1" t="str">
        <f ca="1">IFERROR(__xludf.DUMMYFUNCTION("GOOGLETRANSLATE(A3302, ""en"", ""fr"")"),"Mourir # 1")</f>
        <v>Mourir # 1</v>
      </c>
      <c r="C3302" s="1" t="s">
        <v>185</v>
      </c>
      <c r="E3302" s="1" t="s">
        <v>16613</v>
      </c>
      <c r="H3302" s="1" t="s">
        <v>4</v>
      </c>
      <c r="L3302" s="1" t="s">
        <v>8</v>
      </c>
      <c r="O3302" s="1" t="s">
        <v>11</v>
      </c>
      <c r="BU3302" s="1" t="s">
        <v>69</v>
      </c>
      <c r="DP3302" s="1" t="s">
        <v>116</v>
      </c>
      <c r="EY3302" s="1" t="s">
        <v>151</v>
      </c>
      <c r="FC3302" s="1" t="s">
        <v>155</v>
      </c>
      <c r="GD3302" s="1" t="s">
        <v>4678</v>
      </c>
      <c r="GE3302" s="1" t="s">
        <v>4679</v>
      </c>
    </row>
    <row r="3303" spans="1:187" ht="11.25" customHeight="1">
      <c r="A3303" s="1" t="s">
        <v>4680</v>
      </c>
      <c r="B3303" s="1" t="str">
        <f ca="1">IFERROR(__xludf.DUMMYFUNCTION("GOOGLETRANSLATE(A3303, ""en"", ""fr"")"),"Mourir # 2")</f>
        <v>Mourir # 2</v>
      </c>
      <c r="C3303" s="1" t="s">
        <v>185</v>
      </c>
      <c r="E3303" s="1" t="s">
        <v>16613</v>
      </c>
      <c r="H3303" s="1" t="s">
        <v>4</v>
      </c>
      <c r="L3303" s="1" t="s">
        <v>8</v>
      </c>
      <c r="O3303" s="1" t="s">
        <v>11</v>
      </c>
      <c r="BU3303" s="1" t="s">
        <v>69</v>
      </c>
      <c r="DR3303" s="1" t="s">
        <v>118</v>
      </c>
      <c r="EZ3303" s="1" t="s">
        <v>152</v>
      </c>
      <c r="FC3303" s="1" t="s">
        <v>155</v>
      </c>
      <c r="GD3303" s="1" t="s">
        <v>202</v>
      </c>
      <c r="GE3303" s="1" t="s">
        <v>4681</v>
      </c>
    </row>
    <row r="3304" spans="1:187" ht="11.25" customHeight="1">
      <c r="A3304" s="1" t="s">
        <v>4682</v>
      </c>
      <c r="B3304" s="1" t="str">
        <f ca="1">IFERROR(__xludf.DUMMYFUNCTION("GOOGLETRANSLATE(A3304, ""en"", ""fr"")"),"DYNAMIQUE")</f>
        <v>DYNAMIQUE</v>
      </c>
      <c r="C3304" s="1" t="s">
        <v>185</v>
      </c>
      <c r="D3304" s="1" t="s">
        <v>16612</v>
      </c>
      <c r="F3304" s="1" t="s">
        <v>2</v>
      </c>
      <c r="J3304" s="1" t="s">
        <v>6</v>
      </c>
      <c r="N3304" s="1" t="s">
        <v>10</v>
      </c>
      <c r="U3304" s="1" t="s">
        <v>17</v>
      </c>
      <c r="FA3304" s="1" t="s">
        <v>153</v>
      </c>
      <c r="FC3304" s="1" t="s">
        <v>155</v>
      </c>
      <c r="GD3304" s="1" t="s">
        <v>202</v>
      </c>
      <c r="GE3304" s="1" t="s">
        <v>190</v>
      </c>
    </row>
    <row r="3305" spans="1:187" ht="11.25" customHeight="1">
      <c r="A3305" s="1" t="s">
        <v>4683</v>
      </c>
      <c r="B3305" s="1" t="str">
        <f ca="1">IFERROR(__xludf.DUMMYFUNCTION("GOOGLETRANSLATE(A3305, ""en"", ""fr"")"),"DYNAMISME")</f>
        <v>DYNAMISME</v>
      </c>
      <c r="C3305" s="1" t="s">
        <v>196</v>
      </c>
      <c r="GD3305" s="1" t="s">
        <v>193</v>
      </c>
    </row>
    <row r="3306" spans="1:187" ht="11.25" customHeight="1">
      <c r="A3306" s="1" t="s">
        <v>4684</v>
      </c>
      <c r="B3306" s="1" t="str">
        <f ca="1">IFERROR(__xludf.DUMMYFUNCTION("GOOGLETRANSLATE(A3306, ""en"", ""fr"")"),"DYNASTIE")</f>
        <v>DYNASTIE</v>
      </c>
      <c r="C3306" s="1" t="s">
        <v>196</v>
      </c>
      <c r="EC3306" s="1" t="s">
        <v>129</v>
      </c>
      <c r="ED3306" s="1" t="s">
        <v>130</v>
      </c>
      <c r="GD3306" s="1" t="s">
        <v>193</v>
      </c>
    </row>
    <row r="3307" spans="1:187" ht="11.25" customHeight="1">
      <c r="A3307" s="1" t="s">
        <v>4685</v>
      </c>
      <c r="B3307" s="1" t="str">
        <f ca="1">IFERROR(__xludf.DUMMYFUNCTION("GOOGLETRANSLATE(A3307, ""en"", ""fr"")"),"Chaque # 1")</f>
        <v>Chaque # 1</v>
      </c>
      <c r="C3307" s="1" t="s">
        <v>185</v>
      </c>
      <c r="W3307" s="1" t="s">
        <v>19</v>
      </c>
      <c r="CS3307" s="1" t="s">
        <v>93</v>
      </c>
      <c r="GD3307" s="1" t="s">
        <v>2464</v>
      </c>
      <c r="GE3307" s="1" t="s">
        <v>4686</v>
      </c>
    </row>
    <row r="3308" spans="1:187" ht="11.25" customHeight="1">
      <c r="A3308" s="1" t="s">
        <v>4687</v>
      </c>
      <c r="B3308" s="1" t="str">
        <f ca="1">IFERROR(__xludf.DUMMYFUNCTION("GOOGLETRANSLATE(A3308, ""en"", ""fr"")"),"Chaque # 2")</f>
        <v>Chaque # 2</v>
      </c>
      <c r="C3308" s="1" t="s">
        <v>185</v>
      </c>
      <c r="W3308" s="1" t="s">
        <v>19</v>
      </c>
      <c r="GD3308" s="1" t="s">
        <v>884</v>
      </c>
      <c r="GE3308" s="1" t="s">
        <v>4688</v>
      </c>
    </row>
    <row r="3309" spans="1:187" ht="11.25" customHeight="1">
      <c r="A3309" s="1" t="s">
        <v>4689</v>
      </c>
      <c r="B3309" s="1" t="str">
        <f ca="1">IFERROR(__xludf.DUMMYFUNCTION("GOOGLETRANSLATE(A3309, ""en"", ""fr"")"),"Chaque # 3")</f>
        <v>Chaque # 3</v>
      </c>
      <c r="C3309" s="1" t="s">
        <v>185</v>
      </c>
      <c r="GD3309" s="1" t="s">
        <v>887</v>
      </c>
      <c r="GE3309" s="1" t="s">
        <v>4690</v>
      </c>
    </row>
    <row r="3310" spans="1:187" ht="11.25" customHeight="1">
      <c r="A3310" s="1" t="s">
        <v>4691</v>
      </c>
      <c r="B3310" s="1" t="str">
        <f ca="1">IFERROR(__xludf.DUMMYFUNCTION("GOOGLETRANSLATE(A3310, ""en"", ""fr"")"),"DÉSIREUX")</f>
        <v>DÉSIREUX</v>
      </c>
      <c r="C3310" s="1" t="s">
        <v>185</v>
      </c>
      <c r="D3310" s="1" t="s">
        <v>16612</v>
      </c>
      <c r="F3310" s="1" t="s">
        <v>2</v>
      </c>
      <c r="J3310" s="1" t="s">
        <v>6</v>
      </c>
      <c r="P3310" s="1" t="s">
        <v>12</v>
      </c>
      <c r="T3310" s="1" t="s">
        <v>16</v>
      </c>
      <c r="FX3310" s="1" t="s">
        <v>176</v>
      </c>
      <c r="GD3310" s="1" t="s">
        <v>202</v>
      </c>
      <c r="GE3310" s="1" t="s">
        <v>4692</v>
      </c>
    </row>
    <row r="3311" spans="1:187" ht="11.25" customHeight="1">
      <c r="A3311" s="1" t="s">
        <v>4693</v>
      </c>
      <c r="B3311" s="1" t="str">
        <f ca="1">IFERROR(__xludf.DUMMYFUNCTION("GOOGLETRANSLATE(A3311, ""en"", ""fr"")"),"ARDEUR")</f>
        <v>ARDEUR</v>
      </c>
      <c r="C3311" s="1" t="s">
        <v>192</v>
      </c>
      <c r="D3311" s="1" t="s">
        <v>16612</v>
      </c>
      <c r="R3311" s="1" t="s">
        <v>14</v>
      </c>
      <c r="GD3311" s="1" t="s">
        <v>193</v>
      </c>
      <c r="GE3311" s="1" t="s">
        <v>190</v>
      </c>
    </row>
    <row r="3312" spans="1:187" ht="11.25" customHeight="1">
      <c r="A3312" s="1" t="s">
        <v>4694</v>
      </c>
      <c r="B3312" s="1" t="str">
        <f ca="1">IFERROR(__xludf.DUMMYFUNCTION("GOOGLETRANSLATE(A3312, ""en"", ""fr"")"),"AIGLE")</f>
        <v>AIGLE</v>
      </c>
      <c r="C3312" s="1" t="s">
        <v>185</v>
      </c>
      <c r="AU3312" s="1" t="s">
        <v>43</v>
      </c>
      <c r="GD3312" s="1" t="s">
        <v>193</v>
      </c>
      <c r="GE3312" s="1" t="s">
        <v>4695</v>
      </c>
    </row>
    <row r="3313" spans="1:187" ht="11.25" customHeight="1">
      <c r="A3313" s="1" t="s">
        <v>4696</v>
      </c>
      <c r="B3313" s="1" t="str">
        <f ca="1">IFERROR(__xludf.DUMMYFUNCTION("GOOGLETRANSLATE(A3313, ""en"", ""fr"")"),"Oreille n ° 1")</f>
        <v>Oreille n ° 1</v>
      </c>
      <c r="C3313" s="1" t="s">
        <v>185</v>
      </c>
      <c r="BJ3313" s="1" t="s">
        <v>58</v>
      </c>
      <c r="GD3313" s="1" t="s">
        <v>849</v>
      </c>
      <c r="GE3313" s="1" t="s">
        <v>4697</v>
      </c>
    </row>
    <row r="3314" spans="1:187" ht="11.25" customHeight="1">
      <c r="A3314" s="1" t="s">
        <v>4698</v>
      </c>
      <c r="B3314" s="1" t="str">
        <f ca="1">IFERROR(__xludf.DUMMYFUNCTION("GOOGLETRANSLATE(A3314, ""en"", ""fr"")"),"Oreille n ° 2")</f>
        <v>Oreille n ° 2</v>
      </c>
      <c r="C3314" s="1" t="s">
        <v>185</v>
      </c>
      <c r="BC3314" s="1" t="s">
        <v>51</v>
      </c>
      <c r="BE3314" s="1" t="s">
        <v>53</v>
      </c>
      <c r="GD3314" s="1" t="s">
        <v>193</v>
      </c>
      <c r="GE3314" s="1" t="s">
        <v>4699</v>
      </c>
    </row>
    <row r="3315" spans="1:187" ht="11.25" customHeight="1">
      <c r="A3315" s="1" t="s">
        <v>4700</v>
      </c>
      <c r="B3315" s="1" t="str">
        <f ca="1">IFERROR(__xludf.DUMMYFUNCTION("GOOGLETRANSLATE(A3315, ""en"", ""fr"")"),"Oreille n ° 3")</f>
        <v>Oreille n ° 3</v>
      </c>
      <c r="C3315" s="1" t="s">
        <v>185</v>
      </c>
      <c r="CO3315" s="1" t="s">
        <v>89</v>
      </c>
      <c r="DN3315" s="1" t="s">
        <v>114</v>
      </c>
      <c r="FZ3315" s="1" t="s">
        <v>178</v>
      </c>
      <c r="GD3315" s="1" t="s">
        <v>4701</v>
      </c>
      <c r="GE3315" s="1" t="s">
        <v>4702</v>
      </c>
    </row>
    <row r="3316" spans="1:187" ht="11.25" customHeight="1">
      <c r="A3316" s="1" t="s">
        <v>4703</v>
      </c>
      <c r="B3316" s="1" t="str">
        <f ca="1">IFERROR(__xludf.DUMMYFUNCTION("GOOGLETRANSLATE(A3316, ""en"", ""fr"")"),"Précoce")</f>
        <v>Précoce</v>
      </c>
      <c r="C3316" s="1" t="s">
        <v>196</v>
      </c>
      <c r="GB3316" s="1" t="s">
        <v>180</v>
      </c>
      <c r="GD3316" s="1" t="s">
        <v>202</v>
      </c>
    </row>
    <row r="3317" spans="1:187" ht="11.25" customHeight="1">
      <c r="A3317" s="1" t="s">
        <v>4704</v>
      </c>
      <c r="B3317" s="1" t="str">
        <f ca="1">IFERROR(__xludf.DUMMYFUNCTION("GOOGLETRANSLATE(A3317, ""en"", ""fr"")"),"Tôt n ° 1")</f>
        <v>Tôt n ° 1</v>
      </c>
      <c r="C3317" s="1" t="s">
        <v>185</v>
      </c>
      <c r="CY3317" s="1" t="s">
        <v>99</v>
      </c>
      <c r="GB3317" s="1" t="s">
        <v>180</v>
      </c>
      <c r="GD3317" s="1" t="s">
        <v>236</v>
      </c>
      <c r="GE3317" s="1" t="s">
        <v>4705</v>
      </c>
    </row>
    <row r="3318" spans="1:187" ht="11.25" customHeight="1">
      <c r="A3318" s="1" t="s">
        <v>4706</v>
      </c>
      <c r="B3318" s="1" t="str">
        <f ca="1">IFERROR(__xludf.DUMMYFUNCTION("GOOGLETRANSLATE(A3318, ""en"", ""fr"")"),"Début # 2")</f>
        <v>Début # 2</v>
      </c>
      <c r="C3318" s="1" t="s">
        <v>185</v>
      </c>
      <c r="CY3318" s="1" t="s">
        <v>99</v>
      </c>
      <c r="GB3318" s="1" t="s">
        <v>180</v>
      </c>
      <c r="GD3318" s="1" t="s">
        <v>236</v>
      </c>
      <c r="GE3318" s="1" t="s">
        <v>4707</v>
      </c>
    </row>
    <row r="3319" spans="1:187" ht="11.25" customHeight="1">
      <c r="A3319" s="1" t="s">
        <v>4708</v>
      </c>
      <c r="B3319" s="1" t="str">
        <f ca="1">IFERROR(__xludf.DUMMYFUNCTION("GOOGLETRANSLATE(A3319, ""en"", ""fr"")"),"Début # 3")</f>
        <v>Début # 3</v>
      </c>
      <c r="C3319" s="1" t="s">
        <v>185</v>
      </c>
      <c r="CY3319" s="1" t="s">
        <v>99</v>
      </c>
      <c r="GB3319" s="1" t="s">
        <v>180</v>
      </c>
      <c r="GD3319" s="1" t="s">
        <v>202</v>
      </c>
      <c r="GE3319" s="1" t="s">
        <v>4709</v>
      </c>
    </row>
    <row r="3320" spans="1:187" ht="11.25" customHeight="1">
      <c r="A3320" s="1" t="s">
        <v>4710</v>
      </c>
      <c r="B3320" s="1" t="str">
        <f ca="1">IFERROR(__xludf.DUMMYFUNCTION("GOOGLETRANSLATE(A3320, ""en"", ""fr"")"),"Gagnez # 1")</f>
        <v>Gagnez # 1</v>
      </c>
      <c r="C3320" s="1" t="s">
        <v>185</v>
      </c>
      <c r="J3320" s="1" t="s">
        <v>6</v>
      </c>
      <c r="N3320" s="1" t="s">
        <v>10</v>
      </c>
      <c r="AA3320" s="1" t="s">
        <v>23</v>
      </c>
      <c r="AB3320" s="1" t="s">
        <v>24</v>
      </c>
      <c r="AL3320" s="1" t="s">
        <v>34</v>
      </c>
      <c r="DN3320" s="1" t="s">
        <v>114</v>
      </c>
      <c r="EG3320" s="1" t="s">
        <v>133</v>
      </c>
      <c r="EJ3320" s="1" t="s">
        <v>136</v>
      </c>
      <c r="GD3320" s="1" t="s">
        <v>189</v>
      </c>
      <c r="GE3320" s="1" t="s">
        <v>4711</v>
      </c>
    </row>
    <row r="3321" spans="1:187" ht="11.25" customHeight="1">
      <c r="A3321" s="1" t="s">
        <v>4712</v>
      </c>
      <c r="B3321" s="1" t="str">
        <f ca="1">IFERROR(__xludf.DUMMYFUNCTION("GOOGLETRANSLATE(A3321, ""en"", ""fr"")"),"Gagnez # 2")</f>
        <v>Gagnez # 2</v>
      </c>
      <c r="C3321" s="1" t="s">
        <v>185</v>
      </c>
      <c r="J3321" s="1" t="s">
        <v>6</v>
      </c>
      <c r="N3321" s="1" t="s">
        <v>10</v>
      </c>
      <c r="AA3321" s="1" t="s">
        <v>23</v>
      </c>
      <c r="AB3321" s="1" t="s">
        <v>24</v>
      </c>
      <c r="AC3321" s="1" t="s">
        <v>25</v>
      </c>
      <c r="EV3321" s="1" t="s">
        <v>148</v>
      </c>
      <c r="EW3321" s="1" t="s">
        <v>149</v>
      </c>
      <c r="GC3321" s="1" t="s">
        <v>181</v>
      </c>
      <c r="GD3321" s="1" t="s">
        <v>193</v>
      </c>
      <c r="GE3321" s="1" t="s">
        <v>4713</v>
      </c>
    </row>
    <row r="3322" spans="1:187" ht="11.25" customHeight="1">
      <c r="A3322" s="1" t="s">
        <v>4714</v>
      </c>
      <c r="B3322" s="1" t="str">
        <f ca="1">IFERROR(__xludf.DUMMYFUNCTION("GOOGLETRANSLATE(A3322, ""en"", ""fr"")"),"Gagnez # 3")</f>
        <v>Gagnez # 3</v>
      </c>
      <c r="C3322" s="1" t="s">
        <v>185</v>
      </c>
      <c r="J3322" s="1" t="s">
        <v>6</v>
      </c>
      <c r="N3322" s="1" t="s">
        <v>10</v>
      </c>
      <c r="AA3322" s="1" t="s">
        <v>23</v>
      </c>
      <c r="AB3322" s="1" t="s">
        <v>24</v>
      </c>
      <c r="AC3322" s="1" t="s">
        <v>25</v>
      </c>
      <c r="EG3322" s="1" t="s">
        <v>133</v>
      </c>
      <c r="EJ3322" s="1" t="s">
        <v>136</v>
      </c>
      <c r="GC3322" s="1" t="s">
        <v>181</v>
      </c>
      <c r="GD3322" s="1" t="s">
        <v>193</v>
      </c>
      <c r="GE3322" s="1" t="s">
        <v>4715</v>
      </c>
    </row>
    <row r="3323" spans="1:187" ht="11.25" customHeight="1">
      <c r="A3323" s="1" t="s">
        <v>4716</v>
      </c>
      <c r="B3323" s="1" t="str">
        <f ca="1">IFERROR(__xludf.DUMMYFUNCTION("GOOGLETRANSLATE(A3323, ""en"", ""fr"")"),"Perfectionnement")</f>
        <v>Perfectionnement</v>
      </c>
      <c r="C3323" s="1" t="s">
        <v>185</v>
      </c>
      <c r="J3323" s="1" t="s">
        <v>6</v>
      </c>
      <c r="AA3323" s="1" t="s">
        <v>23</v>
      </c>
      <c r="AJ3323" s="1" t="s">
        <v>32</v>
      </c>
      <c r="AT3323" s="1" t="s">
        <v>42</v>
      </c>
      <c r="ET3323" s="1" t="s">
        <v>146</v>
      </c>
      <c r="EW3323" s="1" t="s">
        <v>149</v>
      </c>
      <c r="GD3323" s="1" t="s">
        <v>193</v>
      </c>
      <c r="GE3323" s="1" t="s">
        <v>190</v>
      </c>
    </row>
    <row r="3324" spans="1:187" ht="11.25" customHeight="1">
      <c r="A3324" s="1" t="s">
        <v>4717</v>
      </c>
      <c r="B3324" s="1" t="str">
        <f ca="1">IFERROR(__xludf.DUMMYFUNCTION("GOOGLETRANSLATE(A3324, ""en"", ""fr"")"),"SÉRIEUX")</f>
        <v>SÉRIEUX</v>
      </c>
      <c r="C3324" s="1" t="s">
        <v>185</v>
      </c>
      <c r="D3324" s="1" t="s">
        <v>16612</v>
      </c>
      <c r="F3324" s="1" t="s">
        <v>2</v>
      </c>
      <c r="J3324" s="1" t="s">
        <v>6</v>
      </c>
      <c r="P3324" s="1" t="s">
        <v>12</v>
      </c>
      <c r="EE3324" s="1" t="s">
        <v>131</v>
      </c>
      <c r="EJ3324" s="1" t="s">
        <v>136</v>
      </c>
      <c r="GD3324" s="1" t="s">
        <v>202</v>
      </c>
      <c r="GE3324" s="1" t="s">
        <v>190</v>
      </c>
    </row>
    <row r="3325" spans="1:187" ht="11.25" customHeight="1">
      <c r="A3325" s="1" t="s">
        <v>4718</v>
      </c>
      <c r="B3325" s="1" t="str">
        <f ca="1">IFERROR(__xludf.DUMMYFUNCTION("GOOGLETRANSLATE(A3325, ""en"", ""fr"")"),"Sérieux")</f>
        <v>Sérieux</v>
      </c>
      <c r="C3325" s="1" t="s">
        <v>192</v>
      </c>
      <c r="D3325" s="1" t="s">
        <v>16612</v>
      </c>
      <c r="R3325" s="1" t="s">
        <v>14</v>
      </c>
      <c r="BK3325" s="1" t="s">
        <v>59</v>
      </c>
      <c r="GD3325" s="1" t="s">
        <v>193</v>
      </c>
      <c r="GE3325" s="1" t="s">
        <v>190</v>
      </c>
    </row>
    <row r="3326" spans="1:187" ht="11.25" customHeight="1">
      <c r="A3326" s="1" t="s">
        <v>4719</v>
      </c>
      <c r="B3326" s="1" t="str">
        <f ca="1">IFERROR(__xludf.DUMMYFUNCTION("GOOGLETRANSLATE(A3326, ""en"", ""fr"")"),"Terre # 1")</f>
        <v>Terre # 1</v>
      </c>
      <c r="C3326" s="1" t="s">
        <v>185</v>
      </c>
      <c r="AV3326" s="1" t="s">
        <v>44</v>
      </c>
      <c r="BA3326" s="1" t="s">
        <v>49</v>
      </c>
      <c r="FS3326" s="1" t="s">
        <v>171</v>
      </c>
      <c r="GD3326" s="1" t="s">
        <v>193</v>
      </c>
      <c r="GE3326" s="1" t="s">
        <v>4720</v>
      </c>
    </row>
    <row r="3327" spans="1:187" ht="11.25" customHeight="1">
      <c r="A3327" s="1" t="s">
        <v>4721</v>
      </c>
      <c r="B3327" s="1" t="str">
        <f ca="1">IFERROR(__xludf.DUMMYFUNCTION("GOOGLETRANSLATE(A3327, ""en"", ""fr"")"),"Terre # 2")</f>
        <v>Terre # 2</v>
      </c>
      <c r="C3327" s="1" t="s">
        <v>185</v>
      </c>
      <c r="W3327" s="1" t="s">
        <v>19</v>
      </c>
      <c r="DA3327" s="1" t="s">
        <v>101</v>
      </c>
      <c r="FY3327" s="1" t="s">
        <v>177</v>
      </c>
      <c r="GD3327" s="1" t="s">
        <v>236</v>
      </c>
      <c r="GE3327" s="1" t="s">
        <v>4722</v>
      </c>
    </row>
    <row r="3328" spans="1:187" ht="11.25" customHeight="1">
      <c r="A3328" s="1" t="s">
        <v>4723</v>
      </c>
      <c r="B3328" s="1" t="str">
        <f ca="1">IFERROR(__xludf.DUMMYFUNCTION("GOOGLETRANSLATE(A3328, ""en"", ""fr"")"),"Terre # 3")</f>
        <v>Terre # 3</v>
      </c>
      <c r="C3328" s="1" t="s">
        <v>185</v>
      </c>
      <c r="U3328" s="1" t="s">
        <v>17</v>
      </c>
      <c r="GD3328" s="1" t="s">
        <v>202</v>
      </c>
      <c r="GE3328" s="1" t="s">
        <v>4724</v>
      </c>
    </row>
    <row r="3329" spans="1:187" ht="11.25" customHeight="1">
      <c r="A3329" s="1" t="s">
        <v>4725</v>
      </c>
      <c r="B3329" s="1" t="str">
        <f ca="1">IFERROR(__xludf.DUMMYFUNCTION("GOOGLETRANSLATE(A3329, ""en"", ""fr"")"),"TREMBLEMENT DE TERRE")</f>
        <v>TREMBLEMENT DE TERRE</v>
      </c>
      <c r="C3329" s="1" t="s">
        <v>196</v>
      </c>
      <c r="EZ3329" s="1" t="s">
        <v>152</v>
      </c>
      <c r="FC3329" s="1" t="s">
        <v>155</v>
      </c>
      <c r="GD3329" s="1" t="s">
        <v>193</v>
      </c>
    </row>
    <row r="3330" spans="1:187" ht="11.25" customHeight="1">
      <c r="A3330" s="1" t="s">
        <v>4726</v>
      </c>
      <c r="B3330" s="1" t="str">
        <f ca="1">IFERROR(__xludf.DUMMYFUNCTION("GOOGLETRANSLATE(A3330, ""en"", ""fr"")"),"Facilité # 1")</f>
        <v>Facilité # 1</v>
      </c>
      <c r="C3330" s="1" t="s">
        <v>185</v>
      </c>
      <c r="D3330" s="1" t="s">
        <v>16612</v>
      </c>
      <c r="F3330" s="1" t="s">
        <v>2</v>
      </c>
      <c r="P3330" s="1" t="s">
        <v>12</v>
      </c>
      <c r="GD3330" s="1" t="s">
        <v>193</v>
      </c>
      <c r="GE3330" s="1" t="s">
        <v>4727</v>
      </c>
    </row>
    <row r="3331" spans="1:187" ht="11.25" customHeight="1">
      <c r="A3331" s="1" t="s">
        <v>4728</v>
      </c>
      <c r="B3331" s="1" t="str">
        <f ca="1">IFERROR(__xludf.DUMMYFUNCTION("GOOGLETRANSLATE(A3331, ""en"", ""fr"")"),"Facilité # 2")</f>
        <v>Facilité # 2</v>
      </c>
      <c r="C3331" s="1" t="s">
        <v>185</v>
      </c>
      <c r="D3331" s="1" t="s">
        <v>16612</v>
      </c>
      <c r="F3331" s="1" t="s">
        <v>2</v>
      </c>
      <c r="BY3331" s="1" t="s">
        <v>73</v>
      </c>
      <c r="DN3331" s="1" t="s">
        <v>114</v>
      </c>
      <c r="GD3331" s="1" t="s">
        <v>189</v>
      </c>
      <c r="GE3331" s="1" t="s">
        <v>4729</v>
      </c>
    </row>
    <row r="3332" spans="1:187" ht="11.25" customHeight="1">
      <c r="A3332" s="1" t="s">
        <v>4730</v>
      </c>
      <c r="B3332" s="1" t="str">
        <f ca="1">IFERROR(__xludf.DUMMYFUNCTION("GOOGLETRANSLATE(A3332, ""en"", ""fr"")"),"Facilité # 3")</f>
        <v>Facilité # 3</v>
      </c>
      <c r="C3332" s="1" t="s">
        <v>185</v>
      </c>
      <c r="GD3332" s="1" t="s">
        <v>225</v>
      </c>
      <c r="GE3332" s="1" t="s">
        <v>4731</v>
      </c>
    </row>
    <row r="3333" spans="1:187" ht="11.25" customHeight="1">
      <c r="A3333" s="1" t="s">
        <v>4732</v>
      </c>
      <c r="B3333" s="1" t="str">
        <f ca="1">IFERROR(__xludf.DUMMYFUNCTION("GOOGLETRANSLATE(A3333, ""en"", ""fr"")"),"Le plus simple")</f>
        <v>Le plus simple</v>
      </c>
      <c r="C3333" s="1" t="s">
        <v>196</v>
      </c>
      <c r="GD3333" s="1" t="s">
        <v>202</v>
      </c>
    </row>
    <row r="3334" spans="1:187" ht="11.25" customHeight="1">
      <c r="A3334" s="1" t="s">
        <v>4733</v>
      </c>
      <c r="B3334" s="1" t="str">
        <f ca="1">IFERROR(__xludf.DUMMYFUNCTION("GOOGLETRANSLATE(A3334, ""en"", ""fr"")"),"EST")</f>
        <v>EST</v>
      </c>
      <c r="C3334" s="1" t="s">
        <v>185</v>
      </c>
      <c r="AV3334" s="1" t="s">
        <v>44</v>
      </c>
      <c r="AX3334" s="1" t="s">
        <v>46</v>
      </c>
      <c r="GB3334" s="1" t="s">
        <v>180</v>
      </c>
      <c r="GD3334" s="1" t="s">
        <v>193</v>
      </c>
      <c r="GE3334" s="1" t="s">
        <v>4734</v>
      </c>
    </row>
    <row r="3335" spans="1:187" ht="11.25" customHeight="1">
      <c r="A3335" s="1" t="s">
        <v>4735</v>
      </c>
      <c r="B3335" s="1" t="str">
        <f ca="1">IFERROR(__xludf.DUMMYFUNCTION("GOOGLETRANSLATE(A3335, ""en"", ""fr"")"),"ALLEMAGNE DE L'EST")</f>
        <v>ALLEMAGNE DE L'EST</v>
      </c>
      <c r="C3335" s="1" t="s">
        <v>196</v>
      </c>
      <c r="DY3335" s="1" t="s">
        <v>125</v>
      </c>
      <c r="ED3335" s="1" t="s">
        <v>130</v>
      </c>
      <c r="GD3335" s="1" t="s">
        <v>193</v>
      </c>
    </row>
    <row r="3336" spans="1:187" ht="11.25" customHeight="1">
      <c r="A3336" s="1" t="s">
        <v>4736</v>
      </c>
      <c r="B3336" s="1" t="str">
        <f ca="1">IFERROR(__xludf.DUMMYFUNCTION("GOOGLETRANSLATE(A3336, ""en"", ""fr"")"),"EST OUEST")</f>
        <v>EST OUEST</v>
      </c>
      <c r="C3336" s="1" t="s">
        <v>196</v>
      </c>
      <c r="DV3336" s="1" t="s">
        <v>122</v>
      </c>
      <c r="ED3336" s="1" t="s">
        <v>130</v>
      </c>
      <c r="GD3336" s="1" t="s">
        <v>212</v>
      </c>
    </row>
    <row r="3337" spans="1:187" ht="11.25" customHeight="1">
      <c r="A3337" s="1" t="s">
        <v>4737</v>
      </c>
      <c r="B3337" s="1" t="str">
        <f ca="1">IFERROR(__xludf.DUMMYFUNCTION("GOOGLETRANSLATE(A3337, ""en"", ""fr"")"),"PÂQUES")</f>
        <v>PÂQUES</v>
      </c>
      <c r="C3337" s="1" t="s">
        <v>185</v>
      </c>
      <c r="AI3337" s="1" t="s">
        <v>31</v>
      </c>
      <c r="CQ3337" s="1" t="s">
        <v>91</v>
      </c>
      <c r="CY3337" s="1" t="s">
        <v>99</v>
      </c>
      <c r="CZ3337" s="1" t="s">
        <v>100</v>
      </c>
      <c r="EF3337" s="1" t="s">
        <v>132</v>
      </c>
      <c r="EJ3337" s="1" t="s">
        <v>136</v>
      </c>
      <c r="GD3337" s="1" t="s">
        <v>193</v>
      </c>
      <c r="GE3337" s="1" t="s">
        <v>190</v>
      </c>
    </row>
    <row r="3338" spans="1:187" ht="11.25" customHeight="1">
      <c r="A3338" s="1" t="s">
        <v>4738</v>
      </c>
      <c r="B3338" s="1" t="str">
        <f ca="1">IFERROR(__xludf.DUMMYFUNCTION("GOOGLETRANSLATE(A3338, ""en"", ""fr"")"),"EST")</f>
        <v>EST</v>
      </c>
      <c r="C3338" s="1" t="s">
        <v>185</v>
      </c>
      <c r="DA3338" s="1" t="s">
        <v>101</v>
      </c>
      <c r="GB3338" s="1" t="s">
        <v>180</v>
      </c>
      <c r="GD3338" s="1" t="s">
        <v>202</v>
      </c>
      <c r="GE3338" s="1" t="s">
        <v>190</v>
      </c>
    </row>
    <row r="3339" spans="1:187" ht="11.25" customHeight="1">
      <c r="A3339" s="1" t="s">
        <v>4739</v>
      </c>
      <c r="B3339" s="1" t="str">
        <f ca="1">IFERROR(__xludf.DUMMYFUNCTION("GOOGLETRANSLATE(A3339, ""en"", ""fr"")"),"L'EUROPE DE L'EST")</f>
        <v>L'EUROPE DE L'EST</v>
      </c>
      <c r="C3339" s="1" t="s">
        <v>196</v>
      </c>
      <c r="DV3339" s="1" t="s">
        <v>122</v>
      </c>
      <c r="ED3339" s="1" t="s">
        <v>130</v>
      </c>
      <c r="GD3339" s="1" t="s">
        <v>193</v>
      </c>
    </row>
    <row r="3340" spans="1:187" ht="11.25" customHeight="1">
      <c r="A3340" s="1" t="s">
        <v>4740</v>
      </c>
      <c r="B3340" s="1" t="str">
        <f ca="1">IFERROR(__xludf.DUMMYFUNCTION("GOOGLETRANSLATE(A3340, ""en"", ""fr"")"),"Vers l'est")</f>
        <v>Vers l'est</v>
      </c>
      <c r="C3340" s="1" t="s">
        <v>185</v>
      </c>
      <c r="AJ3340" s="1" t="s">
        <v>32</v>
      </c>
      <c r="AT3340" s="1" t="s">
        <v>42</v>
      </c>
      <c r="GD3340" s="1" t="s">
        <v>193</v>
      </c>
      <c r="GE3340" s="1" t="s">
        <v>190</v>
      </c>
    </row>
    <row r="3341" spans="1:187" ht="11.25" customHeight="1">
      <c r="A3341" s="1" t="s">
        <v>4741</v>
      </c>
      <c r="B3341" s="1" t="str">
        <f ca="1">IFERROR(__xludf.DUMMYFUNCTION("GOOGLETRANSLATE(A3341, ""en"", ""fr"")"),"Facile # 1")</f>
        <v>Facile # 1</v>
      </c>
      <c r="C3341" s="1" t="s">
        <v>185</v>
      </c>
      <c r="D3341" s="1" t="s">
        <v>16612</v>
      </c>
      <c r="F3341" s="1" t="s">
        <v>2</v>
      </c>
      <c r="U3341" s="1" t="s">
        <v>17</v>
      </c>
      <c r="CN3341" s="1" t="s">
        <v>88</v>
      </c>
      <c r="GD3341" s="1" t="s">
        <v>202</v>
      </c>
      <c r="GE3341" s="1" t="s">
        <v>4742</v>
      </c>
    </row>
    <row r="3342" spans="1:187" ht="11.25" customHeight="1">
      <c r="A3342" s="1" t="s">
        <v>4743</v>
      </c>
      <c r="B3342" s="1" t="str">
        <f ca="1">IFERROR(__xludf.DUMMYFUNCTION("GOOGLETRANSLATE(A3342, ""en"", ""fr"")"),"Facile # 2")</f>
        <v>Facile # 2</v>
      </c>
      <c r="C3342" s="1" t="s">
        <v>185</v>
      </c>
      <c r="D3342" s="1" t="s">
        <v>16612</v>
      </c>
      <c r="F3342" s="1" t="s">
        <v>2</v>
      </c>
      <c r="BQ3342" s="1" t="s">
        <v>65</v>
      </c>
      <c r="FY3342" s="1" t="s">
        <v>177</v>
      </c>
      <c r="GD3342" s="1" t="s">
        <v>202</v>
      </c>
      <c r="GE3342" s="1" t="s">
        <v>4744</v>
      </c>
    </row>
    <row r="3343" spans="1:187" ht="11.25" customHeight="1">
      <c r="A3343" s="1" t="s">
        <v>4745</v>
      </c>
      <c r="B3343" s="1" t="str">
        <f ca="1">IFERROR(__xludf.DUMMYFUNCTION("GOOGLETRANSLATE(A3343, ""en"", ""fr"")"),"Facile # 3")</f>
        <v>Facile # 3</v>
      </c>
      <c r="C3343" s="1" t="s">
        <v>185</v>
      </c>
      <c r="D3343" s="1" t="s">
        <v>16612</v>
      </c>
      <c r="F3343" s="1" t="s">
        <v>2</v>
      </c>
      <c r="U3343" s="1" t="s">
        <v>17</v>
      </c>
      <c r="CN3343" s="1" t="s">
        <v>88</v>
      </c>
      <c r="GD3343" s="1" t="s">
        <v>202</v>
      </c>
      <c r="GE3343" s="1" t="s">
        <v>4746</v>
      </c>
    </row>
    <row r="3344" spans="1:187" ht="11.25" customHeight="1">
      <c r="A3344" s="1" t="s">
        <v>4747</v>
      </c>
      <c r="B3344" s="1" t="str">
        <f ca="1">IFERROR(__xludf.DUMMYFUNCTION("GOOGLETRANSLATE(A3344, ""en"", ""fr"")"),"Facile # 4")</f>
        <v>Facile # 4</v>
      </c>
      <c r="C3344" s="1" t="s">
        <v>185</v>
      </c>
      <c r="D3344" s="1" t="s">
        <v>16612</v>
      </c>
      <c r="F3344" s="1" t="s">
        <v>2</v>
      </c>
      <c r="U3344" s="1" t="s">
        <v>17</v>
      </c>
      <c r="CN3344" s="1" t="s">
        <v>88</v>
      </c>
      <c r="GD3344" s="1" t="s">
        <v>202</v>
      </c>
      <c r="GE3344" s="1" t="s">
        <v>4748</v>
      </c>
    </row>
    <row r="3345" spans="1:187" ht="11.25" customHeight="1">
      <c r="A3345" s="1" t="s">
        <v>4749</v>
      </c>
      <c r="B3345" s="1" t="str">
        <f ca="1">IFERROR(__xludf.DUMMYFUNCTION("GOOGLETRANSLATE(A3345, ""en"", ""fr"")"),"Manger # 1")</f>
        <v>Manger # 1</v>
      </c>
      <c r="C3345" s="1" t="s">
        <v>185</v>
      </c>
      <c r="N3345" s="1" t="s">
        <v>10</v>
      </c>
      <c r="BU3345" s="1" t="s">
        <v>69</v>
      </c>
      <c r="DO3345" s="1" t="s">
        <v>115</v>
      </c>
      <c r="EZ3345" s="1" t="s">
        <v>152</v>
      </c>
      <c r="FC3345" s="1" t="s">
        <v>155</v>
      </c>
      <c r="GD3345" s="1" t="s">
        <v>400</v>
      </c>
      <c r="GE3345" s="1" t="s">
        <v>4750</v>
      </c>
    </row>
    <row r="3346" spans="1:187" ht="11.25" customHeight="1">
      <c r="A3346" s="1" t="s">
        <v>4751</v>
      </c>
      <c r="B3346" s="1" t="str">
        <f ca="1">IFERROR(__xludf.DUMMYFUNCTION("GOOGLETRANSLATE(A3346, ""en"", ""fr"")"),"Manger # 2")</f>
        <v>Manger # 2</v>
      </c>
      <c r="C3346" s="1" t="s">
        <v>185</v>
      </c>
      <c r="N3346" s="1" t="s">
        <v>10</v>
      </c>
      <c r="BU3346" s="1" t="s">
        <v>69</v>
      </c>
      <c r="EZ3346" s="1" t="s">
        <v>152</v>
      </c>
      <c r="FC3346" s="1" t="s">
        <v>155</v>
      </c>
      <c r="GD3346" s="1" t="s">
        <v>193</v>
      </c>
      <c r="GE3346" s="1" t="s">
        <v>4752</v>
      </c>
    </row>
    <row r="3347" spans="1:187" ht="11.25" customHeight="1">
      <c r="A3347" s="1" t="s">
        <v>4753</v>
      </c>
      <c r="B3347" s="1" t="str">
        <f ca="1">IFERROR(__xludf.DUMMYFUNCTION("GOOGLETRANSLATE(A3347, ""en"", ""fr"")"),"Mangé n ° 1")</f>
        <v>Mangé n ° 1</v>
      </c>
      <c r="C3347" s="1" t="s">
        <v>192</v>
      </c>
      <c r="GD3347" s="1" t="s">
        <v>1085</v>
      </c>
      <c r="GE3347" s="1" t="s">
        <v>190</v>
      </c>
    </row>
    <row r="3348" spans="1:187" ht="11.25" customHeight="1">
      <c r="A3348" s="1" t="s">
        <v>4754</v>
      </c>
      <c r="B3348" s="1" t="str">
        <f ca="1">IFERROR(__xludf.DUMMYFUNCTION("GOOGLETRANSLATE(A3348, ""en"", ""fr"")"),"MANGEUR")</f>
        <v>MANGEUR</v>
      </c>
      <c r="C3348" s="1" t="s">
        <v>185</v>
      </c>
      <c r="AJ3348" s="1" t="s">
        <v>32</v>
      </c>
      <c r="AT3348" s="1" t="s">
        <v>42</v>
      </c>
      <c r="FB3348" s="1" t="s">
        <v>154</v>
      </c>
      <c r="FC3348" s="1" t="s">
        <v>155</v>
      </c>
      <c r="GD3348" s="1" t="s">
        <v>193</v>
      </c>
      <c r="GE3348" s="1" t="s">
        <v>190</v>
      </c>
    </row>
    <row r="3349" spans="1:187" ht="11.25" customHeight="1">
      <c r="A3349" s="1" t="s">
        <v>4755</v>
      </c>
      <c r="B3349" s="1" t="str">
        <f ca="1">IFERROR(__xludf.DUMMYFUNCTION("GOOGLETRANSLATE(A3349, ""en"", ""fr"")"),"EXCENTRIQUE")</f>
        <v>EXCENTRIQUE</v>
      </c>
      <c r="C3349" s="1" t="s">
        <v>192</v>
      </c>
      <c r="E3349" s="1" t="s">
        <v>16613</v>
      </c>
      <c r="W3349" s="1" t="s">
        <v>19</v>
      </c>
      <c r="CM3349" s="1" t="s">
        <v>87</v>
      </c>
      <c r="CR3349" s="1" t="s">
        <v>92</v>
      </c>
      <c r="DR3349" s="1" t="s">
        <v>118</v>
      </c>
      <c r="GD3349" s="1" t="s">
        <v>202</v>
      </c>
      <c r="GE3349" s="1" t="s">
        <v>190</v>
      </c>
    </row>
    <row r="3350" spans="1:187" ht="11.25" customHeight="1">
      <c r="A3350" s="1" t="s">
        <v>4756</v>
      </c>
      <c r="B3350" s="1" t="str">
        <f ca="1">IFERROR(__xludf.DUMMYFUNCTION("GOOGLETRANSLATE(A3350, ""en"", ""fr"")"),"EXCENTRICITÉ")</f>
        <v>EXCENTRICITÉ</v>
      </c>
      <c r="C3350" s="1" t="s">
        <v>192</v>
      </c>
      <c r="E3350" s="1" t="s">
        <v>16613</v>
      </c>
      <c r="W3350" s="1" t="s">
        <v>19</v>
      </c>
      <c r="CM3350" s="1" t="s">
        <v>87</v>
      </c>
      <c r="CR3350" s="1" t="s">
        <v>92</v>
      </c>
      <c r="GD3350" s="1" t="s">
        <v>193</v>
      </c>
      <c r="GE3350" s="1" t="s">
        <v>190</v>
      </c>
    </row>
    <row r="3351" spans="1:187" ht="11.25" customHeight="1">
      <c r="A3351" s="1" t="s">
        <v>4757</v>
      </c>
      <c r="B3351" s="1" t="str">
        <f ca="1">IFERROR(__xludf.DUMMYFUNCTION("GOOGLETRANSLATE(A3351, ""en"", ""fr"")"),"ECCLÉSIASTIQUE")</f>
        <v>ECCLÉSIASTIQUE</v>
      </c>
      <c r="C3351" s="1" t="s">
        <v>196</v>
      </c>
      <c r="EF3351" s="1" t="s">
        <v>132</v>
      </c>
      <c r="EJ3351" s="1" t="s">
        <v>136</v>
      </c>
      <c r="GD3351" s="1" t="s">
        <v>202</v>
      </c>
    </row>
    <row r="3352" spans="1:187" ht="11.25" customHeight="1">
      <c r="A3352" s="1" t="s">
        <v>4758</v>
      </c>
      <c r="B3352" s="1" t="str">
        <f ca="1">IFERROR(__xludf.DUMMYFUNCTION("GOOGLETRANSLATE(A3352, ""en"", ""fr"")"),"Echo # 1")</f>
        <v>Echo # 1</v>
      </c>
      <c r="C3352" s="1" t="s">
        <v>185</v>
      </c>
      <c r="CR3352" s="1" t="s">
        <v>92</v>
      </c>
      <c r="GD3352" s="1" t="s">
        <v>193</v>
      </c>
      <c r="GE3352" s="1" t="s">
        <v>190</v>
      </c>
    </row>
    <row r="3353" spans="1:187" ht="11.25" customHeight="1">
      <c r="A3353" s="1" t="s">
        <v>4759</v>
      </c>
      <c r="B3353" s="1" t="str">
        <f ca="1">IFERROR(__xludf.DUMMYFUNCTION("GOOGLETRANSLATE(A3353, ""en"", ""fr"")"),"Echo # 2")</f>
        <v>Echo # 2</v>
      </c>
      <c r="C3353" s="1" t="s">
        <v>185</v>
      </c>
      <c r="CK3353" s="1" t="s">
        <v>85</v>
      </c>
      <c r="DO3353" s="1" t="s">
        <v>115</v>
      </c>
      <c r="GD3353" s="1" t="s">
        <v>189</v>
      </c>
      <c r="GE3353" s="1" t="s">
        <v>190</v>
      </c>
    </row>
    <row r="3354" spans="1:187" ht="11.25" customHeight="1">
      <c r="A3354" s="1" t="s">
        <v>4760</v>
      </c>
      <c r="B3354" s="1" t="str">
        <f ca="1">IFERROR(__xludf.DUMMYFUNCTION("GOOGLETRANSLATE(A3354, ""en"", ""fr"")"),"ÉCONOMIQUE")</f>
        <v>ÉCONOMIQUE</v>
      </c>
      <c r="C3354" s="1" t="s">
        <v>185</v>
      </c>
      <c r="Z3354" s="1" t="s">
        <v>22</v>
      </c>
      <c r="AA3354" s="1" t="s">
        <v>23</v>
      </c>
      <c r="AC3354" s="1" t="s">
        <v>25</v>
      </c>
      <c r="AH3354" s="1" t="s">
        <v>30</v>
      </c>
      <c r="EV3354" s="1" t="s">
        <v>148</v>
      </c>
      <c r="EW3354" s="1" t="s">
        <v>149</v>
      </c>
      <c r="GD3354" s="1" t="s">
        <v>202</v>
      </c>
      <c r="GE3354" s="1" t="s">
        <v>4761</v>
      </c>
    </row>
    <row r="3355" spans="1:187" ht="11.25" customHeight="1">
      <c r="A3355" s="1" t="s">
        <v>4762</v>
      </c>
      <c r="B3355" s="1" t="str">
        <f ca="1">IFERROR(__xludf.DUMMYFUNCTION("GOOGLETRANSLATE(A3355, ""en"", ""fr"")"),"ÉCONOMIQUE")</f>
        <v>ÉCONOMIQUE</v>
      </c>
      <c r="C3355" s="1" t="s">
        <v>185</v>
      </c>
      <c r="U3355" s="1" t="s">
        <v>17</v>
      </c>
      <c r="AA3355" s="1" t="s">
        <v>23</v>
      </c>
      <c r="AC3355" s="1" t="s">
        <v>25</v>
      </c>
      <c r="EV3355" s="1" t="s">
        <v>148</v>
      </c>
      <c r="EW3355" s="1" t="s">
        <v>149</v>
      </c>
      <c r="GD3355" s="1" t="s">
        <v>202</v>
      </c>
      <c r="GE3355" s="1" t="s">
        <v>190</v>
      </c>
    </row>
    <row r="3356" spans="1:187" ht="11.25" customHeight="1">
      <c r="A3356" s="1" t="s">
        <v>4763</v>
      </c>
      <c r="B3356" s="1" t="str">
        <f ca="1">IFERROR(__xludf.DUMMYFUNCTION("GOOGLETRANSLATE(A3356, ""en"", ""fr"")"),"ÉCONOMIE")</f>
        <v>ÉCONOMIE</v>
      </c>
      <c r="C3356" s="1" t="s">
        <v>185</v>
      </c>
      <c r="Y3356" s="1" t="s">
        <v>21</v>
      </c>
      <c r="Z3356" s="1" t="s">
        <v>22</v>
      </c>
      <c r="AA3356" s="1" t="s">
        <v>23</v>
      </c>
      <c r="EV3356" s="1" t="s">
        <v>148</v>
      </c>
      <c r="EW3356" s="1" t="s">
        <v>149</v>
      </c>
      <c r="GD3356" s="1" t="s">
        <v>193</v>
      </c>
      <c r="GE3356" s="1" t="s">
        <v>190</v>
      </c>
    </row>
    <row r="3357" spans="1:187" ht="11.25" customHeight="1">
      <c r="A3357" s="1" t="s">
        <v>4764</v>
      </c>
      <c r="B3357" s="1" t="str">
        <f ca="1">IFERROR(__xludf.DUMMYFUNCTION("GOOGLETRANSLATE(A3357, ""en"", ""fr"")"),"ÉCONOMISTE")</f>
        <v>ÉCONOMISTE</v>
      </c>
      <c r="C3357" s="1" t="s">
        <v>196</v>
      </c>
      <c r="EV3357" s="1" t="s">
        <v>148</v>
      </c>
      <c r="EW3357" s="1" t="s">
        <v>149</v>
      </c>
      <c r="GD3357" s="1" t="s">
        <v>448</v>
      </c>
    </row>
    <row r="3358" spans="1:187" ht="11.25" customHeight="1">
      <c r="A3358" s="1" t="s">
        <v>4765</v>
      </c>
      <c r="B3358" s="1" t="str">
        <f ca="1">IFERROR(__xludf.DUMMYFUNCTION("GOOGLETRANSLATE(A3358, ""en"", ""fr"")"),"ÉCONOMISER")</f>
        <v>ÉCONOMISER</v>
      </c>
      <c r="C3358" s="1" t="s">
        <v>192</v>
      </c>
      <c r="D3358" s="1" t="s">
        <v>16612</v>
      </c>
      <c r="N3358" s="1" t="s">
        <v>10</v>
      </c>
      <c r="AA3358" s="1" t="s">
        <v>23</v>
      </c>
      <c r="AB3358" s="1" t="s">
        <v>24</v>
      </c>
      <c r="DN3358" s="1" t="s">
        <v>114</v>
      </c>
      <c r="GD3358" s="1" t="s">
        <v>189</v>
      </c>
      <c r="GE3358" s="1" t="s">
        <v>190</v>
      </c>
    </row>
    <row r="3359" spans="1:187" ht="11.25" customHeight="1">
      <c r="A3359" s="1" t="s">
        <v>4766</v>
      </c>
      <c r="B3359" s="1" t="str">
        <f ca="1">IFERROR(__xludf.DUMMYFUNCTION("GOOGLETRANSLATE(A3359, ""en"", ""fr"")"),"ÉCONOMIE")</f>
        <v>ÉCONOMIE</v>
      </c>
      <c r="C3359" s="1" t="s">
        <v>185</v>
      </c>
      <c r="Z3359" s="1" t="s">
        <v>22</v>
      </c>
      <c r="AA3359" s="1" t="s">
        <v>23</v>
      </c>
      <c r="AC3359" s="1" t="s">
        <v>25</v>
      </c>
      <c r="AH3359" s="1" t="s">
        <v>30</v>
      </c>
      <c r="EV3359" s="1" t="s">
        <v>148</v>
      </c>
      <c r="EW3359" s="1" t="s">
        <v>149</v>
      </c>
      <c r="GD3359" s="1" t="s">
        <v>193</v>
      </c>
      <c r="GE3359" s="1" t="s">
        <v>190</v>
      </c>
    </row>
    <row r="3360" spans="1:187" ht="11.25" customHeight="1">
      <c r="A3360" s="1" t="s">
        <v>4767</v>
      </c>
      <c r="B3360" s="1" t="str">
        <f ca="1">IFERROR(__xludf.DUMMYFUNCTION("GOOGLETRANSLATE(A3360, ""en"", ""fr"")"),"ECSC")</f>
        <v>ECSC</v>
      </c>
      <c r="C3360" s="1" t="s">
        <v>196</v>
      </c>
      <c r="GD3360" s="1" t="s">
        <v>2981</v>
      </c>
    </row>
    <row r="3361" spans="1:187" ht="11.25" customHeight="1">
      <c r="A3361" s="1" t="s">
        <v>4768</v>
      </c>
      <c r="B3361" s="1" t="str">
        <f ca="1">IFERROR(__xludf.DUMMYFUNCTION("GOOGLETRANSLATE(A3361, ""en"", ""fr"")"),"EXTASE")</f>
        <v>EXTASE</v>
      </c>
      <c r="C3361" s="1" t="s">
        <v>192</v>
      </c>
      <c r="D3361" s="1" t="s">
        <v>16612</v>
      </c>
      <c r="P3361" s="1" t="s">
        <v>12</v>
      </c>
      <c r="T3361" s="1" t="s">
        <v>16</v>
      </c>
      <c r="GD3361" s="1" t="s">
        <v>193</v>
      </c>
      <c r="GE3361" s="1" t="s">
        <v>190</v>
      </c>
    </row>
    <row r="3362" spans="1:187" ht="11.25" customHeight="1">
      <c r="A3362" s="1" t="s">
        <v>4769</v>
      </c>
      <c r="B3362" s="1" t="str">
        <f ca="1">IFERROR(__xludf.DUMMYFUNCTION("GOOGLETRANSLATE(A3362, ""en"", ""fr"")"),"EN EXTASE")</f>
        <v>EN EXTASE</v>
      </c>
      <c r="C3362" s="1" t="s">
        <v>192</v>
      </c>
      <c r="D3362" s="1" t="s">
        <v>16612</v>
      </c>
      <c r="P3362" s="1" t="s">
        <v>12</v>
      </c>
      <c r="T3362" s="1" t="s">
        <v>16</v>
      </c>
      <c r="DR3362" s="1" t="s">
        <v>118</v>
      </c>
      <c r="GD3362" s="1" t="s">
        <v>202</v>
      </c>
      <c r="GE3362" s="1" t="s">
        <v>190</v>
      </c>
    </row>
    <row r="3363" spans="1:187" ht="11.25" customHeight="1">
      <c r="A3363" s="1" t="s">
        <v>4770</v>
      </c>
      <c r="B3363" s="1" t="str">
        <f ca="1">IFERROR(__xludf.DUMMYFUNCTION("GOOGLETRANSLATE(A3363, ""en"", ""fr"")"),"Equateur")</f>
        <v>Equateur</v>
      </c>
      <c r="C3363" s="1" t="s">
        <v>196</v>
      </c>
      <c r="FU3363" s="1" t="s">
        <v>173</v>
      </c>
      <c r="GD3363" s="1" t="s">
        <v>545</v>
      </c>
    </row>
    <row r="3364" spans="1:187" ht="11.25" customHeight="1">
      <c r="A3364" s="1" t="s">
        <v>4771</v>
      </c>
      <c r="B3364" s="1" t="str">
        <f ca="1">IFERROR(__xludf.DUMMYFUNCTION("GOOGLETRANSLATE(A3364, ""en"", ""fr"")"),"ŒCUMÉNIQUE")</f>
        <v>ŒCUMÉNIQUE</v>
      </c>
      <c r="C3364" s="1" t="s">
        <v>185</v>
      </c>
      <c r="Z3364" s="1" t="s">
        <v>22</v>
      </c>
      <c r="AH3364" s="1" t="s">
        <v>30</v>
      </c>
      <c r="AI3364" s="1" t="s">
        <v>31</v>
      </c>
      <c r="EF3364" s="1" t="s">
        <v>132</v>
      </c>
      <c r="EJ3364" s="1" t="s">
        <v>136</v>
      </c>
      <c r="GD3364" s="1" t="s">
        <v>202</v>
      </c>
      <c r="GE3364" s="1" t="s">
        <v>190</v>
      </c>
    </row>
    <row r="3365" spans="1:187" ht="11.25" customHeight="1">
      <c r="A3365" s="1" t="s">
        <v>4772</v>
      </c>
      <c r="B3365" s="1" t="str">
        <f ca="1">IFERROR(__xludf.DUMMYFUNCTION("GOOGLETRANSLATE(A3365, ""en"", ""fr"")"),"EDC")</f>
        <v>EDC</v>
      </c>
      <c r="C3365" s="1" t="s">
        <v>196</v>
      </c>
      <c r="GD3365" s="1" t="s">
        <v>2981</v>
      </c>
    </row>
    <row r="3366" spans="1:187" ht="11.25" customHeight="1">
      <c r="A3366" s="1" t="s">
        <v>4773</v>
      </c>
      <c r="B3366" s="1" t="str">
        <f ca="1">IFERROR(__xludf.DUMMYFUNCTION("GOOGLETRANSLATE(A3366, ""en"", ""fr"")"),"Bord n ​​° 1")</f>
        <v>Bord n ​​° 1</v>
      </c>
      <c r="C3366" s="1" t="s">
        <v>185</v>
      </c>
      <c r="DA3366" s="1" t="s">
        <v>101</v>
      </c>
      <c r="GD3366" s="1" t="s">
        <v>849</v>
      </c>
      <c r="GE3366" s="1" t="s">
        <v>4774</v>
      </c>
    </row>
    <row r="3367" spans="1:187" ht="11.25" customHeight="1">
      <c r="A3367" s="1" t="s">
        <v>4775</v>
      </c>
      <c r="B3367" s="1" t="str">
        <f ca="1">IFERROR(__xludf.DUMMYFUNCTION("GOOGLETRANSLATE(A3367, ""en"", ""fr"")"),"Bord n ​​° 2")</f>
        <v>Bord n ​​° 2</v>
      </c>
      <c r="C3367" s="1" t="s">
        <v>185</v>
      </c>
      <c r="CE3367" s="1" t="s">
        <v>79</v>
      </c>
      <c r="DN3367" s="1" t="s">
        <v>114</v>
      </c>
      <c r="GD3367" s="1" t="s">
        <v>189</v>
      </c>
      <c r="GE3367" s="1" t="s">
        <v>4776</v>
      </c>
    </row>
    <row r="3368" spans="1:187" ht="11.25" customHeight="1">
      <c r="A3368" s="1" t="s">
        <v>4777</v>
      </c>
      <c r="B3368" s="1" t="str">
        <f ca="1">IFERROR(__xludf.DUMMYFUNCTION("GOOGLETRANSLATE(A3368, ""en"", ""fr"")"),"Bord n ​​° 3")</f>
        <v>Bord n ​​° 3</v>
      </c>
      <c r="C3368" s="1" t="s">
        <v>185</v>
      </c>
      <c r="U3368" s="1" t="s">
        <v>17</v>
      </c>
      <c r="GD3368" s="1" t="s">
        <v>193</v>
      </c>
      <c r="GE3368" s="1" t="s">
        <v>4778</v>
      </c>
    </row>
    <row r="3369" spans="1:187" ht="11.25" customHeight="1">
      <c r="A3369" s="1" t="s">
        <v>4779</v>
      </c>
      <c r="B3369" s="1" t="str">
        <f ca="1">IFERROR(__xludf.DUMMYFUNCTION("GOOGLETRANSLATE(A3369, ""en"", ""fr"")"),"Bord n ​​° 4")</f>
        <v>Bord n ​​° 4</v>
      </c>
      <c r="C3369" s="1" t="s">
        <v>185</v>
      </c>
      <c r="E3369" s="1" t="s">
        <v>16613</v>
      </c>
      <c r="H3369" s="1" t="s">
        <v>4</v>
      </c>
      <c r="L3369" s="1" t="s">
        <v>8</v>
      </c>
      <c r="Q3369" s="1" t="s">
        <v>13</v>
      </c>
      <c r="T3369" s="1" t="s">
        <v>16</v>
      </c>
      <c r="FA3369" s="1" t="s">
        <v>153</v>
      </c>
      <c r="FC3369" s="1" t="s">
        <v>155</v>
      </c>
      <c r="GD3369" s="1" t="s">
        <v>202</v>
      </c>
      <c r="GE3369" s="1" t="s">
        <v>4780</v>
      </c>
    </row>
    <row r="3370" spans="1:187" ht="11.25" customHeight="1">
      <c r="A3370" s="1" t="s">
        <v>4781</v>
      </c>
      <c r="B3370" s="1" t="str">
        <f ca="1">IFERROR(__xludf.DUMMYFUNCTION("GOOGLETRANSLATE(A3370, ""en"", ""fr"")"),"COMESTIBLE")</f>
        <v>COMESTIBLE</v>
      </c>
      <c r="C3370" s="1" t="s">
        <v>192</v>
      </c>
      <c r="D3370" s="1" t="s">
        <v>16612</v>
      </c>
      <c r="BU3370" s="1" t="s">
        <v>69</v>
      </c>
      <c r="CM3370" s="1" t="s">
        <v>87</v>
      </c>
      <c r="CR3370" s="1" t="s">
        <v>92</v>
      </c>
      <c r="DR3370" s="1" t="s">
        <v>118</v>
      </c>
      <c r="GD3370" s="1" t="s">
        <v>202</v>
      </c>
      <c r="GE3370" s="1" t="s">
        <v>190</v>
      </c>
    </row>
    <row r="3371" spans="1:187" ht="11.25" customHeight="1">
      <c r="A3371" s="1" t="s">
        <v>4782</v>
      </c>
      <c r="B3371" s="1" t="str">
        <f ca="1">IFERROR(__xludf.DUMMYFUNCTION("GOOGLETRANSLATE(A3371, ""en"", ""fr"")"),"EDINBOURG")</f>
        <v>EDINBOURG</v>
      </c>
      <c r="C3371" s="1" t="s">
        <v>185</v>
      </c>
      <c r="AC3371" s="1" t="s">
        <v>25</v>
      </c>
      <c r="AH3371" s="1" t="s">
        <v>30</v>
      </c>
      <c r="DI3371" s="1" t="s">
        <v>109</v>
      </c>
      <c r="GD3371" s="1" t="s">
        <v>193</v>
      </c>
      <c r="GE3371" s="1" t="s">
        <v>190</v>
      </c>
    </row>
    <row r="3372" spans="1:187" ht="11.25" customHeight="1">
      <c r="A3372" s="1" t="s">
        <v>4783</v>
      </c>
      <c r="B3372" s="1" t="str">
        <f ca="1">IFERROR(__xludf.DUMMYFUNCTION("GOOGLETRANSLATE(A3372, ""en"", ""fr"")"),"ÉDITION")</f>
        <v>ÉDITION</v>
      </c>
      <c r="C3372" s="1" t="s">
        <v>185</v>
      </c>
      <c r="BC3372" s="1" t="s">
        <v>51</v>
      </c>
      <c r="BH3372" s="1" t="s">
        <v>56</v>
      </c>
      <c r="BL3372" s="1" t="s">
        <v>60</v>
      </c>
      <c r="GD3372" s="1" t="s">
        <v>193</v>
      </c>
      <c r="GE3372" s="1" t="s">
        <v>190</v>
      </c>
    </row>
    <row r="3373" spans="1:187" ht="11.25" customHeight="1">
      <c r="A3373" s="1" t="s">
        <v>4784</v>
      </c>
      <c r="B3373" s="1" t="str">
        <f ca="1">IFERROR(__xludf.DUMMYFUNCTION("GOOGLETRANSLATE(A3373, ""en"", ""fr"")"),"ÉDITEUR")</f>
        <v>ÉDITEUR</v>
      </c>
      <c r="C3373" s="1" t="s">
        <v>185</v>
      </c>
      <c r="J3373" s="1" t="s">
        <v>6</v>
      </c>
      <c r="K3373" s="1" t="s">
        <v>7</v>
      </c>
      <c r="AA3373" s="1" t="s">
        <v>23</v>
      </c>
      <c r="AJ3373" s="1" t="s">
        <v>32</v>
      </c>
      <c r="AT3373" s="1" t="s">
        <v>42</v>
      </c>
      <c r="FG3373" s="1" t="s">
        <v>159</v>
      </c>
      <c r="FI3373" s="1" t="s">
        <v>161</v>
      </c>
      <c r="GD3373" s="1" t="s">
        <v>193</v>
      </c>
      <c r="GE3373" s="1" t="s">
        <v>190</v>
      </c>
    </row>
    <row r="3374" spans="1:187" ht="11.25" customHeight="1">
      <c r="A3374" s="1" t="s">
        <v>4785</v>
      </c>
      <c r="B3374" s="1" t="str">
        <f ca="1">IFERROR(__xludf.DUMMYFUNCTION("GOOGLETRANSLATE(A3374, ""en"", ""fr"")"),"ÉDITORIAL")</f>
        <v>ÉDITORIAL</v>
      </c>
      <c r="C3374" s="1" t="s">
        <v>185</v>
      </c>
      <c r="AH3374" s="1" t="s">
        <v>30</v>
      </c>
      <c r="BK3374" s="1" t="s">
        <v>59</v>
      </c>
      <c r="BL3374" s="1" t="s">
        <v>60</v>
      </c>
      <c r="FH3374" s="1" t="s">
        <v>160</v>
      </c>
      <c r="FI3374" s="1" t="s">
        <v>161</v>
      </c>
      <c r="GD3374" s="1" t="s">
        <v>193</v>
      </c>
      <c r="GE3374" s="1" t="s">
        <v>190</v>
      </c>
    </row>
    <row r="3375" spans="1:187" ht="11.25" customHeight="1">
      <c r="A3375" s="1" t="s">
        <v>4786</v>
      </c>
      <c r="B3375" s="1" t="str">
        <f ca="1">IFERROR(__xludf.DUMMYFUNCTION("GOOGLETRANSLATE(A3375, ""en"", ""fr"")"),"ÉDUQUER")</f>
        <v>ÉDUQUER</v>
      </c>
      <c r="C3375" s="1" t="s">
        <v>185</v>
      </c>
      <c r="J3375" s="1" t="s">
        <v>6</v>
      </c>
      <c r="K3375" s="1" t="s">
        <v>7</v>
      </c>
      <c r="N3375" s="1" t="s">
        <v>10</v>
      </c>
      <c r="Y3375" s="1" t="s">
        <v>21</v>
      </c>
      <c r="BK3375" s="1" t="s">
        <v>59</v>
      </c>
      <c r="DN3375" s="1" t="s">
        <v>114</v>
      </c>
      <c r="FD3375" s="1" t="s">
        <v>156</v>
      </c>
      <c r="FI3375" s="1" t="s">
        <v>161</v>
      </c>
      <c r="GD3375" s="1" t="s">
        <v>189</v>
      </c>
      <c r="GE3375" s="1" t="s">
        <v>4787</v>
      </c>
    </row>
    <row r="3376" spans="1:187" ht="11.25" customHeight="1">
      <c r="A3376" s="1" t="s">
        <v>4788</v>
      </c>
      <c r="B3376" s="1" t="str">
        <f ca="1">IFERROR(__xludf.DUMMYFUNCTION("GOOGLETRANSLATE(A3376, ""en"", ""fr"")"),"Éduqué n ° 1")</f>
        <v>Éduqué n ° 1</v>
      </c>
      <c r="C3376" s="1" t="s">
        <v>185</v>
      </c>
      <c r="D3376" s="1" t="s">
        <v>16612</v>
      </c>
      <c r="F3376" s="1" t="s">
        <v>2</v>
      </c>
      <c r="U3376" s="1" t="s">
        <v>17</v>
      </c>
      <c r="Y3376" s="1" t="s">
        <v>21</v>
      </c>
      <c r="EM3376" s="1" t="s">
        <v>139</v>
      </c>
      <c r="EN3376" s="1" t="s">
        <v>140</v>
      </c>
      <c r="GD3376" s="1" t="s">
        <v>421</v>
      </c>
      <c r="GE3376" s="1" t="s">
        <v>4789</v>
      </c>
    </row>
    <row r="3377" spans="1:187" ht="11.25" customHeight="1">
      <c r="A3377" s="1" t="s">
        <v>4790</v>
      </c>
      <c r="B3377" s="1" t="str">
        <f ca="1">IFERROR(__xludf.DUMMYFUNCTION("GOOGLETRANSLATE(A3377, ""en"", ""fr"")"),"Éduqué n ° 2")</f>
        <v>Éduqué n ° 2</v>
      </c>
      <c r="C3377" s="1" t="s">
        <v>185</v>
      </c>
      <c r="K3377" s="1" t="s">
        <v>7</v>
      </c>
      <c r="Y3377" s="1" t="s">
        <v>21</v>
      </c>
      <c r="BK3377" s="1" t="s">
        <v>59</v>
      </c>
      <c r="DN3377" s="1" t="s">
        <v>114</v>
      </c>
      <c r="FH3377" s="1" t="s">
        <v>160</v>
      </c>
      <c r="FI3377" s="1" t="s">
        <v>161</v>
      </c>
      <c r="GD3377" s="1" t="s">
        <v>1076</v>
      </c>
      <c r="GE3377" s="1" t="s">
        <v>4791</v>
      </c>
    </row>
    <row r="3378" spans="1:187" ht="11.25" customHeight="1">
      <c r="A3378" s="1" t="s">
        <v>4792</v>
      </c>
      <c r="B3378" s="1" t="str">
        <f ca="1">IFERROR(__xludf.DUMMYFUNCTION("GOOGLETRANSLATE(A3378, ""en"", ""fr"")"),"ÉDUCATION")</f>
        <v>ÉDUCATION</v>
      </c>
      <c r="C3378" s="1" t="s">
        <v>185</v>
      </c>
      <c r="D3378" s="1" t="s">
        <v>16612</v>
      </c>
      <c r="F3378" s="1" t="s">
        <v>2</v>
      </c>
      <c r="Y3378" s="1" t="s">
        <v>21</v>
      </c>
      <c r="Z3378" s="1" t="s">
        <v>22</v>
      </c>
      <c r="FH3378" s="1" t="s">
        <v>160</v>
      </c>
      <c r="FI3378" s="1" t="s">
        <v>161</v>
      </c>
      <c r="GD3378" s="1" t="s">
        <v>193</v>
      </c>
      <c r="GE3378" s="1" t="s">
        <v>4793</v>
      </c>
    </row>
    <row r="3379" spans="1:187" ht="11.25" customHeight="1">
      <c r="A3379" s="1" t="s">
        <v>4794</v>
      </c>
      <c r="B3379" s="1" t="str">
        <f ca="1">IFERROR(__xludf.DUMMYFUNCTION("GOOGLETRANSLATE(A3379, ""en"", ""fr"")"),"ÉDUCATIF")</f>
        <v>ÉDUCATIF</v>
      </c>
      <c r="C3379" s="1" t="s">
        <v>185</v>
      </c>
      <c r="D3379" s="1" t="s">
        <v>16612</v>
      </c>
      <c r="F3379" s="1" t="s">
        <v>2</v>
      </c>
      <c r="Y3379" s="1" t="s">
        <v>21</v>
      </c>
      <c r="Z3379" s="1" t="s">
        <v>22</v>
      </c>
      <c r="FH3379" s="1" t="s">
        <v>160</v>
      </c>
      <c r="FI3379" s="1" t="s">
        <v>161</v>
      </c>
      <c r="GD3379" s="1" t="s">
        <v>202</v>
      </c>
      <c r="GE3379" s="1" t="s">
        <v>4795</v>
      </c>
    </row>
    <row r="3380" spans="1:187" ht="11.25" customHeight="1">
      <c r="A3380" s="1" t="s">
        <v>4796</v>
      </c>
      <c r="B3380" s="1" t="str">
        <f ca="1">IFERROR(__xludf.DUMMYFUNCTION("GOOGLETRANSLATE(A3380, ""en"", ""fr"")"),"ÉDUCATEUR")</f>
        <v>ÉDUCATEUR</v>
      </c>
      <c r="C3380" s="1" t="s">
        <v>196</v>
      </c>
      <c r="FG3380" s="1" t="s">
        <v>159</v>
      </c>
      <c r="FI3380" s="1" t="s">
        <v>161</v>
      </c>
      <c r="GD3380" s="1" t="s">
        <v>448</v>
      </c>
    </row>
    <row r="3381" spans="1:187" ht="11.25" customHeight="1">
      <c r="A3381" s="1" t="s">
        <v>4797</v>
      </c>
      <c r="B3381" s="1" t="str">
        <f ca="1">IFERROR(__xludf.DUMMYFUNCTION("GOOGLETRANSLATE(A3381, ""en"", ""fr"")"),"EEC")</f>
        <v>EEC</v>
      </c>
      <c r="C3381" s="1" t="s">
        <v>196</v>
      </c>
      <c r="GD3381" s="1" t="s">
        <v>2981</v>
      </c>
    </row>
    <row r="3382" spans="1:187" ht="11.25" customHeight="1">
      <c r="A3382" s="1" t="s">
        <v>4798</v>
      </c>
      <c r="B3382" s="1" t="str">
        <f ca="1">IFERROR(__xludf.DUMMYFUNCTION("GOOGLETRANSLATE(A3382, ""en"", ""fr"")"),"Effet n ° 1")</f>
        <v>Effet n ° 1</v>
      </c>
      <c r="C3382" s="1" t="s">
        <v>185</v>
      </c>
      <c r="O3382" s="1" t="s">
        <v>11</v>
      </c>
      <c r="CI3382" s="1" t="s">
        <v>83</v>
      </c>
      <c r="CP3382" s="1" t="s">
        <v>90</v>
      </c>
      <c r="CQ3382" s="1" t="s">
        <v>91</v>
      </c>
      <c r="FR3382" s="1" t="s">
        <v>170</v>
      </c>
      <c r="GD3382" s="1" t="s">
        <v>193</v>
      </c>
      <c r="GE3382" s="1" t="s">
        <v>4799</v>
      </c>
    </row>
    <row r="3383" spans="1:187" ht="11.25" customHeight="1">
      <c r="A3383" s="1" t="s">
        <v>4800</v>
      </c>
      <c r="B3383" s="1" t="str">
        <f ca="1">IFERROR(__xludf.DUMMYFUNCTION("GOOGLETRANSLATE(A3383, ""en"", ""fr"")"),"Effet n ° 2")</f>
        <v>Effet n ° 2</v>
      </c>
      <c r="C3383" s="1" t="s">
        <v>185</v>
      </c>
      <c r="J3383" s="1" t="s">
        <v>6</v>
      </c>
      <c r="K3383" s="1" t="s">
        <v>7</v>
      </c>
      <c r="N3383" s="1" t="s">
        <v>10</v>
      </c>
      <c r="CI3383" s="1" t="s">
        <v>83</v>
      </c>
      <c r="DN3383" s="1" t="s">
        <v>114</v>
      </c>
      <c r="EC3383" s="1" t="s">
        <v>129</v>
      </c>
      <c r="ED3383" s="1" t="s">
        <v>130</v>
      </c>
      <c r="GD3383" s="1" t="s">
        <v>189</v>
      </c>
      <c r="GE3383" s="1" t="s">
        <v>4801</v>
      </c>
    </row>
    <row r="3384" spans="1:187" ht="11.25" customHeight="1">
      <c r="A3384" s="1" t="s">
        <v>4802</v>
      </c>
      <c r="B3384" s="1" t="str">
        <f ca="1">IFERROR(__xludf.DUMMYFUNCTION("GOOGLETRANSLATE(A3384, ""en"", ""fr"")"),"Effet n ° 3")</f>
        <v>Effet n ° 3</v>
      </c>
      <c r="C3384" s="1" t="s">
        <v>185</v>
      </c>
      <c r="N3384" s="1" t="s">
        <v>10</v>
      </c>
      <c r="CI3384" s="1" t="s">
        <v>83</v>
      </c>
      <c r="FR3384" s="1" t="s">
        <v>170</v>
      </c>
      <c r="GD3384" s="1" t="s">
        <v>193</v>
      </c>
      <c r="GE3384" s="1" t="s">
        <v>4803</v>
      </c>
    </row>
    <row r="3385" spans="1:187" ht="11.25" customHeight="1">
      <c r="A3385" s="1" t="s">
        <v>4804</v>
      </c>
      <c r="B3385" s="1" t="str">
        <f ca="1">IFERROR(__xludf.DUMMYFUNCTION("GOOGLETRANSLATE(A3385, ""en"", ""fr"")"),"Effet n ° 4")</f>
        <v>Effet n ° 4</v>
      </c>
      <c r="C3385" s="1" t="s">
        <v>185</v>
      </c>
      <c r="W3385" s="1" t="s">
        <v>19</v>
      </c>
      <c r="GD3385" s="1" t="s">
        <v>236</v>
      </c>
      <c r="GE3385" s="1" t="s">
        <v>4805</v>
      </c>
    </row>
    <row r="3386" spans="1:187" ht="11.25" customHeight="1">
      <c r="A3386" s="1" t="s">
        <v>4806</v>
      </c>
      <c r="B3386" s="1" t="str">
        <f ca="1">IFERROR(__xludf.DUMMYFUNCTION("GOOGLETRANSLATE(A3386, ""en"", ""fr"")"),"Effet n ° 5")</f>
        <v>Effet n ° 5</v>
      </c>
      <c r="C3386" s="1" t="s">
        <v>185</v>
      </c>
      <c r="N3386" s="1" t="s">
        <v>10</v>
      </c>
      <c r="BQ3386" s="1" t="s">
        <v>65</v>
      </c>
      <c r="GD3386" s="1" t="s">
        <v>202</v>
      </c>
      <c r="GE3386" s="1" t="s">
        <v>4807</v>
      </c>
    </row>
    <row r="3387" spans="1:187" ht="11.25" customHeight="1">
      <c r="A3387" s="1" t="s">
        <v>4808</v>
      </c>
      <c r="B3387" s="1" t="str">
        <f ca="1">IFERROR(__xludf.DUMMYFUNCTION("GOOGLETRANSLATE(A3387, ""en"", ""fr"")"),"Effet n ° 6")</f>
        <v>Effet n ° 6</v>
      </c>
      <c r="C3387" s="1" t="s">
        <v>185</v>
      </c>
      <c r="BC3387" s="1" t="s">
        <v>51</v>
      </c>
      <c r="BD3387" s="1" t="s">
        <v>52</v>
      </c>
      <c r="GD3387" s="1" t="s">
        <v>193</v>
      </c>
      <c r="GE3387" s="1" t="s">
        <v>4809</v>
      </c>
    </row>
    <row r="3388" spans="1:187" ht="11.25" customHeight="1">
      <c r="A3388" s="1" t="s">
        <v>4810</v>
      </c>
      <c r="B3388" s="1" t="str">
        <f ca="1">IFERROR(__xludf.DUMMYFUNCTION("GOOGLETRANSLATE(A3388, ""en"", ""fr"")"),"EFFICACE")</f>
        <v>EFFICACE</v>
      </c>
      <c r="C3388" s="1" t="s">
        <v>185</v>
      </c>
      <c r="D3388" s="1" t="s">
        <v>16612</v>
      </c>
      <c r="F3388" s="1" t="s">
        <v>2</v>
      </c>
      <c r="J3388" s="1" t="s">
        <v>6</v>
      </c>
      <c r="N3388" s="1" t="s">
        <v>10</v>
      </c>
      <c r="U3388" s="1" t="s">
        <v>17</v>
      </c>
      <c r="CN3388" s="1" t="s">
        <v>88</v>
      </c>
      <c r="FL3388" s="1" t="s">
        <v>164</v>
      </c>
      <c r="FM3388" s="1" t="s">
        <v>418</v>
      </c>
      <c r="GD3388" s="1" t="s">
        <v>202</v>
      </c>
      <c r="GE3388" s="1" t="s">
        <v>4811</v>
      </c>
    </row>
    <row r="3389" spans="1:187" ht="11.25" customHeight="1">
      <c r="A3389" s="1" t="s">
        <v>4812</v>
      </c>
      <c r="B3389" s="1" t="str">
        <f ca="1">IFERROR(__xludf.DUMMYFUNCTION("GOOGLETRANSLATE(A3389, ""en"", ""fr"")"),"EFFICACITÉ")</f>
        <v>EFFICACITÉ</v>
      </c>
      <c r="C3389" s="1" t="s">
        <v>185</v>
      </c>
      <c r="D3389" s="1" t="s">
        <v>16612</v>
      </c>
      <c r="F3389" s="1" t="s">
        <v>2</v>
      </c>
      <c r="J3389" s="1" t="s">
        <v>6</v>
      </c>
      <c r="N3389" s="1" t="s">
        <v>10</v>
      </c>
      <c r="U3389" s="1" t="s">
        <v>17</v>
      </c>
      <c r="FL3389" s="1" t="s">
        <v>164</v>
      </c>
      <c r="FM3389" s="1" t="s">
        <v>418</v>
      </c>
      <c r="GD3389" s="1" t="s">
        <v>193</v>
      </c>
      <c r="GE3389" s="1" t="s">
        <v>190</v>
      </c>
    </row>
    <row r="3390" spans="1:187" ht="11.25" customHeight="1">
      <c r="A3390" s="1" t="s">
        <v>4813</v>
      </c>
      <c r="B3390" s="1" t="str">
        <f ca="1">IFERROR(__xludf.DUMMYFUNCTION("GOOGLETRANSLATE(A3390, ""en"", ""fr"")"),"EFFICACITÉ")</f>
        <v>EFFICACITÉ</v>
      </c>
      <c r="C3390" s="1" t="s">
        <v>185</v>
      </c>
      <c r="D3390" s="1" t="s">
        <v>16612</v>
      </c>
      <c r="F3390" s="1" t="s">
        <v>2</v>
      </c>
      <c r="J3390" s="1" t="s">
        <v>6</v>
      </c>
      <c r="N3390" s="1" t="s">
        <v>10</v>
      </c>
      <c r="U3390" s="1" t="s">
        <v>17</v>
      </c>
      <c r="CP3390" s="1" t="s">
        <v>90</v>
      </c>
      <c r="CQ3390" s="1" t="s">
        <v>91</v>
      </c>
      <c r="GD3390" s="1" t="s">
        <v>193</v>
      </c>
      <c r="GE3390" s="1" t="s">
        <v>190</v>
      </c>
    </row>
    <row r="3391" spans="1:187" ht="11.25" customHeight="1">
      <c r="A3391" s="1" t="s">
        <v>4814</v>
      </c>
      <c r="B3391" s="1" t="str">
        <f ca="1">IFERROR(__xludf.DUMMYFUNCTION("GOOGLETRANSLATE(A3391, ""en"", ""fr"")"),"EFFICACITÉ")</f>
        <v>EFFICACITÉ</v>
      </c>
      <c r="C3391" s="1" t="s">
        <v>185</v>
      </c>
      <c r="D3391" s="1" t="s">
        <v>16612</v>
      </c>
      <c r="F3391" s="1" t="s">
        <v>2</v>
      </c>
      <c r="J3391" s="1" t="s">
        <v>6</v>
      </c>
      <c r="U3391" s="1" t="s">
        <v>17</v>
      </c>
      <c r="CP3391" s="1" t="s">
        <v>90</v>
      </c>
      <c r="CQ3391" s="1" t="s">
        <v>91</v>
      </c>
      <c r="FL3391" s="1" t="s">
        <v>164</v>
      </c>
      <c r="FM3391" s="1" t="s">
        <v>418</v>
      </c>
      <c r="GD3391" s="1" t="s">
        <v>193</v>
      </c>
      <c r="GE3391" s="1" t="s">
        <v>190</v>
      </c>
    </row>
    <row r="3392" spans="1:187" ht="11.25" customHeight="1">
      <c r="A3392" s="1" t="s">
        <v>4815</v>
      </c>
      <c r="B3392" s="1" t="str">
        <f ca="1">IFERROR(__xludf.DUMMYFUNCTION("GOOGLETRANSLATE(A3392, ""en"", ""fr"")"),"EFFICACE")</f>
        <v>EFFICACE</v>
      </c>
      <c r="C3392" s="1" t="s">
        <v>185</v>
      </c>
      <c r="D3392" s="1" t="s">
        <v>16612</v>
      </c>
      <c r="F3392" s="1" t="s">
        <v>2</v>
      </c>
      <c r="J3392" s="1" t="s">
        <v>6</v>
      </c>
      <c r="U3392" s="1" t="s">
        <v>17</v>
      </c>
      <c r="CN3392" s="1" t="s">
        <v>88</v>
      </c>
      <c r="FL3392" s="1" t="s">
        <v>164</v>
      </c>
      <c r="FM3392" s="1" t="s">
        <v>418</v>
      </c>
      <c r="GD3392" s="1" t="s">
        <v>202</v>
      </c>
      <c r="GE3392" s="1" t="s">
        <v>190</v>
      </c>
    </row>
    <row r="3393" spans="1:187" ht="11.25" customHeight="1">
      <c r="A3393" s="1" t="s">
        <v>4816</v>
      </c>
      <c r="B3393" s="1" t="str">
        <f ca="1">IFERROR(__xludf.DUMMYFUNCTION("GOOGLETRANSLATE(A3393, ""en"", ""fr"")"),"EFFORT")</f>
        <v>EFFORT</v>
      </c>
      <c r="C3393" s="1" t="s">
        <v>185</v>
      </c>
      <c r="N3393" s="1" t="s">
        <v>10</v>
      </c>
      <c r="CC3393" s="1" t="s">
        <v>77</v>
      </c>
      <c r="CP3393" s="1" t="s">
        <v>90</v>
      </c>
      <c r="CQ3393" s="1" t="s">
        <v>91</v>
      </c>
      <c r="FR3393" s="1" t="s">
        <v>170</v>
      </c>
      <c r="GD3393" s="1" t="s">
        <v>193</v>
      </c>
      <c r="GE3393" s="1" t="s">
        <v>4817</v>
      </c>
    </row>
    <row r="3394" spans="1:187" ht="11.25" customHeight="1">
      <c r="A3394" s="1" t="s">
        <v>4818</v>
      </c>
      <c r="B3394" s="1" t="str">
        <f ca="1">IFERROR(__xludf.DUMMYFUNCTION("GOOGLETRANSLATE(A3394, ""en"", ""fr"")"),"EFT")</f>
        <v>EFT</v>
      </c>
      <c r="C3394" s="1" t="s">
        <v>196</v>
      </c>
      <c r="GD3394" s="1" t="s">
        <v>2981</v>
      </c>
    </row>
    <row r="3395" spans="1:187" ht="11.25" customHeight="1">
      <c r="A3395" s="1" t="s">
        <v>4819</v>
      </c>
      <c r="B3395" s="1" t="str">
        <f ca="1">IFERROR(__xludf.DUMMYFUNCTION("GOOGLETRANSLATE(A3395, ""en"", ""fr"")"),"ŒUF")</f>
        <v>ŒUF</v>
      </c>
      <c r="C3395" s="1" t="s">
        <v>185</v>
      </c>
      <c r="BC3395" s="1" t="s">
        <v>51</v>
      </c>
      <c r="BE3395" s="1" t="s">
        <v>53</v>
      </c>
      <c r="EZ3395" s="1" t="s">
        <v>152</v>
      </c>
      <c r="FC3395" s="1" t="s">
        <v>155</v>
      </c>
      <c r="GD3395" s="1" t="s">
        <v>193</v>
      </c>
      <c r="GE3395" s="1" t="s">
        <v>190</v>
      </c>
    </row>
    <row r="3396" spans="1:187" ht="11.25" customHeight="1">
      <c r="A3396" s="1" t="s">
        <v>4820</v>
      </c>
      <c r="B3396" s="1" t="str">
        <f ca="1">IFERROR(__xludf.DUMMYFUNCTION("GOOGLETRANSLATE(A3396, ""en"", ""fr"")"),"EGO")</f>
        <v>EGO</v>
      </c>
      <c r="C3396" s="1" t="s">
        <v>185</v>
      </c>
      <c r="AJ3396" s="1" t="s">
        <v>32</v>
      </c>
      <c r="AT3396" s="1" t="s">
        <v>42</v>
      </c>
      <c r="FA3396" s="1" t="s">
        <v>153</v>
      </c>
      <c r="FC3396" s="1" t="s">
        <v>155</v>
      </c>
      <c r="GD3396" s="1" t="s">
        <v>193</v>
      </c>
      <c r="GE3396" s="1" t="s">
        <v>190</v>
      </c>
    </row>
    <row r="3397" spans="1:187" ht="11.25" customHeight="1">
      <c r="A3397" s="1" t="s">
        <v>4821</v>
      </c>
      <c r="B3397" s="1" t="str">
        <f ca="1">IFERROR(__xludf.DUMMYFUNCTION("GOOGLETRANSLATE(A3397, ""en"", ""fr"")"),"Égoïste")</f>
        <v>Égoïste</v>
      </c>
      <c r="C3397" s="1" t="s">
        <v>192</v>
      </c>
      <c r="E3397" s="1" t="s">
        <v>16613</v>
      </c>
      <c r="I3397" s="1" t="s">
        <v>5</v>
      </c>
      <c r="K3397" s="1" t="s">
        <v>7</v>
      </c>
      <c r="V3397" s="1" t="s">
        <v>18</v>
      </c>
      <c r="DR3397" s="1" t="s">
        <v>118</v>
      </c>
      <c r="GD3397" s="1" t="s">
        <v>202</v>
      </c>
      <c r="GE3397" s="1" t="s">
        <v>190</v>
      </c>
    </row>
    <row r="3398" spans="1:187" ht="11.25" customHeight="1">
      <c r="A3398" s="1" t="s">
        <v>4822</v>
      </c>
      <c r="B3398" s="1" t="str">
        <f ca="1">IFERROR(__xludf.DUMMYFUNCTION("GOOGLETRANSLATE(A3398, ""en"", ""fr"")"),"EGYPTE")</f>
        <v>EGYPTE</v>
      </c>
      <c r="C3398" s="1" t="s">
        <v>196</v>
      </c>
      <c r="FU3398" s="1" t="s">
        <v>173</v>
      </c>
      <c r="GD3398" s="1" t="s">
        <v>4823</v>
      </c>
    </row>
    <row r="3399" spans="1:187" ht="11.25" customHeight="1">
      <c r="A3399" s="1" t="s">
        <v>4824</v>
      </c>
      <c r="B3399" s="1" t="str">
        <f ca="1">IFERROR(__xludf.DUMMYFUNCTION("GOOGLETRANSLATE(A3399, ""en"", ""fr"")"),"HUIT")</f>
        <v>HUIT</v>
      </c>
      <c r="C3399" s="1" t="s">
        <v>185</v>
      </c>
      <c r="CS3399" s="1" t="s">
        <v>93</v>
      </c>
      <c r="CT3399" s="1" t="s">
        <v>94</v>
      </c>
      <c r="CV3399" s="1" t="s">
        <v>96</v>
      </c>
      <c r="GD3399" s="1" t="s">
        <v>1756</v>
      </c>
      <c r="GE3399" s="1" t="s">
        <v>4825</v>
      </c>
    </row>
    <row r="3400" spans="1:187" ht="11.25" customHeight="1">
      <c r="A3400" s="1" t="s">
        <v>4826</v>
      </c>
      <c r="B3400" s="1" t="str">
        <f ca="1">IFERROR(__xludf.DUMMYFUNCTION("GOOGLETRANSLATE(A3400, ""en"", ""fr"")"),"DIX-HUIT")</f>
        <v>DIX-HUIT</v>
      </c>
      <c r="C3400" s="1" t="s">
        <v>185</v>
      </c>
      <c r="CS3400" s="1" t="s">
        <v>93</v>
      </c>
      <c r="CT3400" s="1" t="s">
        <v>94</v>
      </c>
      <c r="CV3400" s="1" t="s">
        <v>96</v>
      </c>
      <c r="GD3400" s="1" t="s">
        <v>1756</v>
      </c>
      <c r="GE3400" s="1" t="s">
        <v>4825</v>
      </c>
    </row>
    <row r="3401" spans="1:187" ht="11.25" customHeight="1">
      <c r="A3401" s="1" t="s">
        <v>4827</v>
      </c>
      <c r="B3401" s="1" t="str">
        <f ca="1">IFERROR(__xludf.DUMMYFUNCTION("GOOGLETRANSLATE(A3401, ""en"", ""fr"")"),"Dix-huitième")</f>
        <v>Dix-huitième</v>
      </c>
      <c r="C3401" s="1" t="s">
        <v>185</v>
      </c>
      <c r="CS3401" s="1" t="s">
        <v>93</v>
      </c>
      <c r="CT3401" s="1" t="s">
        <v>94</v>
      </c>
      <c r="CU3401" s="1" t="s">
        <v>95</v>
      </c>
      <c r="GD3401" s="1" t="s">
        <v>1756</v>
      </c>
      <c r="GE3401" s="1" t="s">
        <v>190</v>
      </c>
    </row>
    <row r="3402" spans="1:187" ht="11.25" customHeight="1">
      <c r="A3402" s="1" t="s">
        <v>4828</v>
      </c>
      <c r="B3402" s="1" t="str">
        <f ca="1">IFERROR(__xludf.DUMMYFUNCTION("GOOGLETRANSLATE(A3402, ""en"", ""fr"")"),"Huitième n ° 1")</f>
        <v>Huitième n ° 1</v>
      </c>
      <c r="C3402" s="1" t="s">
        <v>185</v>
      </c>
      <c r="CS3402" s="1" t="s">
        <v>93</v>
      </c>
      <c r="GD3402" s="1" t="s">
        <v>202</v>
      </c>
      <c r="GE3402" s="1" t="s">
        <v>4829</v>
      </c>
    </row>
    <row r="3403" spans="1:187" ht="11.25" customHeight="1">
      <c r="A3403" s="1" t="s">
        <v>4830</v>
      </c>
      <c r="B3403" s="1" t="str">
        <f ca="1">IFERROR(__xludf.DUMMYFUNCTION("GOOGLETRANSLATE(A3403, ""en"", ""fr"")"),"Huitième n ° 2")</f>
        <v>Huitième n ° 2</v>
      </c>
      <c r="C3403" s="1" t="s">
        <v>185</v>
      </c>
      <c r="CT3403" s="1" t="s">
        <v>94</v>
      </c>
      <c r="CU3403" s="1" t="s">
        <v>95</v>
      </c>
      <c r="DB3403" s="1" t="s">
        <v>102</v>
      </c>
      <c r="DD3403" s="1" t="s">
        <v>104</v>
      </c>
      <c r="GD3403" s="1" t="s">
        <v>4831</v>
      </c>
      <c r="GE3403" s="1" t="s">
        <v>4832</v>
      </c>
    </row>
    <row r="3404" spans="1:187" ht="11.25" customHeight="1">
      <c r="A3404" s="1" t="s">
        <v>4833</v>
      </c>
      <c r="B3404" s="1" t="str">
        <f ca="1">IFERROR(__xludf.DUMMYFUNCTION("GOOGLETRANSLATE(A3404, ""en"", ""fr"")"),"QUATRE-VINGTS")</f>
        <v>QUATRE-VINGTS</v>
      </c>
      <c r="C3404" s="1" t="s">
        <v>185</v>
      </c>
      <c r="CS3404" s="1" t="s">
        <v>93</v>
      </c>
      <c r="CT3404" s="1" t="s">
        <v>94</v>
      </c>
      <c r="CV3404" s="1" t="s">
        <v>96</v>
      </c>
      <c r="GD3404" s="1" t="s">
        <v>1756</v>
      </c>
      <c r="GE3404" s="1" t="s">
        <v>190</v>
      </c>
    </row>
    <row r="3405" spans="1:187" ht="11.25" customHeight="1">
      <c r="A3405" s="1" t="s">
        <v>4834</v>
      </c>
      <c r="B3405" s="1" t="str">
        <f ca="1">IFERROR(__xludf.DUMMYFUNCTION("GOOGLETRANSLATE(A3405, ""en"", ""fr"")"),"Soit # 1")</f>
        <v>Soit # 1</v>
      </c>
      <c r="C3405" s="1" t="s">
        <v>185</v>
      </c>
      <c r="CS3405" s="1" t="s">
        <v>93</v>
      </c>
      <c r="FZ3405" s="1" t="s">
        <v>178</v>
      </c>
      <c r="GD3405" s="1" t="s">
        <v>2464</v>
      </c>
      <c r="GE3405" s="1" t="s">
        <v>4835</v>
      </c>
    </row>
    <row r="3406" spans="1:187" ht="11.25" customHeight="1">
      <c r="A3406" s="1" t="s">
        <v>4836</v>
      </c>
      <c r="B3406" s="1" t="str">
        <f ca="1">IFERROR(__xludf.DUMMYFUNCTION("GOOGLETRANSLATE(A3406, ""en"", ""fr"")"),"Soit # 2")</f>
        <v>Soit # 2</v>
      </c>
      <c r="C3406" s="1" t="s">
        <v>185</v>
      </c>
      <c r="FZ3406" s="1" t="s">
        <v>178</v>
      </c>
      <c r="GD3406" s="1" t="s">
        <v>884</v>
      </c>
      <c r="GE3406" s="1" t="s">
        <v>4837</v>
      </c>
    </row>
    <row r="3407" spans="1:187" ht="11.25" customHeight="1">
      <c r="A3407" s="1" t="s">
        <v>4838</v>
      </c>
      <c r="B3407" s="1" t="str">
        <f ca="1">IFERROR(__xludf.DUMMYFUNCTION("GOOGLETRANSLATE(A3407, ""en"", ""fr"")"),"Soit # 3")</f>
        <v>Soit # 3</v>
      </c>
      <c r="C3407" s="1" t="s">
        <v>185</v>
      </c>
      <c r="CH3407" s="1" t="s">
        <v>82</v>
      </c>
      <c r="GD3407" s="1" t="s">
        <v>763</v>
      </c>
      <c r="GE3407" s="1" t="s">
        <v>4839</v>
      </c>
    </row>
    <row r="3408" spans="1:187" ht="11.25" customHeight="1">
      <c r="A3408" s="1" t="s">
        <v>4840</v>
      </c>
      <c r="B3408" s="1" t="str">
        <f ca="1">IFERROR(__xludf.DUMMYFUNCTION("GOOGLETRANSLATE(A3408, ""en"", ""fr"")"),"Soit # 4")</f>
        <v>Soit # 4</v>
      </c>
      <c r="C3408" s="1" t="s">
        <v>185</v>
      </c>
      <c r="W3408" s="1" t="s">
        <v>19</v>
      </c>
      <c r="GD3408" s="1" t="s">
        <v>236</v>
      </c>
      <c r="GE3408" s="1" t="s">
        <v>4841</v>
      </c>
    </row>
    <row r="3409" spans="1:187" ht="11.25" customHeight="1">
      <c r="A3409" s="1" t="s">
        <v>4842</v>
      </c>
      <c r="B3409" s="1" t="str">
        <f ca="1">IFERROR(__xludf.DUMMYFUNCTION("GOOGLETRANSLATE(A3409, ""en"", ""fr"")"),"LE SALVADOR")</f>
        <v>LE SALVADOR</v>
      </c>
      <c r="C3409" s="1" t="s">
        <v>196</v>
      </c>
      <c r="FU3409" s="1" t="s">
        <v>173</v>
      </c>
      <c r="GD3409" s="1" t="s">
        <v>545</v>
      </c>
    </row>
    <row r="3410" spans="1:187" ht="11.25" customHeight="1">
      <c r="A3410" s="1" t="s">
        <v>4843</v>
      </c>
      <c r="B3410" s="1" t="str">
        <f ca="1">IFERROR(__xludf.DUMMYFUNCTION("GOOGLETRANSLATE(A3410, ""en"", ""fr"")"),"ÉLABORER")</f>
        <v>ÉLABORER</v>
      </c>
      <c r="C3410" s="1" t="s">
        <v>192</v>
      </c>
      <c r="D3410" s="1" t="s">
        <v>16612</v>
      </c>
      <c r="N3410" s="1" t="s">
        <v>10</v>
      </c>
      <c r="BK3410" s="1" t="s">
        <v>59</v>
      </c>
      <c r="BX3410" s="1" t="s">
        <v>72</v>
      </c>
      <c r="DN3410" s="1" t="s">
        <v>114</v>
      </c>
      <c r="GD3410" s="1" t="s">
        <v>189</v>
      </c>
      <c r="GE3410" s="1" t="s">
        <v>190</v>
      </c>
    </row>
    <row r="3411" spans="1:187" ht="11.25" customHeight="1">
      <c r="A3411" s="1" t="s">
        <v>4844</v>
      </c>
      <c r="B3411" s="1" t="str">
        <f ca="1">IFERROR(__xludf.DUMMYFUNCTION("GOOGLETRANSLATE(A3411, ""en"", ""fr"")"),"ÉLABORATION")</f>
        <v>ÉLABORATION</v>
      </c>
      <c r="C3411" s="1" t="s">
        <v>192</v>
      </c>
      <c r="D3411" s="1" t="s">
        <v>16612</v>
      </c>
      <c r="BK3411" s="1" t="s">
        <v>59</v>
      </c>
      <c r="BX3411" s="1" t="s">
        <v>72</v>
      </c>
      <c r="GD3411" s="1" t="s">
        <v>193</v>
      </c>
      <c r="GE3411" s="1" t="s">
        <v>190</v>
      </c>
    </row>
    <row r="3412" spans="1:187" ht="11.25" customHeight="1">
      <c r="A3412" s="1" t="s">
        <v>4845</v>
      </c>
      <c r="B3412" s="1" t="str">
        <f ca="1">IFERROR(__xludf.DUMMYFUNCTION("GOOGLETRANSLATE(A3412, ""en"", ""fr"")"),"Elapse n ° 1")</f>
        <v>Elapse n ° 1</v>
      </c>
      <c r="C3412" s="1" t="s">
        <v>185</v>
      </c>
      <c r="O3412" s="1" t="s">
        <v>11</v>
      </c>
      <c r="CY3412" s="1" t="s">
        <v>99</v>
      </c>
      <c r="GB3412" s="1" t="s">
        <v>180</v>
      </c>
      <c r="GD3412" s="1" t="s">
        <v>202</v>
      </c>
      <c r="GE3412" s="1" t="s">
        <v>190</v>
      </c>
    </row>
    <row r="3413" spans="1:187" ht="11.25" customHeight="1">
      <c r="A3413" s="1" t="s">
        <v>4846</v>
      </c>
      <c r="B3413" s="1" t="str">
        <f ca="1">IFERROR(__xludf.DUMMYFUNCTION("GOOGLETRANSLATE(A3413, ""en"", ""fr"")"),"Elapse # 2")</f>
        <v>Elapse # 2</v>
      </c>
      <c r="C3413" s="1" t="s">
        <v>185</v>
      </c>
      <c r="O3413" s="1" t="s">
        <v>11</v>
      </c>
      <c r="BR3413" s="1" t="s">
        <v>66</v>
      </c>
      <c r="DN3413" s="1" t="s">
        <v>114</v>
      </c>
      <c r="GB3413" s="1" t="s">
        <v>180</v>
      </c>
      <c r="GD3413" s="1" t="s">
        <v>189</v>
      </c>
      <c r="GE3413" s="1" t="s">
        <v>190</v>
      </c>
    </row>
    <row r="3414" spans="1:187" ht="11.25" customHeight="1">
      <c r="A3414" s="1" t="s">
        <v>4847</v>
      </c>
      <c r="B3414" s="1" t="str">
        <f ca="1">IFERROR(__xludf.DUMMYFUNCTION("GOOGLETRANSLATE(A3414, ""en"", ""fr"")"),"ÉLASTIQUE")</f>
        <v>ÉLASTIQUE</v>
      </c>
      <c r="C3414" s="1" t="s">
        <v>185</v>
      </c>
      <c r="L3414" s="1" t="s">
        <v>8</v>
      </c>
      <c r="CR3414" s="1" t="s">
        <v>92</v>
      </c>
      <c r="GD3414" s="1" t="s">
        <v>202</v>
      </c>
      <c r="GE3414" s="1" t="s">
        <v>190</v>
      </c>
    </row>
    <row r="3415" spans="1:187" ht="11.25" customHeight="1">
      <c r="A3415" s="1" t="s">
        <v>4848</v>
      </c>
      <c r="B3415" s="1" t="str">
        <f ca="1">IFERROR(__xludf.DUMMYFUNCTION("GOOGLETRANSLATE(A3415, ""en"", ""fr"")"),"ÉLASTICITÉ")</f>
        <v>ÉLASTICITÉ</v>
      </c>
      <c r="C3415" s="1" t="s">
        <v>185</v>
      </c>
      <c r="L3415" s="1" t="s">
        <v>8</v>
      </c>
      <c r="CR3415" s="1" t="s">
        <v>92</v>
      </c>
      <c r="GD3415" s="1" t="s">
        <v>193</v>
      </c>
      <c r="GE3415" s="1" t="s">
        <v>190</v>
      </c>
    </row>
    <row r="3416" spans="1:187" ht="11.25" customHeight="1">
      <c r="A3416" s="1" t="s">
        <v>4849</v>
      </c>
      <c r="B3416" s="1" t="str">
        <f ca="1">IFERROR(__xludf.DUMMYFUNCTION("GOOGLETRANSLATE(A3416, ""en"", ""fr"")"),"Exciter")</f>
        <v>Exciter</v>
      </c>
      <c r="C3416" s="1" t="s">
        <v>185</v>
      </c>
      <c r="D3416" s="1" t="s">
        <v>16612</v>
      </c>
      <c r="P3416" s="1" t="s">
        <v>12</v>
      </c>
      <c r="T3416" s="1" t="s">
        <v>16</v>
      </c>
      <c r="FA3416" s="1" t="s">
        <v>153</v>
      </c>
      <c r="FC3416" s="1" t="s">
        <v>155</v>
      </c>
      <c r="GD3416" s="1" t="s">
        <v>193</v>
      </c>
      <c r="GE3416" s="1" t="s">
        <v>190</v>
      </c>
    </row>
    <row r="3417" spans="1:187" ht="11.25" customHeight="1">
      <c r="A3417" s="1" t="s">
        <v>4850</v>
      </c>
      <c r="B3417" s="1" t="str">
        <f ca="1">IFERROR(__xludf.DUMMYFUNCTION("GOOGLETRANSLATE(A3417, ""en"", ""fr"")"),"Elder # 1")</f>
        <v>Elder # 1</v>
      </c>
      <c r="C3417" s="1" t="s">
        <v>185</v>
      </c>
      <c r="J3417" s="1" t="s">
        <v>6</v>
      </c>
      <c r="K3417" s="1" t="s">
        <v>7</v>
      </c>
      <c r="AH3417" s="1" t="s">
        <v>30</v>
      </c>
      <c r="AJ3417" s="1" t="s">
        <v>32</v>
      </c>
      <c r="AT3417" s="1" t="s">
        <v>42</v>
      </c>
      <c r="EM3417" s="1" t="s">
        <v>139</v>
      </c>
      <c r="EN3417" s="1" t="s">
        <v>140</v>
      </c>
      <c r="GD3417" s="1" t="s">
        <v>193</v>
      </c>
      <c r="GE3417" s="1" t="s">
        <v>4851</v>
      </c>
    </row>
    <row r="3418" spans="1:187" ht="11.25" customHeight="1">
      <c r="A3418" s="1" t="s">
        <v>4852</v>
      </c>
      <c r="B3418" s="1" t="str">
        <f ca="1">IFERROR(__xludf.DUMMYFUNCTION("GOOGLETRANSLATE(A3418, ""en"", ""fr"")"),"Elder # 2")</f>
        <v>Elder # 2</v>
      </c>
      <c r="C3418" s="1" t="s">
        <v>185</v>
      </c>
      <c r="J3418" s="1" t="s">
        <v>6</v>
      </c>
      <c r="CY3418" s="1" t="s">
        <v>99</v>
      </c>
      <c r="GD3418" s="1" t="s">
        <v>202</v>
      </c>
      <c r="GE3418" s="1" t="s">
        <v>4853</v>
      </c>
    </row>
    <row r="3419" spans="1:187" ht="11.25" customHeight="1">
      <c r="A3419" s="1" t="s">
        <v>4854</v>
      </c>
      <c r="B3419" s="1" t="str">
        <f ca="1">IFERROR(__xludf.DUMMYFUNCTION("GOOGLETRANSLATE(A3419, ""en"", ""fr"")"),"ÂGÉ")</f>
        <v>ÂGÉ</v>
      </c>
      <c r="C3419" s="1" t="s">
        <v>185</v>
      </c>
      <c r="L3419" s="1" t="s">
        <v>8</v>
      </c>
      <c r="CY3419" s="1" t="s">
        <v>99</v>
      </c>
      <c r="GD3419" s="1" t="s">
        <v>202</v>
      </c>
      <c r="GE3419" s="1" t="s">
        <v>190</v>
      </c>
    </row>
    <row r="3420" spans="1:187" ht="11.25" customHeight="1">
      <c r="A3420" s="1" t="s">
        <v>4855</v>
      </c>
      <c r="B3420" s="1" t="str">
        <f ca="1">IFERROR(__xludf.DUMMYFUNCTION("GOOGLETRANSLATE(A3420, ""en"", ""fr"")"),"AÎNÉ")</f>
        <v>AÎNÉ</v>
      </c>
      <c r="C3420" s="1" t="s">
        <v>196</v>
      </c>
      <c r="EM3420" s="1" t="s">
        <v>139</v>
      </c>
      <c r="EN3420" s="1" t="s">
        <v>140</v>
      </c>
      <c r="GD3420" s="1" t="s">
        <v>202</v>
      </c>
    </row>
    <row r="3421" spans="1:187" ht="11.25" customHeight="1">
      <c r="A3421" s="1" t="s">
        <v>4856</v>
      </c>
      <c r="B3421" s="1" t="str">
        <f ca="1">IFERROR(__xludf.DUMMYFUNCTION("GOOGLETRANSLATE(A3421, ""en"", ""fr"")"),"Élire # 1")</f>
        <v>Élire # 1</v>
      </c>
      <c r="C3421" s="1" t="s">
        <v>185</v>
      </c>
      <c r="K3421" s="1" t="s">
        <v>7</v>
      </c>
      <c r="N3421" s="1" t="s">
        <v>10</v>
      </c>
      <c r="AG3421" s="1" t="s">
        <v>29</v>
      </c>
      <c r="AN3421" s="1" t="s">
        <v>36</v>
      </c>
      <c r="DO3421" s="1" t="s">
        <v>115</v>
      </c>
      <c r="DS3421" s="1" t="s">
        <v>119</v>
      </c>
      <c r="ED3421" s="1" t="s">
        <v>130</v>
      </c>
      <c r="GD3421" s="1" t="s">
        <v>189</v>
      </c>
      <c r="GE3421" s="1" t="s">
        <v>4857</v>
      </c>
    </row>
    <row r="3422" spans="1:187" ht="11.25" customHeight="1">
      <c r="A3422" s="1" t="s">
        <v>4858</v>
      </c>
      <c r="B3422" s="1" t="str">
        <f ca="1">IFERROR(__xludf.DUMMYFUNCTION("GOOGLETRANSLATE(A3422, ""en"", ""fr"")"),"Élire # 2")</f>
        <v>Élire # 2</v>
      </c>
      <c r="C3422" s="1" t="s">
        <v>185</v>
      </c>
      <c r="K3422" s="1" t="s">
        <v>7</v>
      </c>
      <c r="AG3422" s="1" t="s">
        <v>29</v>
      </c>
      <c r="AH3422" s="1" t="s">
        <v>30</v>
      </c>
      <c r="AN3422" s="1" t="s">
        <v>36</v>
      </c>
      <c r="EB3422" s="1" t="s">
        <v>128</v>
      </c>
      <c r="ED3422" s="1" t="s">
        <v>130</v>
      </c>
      <c r="GD3422" s="1" t="s">
        <v>202</v>
      </c>
      <c r="GE3422" s="1" t="s">
        <v>4859</v>
      </c>
    </row>
    <row r="3423" spans="1:187" ht="11.25" customHeight="1">
      <c r="A3423" s="1" t="s">
        <v>4860</v>
      </c>
      <c r="B3423" s="1" t="str">
        <f ca="1">IFERROR(__xludf.DUMMYFUNCTION("GOOGLETRANSLATE(A3423, ""en"", ""fr"")"),"ÉLECTION")</f>
        <v>ÉLECTION</v>
      </c>
      <c r="C3423" s="1" t="s">
        <v>185</v>
      </c>
      <c r="K3423" s="1" t="s">
        <v>7</v>
      </c>
      <c r="N3423" s="1" t="s">
        <v>10</v>
      </c>
      <c r="AG3423" s="1" t="s">
        <v>29</v>
      </c>
      <c r="AH3423" s="1" t="s">
        <v>30</v>
      </c>
      <c r="AM3423" s="1" t="s">
        <v>35</v>
      </c>
      <c r="DS3423" s="1" t="s">
        <v>119</v>
      </c>
      <c r="ED3423" s="1" t="s">
        <v>130</v>
      </c>
      <c r="GD3423" s="1" t="s">
        <v>193</v>
      </c>
      <c r="GE3423" s="1" t="s">
        <v>4861</v>
      </c>
    </row>
    <row r="3424" spans="1:187" ht="11.25" customHeight="1">
      <c r="A3424" s="1" t="s">
        <v>4862</v>
      </c>
      <c r="B3424" s="1" t="str">
        <f ca="1">IFERROR(__xludf.DUMMYFUNCTION("GOOGLETRANSLATE(A3424, ""en"", ""fr"")"),"ÉLECTEUR")</f>
        <v>ÉLECTEUR</v>
      </c>
      <c r="C3424" s="1" t="s">
        <v>196</v>
      </c>
      <c r="EC3424" s="1" t="s">
        <v>129</v>
      </c>
      <c r="ED3424" s="1" t="s">
        <v>130</v>
      </c>
      <c r="GD3424" s="1" t="s">
        <v>193</v>
      </c>
    </row>
    <row r="3425" spans="1:187" ht="11.25" customHeight="1">
      <c r="A3425" s="1" t="s">
        <v>4863</v>
      </c>
      <c r="B3425" s="1" t="str">
        <f ca="1">IFERROR(__xludf.DUMMYFUNCTION("GOOGLETRANSLATE(A3425, ""en"", ""fr"")"),"ÉLECTORAL")</f>
        <v>ÉLECTORAL</v>
      </c>
      <c r="C3425" s="1" t="s">
        <v>185</v>
      </c>
      <c r="K3425" s="1" t="s">
        <v>7</v>
      </c>
      <c r="AH3425" s="1" t="s">
        <v>30</v>
      </c>
      <c r="AK3425" s="1" t="s">
        <v>33</v>
      </c>
      <c r="AT3425" s="1" t="s">
        <v>42</v>
      </c>
      <c r="EC3425" s="1" t="s">
        <v>129</v>
      </c>
      <c r="ED3425" s="1" t="s">
        <v>130</v>
      </c>
      <c r="GD3425" s="1" t="s">
        <v>202</v>
      </c>
      <c r="GE3425" s="1" t="s">
        <v>190</v>
      </c>
    </row>
    <row r="3426" spans="1:187" ht="11.25" customHeight="1">
      <c r="A3426" s="1" t="s">
        <v>4864</v>
      </c>
      <c r="B3426" s="1" t="str">
        <f ca="1">IFERROR(__xludf.DUMMYFUNCTION("GOOGLETRANSLATE(A3426, ""en"", ""fr"")"),"ÉLECTRIQUE")</f>
        <v>ÉLECTRIQUE</v>
      </c>
      <c r="C3426" s="1" t="s">
        <v>185</v>
      </c>
      <c r="BC3426" s="1" t="s">
        <v>51</v>
      </c>
      <c r="BD3426" s="1" t="s">
        <v>52</v>
      </c>
      <c r="EV3426" s="1" t="s">
        <v>148</v>
      </c>
      <c r="EW3426" s="1" t="s">
        <v>149</v>
      </c>
      <c r="GD3426" s="1" t="s">
        <v>202</v>
      </c>
      <c r="GE3426" s="1" t="s">
        <v>190</v>
      </c>
    </row>
    <row r="3427" spans="1:187" ht="11.25" customHeight="1">
      <c r="A3427" s="1" t="s">
        <v>4865</v>
      </c>
      <c r="B3427" s="1" t="str">
        <f ca="1">IFERROR(__xludf.DUMMYFUNCTION("GOOGLETRANSLATE(A3427, ""en"", ""fr"")"),"ÉLECTRIQUE")</f>
        <v>ÉLECTRIQUE</v>
      </c>
      <c r="C3427" s="1" t="s">
        <v>185</v>
      </c>
      <c r="BU3427" s="1" t="s">
        <v>69</v>
      </c>
      <c r="EV3427" s="1" t="s">
        <v>148</v>
      </c>
      <c r="EW3427" s="1" t="s">
        <v>149</v>
      </c>
      <c r="GD3427" s="1" t="s">
        <v>202</v>
      </c>
      <c r="GE3427" s="1" t="s">
        <v>190</v>
      </c>
    </row>
    <row r="3428" spans="1:187" ht="11.25" customHeight="1">
      <c r="A3428" s="1" t="s">
        <v>4866</v>
      </c>
      <c r="B3428" s="1" t="str">
        <f ca="1">IFERROR(__xludf.DUMMYFUNCTION("GOOGLETRANSLATE(A3428, ""en"", ""fr"")"),"ÉLECTRICITÉ")</f>
        <v>ÉLECTRICITÉ</v>
      </c>
      <c r="C3428" s="1" t="s">
        <v>185</v>
      </c>
      <c r="BU3428" s="1" t="s">
        <v>69</v>
      </c>
      <c r="EV3428" s="1" t="s">
        <v>148</v>
      </c>
      <c r="EW3428" s="1" t="s">
        <v>149</v>
      </c>
      <c r="GD3428" s="1" t="s">
        <v>193</v>
      </c>
      <c r="GE3428" s="1" t="s">
        <v>190</v>
      </c>
    </row>
    <row r="3429" spans="1:187" ht="11.25" customHeight="1">
      <c r="A3429" s="1" t="s">
        <v>4867</v>
      </c>
      <c r="B3429" s="1" t="str">
        <f ca="1">IFERROR(__xludf.DUMMYFUNCTION("GOOGLETRANSLATE(A3429, ""en"", ""fr"")"),"ÉLECTRON")</f>
        <v>ÉLECTRON</v>
      </c>
      <c r="C3429" s="1" t="s">
        <v>185</v>
      </c>
      <c r="BC3429" s="1" t="s">
        <v>51</v>
      </c>
      <c r="BI3429" s="1" t="s">
        <v>57</v>
      </c>
      <c r="GD3429" s="1" t="s">
        <v>193</v>
      </c>
      <c r="GE3429" s="1" t="s">
        <v>190</v>
      </c>
    </row>
    <row r="3430" spans="1:187" ht="11.25" customHeight="1">
      <c r="A3430" s="1" t="s">
        <v>4868</v>
      </c>
      <c r="B3430" s="1" t="str">
        <f ca="1">IFERROR(__xludf.DUMMYFUNCTION("GOOGLETRANSLATE(A3430, ""en"", ""fr"")"),"ÉLECTRONIQUE")</f>
        <v>ÉLECTRONIQUE</v>
      </c>
      <c r="C3430" s="1" t="s">
        <v>185</v>
      </c>
      <c r="BC3430" s="1" t="s">
        <v>51</v>
      </c>
      <c r="BD3430" s="1" t="s">
        <v>52</v>
      </c>
      <c r="GD3430" s="1" t="s">
        <v>202</v>
      </c>
      <c r="GE3430" s="1" t="s">
        <v>190</v>
      </c>
    </row>
    <row r="3431" spans="1:187" ht="11.25" customHeight="1">
      <c r="A3431" s="1" t="s">
        <v>4869</v>
      </c>
      <c r="B3431" s="1" t="str">
        <f ca="1">IFERROR(__xludf.DUMMYFUNCTION("GOOGLETRANSLATE(A3431, ""en"", ""fr"")"),"ÉLECTRONIQUE")</f>
        <v>ÉLECTRONIQUE</v>
      </c>
      <c r="C3431" s="1" t="s">
        <v>185</v>
      </c>
      <c r="Y3431" s="1" t="s">
        <v>21</v>
      </c>
      <c r="Z3431" s="1" t="s">
        <v>22</v>
      </c>
      <c r="GD3431" s="1" t="s">
        <v>193</v>
      </c>
      <c r="GE3431" s="1" t="s">
        <v>190</v>
      </c>
    </row>
    <row r="3432" spans="1:187" ht="11.25" customHeight="1">
      <c r="A3432" s="1" t="s">
        <v>4870</v>
      </c>
      <c r="B3432" s="1" t="str">
        <f ca="1">IFERROR(__xludf.DUMMYFUNCTION("GOOGLETRANSLATE(A3432, ""en"", ""fr"")"),"ÉLÉGANCE")</f>
        <v>ÉLÉGANCE</v>
      </c>
      <c r="C3432" s="1" t="s">
        <v>192</v>
      </c>
      <c r="D3432" s="1" t="s">
        <v>16612</v>
      </c>
      <c r="U3432" s="1" t="s">
        <v>17</v>
      </c>
      <c r="GD3432" s="1" t="s">
        <v>193</v>
      </c>
      <c r="GE3432" s="1" t="s">
        <v>190</v>
      </c>
    </row>
    <row r="3433" spans="1:187" ht="11.25" customHeight="1">
      <c r="A3433" s="1" t="s">
        <v>4871</v>
      </c>
      <c r="B3433" s="1" t="str">
        <f ca="1">IFERROR(__xludf.DUMMYFUNCTION("GOOGLETRANSLATE(A3433, ""en"", ""fr"")"),"ÉLÉGANT")</f>
        <v>ÉLÉGANT</v>
      </c>
      <c r="C3433" s="1" t="s">
        <v>185</v>
      </c>
      <c r="D3433" s="1" t="s">
        <v>16612</v>
      </c>
      <c r="F3433" s="1" t="s">
        <v>2</v>
      </c>
      <c r="U3433" s="1" t="s">
        <v>17</v>
      </c>
      <c r="CN3433" s="1" t="s">
        <v>88</v>
      </c>
      <c r="GD3433" s="1" t="s">
        <v>202</v>
      </c>
      <c r="GE3433" s="1" t="s">
        <v>190</v>
      </c>
    </row>
    <row r="3434" spans="1:187" ht="11.25" customHeight="1">
      <c r="A3434" s="1" t="s">
        <v>4872</v>
      </c>
      <c r="B3434" s="1" t="str">
        <f ca="1">IFERROR(__xludf.DUMMYFUNCTION("GOOGLETRANSLATE(A3434, ""en"", ""fr"")"),"ÉLÉMENT")</f>
        <v>ÉLÉMENT</v>
      </c>
      <c r="C3434" s="1" t="s">
        <v>185</v>
      </c>
      <c r="CH3434" s="1" t="s">
        <v>82</v>
      </c>
      <c r="GD3434" s="1" t="s">
        <v>193</v>
      </c>
      <c r="GE3434" s="1" t="s">
        <v>190</v>
      </c>
    </row>
    <row r="3435" spans="1:187" ht="11.25" customHeight="1">
      <c r="A3435" s="1" t="s">
        <v>4873</v>
      </c>
      <c r="B3435" s="1" t="str">
        <f ca="1">IFERROR(__xludf.DUMMYFUNCTION("GOOGLETRANSLATE(A3435, ""en"", ""fr"")"),"ÉLÉMENTAIRE")</f>
        <v>ÉLÉMENTAIRE</v>
      </c>
      <c r="C3435" s="1" t="s">
        <v>185</v>
      </c>
      <c r="CH3435" s="1" t="s">
        <v>82</v>
      </c>
      <c r="GD3435" s="1" t="s">
        <v>202</v>
      </c>
      <c r="GE3435" s="1" t="s">
        <v>190</v>
      </c>
    </row>
    <row r="3436" spans="1:187" ht="11.25" customHeight="1">
      <c r="A3436" s="1" t="s">
        <v>4874</v>
      </c>
      <c r="B3436" s="1" t="str">
        <f ca="1">IFERROR(__xludf.DUMMYFUNCTION("GOOGLETRANSLATE(A3436, ""en"", ""fr"")"),"ÉLÉMENTAIRE")</f>
        <v>ÉLÉMENTAIRE</v>
      </c>
      <c r="C3436" s="1" t="s">
        <v>185</v>
      </c>
      <c r="CH3436" s="1" t="s">
        <v>82</v>
      </c>
      <c r="GD3436" s="1" t="s">
        <v>202</v>
      </c>
      <c r="GE3436" s="1" t="s">
        <v>190</v>
      </c>
    </row>
    <row r="3437" spans="1:187" ht="11.25" customHeight="1">
      <c r="A3437" s="1" t="s">
        <v>4875</v>
      </c>
      <c r="B3437" s="1" t="str">
        <f ca="1">IFERROR(__xludf.DUMMYFUNCTION("GOOGLETRANSLATE(A3437, ""en"", ""fr"")"),"ÉLÉPHANT")</f>
        <v>ÉLÉPHANT</v>
      </c>
      <c r="C3437" s="1" t="s">
        <v>185</v>
      </c>
      <c r="AU3437" s="1" t="s">
        <v>43</v>
      </c>
      <c r="GD3437" s="1" t="s">
        <v>193</v>
      </c>
      <c r="GE3437" s="1" t="s">
        <v>190</v>
      </c>
    </row>
    <row r="3438" spans="1:187" ht="11.25" customHeight="1">
      <c r="A3438" s="1" t="s">
        <v>4876</v>
      </c>
      <c r="B3438" s="1" t="str">
        <f ca="1">IFERROR(__xludf.DUMMYFUNCTION("GOOGLETRANSLATE(A3438, ""en"", ""fr"")"),"Élever n ° 1")</f>
        <v>Élever n ° 1</v>
      </c>
      <c r="C3438" s="1" t="s">
        <v>185</v>
      </c>
      <c r="J3438" s="1" t="s">
        <v>6</v>
      </c>
      <c r="N3438" s="1" t="s">
        <v>10</v>
      </c>
      <c r="DA3438" s="1" t="s">
        <v>101</v>
      </c>
      <c r="FN3438" s="1" t="s">
        <v>166</v>
      </c>
      <c r="GD3438" s="1" t="s">
        <v>202</v>
      </c>
      <c r="GE3438" s="1" t="s">
        <v>190</v>
      </c>
    </row>
    <row r="3439" spans="1:187" ht="11.25" customHeight="1">
      <c r="A3439" s="1" t="s">
        <v>4877</v>
      </c>
      <c r="B3439" s="1" t="str">
        <f ca="1">IFERROR(__xludf.DUMMYFUNCTION("GOOGLETRANSLATE(A3439, ""en"", ""fr"")"),"Élever # 2")</f>
        <v>Élever # 2</v>
      </c>
      <c r="C3439" s="1" t="s">
        <v>185</v>
      </c>
      <c r="J3439" s="1" t="s">
        <v>6</v>
      </c>
      <c r="N3439" s="1" t="s">
        <v>10</v>
      </c>
      <c r="CB3439" s="1" t="s">
        <v>76</v>
      </c>
      <c r="DO3439" s="1" t="s">
        <v>115</v>
      </c>
      <c r="FN3439" s="1" t="s">
        <v>166</v>
      </c>
      <c r="GD3439" s="1" t="s">
        <v>189</v>
      </c>
      <c r="GE3439" s="1" t="s">
        <v>190</v>
      </c>
    </row>
    <row r="3440" spans="1:187" ht="11.25" customHeight="1">
      <c r="A3440" s="1" t="s">
        <v>4878</v>
      </c>
      <c r="B3440" s="1" t="str">
        <f ca="1">IFERROR(__xludf.DUMMYFUNCTION("GOOGLETRANSLATE(A3440, ""en"", ""fr"")"),"ASCENSEUR")</f>
        <v>ASCENSEUR</v>
      </c>
      <c r="C3440" s="1" t="s">
        <v>185</v>
      </c>
      <c r="BC3440" s="1" t="s">
        <v>51</v>
      </c>
      <c r="BG3440" s="1" t="s">
        <v>55</v>
      </c>
      <c r="GD3440" s="1" t="s">
        <v>193</v>
      </c>
      <c r="GE3440" s="1" t="s">
        <v>190</v>
      </c>
    </row>
    <row r="3441" spans="1:187" ht="11.25" customHeight="1">
      <c r="A3441" s="1" t="s">
        <v>4879</v>
      </c>
      <c r="B3441" s="1" t="str">
        <f ca="1">IFERROR(__xludf.DUMMYFUNCTION("GOOGLETRANSLATE(A3441, ""en"", ""fr"")"),"ONZE")</f>
        <v>ONZE</v>
      </c>
      <c r="C3441" s="1" t="s">
        <v>185</v>
      </c>
      <c r="CS3441" s="1" t="s">
        <v>93</v>
      </c>
      <c r="CT3441" s="1" t="s">
        <v>94</v>
      </c>
      <c r="CV3441" s="1" t="s">
        <v>96</v>
      </c>
      <c r="GD3441" s="1" t="s">
        <v>1756</v>
      </c>
      <c r="GE3441" s="1" t="s">
        <v>190</v>
      </c>
    </row>
    <row r="3442" spans="1:187" ht="11.25" customHeight="1">
      <c r="A3442" s="1" t="s">
        <v>4880</v>
      </c>
      <c r="B3442" s="1" t="str">
        <f ca="1">IFERROR(__xludf.DUMMYFUNCTION("GOOGLETRANSLATE(A3442, ""en"", ""fr"")"),"ADMISSIBLE")</f>
        <v>ADMISSIBLE</v>
      </c>
      <c r="C3442" s="1" t="s">
        <v>185</v>
      </c>
      <c r="U3442" s="1" t="s">
        <v>17</v>
      </c>
      <c r="EC3442" s="1" t="s">
        <v>129</v>
      </c>
      <c r="ED3442" s="1" t="s">
        <v>130</v>
      </c>
      <c r="GD3442" s="1" t="s">
        <v>202</v>
      </c>
      <c r="GE3442" s="1" t="s">
        <v>190</v>
      </c>
    </row>
    <row r="3443" spans="1:187" ht="11.25" customHeight="1">
      <c r="A3443" s="1" t="s">
        <v>4881</v>
      </c>
      <c r="B3443" s="1" t="str">
        <f ca="1">IFERROR(__xludf.DUMMYFUNCTION("GOOGLETRANSLATE(A3443, ""en"", ""fr"")"),"ÉLIMINER")</f>
        <v>ÉLIMINER</v>
      </c>
      <c r="C3443" s="1" t="s">
        <v>185</v>
      </c>
      <c r="E3443" s="1" t="s">
        <v>16613</v>
      </c>
      <c r="H3443" s="1" t="s">
        <v>4</v>
      </c>
      <c r="J3443" s="1" t="s">
        <v>6</v>
      </c>
      <c r="N3443" s="1" t="s">
        <v>10</v>
      </c>
      <c r="BZ3443" s="1" t="s">
        <v>74</v>
      </c>
      <c r="DN3443" s="1" t="s">
        <v>114</v>
      </c>
      <c r="DT3443" s="1" t="s">
        <v>120</v>
      </c>
      <c r="ED3443" s="1" t="s">
        <v>130</v>
      </c>
      <c r="GD3443" s="1" t="s">
        <v>189</v>
      </c>
      <c r="GE3443" s="1" t="s">
        <v>190</v>
      </c>
    </row>
    <row r="3444" spans="1:187" ht="11.25" customHeight="1">
      <c r="A3444" s="1" t="s">
        <v>4882</v>
      </c>
      <c r="B3444" s="1" t="str">
        <f ca="1">IFERROR(__xludf.DUMMYFUNCTION("GOOGLETRANSLATE(A3444, ""en"", ""fr"")"),"ÉLIMINATION")</f>
        <v>ÉLIMINATION</v>
      </c>
      <c r="C3444" s="1" t="s">
        <v>185</v>
      </c>
      <c r="E3444" s="1" t="s">
        <v>16613</v>
      </c>
      <c r="H3444" s="1" t="s">
        <v>4</v>
      </c>
      <c r="J3444" s="1" t="s">
        <v>6</v>
      </c>
      <c r="N3444" s="1" t="s">
        <v>10</v>
      </c>
      <c r="BZ3444" s="1" t="s">
        <v>74</v>
      </c>
      <c r="DT3444" s="1" t="s">
        <v>120</v>
      </c>
      <c r="ED3444" s="1" t="s">
        <v>130</v>
      </c>
      <c r="GD3444" s="1" t="s">
        <v>193</v>
      </c>
      <c r="GE3444" s="1" t="s">
        <v>190</v>
      </c>
    </row>
    <row r="3445" spans="1:187" ht="11.25" customHeight="1">
      <c r="A3445" s="1" t="s">
        <v>4883</v>
      </c>
      <c r="B3445" s="1" t="str">
        <f ca="1">IFERROR(__xludf.DUMMYFUNCTION("GOOGLETRANSLATE(A3445, ""en"", ""fr"")"),"ÉLITE")</f>
        <v>ÉLITE</v>
      </c>
      <c r="C3445" s="1" t="s">
        <v>185</v>
      </c>
      <c r="K3445" s="1" t="s">
        <v>7</v>
      </c>
      <c r="AC3445" s="1" t="s">
        <v>25</v>
      </c>
      <c r="AG3445" s="1" t="s">
        <v>29</v>
      </c>
      <c r="AH3445" s="1" t="s">
        <v>30</v>
      </c>
      <c r="AK3445" s="1" t="s">
        <v>33</v>
      </c>
      <c r="AT3445" s="1" t="s">
        <v>42</v>
      </c>
      <c r="DY3445" s="1" t="s">
        <v>125</v>
      </c>
      <c r="ED3445" s="1" t="s">
        <v>130</v>
      </c>
      <c r="GD3445" s="1" t="s">
        <v>193</v>
      </c>
      <c r="GE3445" s="1" t="s">
        <v>190</v>
      </c>
    </row>
    <row r="3446" spans="1:187" ht="11.25" customHeight="1">
      <c r="A3446" s="1" t="s">
        <v>4884</v>
      </c>
      <c r="B3446" s="1" t="str">
        <f ca="1">IFERROR(__xludf.DUMMYFUNCTION("GOOGLETRANSLATE(A3446, ""en"", ""fr"")"),"Élitisme")</f>
        <v>Élitisme</v>
      </c>
      <c r="C3446" s="1" t="s">
        <v>196</v>
      </c>
      <c r="EA3446" s="1" t="s">
        <v>127</v>
      </c>
      <c r="ED3446" s="1" t="s">
        <v>130</v>
      </c>
      <c r="GD3446" s="1" t="s">
        <v>193</v>
      </c>
    </row>
    <row r="3447" spans="1:187" ht="11.25" customHeight="1">
      <c r="A3447" s="1" t="s">
        <v>4885</v>
      </c>
      <c r="B3447" s="1" t="str">
        <f ca="1">IFERROR(__xludf.DUMMYFUNCTION("GOOGLETRANSLATE(A3447, ""en"", ""fr"")"),"Allongé")</f>
        <v>Allongé</v>
      </c>
      <c r="C3447" s="1" t="s">
        <v>185</v>
      </c>
      <c r="DA3447" s="1" t="s">
        <v>101</v>
      </c>
      <c r="DC3447" s="1" t="s">
        <v>103</v>
      </c>
      <c r="GB3447" s="1" t="s">
        <v>180</v>
      </c>
      <c r="GD3447" s="1" t="s">
        <v>202</v>
      </c>
      <c r="GE3447" s="1" t="s">
        <v>190</v>
      </c>
    </row>
    <row r="3448" spans="1:187" ht="11.25" customHeight="1">
      <c r="A3448" s="1" t="s">
        <v>4886</v>
      </c>
      <c r="B3448" s="1" t="str">
        <f ca="1">IFERROR(__xludf.DUMMYFUNCTION("GOOGLETRANSLATE(A3448, ""en"", ""fr"")"),"ÉLOQUENT")</f>
        <v>ÉLOQUENT</v>
      </c>
      <c r="C3448" s="1" t="s">
        <v>185</v>
      </c>
      <c r="D3448" s="1" t="s">
        <v>16612</v>
      </c>
      <c r="F3448" s="1" t="s">
        <v>2</v>
      </c>
      <c r="U3448" s="1" t="s">
        <v>17</v>
      </c>
      <c r="AD3448" s="1" t="s">
        <v>26</v>
      </c>
      <c r="CN3448" s="1" t="s">
        <v>88</v>
      </c>
      <c r="DR3448" s="1" t="s">
        <v>118</v>
      </c>
      <c r="GC3448" s="1" t="s">
        <v>181</v>
      </c>
      <c r="GD3448" s="1" t="s">
        <v>202</v>
      </c>
      <c r="GE3448" s="1" t="s">
        <v>190</v>
      </c>
    </row>
    <row r="3449" spans="1:187" ht="11.25" customHeight="1">
      <c r="A3449" s="1" t="s">
        <v>4887</v>
      </c>
      <c r="B3449" s="1" t="str">
        <f ca="1">IFERROR(__xludf.DUMMYFUNCTION("GOOGLETRANSLATE(A3449, ""en"", ""fr"")"),"Else # 1")</f>
        <v>Else # 1</v>
      </c>
      <c r="C3449" s="1" t="s">
        <v>185</v>
      </c>
      <c r="GD3449" s="1" t="s">
        <v>4888</v>
      </c>
      <c r="GE3449" s="1" t="s">
        <v>4889</v>
      </c>
    </row>
    <row r="3450" spans="1:187" ht="11.25" customHeight="1">
      <c r="A3450" s="1" t="s">
        <v>4890</v>
      </c>
      <c r="B3450" s="1" t="str">
        <f ca="1">IFERROR(__xludf.DUMMYFUNCTION("GOOGLETRANSLATE(A3450, ""en"", ""fr"")"),"Else # 2")</f>
        <v>Else # 2</v>
      </c>
      <c r="C3450" s="1" t="s">
        <v>185</v>
      </c>
      <c r="W3450" s="1" t="s">
        <v>19</v>
      </c>
      <c r="CH3450" s="1" t="s">
        <v>82</v>
      </c>
      <c r="GD3450" s="1" t="s">
        <v>236</v>
      </c>
      <c r="GE3450" s="1" t="s">
        <v>4891</v>
      </c>
    </row>
    <row r="3451" spans="1:187" ht="11.25" customHeight="1">
      <c r="A3451" s="1" t="s">
        <v>4892</v>
      </c>
      <c r="B3451" s="1" t="str">
        <f ca="1">IFERROR(__xludf.DUMMYFUNCTION("GOOGLETRANSLATE(A3451, ""en"", ""fr"")"),"AUTRE PART")</f>
        <v>AUTRE PART</v>
      </c>
      <c r="C3451" s="1" t="s">
        <v>185</v>
      </c>
      <c r="DA3451" s="1" t="s">
        <v>101</v>
      </c>
      <c r="GB3451" s="1" t="s">
        <v>180</v>
      </c>
      <c r="GD3451" s="1" t="s">
        <v>236</v>
      </c>
      <c r="GE3451" s="1" t="s">
        <v>190</v>
      </c>
    </row>
    <row r="3452" spans="1:187" ht="11.25" customHeight="1">
      <c r="A3452" s="1" t="s">
        <v>4893</v>
      </c>
      <c r="B3452" s="1" t="str">
        <f ca="1">IFERROR(__xludf.DUMMYFUNCTION("GOOGLETRANSLATE(A3452, ""en"", ""fr"")"),"ÉMANCIPATION")</f>
        <v>ÉMANCIPATION</v>
      </c>
      <c r="C3452" s="1" t="s">
        <v>185</v>
      </c>
      <c r="J3452" s="1" t="s">
        <v>6</v>
      </c>
      <c r="K3452" s="1" t="s">
        <v>7</v>
      </c>
      <c r="U3452" s="1" t="s">
        <v>17</v>
      </c>
      <c r="AG3452" s="1" t="s">
        <v>29</v>
      </c>
      <c r="AH3452" s="1" t="s">
        <v>30</v>
      </c>
      <c r="DS3452" s="1" t="s">
        <v>119</v>
      </c>
      <c r="ED3452" s="1" t="s">
        <v>130</v>
      </c>
      <c r="GD3452" s="1" t="s">
        <v>193</v>
      </c>
      <c r="GE3452" s="1" t="s">
        <v>190</v>
      </c>
    </row>
    <row r="3453" spans="1:187" ht="11.25" customHeight="1">
      <c r="A3453" s="1" t="s">
        <v>4894</v>
      </c>
      <c r="B3453" s="1" t="str">
        <f ca="1">IFERROR(__xludf.DUMMYFUNCTION("GOOGLETRANSLATE(A3453, ""en"", ""fr"")"),"ÉMASCULER")</f>
        <v>ÉMASCULER</v>
      </c>
      <c r="C3453" s="1" t="s">
        <v>196</v>
      </c>
      <c r="EY3453" s="1" t="s">
        <v>151</v>
      </c>
      <c r="FC3453" s="1" t="s">
        <v>155</v>
      </c>
      <c r="GD3453" s="1" t="s">
        <v>189</v>
      </c>
    </row>
    <row r="3454" spans="1:187" ht="11.25" customHeight="1">
      <c r="A3454" s="1" t="s">
        <v>4895</v>
      </c>
      <c r="B3454" s="1" t="str">
        <f ca="1">IFERROR(__xludf.DUMMYFUNCTION("GOOGLETRANSLATE(A3454, ""en"", ""fr"")"),"EMBARQUER")</f>
        <v>EMBARQUER</v>
      </c>
      <c r="C3454" s="1" t="s">
        <v>196</v>
      </c>
      <c r="GD3454" s="1" t="s">
        <v>189</v>
      </c>
    </row>
    <row r="3455" spans="1:187" ht="11.25" customHeight="1">
      <c r="A3455" s="1" t="s">
        <v>4896</v>
      </c>
      <c r="B3455" s="1" t="str">
        <f ca="1">IFERROR(__xludf.DUMMYFUNCTION("GOOGLETRANSLATE(A3455, ""en"", ""fr"")"),"EMBARRASSER")</f>
        <v>EMBARRASSER</v>
      </c>
      <c r="C3455" s="1" t="s">
        <v>192</v>
      </c>
      <c r="E3455" s="1" t="s">
        <v>16613</v>
      </c>
      <c r="N3455" s="1" t="s">
        <v>10</v>
      </c>
      <c r="DN3455" s="1" t="s">
        <v>114</v>
      </c>
      <c r="GD3455" s="1" t="s">
        <v>670</v>
      </c>
      <c r="GE3455" s="1" t="s">
        <v>190</v>
      </c>
    </row>
    <row r="3456" spans="1:187" ht="11.25" customHeight="1">
      <c r="A3456" s="1" t="s">
        <v>4897</v>
      </c>
      <c r="B3456" s="1" t="str">
        <f ca="1">IFERROR(__xludf.DUMMYFUNCTION("GOOGLETRANSLATE(A3456, ""en"", ""fr"")"),"GÊNÉ")</f>
        <v>GÊNÉ</v>
      </c>
      <c r="C3456" s="1" t="s">
        <v>196</v>
      </c>
      <c r="FO3456" s="1" t="s">
        <v>167</v>
      </c>
      <c r="GD3456" s="1" t="s">
        <v>202</v>
      </c>
    </row>
    <row r="3457" spans="1:187" ht="11.25" customHeight="1">
      <c r="A3457" s="1" t="s">
        <v>4898</v>
      </c>
      <c r="B3457" s="1" t="str">
        <f ca="1">IFERROR(__xludf.DUMMYFUNCTION("GOOGLETRANSLATE(A3457, ""en"", ""fr"")"),"EMBARRAS")</f>
        <v>EMBARRAS</v>
      </c>
      <c r="C3457" s="1" t="s">
        <v>185</v>
      </c>
      <c r="E3457" s="1" t="s">
        <v>16613</v>
      </c>
      <c r="L3457" s="1" t="s">
        <v>8</v>
      </c>
      <c r="V3457" s="1" t="s">
        <v>18</v>
      </c>
      <c r="FA3457" s="1" t="s">
        <v>153</v>
      </c>
      <c r="FC3457" s="1" t="s">
        <v>155</v>
      </c>
      <c r="GD3457" s="1" t="s">
        <v>193</v>
      </c>
      <c r="GE3457" s="1" t="s">
        <v>190</v>
      </c>
    </row>
    <row r="3458" spans="1:187" ht="11.25" customHeight="1">
      <c r="A3458" s="1" t="s">
        <v>4899</v>
      </c>
      <c r="B3458" s="1" t="str">
        <f ca="1">IFERROR(__xludf.DUMMYFUNCTION("GOOGLETRANSLATE(A3458, ""en"", ""fr"")"),"AMBASSADE")</f>
        <v>AMBASSADE</v>
      </c>
      <c r="C3458" s="1" t="s">
        <v>185</v>
      </c>
      <c r="K3458" s="1" t="s">
        <v>7</v>
      </c>
      <c r="AG3458" s="1" t="s">
        <v>29</v>
      </c>
      <c r="AH3458" s="1" t="s">
        <v>30</v>
      </c>
      <c r="AV3458" s="1" t="s">
        <v>44</v>
      </c>
      <c r="AW3458" s="1" t="s">
        <v>45</v>
      </c>
      <c r="EC3458" s="1" t="s">
        <v>129</v>
      </c>
      <c r="ED3458" s="1" t="s">
        <v>130</v>
      </c>
      <c r="GD3458" s="1" t="s">
        <v>193</v>
      </c>
      <c r="GE3458" s="1" t="s">
        <v>190</v>
      </c>
    </row>
    <row r="3459" spans="1:187" ht="11.25" customHeight="1">
      <c r="A3459" s="1" t="s">
        <v>4900</v>
      </c>
      <c r="B3459" s="1" t="str">
        <f ca="1">IFERROR(__xludf.DUMMYFUNCTION("GOOGLETRANSLATE(A3459, ""en"", ""fr"")"),"EMBELLIR")</f>
        <v>EMBELLIR</v>
      </c>
      <c r="C3459" s="1" t="s">
        <v>192</v>
      </c>
      <c r="D3459" s="1" t="s">
        <v>16612</v>
      </c>
      <c r="N3459" s="1" t="s">
        <v>10</v>
      </c>
      <c r="BK3459" s="1" t="s">
        <v>59</v>
      </c>
      <c r="BX3459" s="1" t="s">
        <v>72</v>
      </c>
      <c r="DN3459" s="1" t="s">
        <v>114</v>
      </c>
      <c r="GD3459" s="1" t="s">
        <v>189</v>
      </c>
      <c r="GE3459" s="1" t="s">
        <v>190</v>
      </c>
    </row>
    <row r="3460" spans="1:187" ht="11.25" customHeight="1">
      <c r="A3460" s="1" t="s">
        <v>4901</v>
      </c>
      <c r="B3460" s="1" t="str">
        <f ca="1">IFERROR(__xludf.DUMMYFUNCTION("GOOGLETRANSLATE(A3460, ""en"", ""fr"")"),"AIGRIR")</f>
        <v>AIGRIR</v>
      </c>
      <c r="C3460" s="1" t="s">
        <v>196</v>
      </c>
      <c r="FW3460" s="1" t="s">
        <v>175</v>
      </c>
      <c r="GD3460" s="1" t="s">
        <v>189</v>
      </c>
    </row>
    <row r="3461" spans="1:187" ht="11.25" customHeight="1">
      <c r="A3461" s="1" t="s">
        <v>4902</v>
      </c>
      <c r="B3461" s="1" t="str">
        <f ca="1">IFERROR(__xludf.DUMMYFUNCTION("GOOGLETRANSLATE(A3461, ""en"", ""fr"")"),"INCARNER")</f>
        <v>INCARNER</v>
      </c>
      <c r="C3461" s="1" t="s">
        <v>196</v>
      </c>
      <c r="GD3461" s="1" t="s">
        <v>189</v>
      </c>
    </row>
    <row r="3462" spans="1:187" ht="11.25" customHeight="1">
      <c r="A3462" s="1" t="s">
        <v>4903</v>
      </c>
      <c r="B3462" s="1" t="str">
        <f ca="1">IFERROR(__xludf.DUMMYFUNCTION("GOOGLETRANSLATE(A3462, ""en"", ""fr"")"),"Embrasser # 1")</f>
        <v>Embrasser # 1</v>
      </c>
      <c r="C3462" s="1" t="s">
        <v>185</v>
      </c>
      <c r="D3462" s="1" t="s">
        <v>16612</v>
      </c>
      <c r="F3462" s="1" t="s">
        <v>2</v>
      </c>
      <c r="G3462" s="1" t="s">
        <v>3</v>
      </c>
      <c r="N3462" s="1" t="s">
        <v>10</v>
      </c>
      <c r="BK3462" s="1" t="s">
        <v>59</v>
      </c>
      <c r="FN3462" s="1" t="s">
        <v>166</v>
      </c>
      <c r="GC3462" s="1" t="s">
        <v>181</v>
      </c>
      <c r="GD3462" s="1" t="s">
        <v>193</v>
      </c>
      <c r="GE3462" s="1" t="s">
        <v>190</v>
      </c>
    </row>
    <row r="3463" spans="1:187" ht="11.25" customHeight="1">
      <c r="A3463" s="1" t="s">
        <v>4904</v>
      </c>
      <c r="B3463" s="1" t="str">
        <f ca="1">IFERROR(__xludf.DUMMYFUNCTION("GOOGLETRANSLATE(A3463, ""en"", ""fr"")"),"Embrasser # 2")</f>
        <v>Embrasser # 2</v>
      </c>
      <c r="C3463" s="1" t="s">
        <v>185</v>
      </c>
      <c r="D3463" s="1" t="s">
        <v>16612</v>
      </c>
      <c r="F3463" s="1" t="s">
        <v>2</v>
      </c>
      <c r="G3463" s="1" t="s">
        <v>3</v>
      </c>
      <c r="N3463" s="1" t="s">
        <v>10</v>
      </c>
      <c r="AN3463" s="1" t="s">
        <v>36</v>
      </c>
      <c r="DN3463" s="1" t="s">
        <v>114</v>
      </c>
      <c r="FN3463" s="1" t="s">
        <v>166</v>
      </c>
      <c r="GD3463" s="1" t="s">
        <v>189</v>
      </c>
      <c r="GE3463" s="1" t="s">
        <v>190</v>
      </c>
    </row>
    <row r="3464" spans="1:187" ht="11.25" customHeight="1">
      <c r="A3464" s="1" t="s">
        <v>4905</v>
      </c>
      <c r="B3464" s="1" t="str">
        <f ca="1">IFERROR(__xludf.DUMMYFUNCTION("GOOGLETRANSLATE(A3464, ""en"", ""fr"")"),"Émerger n ° 1")</f>
        <v>Émerger n ° 1</v>
      </c>
      <c r="C3464" s="1" t="s">
        <v>185</v>
      </c>
      <c r="N3464" s="1" t="s">
        <v>10</v>
      </c>
      <c r="BV3464" s="1" t="s">
        <v>70</v>
      </c>
      <c r="DS3464" s="1" t="s">
        <v>119</v>
      </c>
      <c r="ED3464" s="1" t="s">
        <v>130</v>
      </c>
      <c r="GD3464" s="1" t="s">
        <v>202</v>
      </c>
      <c r="GE3464" s="1" t="s">
        <v>190</v>
      </c>
    </row>
    <row r="3465" spans="1:187" ht="11.25" customHeight="1">
      <c r="A3465" s="1" t="s">
        <v>4906</v>
      </c>
      <c r="B3465" s="1" t="str">
        <f ca="1">IFERROR(__xludf.DUMMYFUNCTION("GOOGLETRANSLATE(A3465, ""en"", ""fr"")"),"Émerger n ° 2")</f>
        <v>Émerger n ° 2</v>
      </c>
      <c r="C3465" s="1" t="s">
        <v>185</v>
      </c>
      <c r="N3465" s="1" t="s">
        <v>10</v>
      </c>
      <c r="BV3465" s="1" t="s">
        <v>70</v>
      </c>
      <c r="DN3465" s="1" t="s">
        <v>114</v>
      </c>
      <c r="DS3465" s="1" t="s">
        <v>119</v>
      </c>
      <c r="ED3465" s="1" t="s">
        <v>130</v>
      </c>
      <c r="GD3465" s="1" t="s">
        <v>189</v>
      </c>
      <c r="GE3465" s="1" t="s">
        <v>190</v>
      </c>
    </row>
    <row r="3466" spans="1:187" ht="11.25" customHeight="1">
      <c r="A3466" s="1" t="s">
        <v>4907</v>
      </c>
      <c r="B3466" s="1" t="str">
        <f ca="1">IFERROR(__xludf.DUMMYFUNCTION("GOOGLETRANSLATE(A3466, ""en"", ""fr"")"),"URGENCE")</f>
        <v>URGENCE</v>
      </c>
      <c r="C3466" s="1" t="s">
        <v>185</v>
      </c>
      <c r="E3466" s="1" t="s">
        <v>16613</v>
      </c>
      <c r="H3466" s="1" t="s">
        <v>4</v>
      </c>
      <c r="V3466" s="1" t="s">
        <v>18</v>
      </c>
      <c r="GD3466" s="1" t="s">
        <v>193</v>
      </c>
      <c r="GE3466" s="1" t="s">
        <v>4908</v>
      </c>
    </row>
    <row r="3467" spans="1:187" ht="11.25" customHeight="1">
      <c r="A3467" s="1" t="s">
        <v>4909</v>
      </c>
      <c r="B3467" s="1" t="str">
        <f ca="1">IFERROR(__xludf.DUMMYFUNCTION("GOOGLETRANSLATE(A3467, ""en"", ""fr"")"),"ÉMINENCE")</f>
        <v>ÉMINENCE</v>
      </c>
      <c r="C3467" s="1" t="s">
        <v>192</v>
      </c>
      <c r="D3467" s="1" t="s">
        <v>16612</v>
      </c>
      <c r="J3467" s="1" t="s">
        <v>6</v>
      </c>
      <c r="K3467" s="1" t="s">
        <v>7</v>
      </c>
      <c r="W3467" s="1" t="s">
        <v>19</v>
      </c>
      <c r="GD3467" s="1" t="s">
        <v>193</v>
      </c>
      <c r="GE3467" s="1" t="s">
        <v>190</v>
      </c>
    </row>
    <row r="3468" spans="1:187" ht="11.25" customHeight="1">
      <c r="A3468" s="1" t="s">
        <v>4910</v>
      </c>
      <c r="B3468" s="1" t="str">
        <f ca="1">IFERROR(__xludf.DUMMYFUNCTION("GOOGLETRANSLATE(A3468, ""en"", ""fr"")"),"ÉMINENT")</f>
        <v>ÉMINENT</v>
      </c>
      <c r="C3468" s="1" t="s">
        <v>185</v>
      </c>
      <c r="D3468" s="1" t="s">
        <v>16612</v>
      </c>
      <c r="F3468" s="1" t="s">
        <v>2</v>
      </c>
      <c r="J3468" s="1" t="s">
        <v>6</v>
      </c>
      <c r="K3468" s="1" t="s">
        <v>7</v>
      </c>
      <c r="U3468" s="1" t="s">
        <v>17</v>
      </c>
      <c r="CN3468" s="1" t="s">
        <v>88</v>
      </c>
      <c r="GD3468" s="1" t="s">
        <v>202</v>
      </c>
      <c r="GE3468" s="1" t="s">
        <v>190</v>
      </c>
    </row>
    <row r="3469" spans="1:187" ht="11.25" customHeight="1">
      <c r="A3469" s="1" t="s">
        <v>4911</v>
      </c>
      <c r="B3469" s="1" t="str">
        <f ca="1">IFERROR(__xludf.DUMMYFUNCTION("GOOGLETRANSLATE(A3469, ""en"", ""fr"")"),"ÉMISSAIRE")</f>
        <v>ÉMISSAIRE</v>
      </c>
      <c r="C3469" s="1" t="s">
        <v>196</v>
      </c>
      <c r="DZ3469" s="1" t="s">
        <v>126</v>
      </c>
      <c r="ED3469" s="1" t="s">
        <v>130</v>
      </c>
      <c r="GD3469" s="1" t="s">
        <v>4912</v>
      </c>
    </row>
    <row r="3470" spans="1:187" ht="11.25" customHeight="1">
      <c r="A3470" s="1" t="s">
        <v>4913</v>
      </c>
      <c r="B3470" s="1" t="str">
        <f ca="1">IFERROR(__xludf.DUMMYFUNCTION("GOOGLETRANSLATE(A3470, ""en"", ""fr"")"),"ÉMOTION")</f>
        <v>ÉMOTION</v>
      </c>
      <c r="C3470" s="1" t="s">
        <v>185</v>
      </c>
      <c r="O3470" s="1" t="s">
        <v>11</v>
      </c>
      <c r="S3470" s="1" t="s">
        <v>15</v>
      </c>
      <c r="T3470" s="1" t="s">
        <v>16</v>
      </c>
      <c r="FA3470" s="1" t="s">
        <v>153</v>
      </c>
      <c r="FC3470" s="1" t="s">
        <v>155</v>
      </c>
      <c r="GD3470" s="1" t="s">
        <v>193</v>
      </c>
      <c r="GE3470" s="1" t="s">
        <v>4914</v>
      </c>
    </row>
    <row r="3471" spans="1:187" ht="11.25" customHeight="1">
      <c r="A3471" s="1" t="s">
        <v>4915</v>
      </c>
      <c r="B3471" s="1" t="str">
        <f ca="1">IFERROR(__xludf.DUMMYFUNCTION("GOOGLETRANSLATE(A3471, ""en"", ""fr"")"),"Émotionnel # 1")</f>
        <v>Émotionnel # 1</v>
      </c>
      <c r="C3471" s="1" t="s">
        <v>185</v>
      </c>
      <c r="O3471" s="1" t="s">
        <v>11</v>
      </c>
      <c r="S3471" s="1" t="s">
        <v>15</v>
      </c>
      <c r="T3471" s="1" t="s">
        <v>16</v>
      </c>
      <c r="FA3471" s="1" t="s">
        <v>153</v>
      </c>
      <c r="FC3471" s="1" t="s">
        <v>155</v>
      </c>
      <c r="GD3471" s="1" t="s">
        <v>202</v>
      </c>
      <c r="GE3471" s="1" t="s">
        <v>4916</v>
      </c>
    </row>
    <row r="3472" spans="1:187" ht="11.25" customHeight="1">
      <c r="A3472" s="1" t="s">
        <v>4917</v>
      </c>
      <c r="B3472" s="1" t="str">
        <f ca="1">IFERROR(__xludf.DUMMYFUNCTION("GOOGLETRANSLATE(A3472, ""en"", ""fr"")"),"Émotionnel # 2")</f>
        <v>Émotionnel # 2</v>
      </c>
      <c r="C3472" s="1" t="s">
        <v>185</v>
      </c>
      <c r="O3472" s="1" t="s">
        <v>11</v>
      </c>
      <c r="S3472" s="1" t="s">
        <v>15</v>
      </c>
      <c r="FA3472" s="1" t="s">
        <v>153</v>
      </c>
      <c r="FC3472" s="1" t="s">
        <v>155</v>
      </c>
      <c r="GD3472" s="1" t="s">
        <v>202</v>
      </c>
      <c r="GE3472" s="1" t="s">
        <v>4918</v>
      </c>
    </row>
    <row r="3473" spans="1:187" ht="11.25" customHeight="1">
      <c r="A3473" s="1" t="s">
        <v>4919</v>
      </c>
      <c r="B3473" s="1" t="str">
        <f ca="1">IFERROR(__xludf.DUMMYFUNCTION("GOOGLETRANSLATE(A3473, ""en"", ""fr"")"),"EMPATHIE")</f>
        <v>EMPATHIE</v>
      </c>
      <c r="C3473" s="1" t="s">
        <v>192</v>
      </c>
      <c r="D3473" s="1" t="s">
        <v>16612</v>
      </c>
      <c r="T3473" s="1" t="s">
        <v>16</v>
      </c>
      <c r="GD3473" s="1" t="s">
        <v>1177</v>
      </c>
      <c r="GE3473" s="1" t="s">
        <v>190</v>
      </c>
    </row>
    <row r="3474" spans="1:187" ht="11.25" customHeight="1">
      <c r="A3474" s="1" t="s">
        <v>4920</v>
      </c>
      <c r="B3474" s="1" t="str">
        <f ca="1">IFERROR(__xludf.DUMMYFUNCTION("GOOGLETRANSLATE(A3474, ""en"", ""fr"")"),"EMPEREUR")</f>
        <v>EMPEREUR</v>
      </c>
      <c r="C3474" s="1" t="s">
        <v>185</v>
      </c>
      <c r="J3474" s="1" t="s">
        <v>6</v>
      </c>
      <c r="K3474" s="1" t="s">
        <v>7</v>
      </c>
      <c r="AG3474" s="1" t="s">
        <v>29</v>
      </c>
      <c r="AH3474" s="1" t="s">
        <v>30</v>
      </c>
      <c r="AJ3474" s="1" t="s">
        <v>32</v>
      </c>
      <c r="AQ3474" s="1" t="s">
        <v>39</v>
      </c>
      <c r="AT3474" s="1" t="s">
        <v>42</v>
      </c>
      <c r="DY3474" s="1" t="s">
        <v>125</v>
      </c>
      <c r="ED3474" s="1" t="s">
        <v>130</v>
      </c>
      <c r="GD3474" s="1" t="s">
        <v>193</v>
      </c>
      <c r="GE3474" s="1" t="s">
        <v>190</v>
      </c>
    </row>
    <row r="3475" spans="1:187" ht="11.25" customHeight="1">
      <c r="A3475" s="1" t="s">
        <v>4921</v>
      </c>
      <c r="B3475" s="1" t="str">
        <f ca="1">IFERROR(__xludf.DUMMYFUNCTION("GOOGLETRANSLATE(A3475, ""en"", ""fr"")"),"ACCENT")</f>
        <v>ACCENT</v>
      </c>
      <c r="C3475" s="1" t="s">
        <v>185</v>
      </c>
      <c r="J3475" s="1" t="s">
        <v>6</v>
      </c>
      <c r="W3475" s="1" t="s">
        <v>19</v>
      </c>
      <c r="CH3475" s="1" t="s">
        <v>82</v>
      </c>
      <c r="FY3475" s="1" t="s">
        <v>177</v>
      </c>
      <c r="GD3475" s="1" t="s">
        <v>193</v>
      </c>
      <c r="GE3475" s="1" t="s">
        <v>190</v>
      </c>
    </row>
    <row r="3476" spans="1:187" ht="11.25" customHeight="1">
      <c r="A3476" s="1" t="s">
        <v>4922</v>
      </c>
      <c r="B3476" s="1" t="str">
        <f ca="1">IFERROR(__xludf.DUMMYFUNCTION("GOOGLETRANSLATE(A3476, ""en"", ""fr"")"),"Souligner # 1")</f>
        <v>Souligner # 1</v>
      </c>
      <c r="C3476" s="1" t="s">
        <v>192</v>
      </c>
      <c r="GE3476" s="1" t="s">
        <v>190</v>
      </c>
    </row>
    <row r="3477" spans="1:187" ht="11.25" customHeight="1">
      <c r="A3477" s="1" t="s">
        <v>4923</v>
      </c>
      <c r="B3477" s="1" t="str">
        <f ca="1">IFERROR(__xludf.DUMMYFUNCTION("GOOGLETRANSLATE(A3477, ""en"", ""fr"")"),"SOULIGNER")</f>
        <v>SOULIGNER</v>
      </c>
      <c r="C3477" s="1" t="s">
        <v>185</v>
      </c>
      <c r="J3477" s="1" t="s">
        <v>6</v>
      </c>
      <c r="W3477" s="1" t="s">
        <v>19</v>
      </c>
      <c r="BK3477" s="1" t="s">
        <v>59</v>
      </c>
      <c r="DN3477" s="1" t="s">
        <v>114</v>
      </c>
      <c r="FY3477" s="1" t="s">
        <v>177</v>
      </c>
      <c r="GD3477" s="1" t="s">
        <v>189</v>
      </c>
      <c r="GE3477" s="1" t="s">
        <v>190</v>
      </c>
    </row>
    <row r="3478" spans="1:187" ht="11.25" customHeight="1">
      <c r="A3478" s="1" t="s">
        <v>4924</v>
      </c>
      <c r="B3478" s="1" t="str">
        <f ca="1">IFERROR(__xludf.DUMMYFUNCTION("GOOGLETRANSLATE(A3478, ""en"", ""fr"")"),"CATÉGORIQUE")</f>
        <v>CATÉGORIQUE</v>
      </c>
      <c r="C3478" s="1" t="s">
        <v>185</v>
      </c>
      <c r="J3478" s="1" t="s">
        <v>6</v>
      </c>
      <c r="N3478" s="1" t="s">
        <v>10</v>
      </c>
      <c r="W3478" s="1" t="s">
        <v>19</v>
      </c>
      <c r="BK3478" s="1" t="s">
        <v>59</v>
      </c>
      <c r="FY3478" s="1" t="s">
        <v>177</v>
      </c>
      <c r="GD3478" s="1" t="s">
        <v>202</v>
      </c>
      <c r="GE3478" s="1" t="s">
        <v>190</v>
      </c>
    </row>
    <row r="3479" spans="1:187" ht="11.25" customHeight="1">
      <c r="A3479" s="1" t="s">
        <v>4925</v>
      </c>
      <c r="B3479" s="1" t="str">
        <f ca="1">IFERROR(__xludf.DUMMYFUNCTION("GOOGLETRANSLATE(A3479, ""en"", ""fr"")"),"EMPIRE")</f>
        <v>EMPIRE</v>
      </c>
      <c r="C3479" s="1" t="s">
        <v>185</v>
      </c>
      <c r="AG3479" s="1" t="s">
        <v>29</v>
      </c>
      <c r="AV3479" s="1" t="s">
        <v>44</v>
      </c>
      <c r="DV3479" s="1" t="s">
        <v>122</v>
      </c>
      <c r="ED3479" s="1" t="s">
        <v>130</v>
      </c>
      <c r="GD3479" s="1" t="s">
        <v>193</v>
      </c>
      <c r="GE3479" s="1" t="s">
        <v>190</v>
      </c>
    </row>
    <row r="3480" spans="1:187" ht="11.25" customHeight="1">
      <c r="A3480" s="1" t="s">
        <v>4926</v>
      </c>
      <c r="B3480" s="1" t="str">
        <f ca="1">IFERROR(__xludf.DUMMYFUNCTION("GOOGLETRANSLATE(A3480, ""en"", ""fr"")"),"EMPIRIQUE")</f>
        <v>EMPIRIQUE</v>
      </c>
      <c r="C3480" s="1" t="s">
        <v>185</v>
      </c>
      <c r="CH3480" s="1" t="s">
        <v>82</v>
      </c>
      <c r="GD3480" s="1" t="s">
        <v>202</v>
      </c>
      <c r="GE3480" s="1" t="s">
        <v>190</v>
      </c>
    </row>
    <row r="3481" spans="1:187" ht="11.25" customHeight="1">
      <c r="A3481" s="1" t="s">
        <v>4927</v>
      </c>
      <c r="B3481" s="1" t="str">
        <f ca="1">IFERROR(__xludf.DUMMYFUNCTION("GOOGLETRANSLATE(A3481, ""en"", ""fr"")"),"EMPLOYER")</f>
        <v>EMPLOYER</v>
      </c>
      <c r="C3481" s="1" t="s">
        <v>185</v>
      </c>
      <c r="J3481" s="1" t="s">
        <v>6</v>
      </c>
      <c r="K3481" s="1" t="s">
        <v>7</v>
      </c>
      <c r="AA3481" s="1" t="s">
        <v>23</v>
      </c>
      <c r="AN3481" s="1" t="s">
        <v>36</v>
      </c>
      <c r="DN3481" s="1" t="s">
        <v>114</v>
      </c>
      <c r="GD3481" s="1" t="s">
        <v>189</v>
      </c>
      <c r="GE3481" s="1" t="s">
        <v>190</v>
      </c>
    </row>
    <row r="3482" spans="1:187" ht="11.25" customHeight="1">
      <c r="A3482" s="1" t="s">
        <v>4928</v>
      </c>
      <c r="B3482" s="1" t="str">
        <f ca="1">IFERROR(__xludf.DUMMYFUNCTION("GOOGLETRANSLATE(A3482, ""en"", ""fr"")"),"EMPLOYÉ")</f>
        <v>EMPLOYÉ</v>
      </c>
      <c r="C3482" s="1" t="s">
        <v>185</v>
      </c>
      <c r="L3482" s="1" t="s">
        <v>8</v>
      </c>
      <c r="M3482" s="1" t="s">
        <v>9</v>
      </c>
      <c r="AA3482" s="1" t="s">
        <v>23</v>
      </c>
      <c r="AC3482" s="1" t="s">
        <v>25</v>
      </c>
      <c r="AJ3482" s="1" t="s">
        <v>32</v>
      </c>
      <c r="AT3482" s="1" t="s">
        <v>42</v>
      </c>
      <c r="EV3482" s="1" t="s">
        <v>148</v>
      </c>
      <c r="EW3482" s="1" t="s">
        <v>149</v>
      </c>
      <c r="GD3482" s="1" t="s">
        <v>193</v>
      </c>
      <c r="GE3482" s="1" t="s">
        <v>190</v>
      </c>
    </row>
    <row r="3483" spans="1:187" ht="11.25" customHeight="1">
      <c r="A3483" s="1" t="s">
        <v>4929</v>
      </c>
      <c r="B3483" s="1" t="str">
        <f ca="1">IFERROR(__xludf.DUMMYFUNCTION("GOOGLETRANSLATE(A3483, ""en"", ""fr"")"),"EMPLOYEUR")</f>
        <v>EMPLOYEUR</v>
      </c>
      <c r="C3483" s="1" t="s">
        <v>185</v>
      </c>
      <c r="J3483" s="1" t="s">
        <v>6</v>
      </c>
      <c r="K3483" s="1" t="s">
        <v>7</v>
      </c>
      <c r="AA3483" s="1" t="s">
        <v>23</v>
      </c>
      <c r="AC3483" s="1" t="s">
        <v>25</v>
      </c>
      <c r="AJ3483" s="1" t="s">
        <v>32</v>
      </c>
      <c r="AT3483" s="1" t="s">
        <v>42</v>
      </c>
      <c r="ET3483" s="1" t="s">
        <v>146</v>
      </c>
      <c r="EW3483" s="1" t="s">
        <v>149</v>
      </c>
      <c r="GD3483" s="1" t="s">
        <v>193</v>
      </c>
      <c r="GE3483" s="1" t="s">
        <v>4930</v>
      </c>
    </row>
    <row r="3484" spans="1:187" ht="11.25" customHeight="1">
      <c r="A3484" s="1" t="s">
        <v>4931</v>
      </c>
      <c r="B3484" s="1" t="str">
        <f ca="1">IFERROR(__xludf.DUMMYFUNCTION("GOOGLETRANSLATE(A3484, ""en"", ""fr"")"),"EMPLOI")</f>
        <v>EMPLOI</v>
      </c>
      <c r="C3484" s="1" t="s">
        <v>185</v>
      </c>
      <c r="Z3484" s="1" t="s">
        <v>22</v>
      </c>
      <c r="AA3484" s="1" t="s">
        <v>23</v>
      </c>
      <c r="AC3484" s="1" t="s">
        <v>25</v>
      </c>
      <c r="AH3484" s="1" t="s">
        <v>30</v>
      </c>
      <c r="EV3484" s="1" t="s">
        <v>148</v>
      </c>
      <c r="EW3484" s="1" t="s">
        <v>149</v>
      </c>
      <c r="GD3484" s="1" t="s">
        <v>193</v>
      </c>
      <c r="GE3484" s="1" t="s">
        <v>4932</v>
      </c>
    </row>
    <row r="3485" spans="1:187" ht="11.25" customHeight="1">
      <c r="A3485" s="1" t="s">
        <v>4933</v>
      </c>
      <c r="B3485" s="1" t="str">
        <f ca="1">IFERROR(__xludf.DUMMYFUNCTION("GOOGLETRANSLATE(A3485, ""en"", ""fr"")"),"HABILITER")</f>
        <v>HABILITER</v>
      </c>
      <c r="C3485" s="1" t="s">
        <v>185</v>
      </c>
      <c r="D3485" s="1" t="s">
        <v>16612</v>
      </c>
      <c r="J3485" s="1" t="s">
        <v>6</v>
      </c>
      <c r="K3485" s="1" t="s">
        <v>7</v>
      </c>
      <c r="N3485" s="1" t="s">
        <v>10</v>
      </c>
      <c r="BX3485" s="1" t="s">
        <v>72</v>
      </c>
      <c r="DN3485" s="1" t="s">
        <v>114</v>
      </c>
      <c r="DS3485" s="1" t="s">
        <v>119</v>
      </c>
      <c r="ED3485" s="1" t="s">
        <v>130</v>
      </c>
      <c r="GD3485" s="1" t="s">
        <v>189</v>
      </c>
      <c r="GE3485" s="1" t="s">
        <v>190</v>
      </c>
    </row>
    <row r="3486" spans="1:187" ht="11.25" customHeight="1">
      <c r="A3486" s="1" t="s">
        <v>4934</v>
      </c>
      <c r="B3486" s="1" t="str">
        <f ca="1">IFERROR(__xludf.DUMMYFUNCTION("GOOGLETRANSLATE(A3486, ""en"", ""fr"")"),"AUTONOMISATION")</f>
        <v>AUTONOMISATION</v>
      </c>
      <c r="C3486" s="1" t="s">
        <v>192</v>
      </c>
      <c r="D3486" s="1" t="s">
        <v>16612</v>
      </c>
      <c r="J3486" s="1" t="s">
        <v>6</v>
      </c>
      <c r="K3486" s="1" t="s">
        <v>7</v>
      </c>
      <c r="BX3486" s="1" t="s">
        <v>72</v>
      </c>
      <c r="GD3486" s="1" t="s">
        <v>193</v>
      </c>
      <c r="GE3486" s="1" t="s">
        <v>190</v>
      </c>
    </row>
    <row r="3487" spans="1:187" ht="11.25" customHeight="1">
      <c r="A3487" s="1" t="s">
        <v>4935</v>
      </c>
      <c r="B3487" s="1" t="str">
        <f ca="1">IFERROR(__xludf.DUMMYFUNCTION("GOOGLETRANSLATE(A3487, ""en"", ""fr"")"),"Vide n ° 1")</f>
        <v>Vide n ° 1</v>
      </c>
      <c r="C3487" s="1" t="s">
        <v>185</v>
      </c>
      <c r="E3487" s="1" t="s">
        <v>16613</v>
      </c>
      <c r="H3487" s="1" t="s">
        <v>4</v>
      </c>
      <c r="L3487" s="1" t="s">
        <v>8</v>
      </c>
      <c r="CS3487" s="1" t="s">
        <v>93</v>
      </c>
      <c r="GD3487" s="1" t="s">
        <v>421</v>
      </c>
      <c r="GE3487" s="1" t="s">
        <v>4936</v>
      </c>
    </row>
    <row r="3488" spans="1:187" ht="11.25" customHeight="1">
      <c r="A3488" s="1" t="s">
        <v>4937</v>
      </c>
      <c r="B3488" s="1" t="str">
        <f ca="1">IFERROR(__xludf.DUMMYFUNCTION("GOOGLETRANSLATE(A3488, ""en"", ""fr"")"),"Vide n ° 2")</f>
        <v>Vide n ° 2</v>
      </c>
      <c r="C3488" s="1" t="s">
        <v>185</v>
      </c>
      <c r="E3488" s="1" t="s">
        <v>16613</v>
      </c>
      <c r="H3488" s="1" t="s">
        <v>4</v>
      </c>
      <c r="N3488" s="1" t="s">
        <v>10</v>
      </c>
      <c r="BY3488" s="1" t="s">
        <v>73</v>
      </c>
      <c r="DO3488" s="1" t="s">
        <v>115</v>
      </c>
      <c r="GD3488" s="1" t="s">
        <v>189</v>
      </c>
      <c r="GE3488" s="1" t="s">
        <v>4938</v>
      </c>
    </row>
    <row r="3489" spans="1:187" ht="11.25" customHeight="1">
      <c r="A3489" s="1" t="s">
        <v>4939</v>
      </c>
      <c r="B3489" s="1" t="str">
        <f ca="1">IFERROR(__xludf.DUMMYFUNCTION("GOOGLETRANSLATE(A3489, ""en"", ""fr"")"),"ACTIVER")</f>
        <v>ACTIVER</v>
      </c>
      <c r="C3489" s="1" t="s">
        <v>185</v>
      </c>
      <c r="D3489" s="1" t="s">
        <v>16612</v>
      </c>
      <c r="F3489" s="1" t="s">
        <v>2</v>
      </c>
      <c r="J3489" s="1" t="s">
        <v>6</v>
      </c>
      <c r="BS3489" s="1" t="s">
        <v>67</v>
      </c>
      <c r="DN3489" s="1" t="s">
        <v>114</v>
      </c>
      <c r="FL3489" s="1" t="s">
        <v>164</v>
      </c>
      <c r="FM3489" s="1" t="s">
        <v>418</v>
      </c>
      <c r="GD3489" s="1" t="s">
        <v>189</v>
      </c>
      <c r="GE3489" s="1" t="s">
        <v>190</v>
      </c>
    </row>
    <row r="3490" spans="1:187" ht="11.25" customHeight="1">
      <c r="A3490" s="1" t="s">
        <v>4940</v>
      </c>
      <c r="B3490" s="1" t="str">
        <f ca="1">IFERROR(__xludf.DUMMYFUNCTION("GOOGLETRANSLATE(A3490, ""en"", ""fr"")"),"PROMULGUER")</f>
        <v>PROMULGUER</v>
      </c>
      <c r="C3490" s="1" t="s">
        <v>185</v>
      </c>
      <c r="J3490" s="1" t="s">
        <v>6</v>
      </c>
      <c r="N3490" s="1" t="s">
        <v>10</v>
      </c>
      <c r="BS3490" s="1" t="s">
        <v>67</v>
      </c>
      <c r="DN3490" s="1" t="s">
        <v>114</v>
      </c>
      <c r="EB3490" s="1" t="s">
        <v>128</v>
      </c>
      <c r="ED3490" s="1" t="s">
        <v>130</v>
      </c>
      <c r="GD3490" s="1" t="s">
        <v>189</v>
      </c>
      <c r="GE3490" s="1" t="s">
        <v>190</v>
      </c>
    </row>
    <row r="3491" spans="1:187" ht="11.25" customHeight="1">
      <c r="A3491" s="1" t="s">
        <v>4941</v>
      </c>
      <c r="B3491" s="1" t="str">
        <f ca="1">IFERROR(__xludf.DUMMYFUNCTION("GOOGLETRANSLATE(A3491, ""en"", ""fr"")"),"PROMULGATION")</f>
        <v>PROMULGATION</v>
      </c>
      <c r="C3491" s="1" t="s">
        <v>185</v>
      </c>
      <c r="J3491" s="1" t="s">
        <v>6</v>
      </c>
      <c r="N3491" s="1" t="s">
        <v>10</v>
      </c>
      <c r="AM3491" s="1" t="s">
        <v>35</v>
      </c>
      <c r="EB3491" s="1" t="s">
        <v>128</v>
      </c>
      <c r="ED3491" s="1" t="s">
        <v>130</v>
      </c>
      <c r="GD3491" s="1" t="s">
        <v>193</v>
      </c>
      <c r="GE3491" s="1" t="s">
        <v>190</v>
      </c>
    </row>
    <row r="3492" spans="1:187" ht="11.25" customHeight="1">
      <c r="A3492" s="1" t="s">
        <v>4942</v>
      </c>
      <c r="B3492" s="1" t="str">
        <f ca="1">IFERROR(__xludf.DUMMYFUNCTION("GOOGLETRANSLATE(A3492, ""en"", ""fr"")"),"Enchant # 1")</f>
        <v>Enchant # 1</v>
      </c>
      <c r="C3492" s="1" t="s">
        <v>185</v>
      </c>
      <c r="D3492" s="1" t="s">
        <v>16612</v>
      </c>
      <c r="F3492" s="1" t="s">
        <v>2</v>
      </c>
      <c r="U3492" s="1" t="s">
        <v>17</v>
      </c>
      <c r="GD3492" s="1" t="s">
        <v>202</v>
      </c>
      <c r="GE3492" s="1" t="s">
        <v>190</v>
      </c>
    </row>
    <row r="3493" spans="1:187" ht="11.25" customHeight="1">
      <c r="A3493" s="1" t="s">
        <v>4943</v>
      </c>
      <c r="B3493" s="1" t="str">
        <f ca="1">IFERROR(__xludf.DUMMYFUNCTION("GOOGLETRANSLATE(A3493, ""en"", ""fr"")"),"Enchant # 2")</f>
        <v>Enchant # 2</v>
      </c>
      <c r="C3493" s="1" t="s">
        <v>185</v>
      </c>
      <c r="D3493" s="1" t="s">
        <v>16612</v>
      </c>
      <c r="F3493" s="1" t="s">
        <v>2</v>
      </c>
      <c r="G3493" s="1" t="s">
        <v>3</v>
      </c>
      <c r="AN3493" s="1" t="s">
        <v>36</v>
      </c>
      <c r="DN3493" s="1" t="s">
        <v>114</v>
      </c>
      <c r="GD3493" s="1" t="s">
        <v>189</v>
      </c>
      <c r="GE3493" s="1" t="s">
        <v>190</v>
      </c>
    </row>
    <row r="3494" spans="1:187" ht="11.25" customHeight="1">
      <c r="A3494" s="1" t="s">
        <v>4944</v>
      </c>
      <c r="B3494" s="1" t="str">
        <f ca="1">IFERROR(__xludf.DUMMYFUNCTION("GOOGLETRANSLATE(A3494, ""en"", ""fr"")"),"ENCHANTEMENT")</f>
        <v>ENCHANTEMENT</v>
      </c>
      <c r="C3494" s="1" t="s">
        <v>192</v>
      </c>
      <c r="D3494" s="1" t="s">
        <v>16612</v>
      </c>
      <c r="P3494" s="1" t="s">
        <v>12</v>
      </c>
      <c r="T3494" s="1" t="s">
        <v>16</v>
      </c>
      <c r="GD3494" s="1" t="s">
        <v>1177</v>
      </c>
      <c r="GE3494" s="1" t="s">
        <v>190</v>
      </c>
    </row>
    <row r="3495" spans="1:187" ht="11.25" customHeight="1">
      <c r="A3495" s="1" t="s">
        <v>4945</v>
      </c>
      <c r="B3495" s="1" t="str">
        <f ca="1">IFERROR(__xludf.DUMMYFUNCTION("GOOGLETRANSLATE(A3495, ""en"", ""fr"")"),"Enclorer le n ° 1")</f>
        <v>Enclorer le n ° 1</v>
      </c>
      <c r="C3495" s="1" t="s">
        <v>185</v>
      </c>
      <c r="J3495" s="1" t="s">
        <v>6</v>
      </c>
      <c r="N3495" s="1" t="s">
        <v>10</v>
      </c>
      <c r="DA3495" s="1" t="s">
        <v>101</v>
      </c>
      <c r="GD3495" s="1" t="s">
        <v>202</v>
      </c>
      <c r="GE3495" s="1" t="s">
        <v>190</v>
      </c>
    </row>
    <row r="3496" spans="1:187" ht="11.25" customHeight="1">
      <c r="A3496" s="1" t="s">
        <v>4946</v>
      </c>
      <c r="B3496" s="1" t="str">
        <f ca="1">IFERROR(__xludf.DUMMYFUNCTION("GOOGLETRANSLATE(A3496, ""en"", ""fr"")"),"Enclorer # 2")</f>
        <v>Enclorer # 2</v>
      </c>
      <c r="C3496" s="1" t="s">
        <v>185</v>
      </c>
      <c r="J3496" s="1" t="s">
        <v>6</v>
      </c>
      <c r="N3496" s="1" t="s">
        <v>10</v>
      </c>
      <c r="DA3496" s="1" t="s">
        <v>101</v>
      </c>
      <c r="DN3496" s="1" t="s">
        <v>114</v>
      </c>
      <c r="GD3496" s="1" t="s">
        <v>189</v>
      </c>
      <c r="GE3496" s="1" t="s">
        <v>190</v>
      </c>
    </row>
    <row r="3497" spans="1:187" ht="11.25" customHeight="1">
      <c r="A3497" s="1" t="s">
        <v>4947</v>
      </c>
      <c r="B3497" s="1" t="str">
        <f ca="1">IFERROR(__xludf.DUMMYFUNCTION("GOOGLETRANSLATE(A3497, ""en"", ""fr"")"),"ENGLOBER")</f>
        <v>ENGLOBER</v>
      </c>
      <c r="C3497" s="1" t="s">
        <v>185</v>
      </c>
      <c r="J3497" s="1" t="s">
        <v>6</v>
      </c>
      <c r="DA3497" s="1" t="s">
        <v>101</v>
      </c>
      <c r="DN3497" s="1" t="s">
        <v>114</v>
      </c>
      <c r="GD3497" s="1" t="s">
        <v>189</v>
      </c>
      <c r="GE3497" s="1" t="s">
        <v>190</v>
      </c>
    </row>
    <row r="3498" spans="1:187" ht="11.25" customHeight="1">
      <c r="A3498" s="1" t="s">
        <v>4948</v>
      </c>
      <c r="B3498" s="1" t="str">
        <f ca="1">IFERROR(__xludf.DUMMYFUNCTION("GOOGLETRANSLATE(A3498, ""en"", ""fr"")"),"Rencontre n ° 1")</f>
        <v>Rencontre n ° 1</v>
      </c>
      <c r="C3498" s="1" t="s">
        <v>185</v>
      </c>
      <c r="BK3498" s="1" t="s">
        <v>59</v>
      </c>
      <c r="BL3498" s="1" t="s">
        <v>60</v>
      </c>
      <c r="EC3498" s="1" t="s">
        <v>129</v>
      </c>
      <c r="ED3498" s="1" t="s">
        <v>130</v>
      </c>
      <c r="GC3498" s="1" t="s">
        <v>181</v>
      </c>
      <c r="GD3498" s="1" t="s">
        <v>193</v>
      </c>
      <c r="GE3498" s="1" t="s">
        <v>190</v>
      </c>
    </row>
    <row r="3499" spans="1:187" ht="11.25" customHeight="1">
      <c r="A3499" s="1" t="s">
        <v>4949</v>
      </c>
      <c r="B3499" s="1" t="str">
        <f ca="1">IFERROR(__xludf.DUMMYFUNCTION("GOOGLETRANSLATE(A3499, ""en"", ""fr"")"),"Rencontre # 2")</f>
        <v>Rencontre # 2</v>
      </c>
      <c r="C3499" s="1" t="s">
        <v>185</v>
      </c>
      <c r="G3499" s="1" t="s">
        <v>3</v>
      </c>
      <c r="AN3499" s="1" t="s">
        <v>36</v>
      </c>
      <c r="DN3499" s="1" t="s">
        <v>114</v>
      </c>
      <c r="EC3499" s="1" t="s">
        <v>129</v>
      </c>
      <c r="ED3499" s="1" t="s">
        <v>130</v>
      </c>
      <c r="GD3499" s="1" t="s">
        <v>189</v>
      </c>
      <c r="GE3499" s="1" t="s">
        <v>190</v>
      </c>
    </row>
    <row r="3500" spans="1:187" ht="11.25" customHeight="1">
      <c r="A3500" s="1" t="s">
        <v>4950</v>
      </c>
      <c r="B3500" s="1" t="str">
        <f ca="1">IFERROR(__xludf.DUMMYFUNCTION("GOOGLETRANSLATE(A3500, ""en"", ""fr"")"),"Encourager # 1")</f>
        <v>Encourager # 1</v>
      </c>
      <c r="C3500" s="1" t="s">
        <v>185</v>
      </c>
      <c r="D3500" s="1" t="s">
        <v>16612</v>
      </c>
      <c r="F3500" s="1" t="s">
        <v>2</v>
      </c>
      <c r="G3500" s="1" t="s">
        <v>3</v>
      </c>
      <c r="N3500" s="1" t="s">
        <v>10</v>
      </c>
      <c r="AN3500" s="1" t="s">
        <v>36</v>
      </c>
      <c r="DN3500" s="1" t="s">
        <v>114</v>
      </c>
      <c r="DS3500" s="1" t="s">
        <v>119</v>
      </c>
      <c r="ED3500" s="1" t="s">
        <v>130</v>
      </c>
      <c r="GD3500" s="1" t="s">
        <v>400</v>
      </c>
      <c r="GE3500" s="1" t="s">
        <v>4951</v>
      </c>
    </row>
    <row r="3501" spans="1:187" ht="11.25" customHeight="1">
      <c r="A3501" s="1" t="s">
        <v>4952</v>
      </c>
      <c r="B3501" s="1" t="str">
        <f ca="1">IFERROR(__xludf.DUMMYFUNCTION("GOOGLETRANSLATE(A3501, ""en"", ""fr"")"),"Encourager # 2")</f>
        <v>Encourager # 2</v>
      </c>
      <c r="C3501" s="1" t="s">
        <v>185</v>
      </c>
      <c r="D3501" s="1" t="s">
        <v>16612</v>
      </c>
      <c r="F3501" s="1" t="s">
        <v>2</v>
      </c>
      <c r="U3501" s="1" t="s">
        <v>17</v>
      </c>
      <c r="FN3501" s="1" t="s">
        <v>166</v>
      </c>
      <c r="GD3501" s="1" t="s">
        <v>202</v>
      </c>
      <c r="GE3501" s="1" t="s">
        <v>4953</v>
      </c>
    </row>
    <row r="3502" spans="1:187" ht="11.25" customHeight="1">
      <c r="A3502" s="1" t="s">
        <v>4954</v>
      </c>
      <c r="B3502" s="1" t="str">
        <f ca="1">IFERROR(__xludf.DUMMYFUNCTION("GOOGLETRANSLATE(A3502, ""en"", ""fr"")"),"ENCOURAGEMENT")</f>
        <v>ENCOURAGEMENT</v>
      </c>
      <c r="C3502" s="1" t="s">
        <v>185</v>
      </c>
      <c r="D3502" s="1" t="s">
        <v>16612</v>
      </c>
      <c r="F3502" s="1" t="s">
        <v>2</v>
      </c>
      <c r="G3502" s="1" t="s">
        <v>3</v>
      </c>
      <c r="N3502" s="1" t="s">
        <v>10</v>
      </c>
      <c r="U3502" s="1" t="s">
        <v>17</v>
      </c>
      <c r="EC3502" s="1" t="s">
        <v>129</v>
      </c>
      <c r="ED3502" s="1" t="s">
        <v>130</v>
      </c>
      <c r="GD3502" s="1" t="s">
        <v>193</v>
      </c>
      <c r="GE3502" s="1" t="s">
        <v>190</v>
      </c>
    </row>
    <row r="3503" spans="1:187" ht="11.25" customHeight="1">
      <c r="A3503" s="1" t="s">
        <v>4955</v>
      </c>
      <c r="B3503" s="1" t="str">
        <f ca="1">IFERROR(__xludf.DUMMYFUNCTION("GOOGLETRANSLATE(A3503, ""en"", ""fr"")"),"EMPIÉTER")</f>
        <v>EMPIÉTER</v>
      </c>
      <c r="C3503" s="1" t="s">
        <v>192</v>
      </c>
      <c r="E3503" s="1" t="s">
        <v>16613</v>
      </c>
      <c r="K3503" s="1" t="s">
        <v>7</v>
      </c>
      <c r="DN3503" s="1" t="s">
        <v>114</v>
      </c>
      <c r="GD3503" s="1" t="s">
        <v>189</v>
      </c>
      <c r="GE3503" s="1" t="s">
        <v>190</v>
      </c>
    </row>
    <row r="3504" spans="1:187" ht="11.25" customHeight="1">
      <c r="A3504" s="1" t="s">
        <v>4956</v>
      </c>
      <c r="B3504" s="1" t="str">
        <f ca="1">IFERROR(__xludf.DUMMYFUNCTION("GOOGLETRANSLATE(A3504, ""en"", ""fr"")"),"EMPIÈTEMENT")</f>
        <v>EMPIÈTEMENT</v>
      </c>
      <c r="C3504" s="1" t="s">
        <v>185</v>
      </c>
      <c r="E3504" s="1" t="s">
        <v>16613</v>
      </c>
      <c r="K3504" s="1" t="s">
        <v>7</v>
      </c>
      <c r="DW3504" s="1" t="s">
        <v>123</v>
      </c>
      <c r="ED3504" s="1" t="s">
        <v>130</v>
      </c>
      <c r="GD3504" s="1" t="s">
        <v>193</v>
      </c>
      <c r="GE3504" s="1" t="s">
        <v>190</v>
      </c>
    </row>
    <row r="3505" spans="1:187" ht="11.25" customHeight="1">
      <c r="A3505" s="1" t="s">
        <v>4957</v>
      </c>
      <c r="B3505" s="1" t="str">
        <f ca="1">IFERROR(__xludf.DUMMYFUNCTION("GOOGLETRANSLATE(A3505, ""en"", ""fr"")"),"Fin n ° 1")</f>
        <v>Fin n ° 1</v>
      </c>
      <c r="C3505" s="1" t="s">
        <v>185</v>
      </c>
      <c r="BZ3505" s="1" t="s">
        <v>74</v>
      </c>
      <c r="GB3505" s="1" t="s">
        <v>180</v>
      </c>
      <c r="GD3505" s="1" t="s">
        <v>193</v>
      </c>
      <c r="GE3505" s="1" t="s">
        <v>4958</v>
      </c>
    </row>
    <row r="3506" spans="1:187" ht="11.25" customHeight="1">
      <c r="A3506" s="1" t="s">
        <v>4959</v>
      </c>
      <c r="B3506" s="1" t="str">
        <f ca="1">IFERROR(__xludf.DUMMYFUNCTION("GOOGLETRANSLATE(A3506, ""en"", ""fr"")"),"Fin n ° 2")</f>
        <v>Fin n ° 2</v>
      </c>
      <c r="C3506" s="1" t="s">
        <v>185</v>
      </c>
      <c r="N3506" s="1" t="s">
        <v>10</v>
      </c>
      <c r="BZ3506" s="1" t="s">
        <v>74</v>
      </c>
      <c r="DO3506" s="1" t="s">
        <v>115</v>
      </c>
      <c r="GB3506" s="1" t="s">
        <v>180</v>
      </c>
      <c r="GD3506" s="1" t="s">
        <v>189</v>
      </c>
      <c r="GE3506" s="1" t="s">
        <v>4960</v>
      </c>
    </row>
    <row r="3507" spans="1:187" ht="11.25" customHeight="1">
      <c r="A3507" s="1" t="s">
        <v>4961</v>
      </c>
      <c r="B3507" s="1" t="str">
        <f ca="1">IFERROR(__xludf.DUMMYFUNCTION("GOOGLETRANSLATE(A3507, ""en"", ""fr"")"),"Fin n ° 3")</f>
        <v>Fin n ° 3</v>
      </c>
      <c r="C3507" s="1" t="s">
        <v>185</v>
      </c>
      <c r="N3507" s="1" t="s">
        <v>10</v>
      </c>
      <c r="O3507" s="1" t="s">
        <v>11</v>
      </c>
      <c r="BO3507" s="1" t="s">
        <v>63</v>
      </c>
      <c r="CP3507" s="1" t="s">
        <v>90</v>
      </c>
      <c r="CQ3507" s="1" t="s">
        <v>91</v>
      </c>
      <c r="FR3507" s="1" t="s">
        <v>170</v>
      </c>
      <c r="GD3507" s="1" t="s">
        <v>193</v>
      </c>
      <c r="GE3507" s="1" t="s">
        <v>4962</v>
      </c>
    </row>
    <row r="3508" spans="1:187" ht="11.25" customHeight="1">
      <c r="A3508" s="1" t="s">
        <v>4963</v>
      </c>
      <c r="B3508" s="1" t="str">
        <f ca="1">IFERROR(__xludf.DUMMYFUNCTION("GOOGLETRANSLATE(A3508, ""en"", ""fr"")"),"Fin n ° 4")</f>
        <v>Fin n ° 4</v>
      </c>
      <c r="C3508" s="1" t="s">
        <v>185</v>
      </c>
      <c r="BC3508" s="1" t="s">
        <v>51</v>
      </c>
      <c r="BD3508" s="1" t="s">
        <v>52</v>
      </c>
      <c r="GD3508" s="1" t="s">
        <v>193</v>
      </c>
      <c r="GE3508" s="1" t="s">
        <v>4964</v>
      </c>
    </row>
    <row r="3509" spans="1:187" ht="11.25" customHeight="1">
      <c r="A3509" s="1" t="s">
        <v>4965</v>
      </c>
      <c r="B3509" s="1" t="str">
        <f ca="1">IFERROR(__xludf.DUMMYFUNCTION("GOOGLETRANSLATE(A3509, ""en"", ""fr"")"),"Fin n ° 5")</f>
        <v>Fin n ° 5</v>
      </c>
      <c r="C3509" s="1" t="s">
        <v>185</v>
      </c>
      <c r="BZ3509" s="1" t="s">
        <v>74</v>
      </c>
      <c r="DO3509" s="1" t="s">
        <v>115</v>
      </c>
      <c r="GB3509" s="1" t="s">
        <v>180</v>
      </c>
      <c r="GD3509" s="1" t="s">
        <v>4701</v>
      </c>
      <c r="GE3509" s="1" t="s">
        <v>4966</v>
      </c>
    </row>
    <row r="3510" spans="1:187" ht="11.25" customHeight="1">
      <c r="A3510" s="1" t="s">
        <v>4967</v>
      </c>
      <c r="B3510" s="1" t="str">
        <f ca="1">IFERROR(__xludf.DUMMYFUNCTION("GOOGLETRANSLATE(A3510, ""en"", ""fr"")"),"Fin n ° 6")</f>
        <v>Fin n ° 6</v>
      </c>
      <c r="C3510" s="1" t="s">
        <v>185</v>
      </c>
      <c r="BQ3510" s="1" t="s">
        <v>65</v>
      </c>
      <c r="EV3510" s="1" t="s">
        <v>148</v>
      </c>
      <c r="EW3510" s="1" t="s">
        <v>149</v>
      </c>
      <c r="GD3510" s="1" t="s">
        <v>193</v>
      </c>
      <c r="GE3510" s="1" t="s">
        <v>4968</v>
      </c>
    </row>
    <row r="3511" spans="1:187" ht="11.25" customHeight="1">
      <c r="A3511" s="1" t="s">
        <v>4969</v>
      </c>
      <c r="B3511" s="1" t="str">
        <f ca="1">IFERROR(__xludf.DUMMYFUNCTION("GOOGLETRANSLATE(A3511, ""en"", ""fr"")"),"METTRE EN DANGER")</f>
        <v>METTRE EN DANGER</v>
      </c>
      <c r="C3511" s="1" t="s">
        <v>185</v>
      </c>
      <c r="E3511" s="1" t="s">
        <v>16613</v>
      </c>
      <c r="H3511" s="1" t="s">
        <v>4</v>
      </c>
      <c r="I3511" s="1" t="s">
        <v>5</v>
      </c>
      <c r="AN3511" s="1" t="s">
        <v>36</v>
      </c>
      <c r="DN3511" s="1" t="s">
        <v>114</v>
      </c>
      <c r="FR3511" s="1" t="s">
        <v>170</v>
      </c>
      <c r="GD3511" s="1" t="s">
        <v>189</v>
      </c>
      <c r="GE3511" s="1" t="s">
        <v>190</v>
      </c>
    </row>
    <row r="3512" spans="1:187" ht="11.25" customHeight="1">
      <c r="A3512" s="1" t="s">
        <v>4970</v>
      </c>
      <c r="B3512" s="1" t="str">
        <f ca="1">IFERROR(__xludf.DUMMYFUNCTION("GOOGLETRANSLATE(A3512, ""en"", ""fr"")"),"FAIRE AIMER")</f>
        <v>FAIRE AIMER</v>
      </c>
      <c r="C3512" s="1" t="s">
        <v>192</v>
      </c>
      <c r="D3512" s="1" t="s">
        <v>16612</v>
      </c>
      <c r="G3512" s="1" t="s">
        <v>3</v>
      </c>
      <c r="N3512" s="1" t="s">
        <v>10</v>
      </c>
      <c r="P3512" s="1" t="s">
        <v>12</v>
      </c>
      <c r="DN3512" s="1" t="s">
        <v>114</v>
      </c>
      <c r="GD3512" s="1" t="s">
        <v>670</v>
      </c>
      <c r="GE3512" s="1" t="s">
        <v>190</v>
      </c>
    </row>
    <row r="3513" spans="1:187" ht="11.25" customHeight="1">
      <c r="A3513" s="1" t="s">
        <v>4971</v>
      </c>
      <c r="B3513" s="1" t="str">
        <f ca="1">IFERROR(__xludf.DUMMYFUNCTION("GOOGLETRANSLATE(A3513, ""en"", ""fr"")"),"EFFORT")</f>
        <v>EFFORT</v>
      </c>
      <c r="C3513" s="1" t="s">
        <v>185</v>
      </c>
      <c r="N3513" s="1" t="s">
        <v>10</v>
      </c>
      <c r="BP3513" s="1" t="s">
        <v>64</v>
      </c>
      <c r="DN3513" s="1" t="s">
        <v>114</v>
      </c>
      <c r="FR3513" s="1" t="s">
        <v>170</v>
      </c>
      <c r="GD3513" s="1" t="s">
        <v>189</v>
      </c>
      <c r="GE3513" s="1" t="s">
        <v>190</v>
      </c>
    </row>
    <row r="3514" spans="1:187" ht="11.25" customHeight="1">
      <c r="A3514" s="1" t="s">
        <v>4972</v>
      </c>
      <c r="B3514" s="1" t="str">
        <f ca="1">IFERROR(__xludf.DUMMYFUNCTION("GOOGLETRANSLATE(A3514, ""en"", ""fr"")"),"SANS FIN")</f>
        <v>SANS FIN</v>
      </c>
      <c r="C3514" s="1" t="s">
        <v>185</v>
      </c>
      <c r="J3514" s="1" t="s">
        <v>6</v>
      </c>
      <c r="DA3514" s="1" t="s">
        <v>101</v>
      </c>
      <c r="DC3514" s="1" t="s">
        <v>103</v>
      </c>
      <c r="GD3514" s="1" t="s">
        <v>202</v>
      </c>
      <c r="GE3514" s="1" t="s">
        <v>190</v>
      </c>
    </row>
    <row r="3515" spans="1:187" ht="11.25" customHeight="1">
      <c r="A3515" s="1" t="s">
        <v>4973</v>
      </c>
      <c r="B3515" s="1" t="str">
        <f ca="1">IFERROR(__xludf.DUMMYFUNCTION("GOOGLETRANSLATE(A3515, ""en"", ""fr"")"),"ENDOSSER")</f>
        <v>ENDOSSER</v>
      </c>
      <c r="C3515" s="1" t="s">
        <v>185</v>
      </c>
      <c r="D3515" s="1" t="s">
        <v>16612</v>
      </c>
      <c r="F3515" s="1" t="s">
        <v>2</v>
      </c>
      <c r="G3515" s="1" t="s">
        <v>3</v>
      </c>
      <c r="J3515" s="1" t="s">
        <v>6</v>
      </c>
      <c r="K3515" s="1" t="s">
        <v>7</v>
      </c>
      <c r="BK3515" s="1" t="s">
        <v>59</v>
      </c>
      <c r="DN3515" s="1" t="s">
        <v>114</v>
      </c>
      <c r="DS3515" s="1" t="s">
        <v>119</v>
      </c>
      <c r="ED3515" s="1" t="s">
        <v>130</v>
      </c>
      <c r="GD3515" s="1" t="s">
        <v>189</v>
      </c>
      <c r="GE3515" s="1" t="s">
        <v>190</v>
      </c>
    </row>
    <row r="3516" spans="1:187" ht="11.25" customHeight="1">
      <c r="A3516" s="1" t="s">
        <v>4974</v>
      </c>
      <c r="B3516" s="1" t="str">
        <f ca="1">IFERROR(__xludf.DUMMYFUNCTION("GOOGLETRANSLATE(A3516, ""en"", ""fr"")"),"DOTER")</f>
        <v>DOTER</v>
      </c>
      <c r="C3516" s="1" t="s">
        <v>192</v>
      </c>
      <c r="D3516" s="1" t="s">
        <v>16612</v>
      </c>
      <c r="N3516" s="1" t="s">
        <v>10</v>
      </c>
      <c r="AA3516" s="1" t="s">
        <v>23</v>
      </c>
      <c r="AB3516" s="1" t="s">
        <v>24</v>
      </c>
      <c r="DO3516" s="1" t="s">
        <v>115</v>
      </c>
      <c r="GD3516" s="1" t="s">
        <v>670</v>
      </c>
      <c r="GE3516" s="1" t="s">
        <v>190</v>
      </c>
    </row>
    <row r="3517" spans="1:187" ht="11.25" customHeight="1">
      <c r="A3517" s="1" t="s">
        <v>4975</v>
      </c>
      <c r="B3517" s="1" t="str">
        <f ca="1">IFERROR(__xludf.DUMMYFUNCTION("GOOGLETRANSLATE(A3517, ""en"", ""fr"")"),"DONATION")</f>
        <v>DONATION</v>
      </c>
      <c r="C3517" s="1" t="s">
        <v>196</v>
      </c>
      <c r="EV3517" s="1" t="s">
        <v>148</v>
      </c>
      <c r="EW3517" s="1" t="s">
        <v>149</v>
      </c>
      <c r="GD3517" s="1" t="s">
        <v>193</v>
      </c>
    </row>
    <row r="3518" spans="1:187" ht="11.25" customHeight="1">
      <c r="A3518" s="1" t="s">
        <v>4976</v>
      </c>
      <c r="B3518" s="1" t="str">
        <f ca="1">IFERROR(__xludf.DUMMYFUNCTION("GOOGLETRANSLATE(A3518, ""en"", ""fr"")"),"ENDURANCE")</f>
        <v>ENDURANCE</v>
      </c>
      <c r="C3518" s="1" t="s">
        <v>185</v>
      </c>
      <c r="D3518" s="1" t="s">
        <v>16612</v>
      </c>
      <c r="J3518" s="1" t="s">
        <v>6</v>
      </c>
      <c r="W3518" s="1" t="s">
        <v>19</v>
      </c>
      <c r="BR3518" s="1" t="s">
        <v>66</v>
      </c>
      <c r="EZ3518" s="1" t="s">
        <v>152</v>
      </c>
      <c r="FC3518" s="1" t="s">
        <v>155</v>
      </c>
      <c r="GD3518" s="1" t="s">
        <v>193</v>
      </c>
      <c r="GE3518" s="1" t="s">
        <v>190</v>
      </c>
    </row>
    <row r="3519" spans="1:187" ht="11.25" customHeight="1">
      <c r="A3519" s="1" t="s">
        <v>4977</v>
      </c>
      <c r="B3519" s="1" t="str">
        <f ca="1">IFERROR(__xludf.DUMMYFUNCTION("GOOGLETRANSLATE(A3519, ""en"", ""fr"")"),"Endurer n ° 1")</f>
        <v>Endurer n ° 1</v>
      </c>
      <c r="C3519" s="1" t="s">
        <v>185</v>
      </c>
      <c r="J3519" s="1" t="s">
        <v>6</v>
      </c>
      <c r="O3519" s="1" t="s">
        <v>11</v>
      </c>
      <c r="W3519" s="1" t="s">
        <v>19</v>
      </c>
      <c r="BR3519" s="1" t="s">
        <v>66</v>
      </c>
      <c r="EZ3519" s="1" t="s">
        <v>152</v>
      </c>
      <c r="FC3519" s="1" t="s">
        <v>155</v>
      </c>
      <c r="GD3519" s="1" t="s">
        <v>202</v>
      </c>
      <c r="GE3519" s="1" t="s">
        <v>190</v>
      </c>
    </row>
    <row r="3520" spans="1:187" ht="11.25" customHeight="1">
      <c r="A3520" s="1" t="s">
        <v>4978</v>
      </c>
      <c r="B3520" s="1" t="str">
        <f ca="1">IFERROR(__xludf.DUMMYFUNCTION("GOOGLETRANSLATE(A3520, ""en"", ""fr"")"),"Endurer # 2")</f>
        <v>Endurer # 2</v>
      </c>
      <c r="C3520" s="1" t="s">
        <v>185</v>
      </c>
      <c r="J3520" s="1" t="s">
        <v>6</v>
      </c>
      <c r="O3520" s="1" t="s">
        <v>11</v>
      </c>
      <c r="BR3520" s="1" t="s">
        <v>66</v>
      </c>
      <c r="DN3520" s="1" t="s">
        <v>114</v>
      </c>
      <c r="EZ3520" s="1" t="s">
        <v>152</v>
      </c>
      <c r="FC3520" s="1" t="s">
        <v>155</v>
      </c>
      <c r="GD3520" s="1" t="s">
        <v>189</v>
      </c>
      <c r="GE3520" s="1" t="s">
        <v>190</v>
      </c>
    </row>
    <row r="3521" spans="1:187" ht="11.25" customHeight="1">
      <c r="A3521" s="1" t="s">
        <v>4979</v>
      </c>
      <c r="B3521" s="1" t="str">
        <f ca="1">IFERROR(__xludf.DUMMYFUNCTION("GOOGLETRANSLATE(A3521, ""en"", ""fr"")"),"ENNEMI")</f>
        <v>ENNEMI</v>
      </c>
      <c r="C3521" s="1" t="s">
        <v>185</v>
      </c>
      <c r="E3521" s="1" t="s">
        <v>16613</v>
      </c>
      <c r="H3521" s="1" t="s">
        <v>4</v>
      </c>
      <c r="I3521" s="1" t="s">
        <v>5</v>
      </c>
      <c r="AH3521" s="1" t="s">
        <v>30</v>
      </c>
      <c r="AJ3521" s="1" t="s">
        <v>32</v>
      </c>
      <c r="AT3521" s="1" t="s">
        <v>42</v>
      </c>
      <c r="DW3521" s="1" t="s">
        <v>123</v>
      </c>
      <c r="ED3521" s="1" t="s">
        <v>130</v>
      </c>
      <c r="GD3521" s="1" t="s">
        <v>193</v>
      </c>
      <c r="GE3521" s="1" t="s">
        <v>4980</v>
      </c>
    </row>
    <row r="3522" spans="1:187" ht="11.25" customHeight="1">
      <c r="A3522" s="1" t="s">
        <v>4981</v>
      </c>
      <c r="B3522" s="1" t="str">
        <f ca="1">IFERROR(__xludf.DUMMYFUNCTION("GOOGLETRANSLATE(A3522, ""en"", ""fr"")"),"ÉNERGIQUE")</f>
        <v>ÉNERGIQUE</v>
      </c>
      <c r="C3522" s="1" t="s">
        <v>185</v>
      </c>
      <c r="D3522" s="1" t="s">
        <v>16612</v>
      </c>
      <c r="F3522" s="1" t="s">
        <v>2</v>
      </c>
      <c r="J3522" s="1" t="s">
        <v>6</v>
      </c>
      <c r="N3522" s="1" t="s">
        <v>10</v>
      </c>
      <c r="CC3522" s="1" t="s">
        <v>77</v>
      </c>
      <c r="CN3522" s="1" t="s">
        <v>88</v>
      </c>
      <c r="EZ3522" s="1" t="s">
        <v>152</v>
      </c>
      <c r="FC3522" s="1" t="s">
        <v>155</v>
      </c>
      <c r="GD3522" s="1" t="s">
        <v>202</v>
      </c>
      <c r="GE3522" s="1" t="s">
        <v>190</v>
      </c>
    </row>
    <row r="3523" spans="1:187" ht="11.25" customHeight="1">
      <c r="A3523" s="1" t="s">
        <v>4982</v>
      </c>
      <c r="B3523" s="1" t="str">
        <f ca="1">IFERROR(__xludf.DUMMYFUNCTION("GOOGLETRANSLATE(A3523, ""en"", ""fr"")"),"Dynamiser")</f>
        <v>Dynamiser</v>
      </c>
      <c r="C3523" s="1" t="s">
        <v>192</v>
      </c>
      <c r="D3523" s="1" t="s">
        <v>16612</v>
      </c>
      <c r="J3523" s="1" t="s">
        <v>6</v>
      </c>
      <c r="N3523" s="1" t="s">
        <v>10</v>
      </c>
      <c r="DN3523" s="1" t="s">
        <v>114</v>
      </c>
      <c r="GD3523" s="1" t="s">
        <v>670</v>
      </c>
      <c r="GE3523" s="1" t="s">
        <v>190</v>
      </c>
    </row>
    <row r="3524" spans="1:187" ht="11.25" customHeight="1">
      <c r="A3524" s="1" t="s">
        <v>4983</v>
      </c>
      <c r="B3524" s="1" t="str">
        <f ca="1">IFERROR(__xludf.DUMMYFUNCTION("GOOGLETRANSLATE(A3524, ""en"", ""fr"")"),"ÉNERGIE")</f>
        <v>ÉNERGIE</v>
      </c>
      <c r="C3524" s="1" t="s">
        <v>185</v>
      </c>
      <c r="J3524" s="1" t="s">
        <v>6</v>
      </c>
      <c r="BU3524" s="1" t="s">
        <v>69</v>
      </c>
      <c r="EV3524" s="1" t="s">
        <v>148</v>
      </c>
      <c r="EW3524" s="1" t="s">
        <v>149</v>
      </c>
      <c r="GD3524" s="1" t="s">
        <v>193</v>
      </c>
      <c r="GE3524" s="1" t="s">
        <v>4984</v>
      </c>
    </row>
    <row r="3525" spans="1:187" ht="11.25" customHeight="1">
      <c r="A3525" s="1" t="s">
        <v>4985</v>
      </c>
      <c r="B3525" s="1" t="str">
        <f ca="1">IFERROR(__xludf.DUMMYFUNCTION("GOOGLETRANSLATE(A3525, ""en"", ""fr"")"),"IMPOSER")</f>
        <v>IMPOSER</v>
      </c>
      <c r="C3525" s="1" t="s">
        <v>185</v>
      </c>
      <c r="E3525" s="1" t="s">
        <v>16613</v>
      </c>
      <c r="H3525" s="1" t="s">
        <v>4</v>
      </c>
      <c r="I3525" s="1" t="s">
        <v>5</v>
      </c>
      <c r="J3525" s="1" t="s">
        <v>6</v>
      </c>
      <c r="K3525" s="1" t="s">
        <v>7</v>
      </c>
      <c r="N3525" s="1" t="s">
        <v>10</v>
      </c>
      <c r="AE3525" s="1" t="s">
        <v>27</v>
      </c>
      <c r="AN3525" s="1" t="s">
        <v>36</v>
      </c>
      <c r="DN3525" s="1" t="s">
        <v>114</v>
      </c>
      <c r="EC3525" s="1" t="s">
        <v>129</v>
      </c>
      <c r="ED3525" s="1" t="s">
        <v>130</v>
      </c>
      <c r="GD3525" s="1" t="s">
        <v>189</v>
      </c>
      <c r="GE3525" s="1" t="s">
        <v>190</v>
      </c>
    </row>
    <row r="3526" spans="1:187" ht="11.25" customHeight="1">
      <c r="A3526" s="1" t="s">
        <v>4986</v>
      </c>
      <c r="B3526" s="1" t="str">
        <f ca="1">IFERROR(__xludf.DUMMYFUNCTION("GOOGLETRANSLATE(A3526, ""en"", ""fr"")"),"MISE EN VIGUEUR")</f>
        <v>MISE EN VIGUEUR</v>
      </c>
      <c r="C3526" s="1" t="s">
        <v>185</v>
      </c>
      <c r="J3526" s="1" t="s">
        <v>6</v>
      </c>
      <c r="K3526" s="1" t="s">
        <v>7</v>
      </c>
      <c r="AE3526" s="1" t="s">
        <v>27</v>
      </c>
      <c r="EC3526" s="1" t="s">
        <v>129</v>
      </c>
      <c r="ED3526" s="1" t="s">
        <v>130</v>
      </c>
      <c r="GD3526" s="1" t="s">
        <v>193</v>
      </c>
      <c r="GE3526" s="1" t="s">
        <v>190</v>
      </c>
    </row>
    <row r="3527" spans="1:187" ht="11.25" customHeight="1">
      <c r="A3527" s="1" t="s">
        <v>4987</v>
      </c>
      <c r="B3527" s="1" t="str">
        <f ca="1">IFERROR(__xludf.DUMMYFUNCTION("GOOGLETRANSLATE(A3527, ""en"", ""fr"")"),"AFFRANCHISSEMENT")</f>
        <v>AFFRANCHISSEMENT</v>
      </c>
      <c r="C3527" s="1" t="s">
        <v>196</v>
      </c>
      <c r="GD3527" s="1" t="s">
        <v>193</v>
      </c>
    </row>
    <row r="3528" spans="1:187" ht="11.25" customHeight="1">
      <c r="A3528" s="1" t="s">
        <v>4988</v>
      </c>
      <c r="B3528" s="1" t="str">
        <f ca="1">IFERROR(__xludf.DUMMYFUNCTION("GOOGLETRANSLATE(A3528, ""en"", ""fr"")"),"Engagez # 1")</f>
        <v>Engagez # 1</v>
      </c>
      <c r="C3528" s="1" t="s">
        <v>185</v>
      </c>
      <c r="DD3528" s="1" t="s">
        <v>104</v>
      </c>
      <c r="EC3528" s="1" t="s">
        <v>129</v>
      </c>
      <c r="ED3528" s="1" t="s">
        <v>130</v>
      </c>
      <c r="GD3528" s="1" t="s">
        <v>202</v>
      </c>
      <c r="GE3528" s="1" t="s">
        <v>4989</v>
      </c>
    </row>
    <row r="3529" spans="1:187" ht="11.25" customHeight="1">
      <c r="A3529" s="1" t="s">
        <v>4990</v>
      </c>
      <c r="B3529" s="1" t="str">
        <f ca="1">IFERROR(__xludf.DUMMYFUNCTION("GOOGLETRANSLATE(A3529, ""en"", ""fr"")"),"Engagez # 2")</f>
        <v>Engagez # 2</v>
      </c>
      <c r="C3529" s="1" t="s">
        <v>185</v>
      </c>
      <c r="G3529" s="1" t="s">
        <v>3</v>
      </c>
      <c r="AN3529" s="1" t="s">
        <v>36</v>
      </c>
      <c r="AP3529" s="1" t="s">
        <v>38</v>
      </c>
      <c r="EO3529" s="1" t="s">
        <v>141</v>
      </c>
      <c r="ES3529" s="1" t="s">
        <v>145</v>
      </c>
      <c r="GD3529" s="1" t="s">
        <v>202</v>
      </c>
      <c r="GE3529" s="1" t="s">
        <v>4991</v>
      </c>
    </row>
    <row r="3530" spans="1:187" ht="11.25" customHeight="1">
      <c r="A3530" s="1" t="s">
        <v>4992</v>
      </c>
      <c r="B3530" s="1" t="str">
        <f ca="1">IFERROR(__xludf.DUMMYFUNCTION("GOOGLETRANSLATE(A3530, ""en"", ""fr"")"),"Engagez # 3")</f>
        <v>Engagez # 3</v>
      </c>
      <c r="C3530" s="1" t="s">
        <v>185</v>
      </c>
      <c r="N3530" s="1" t="s">
        <v>10</v>
      </c>
      <c r="BP3530" s="1" t="s">
        <v>64</v>
      </c>
      <c r="DN3530" s="1" t="s">
        <v>114</v>
      </c>
      <c r="EC3530" s="1" t="s">
        <v>129</v>
      </c>
      <c r="ED3530" s="1" t="s">
        <v>130</v>
      </c>
      <c r="GD3530" s="1" t="s">
        <v>189</v>
      </c>
      <c r="GE3530" s="1" t="s">
        <v>4993</v>
      </c>
    </row>
    <row r="3531" spans="1:187" ht="11.25" customHeight="1">
      <c r="A3531" s="1" t="s">
        <v>4994</v>
      </c>
      <c r="B3531" s="1" t="str">
        <f ca="1">IFERROR(__xludf.DUMMYFUNCTION("GOOGLETRANSLATE(A3531, ""en"", ""fr"")"),"Engagez # 4")</f>
        <v>Engagez # 4</v>
      </c>
      <c r="C3531" s="1" t="s">
        <v>185</v>
      </c>
      <c r="G3531" s="1" t="s">
        <v>3</v>
      </c>
      <c r="AN3531" s="1" t="s">
        <v>36</v>
      </c>
      <c r="DN3531" s="1" t="s">
        <v>114</v>
      </c>
      <c r="EC3531" s="1" t="s">
        <v>129</v>
      </c>
      <c r="ED3531" s="1" t="s">
        <v>130</v>
      </c>
      <c r="GD3531" s="1" t="s">
        <v>189</v>
      </c>
      <c r="GE3531" s="1" t="s">
        <v>4995</v>
      </c>
    </row>
    <row r="3532" spans="1:187" ht="11.25" customHeight="1">
      <c r="A3532" s="1" t="s">
        <v>4996</v>
      </c>
      <c r="B3532" s="1" t="str">
        <f ca="1">IFERROR(__xludf.DUMMYFUNCTION("GOOGLETRANSLATE(A3532, ""en"", ""fr"")"),"Engagez # 5")</f>
        <v>Engagez # 5</v>
      </c>
      <c r="C3532" s="1" t="s">
        <v>185</v>
      </c>
      <c r="D3532" s="1" t="s">
        <v>16612</v>
      </c>
      <c r="F3532" s="1" t="s">
        <v>2</v>
      </c>
      <c r="BN3532" s="1" t="s">
        <v>62</v>
      </c>
      <c r="CN3532" s="1" t="s">
        <v>88</v>
      </c>
      <c r="FR3532" s="1" t="s">
        <v>170</v>
      </c>
      <c r="GD3532" s="1" t="s">
        <v>202</v>
      </c>
      <c r="GE3532" s="1" t="s">
        <v>4997</v>
      </c>
    </row>
    <row r="3533" spans="1:187" ht="11.25" customHeight="1">
      <c r="A3533" s="1" t="s">
        <v>4998</v>
      </c>
      <c r="B3533" s="1" t="str">
        <f ca="1">IFERROR(__xludf.DUMMYFUNCTION("GOOGLETRANSLATE(A3533, ""en"", ""fr"")"),"FIANÇAILLES")</f>
        <v>FIANÇAILLES</v>
      </c>
      <c r="C3533" s="1" t="s">
        <v>185</v>
      </c>
      <c r="BK3533" s="1" t="s">
        <v>59</v>
      </c>
      <c r="BL3533" s="1" t="s">
        <v>60</v>
      </c>
      <c r="EC3533" s="1" t="s">
        <v>129</v>
      </c>
      <c r="ED3533" s="1" t="s">
        <v>130</v>
      </c>
      <c r="GC3533" s="1" t="s">
        <v>181</v>
      </c>
      <c r="GD3533" s="1" t="s">
        <v>193</v>
      </c>
      <c r="GE3533" s="1" t="s">
        <v>190</v>
      </c>
    </row>
    <row r="3534" spans="1:187" ht="11.25" customHeight="1">
      <c r="A3534" s="1" t="s">
        <v>4999</v>
      </c>
      <c r="B3534" s="1" t="str">
        <f ca="1">IFERROR(__xludf.DUMMYFUNCTION("GOOGLETRANSLATE(A3534, ""en"", ""fr"")"),"MOTEUR")</f>
        <v>MOTEUR</v>
      </c>
      <c r="C3534" s="1" t="s">
        <v>185</v>
      </c>
      <c r="BC3534" s="1" t="s">
        <v>51</v>
      </c>
      <c r="BD3534" s="1" t="s">
        <v>52</v>
      </c>
      <c r="EV3534" s="1" t="s">
        <v>148</v>
      </c>
      <c r="EW3534" s="1" t="s">
        <v>149</v>
      </c>
      <c r="GD3534" s="1" t="s">
        <v>193</v>
      </c>
      <c r="GE3534" s="1" t="s">
        <v>190</v>
      </c>
    </row>
    <row r="3535" spans="1:187" ht="11.25" customHeight="1">
      <c r="A3535" s="1" t="s">
        <v>5000</v>
      </c>
      <c r="B3535" s="1" t="str">
        <f ca="1">IFERROR(__xludf.DUMMYFUNCTION("GOOGLETRANSLATE(A3535, ""en"", ""fr"")"),"INGÉNIEUR")</f>
        <v>INGÉNIEUR</v>
      </c>
      <c r="C3535" s="1" t="s">
        <v>185</v>
      </c>
      <c r="AA3535" s="1" t="s">
        <v>23</v>
      </c>
      <c r="AJ3535" s="1" t="s">
        <v>32</v>
      </c>
      <c r="AT3535" s="1" t="s">
        <v>42</v>
      </c>
      <c r="FK3535" s="1" t="s">
        <v>163</v>
      </c>
      <c r="FM3535" s="1" t="s">
        <v>418</v>
      </c>
      <c r="GD3535" s="1" t="s">
        <v>193</v>
      </c>
      <c r="GE3535" s="1" t="s">
        <v>190</v>
      </c>
    </row>
    <row r="3536" spans="1:187" ht="11.25" customHeight="1">
      <c r="A3536" s="1" t="s">
        <v>5001</v>
      </c>
      <c r="B3536" s="1" t="str">
        <f ca="1">IFERROR(__xludf.DUMMYFUNCTION("GOOGLETRANSLATE(A3536, ""en"", ""fr"")"),"ANGLETERRE")</f>
        <v>ANGLETERRE</v>
      </c>
      <c r="C3536" s="1" t="s">
        <v>185</v>
      </c>
      <c r="AC3536" s="1" t="s">
        <v>25</v>
      </c>
      <c r="AH3536" s="1" t="s">
        <v>30</v>
      </c>
      <c r="DI3536" s="1" t="s">
        <v>109</v>
      </c>
      <c r="FU3536" s="1" t="s">
        <v>173</v>
      </c>
      <c r="GD3536" s="1" t="s">
        <v>193</v>
      </c>
      <c r="GE3536" s="1" t="s">
        <v>190</v>
      </c>
    </row>
    <row r="3537" spans="1:187" ht="11.25" customHeight="1">
      <c r="A3537" s="1" t="s">
        <v>5002</v>
      </c>
      <c r="B3537" s="1" t="str">
        <f ca="1">IFERROR(__xludf.DUMMYFUNCTION("GOOGLETRANSLATE(A3537, ""en"", ""fr"")"),"ANGLAIS")</f>
        <v>ANGLAIS</v>
      </c>
      <c r="C3537" s="1" t="s">
        <v>185</v>
      </c>
      <c r="Y3537" s="1" t="s">
        <v>21</v>
      </c>
      <c r="AC3537" s="1" t="s">
        <v>25</v>
      </c>
      <c r="AH3537" s="1" t="s">
        <v>30</v>
      </c>
      <c r="BK3537" s="1" t="s">
        <v>59</v>
      </c>
      <c r="BL3537" s="1" t="s">
        <v>60</v>
      </c>
      <c r="DI3537" s="1" t="s">
        <v>109</v>
      </c>
      <c r="FU3537" s="1" t="s">
        <v>173</v>
      </c>
      <c r="GD3537" s="1" t="s">
        <v>193</v>
      </c>
      <c r="GE3537" s="1" t="s">
        <v>190</v>
      </c>
    </row>
    <row r="3538" spans="1:187" ht="11.25" customHeight="1">
      <c r="A3538" s="1" t="s">
        <v>5003</v>
      </c>
      <c r="B3538" s="1" t="str">
        <f ca="1">IFERROR(__xludf.DUMMYFUNCTION("GOOGLETRANSLATE(A3538, ""en"", ""fr"")"),"ENGLOUTIR")</f>
        <v>ENGLOUTIR</v>
      </c>
      <c r="C3538" s="1" t="s">
        <v>185</v>
      </c>
      <c r="E3538" s="1" t="s">
        <v>16613</v>
      </c>
      <c r="H3538" s="1" t="s">
        <v>4</v>
      </c>
      <c r="I3538" s="1" t="s">
        <v>5</v>
      </c>
      <c r="J3538" s="1" t="s">
        <v>6</v>
      </c>
      <c r="N3538" s="1" t="s">
        <v>10</v>
      </c>
      <c r="W3538" s="1" t="s">
        <v>19</v>
      </c>
      <c r="BY3538" s="1" t="s">
        <v>73</v>
      </c>
      <c r="DN3538" s="1" t="s">
        <v>114</v>
      </c>
      <c r="FP3538" s="1" t="s">
        <v>168</v>
      </c>
      <c r="GD3538" s="1" t="s">
        <v>189</v>
      </c>
      <c r="GE3538" s="1" t="s">
        <v>190</v>
      </c>
    </row>
    <row r="3539" spans="1:187" ht="11.25" customHeight="1">
      <c r="A3539" s="1" t="s">
        <v>5004</v>
      </c>
      <c r="B3539" s="1" t="str">
        <f ca="1">IFERROR(__xludf.DUMMYFUNCTION("GOOGLETRANSLATE(A3539, ""en"", ""fr"")"),"AMÉLIORER")</f>
        <v>AMÉLIORER</v>
      </c>
      <c r="C3539" s="1" t="s">
        <v>185</v>
      </c>
      <c r="D3539" s="1" t="s">
        <v>16612</v>
      </c>
      <c r="F3539" s="1" t="s">
        <v>2</v>
      </c>
      <c r="J3539" s="1" t="s">
        <v>6</v>
      </c>
      <c r="BS3539" s="1" t="s">
        <v>67</v>
      </c>
      <c r="DN3539" s="1" t="s">
        <v>114</v>
      </c>
      <c r="FN3539" s="1" t="s">
        <v>166</v>
      </c>
      <c r="GD3539" s="1" t="s">
        <v>189</v>
      </c>
      <c r="GE3539" s="1" t="s">
        <v>190</v>
      </c>
    </row>
    <row r="3540" spans="1:187" ht="11.25" customHeight="1">
      <c r="A3540" s="1" t="s">
        <v>5005</v>
      </c>
      <c r="B3540" s="1" t="str">
        <f ca="1">IFERROR(__xludf.DUMMYFUNCTION("GOOGLETRANSLATE(A3540, ""en"", ""fr"")"),"RENFORCEMENT")</f>
        <v>RENFORCEMENT</v>
      </c>
      <c r="C3540" s="1" t="s">
        <v>192</v>
      </c>
      <c r="D3540" s="1" t="s">
        <v>16612</v>
      </c>
      <c r="W3540" s="1" t="s">
        <v>19</v>
      </c>
      <c r="BX3540" s="1" t="s">
        <v>72</v>
      </c>
      <c r="GD3540" s="1" t="s">
        <v>193</v>
      </c>
      <c r="GE3540" s="1" t="s">
        <v>190</v>
      </c>
    </row>
    <row r="3541" spans="1:187" ht="11.25" customHeight="1">
      <c r="A3541" s="1" t="s">
        <v>5006</v>
      </c>
      <c r="B3541" s="1" t="str">
        <f ca="1">IFERROR(__xludf.DUMMYFUNCTION("GOOGLETRANSLATE(A3541, ""en"", ""fr"")"),"APPRÉCIER")</f>
        <v>APPRÉCIER</v>
      </c>
      <c r="C3541" s="1" t="s">
        <v>185</v>
      </c>
      <c r="D3541" s="1" t="s">
        <v>16612</v>
      </c>
      <c r="F3541" s="1" t="s">
        <v>2</v>
      </c>
      <c r="O3541" s="1" t="s">
        <v>11</v>
      </c>
      <c r="P3541" s="1" t="s">
        <v>12</v>
      </c>
      <c r="DP3541" s="1" t="s">
        <v>116</v>
      </c>
      <c r="EZ3541" s="1" t="s">
        <v>152</v>
      </c>
      <c r="FC3541" s="1" t="s">
        <v>155</v>
      </c>
      <c r="GD3541" s="1" t="s">
        <v>189</v>
      </c>
      <c r="GE3541" s="1" t="s">
        <v>5007</v>
      </c>
    </row>
    <row r="3542" spans="1:187" ht="11.25" customHeight="1">
      <c r="A3542" s="1" t="s">
        <v>5008</v>
      </c>
      <c r="B3542" s="1" t="str">
        <f ca="1">IFERROR(__xludf.DUMMYFUNCTION("GOOGLETRANSLATE(A3542, ""en"", ""fr"")"),"AGRÉABLE")</f>
        <v>AGRÉABLE</v>
      </c>
      <c r="C3542" s="1" t="s">
        <v>185</v>
      </c>
      <c r="D3542" s="1" t="s">
        <v>16612</v>
      </c>
      <c r="F3542" s="1" t="s">
        <v>2</v>
      </c>
      <c r="U3542" s="1" t="s">
        <v>17</v>
      </c>
      <c r="CN3542" s="1" t="s">
        <v>88</v>
      </c>
      <c r="FA3542" s="1" t="s">
        <v>153</v>
      </c>
      <c r="FC3542" s="1" t="s">
        <v>155</v>
      </c>
      <c r="GD3542" s="1" t="s">
        <v>202</v>
      </c>
      <c r="GE3542" s="1" t="s">
        <v>190</v>
      </c>
    </row>
    <row r="3543" spans="1:187" ht="11.25" customHeight="1">
      <c r="A3543" s="1" t="s">
        <v>5009</v>
      </c>
      <c r="B3543" s="1" t="str">
        <f ca="1">IFERROR(__xludf.DUMMYFUNCTION("GOOGLETRANSLATE(A3543, ""en"", ""fr"")"),"JOUISSANCE")</f>
        <v>JOUISSANCE</v>
      </c>
      <c r="C3543" s="1" t="s">
        <v>185</v>
      </c>
      <c r="D3543" s="1" t="s">
        <v>16612</v>
      </c>
      <c r="F3543" s="1" t="s">
        <v>2</v>
      </c>
      <c r="O3543" s="1" t="s">
        <v>11</v>
      </c>
      <c r="T3543" s="1" t="s">
        <v>16</v>
      </c>
      <c r="U3543" s="1" t="s">
        <v>17</v>
      </c>
      <c r="FA3543" s="1" t="s">
        <v>153</v>
      </c>
      <c r="FC3543" s="1" t="s">
        <v>155</v>
      </c>
      <c r="GD3543" s="1" t="s">
        <v>193</v>
      </c>
      <c r="GE3543" s="1" t="s">
        <v>190</v>
      </c>
    </row>
    <row r="3544" spans="1:187" ht="11.25" customHeight="1">
      <c r="A3544" s="1" t="s">
        <v>5010</v>
      </c>
      <c r="B3544" s="1" t="str">
        <f ca="1">IFERROR(__xludf.DUMMYFUNCTION("GOOGLETRANSLATE(A3544, ""en"", ""fr"")"),"Agrandir n ° 1")</f>
        <v>Agrandir n ° 1</v>
      </c>
      <c r="C3544" s="1" t="s">
        <v>196</v>
      </c>
      <c r="FN3544" s="1" t="s">
        <v>166</v>
      </c>
      <c r="GD3544" s="1" t="s">
        <v>202</v>
      </c>
    </row>
    <row r="3545" spans="1:187" ht="11.25" customHeight="1">
      <c r="A3545" s="1" t="s">
        <v>5011</v>
      </c>
      <c r="B3545" s="1" t="str">
        <f ca="1">IFERROR(__xludf.DUMMYFUNCTION("GOOGLETRANSLATE(A3545, ""en"", ""fr"")"),"Agrandir n ° 2")</f>
        <v>Agrandir n ° 2</v>
      </c>
      <c r="C3545" s="1" t="s">
        <v>196</v>
      </c>
      <c r="FN3545" s="1" t="s">
        <v>166</v>
      </c>
      <c r="GD3545" s="1" t="s">
        <v>189</v>
      </c>
    </row>
    <row r="3546" spans="1:187" ht="11.25" customHeight="1">
      <c r="A3546" s="1" t="s">
        <v>5012</v>
      </c>
      <c r="B3546" s="1" t="str">
        <f ca="1">IFERROR(__xludf.DUMMYFUNCTION("GOOGLETRANSLATE(A3546, ""en"", ""fr"")"),"Éclairer # 1")</f>
        <v>Éclairer # 1</v>
      </c>
      <c r="C3546" s="1" t="s">
        <v>185</v>
      </c>
      <c r="D3546" s="1" t="s">
        <v>16612</v>
      </c>
      <c r="F3546" s="1" t="s">
        <v>2</v>
      </c>
      <c r="U3546" s="1" t="s">
        <v>17</v>
      </c>
      <c r="CN3546" s="1" t="s">
        <v>88</v>
      </c>
      <c r="FD3546" s="1" t="s">
        <v>156</v>
      </c>
      <c r="FI3546" s="1" t="s">
        <v>161</v>
      </c>
      <c r="GD3546" s="1" t="s">
        <v>202</v>
      </c>
      <c r="GE3546" s="1" t="s">
        <v>190</v>
      </c>
    </row>
    <row r="3547" spans="1:187" ht="11.25" customHeight="1">
      <c r="A3547" s="1" t="s">
        <v>5013</v>
      </c>
      <c r="B3547" s="1" t="str">
        <f ca="1">IFERROR(__xludf.DUMMYFUNCTION("GOOGLETRANSLATE(A3547, ""en"", ""fr"")"),"Éclairer # 2")</f>
        <v>Éclairer # 2</v>
      </c>
      <c r="C3547" s="1" t="s">
        <v>185</v>
      </c>
      <c r="D3547" s="1" t="s">
        <v>16612</v>
      </c>
      <c r="F3547" s="1" t="s">
        <v>2</v>
      </c>
      <c r="CO3547" s="1" t="s">
        <v>89</v>
      </c>
      <c r="DN3547" s="1" t="s">
        <v>114</v>
      </c>
      <c r="FD3547" s="1" t="s">
        <v>156</v>
      </c>
      <c r="FI3547" s="1" t="s">
        <v>161</v>
      </c>
      <c r="GD3547" s="1" t="s">
        <v>189</v>
      </c>
      <c r="GE3547" s="1" t="s">
        <v>190</v>
      </c>
    </row>
    <row r="3548" spans="1:187" ht="11.25" customHeight="1">
      <c r="A3548" s="1" t="s">
        <v>5014</v>
      </c>
      <c r="B3548" s="1" t="str">
        <f ca="1">IFERROR(__xludf.DUMMYFUNCTION("GOOGLETRANSLATE(A3548, ""en"", ""fr"")"),"ÉCLAIRCISSEMENT")</f>
        <v>ÉCLAIRCISSEMENT</v>
      </c>
      <c r="C3548" s="1" t="s">
        <v>185</v>
      </c>
      <c r="D3548" s="1" t="s">
        <v>16612</v>
      </c>
      <c r="CH3548" s="1" t="s">
        <v>82</v>
      </c>
      <c r="CK3548" s="1" t="s">
        <v>85</v>
      </c>
      <c r="FH3548" s="1" t="s">
        <v>160</v>
      </c>
      <c r="FI3548" s="1" t="s">
        <v>161</v>
      </c>
      <c r="GD3548" s="1" t="s">
        <v>193</v>
      </c>
      <c r="GE3548" s="1" t="s">
        <v>190</v>
      </c>
    </row>
    <row r="3549" spans="1:187" ht="11.25" customHeight="1">
      <c r="A3549" s="1" t="s">
        <v>5015</v>
      </c>
      <c r="B3549" s="1" t="str">
        <f ca="1">IFERROR(__xludf.DUMMYFUNCTION("GOOGLETRANSLATE(A3549, ""en"", ""fr"")"),"Enrôler n ° 1")</f>
        <v>Enrôler n ° 1</v>
      </c>
      <c r="C3549" s="1" t="s">
        <v>196</v>
      </c>
      <c r="DS3549" s="1" t="s">
        <v>119</v>
      </c>
      <c r="ED3549" s="1" t="s">
        <v>130</v>
      </c>
      <c r="GD3549" s="1" t="s">
        <v>189</v>
      </c>
    </row>
    <row r="3550" spans="1:187" ht="11.25" customHeight="1">
      <c r="A3550" s="1" t="s">
        <v>5016</v>
      </c>
      <c r="B3550" s="1" t="str">
        <f ca="1">IFERROR(__xludf.DUMMYFUNCTION("GOOGLETRANSLATE(A3550, ""en"", ""fr"")"),"Enrôler n ° 2")</f>
        <v>Enrôler n ° 2</v>
      </c>
      <c r="C3550" s="1" t="s">
        <v>196</v>
      </c>
      <c r="GD3550" s="1" t="s">
        <v>202</v>
      </c>
    </row>
    <row r="3551" spans="1:187" ht="11.25" customHeight="1">
      <c r="A3551" s="1" t="s">
        <v>5017</v>
      </c>
      <c r="B3551" s="1" t="str">
        <f ca="1">IFERROR(__xludf.DUMMYFUNCTION("GOOGLETRANSLATE(A3551, ""en"", ""fr"")"),"ENRÔLEMENT")</f>
        <v>ENRÔLEMENT</v>
      </c>
      <c r="C3551" s="1" t="s">
        <v>196</v>
      </c>
      <c r="DZ3551" s="1" t="s">
        <v>126</v>
      </c>
      <c r="ED3551" s="1" t="s">
        <v>130</v>
      </c>
      <c r="GD3551" s="1" t="s">
        <v>193</v>
      </c>
    </row>
    <row r="3552" spans="1:187" ht="11.25" customHeight="1">
      <c r="A3552" s="1" t="s">
        <v>5018</v>
      </c>
      <c r="B3552" s="1" t="str">
        <f ca="1">IFERROR(__xludf.DUMMYFUNCTION("GOOGLETRANSLATE(A3552, ""en"", ""fr"")"),"ÉNORME")</f>
        <v>ÉNORME</v>
      </c>
      <c r="C3552" s="1" t="s">
        <v>185</v>
      </c>
      <c r="J3552" s="1" t="s">
        <v>6</v>
      </c>
      <c r="W3552" s="1" t="s">
        <v>19</v>
      </c>
      <c r="CS3552" s="1" t="s">
        <v>93</v>
      </c>
      <c r="DC3552" s="1" t="s">
        <v>103</v>
      </c>
      <c r="GD3552" s="1" t="s">
        <v>202</v>
      </c>
      <c r="GE3552" s="1" t="s">
        <v>190</v>
      </c>
    </row>
    <row r="3553" spans="1:187" ht="11.25" customHeight="1">
      <c r="A3553" s="1" t="s">
        <v>5019</v>
      </c>
      <c r="B3553" s="1" t="str">
        <f ca="1">IFERROR(__xludf.DUMMYFUNCTION("GOOGLETRANSLATE(A3553, ""en"", ""fr"")"),"Assez # 1")</f>
        <v>Assez # 1</v>
      </c>
      <c r="C3553" s="1" t="s">
        <v>185</v>
      </c>
      <c r="CS3553" s="1" t="s">
        <v>93</v>
      </c>
      <c r="FR3553" s="1" t="s">
        <v>170</v>
      </c>
      <c r="GD3553" s="1" t="s">
        <v>236</v>
      </c>
      <c r="GE3553" s="1" t="s">
        <v>5020</v>
      </c>
    </row>
    <row r="3554" spans="1:187" ht="11.25" customHeight="1">
      <c r="A3554" s="1" t="s">
        <v>5021</v>
      </c>
      <c r="B3554" s="1" t="str">
        <f ca="1">IFERROR(__xludf.DUMMYFUNCTION("GOOGLETRANSLATE(A3554, ""en"", ""fr"")"),"Assez # 2")</f>
        <v>Assez # 2</v>
      </c>
      <c r="C3554" s="1" t="s">
        <v>185</v>
      </c>
      <c r="CS3554" s="1" t="s">
        <v>93</v>
      </c>
      <c r="FR3554" s="1" t="s">
        <v>170</v>
      </c>
      <c r="GD3554" s="1" t="s">
        <v>679</v>
      </c>
      <c r="GE3554" s="1" t="s">
        <v>5022</v>
      </c>
    </row>
    <row r="3555" spans="1:187" ht="11.25" customHeight="1">
      <c r="A3555" s="1" t="s">
        <v>5023</v>
      </c>
      <c r="B3555" s="1" t="str">
        <f ca="1">IFERROR(__xludf.DUMMYFUNCTION("GOOGLETRANSLATE(A3555, ""en"", ""fr"")"),"Assez # 3")</f>
        <v>Assez # 3</v>
      </c>
      <c r="C3555" s="1" t="s">
        <v>185</v>
      </c>
      <c r="CS3555" s="1" t="s">
        <v>93</v>
      </c>
      <c r="FR3555" s="1" t="s">
        <v>170</v>
      </c>
      <c r="GD3555" s="1" t="s">
        <v>1957</v>
      </c>
      <c r="GE3555" s="1" t="s">
        <v>5024</v>
      </c>
    </row>
    <row r="3556" spans="1:187" ht="11.25" customHeight="1">
      <c r="A3556" s="1" t="s">
        <v>5025</v>
      </c>
      <c r="B3556" s="1" t="str">
        <f ca="1">IFERROR(__xludf.DUMMYFUNCTION("GOOGLETRANSLATE(A3556, ""en"", ""fr"")"),"Assez # 4")</f>
        <v>Assez # 4</v>
      </c>
      <c r="C3556" s="1" t="s">
        <v>185</v>
      </c>
      <c r="W3556" s="1" t="s">
        <v>19</v>
      </c>
      <c r="FY3556" s="1" t="s">
        <v>177</v>
      </c>
      <c r="GD3556" s="1" t="s">
        <v>236</v>
      </c>
      <c r="GE3556" s="1" t="s">
        <v>5026</v>
      </c>
    </row>
    <row r="3557" spans="1:187" ht="11.25" customHeight="1">
      <c r="A3557" s="1" t="s">
        <v>5027</v>
      </c>
      <c r="B3557" s="1" t="str">
        <f ca="1">IFERROR(__xludf.DUMMYFUNCTION("GOOGLETRANSLATE(A3557, ""en"", ""fr"")"),"Enrager")</f>
        <v>Enrager</v>
      </c>
      <c r="C3557" s="1" t="s">
        <v>192</v>
      </c>
      <c r="E3557" s="1" t="s">
        <v>16613</v>
      </c>
      <c r="I3557" s="1" t="s">
        <v>5</v>
      </c>
      <c r="T3557" s="1" t="s">
        <v>16</v>
      </c>
      <c r="DN3557" s="1" t="s">
        <v>114</v>
      </c>
      <c r="GD3557" s="1" t="s">
        <v>670</v>
      </c>
      <c r="GE3557" s="1" t="s">
        <v>190</v>
      </c>
    </row>
    <row r="3558" spans="1:187" ht="11.25" customHeight="1">
      <c r="A3558" s="1" t="s">
        <v>5028</v>
      </c>
      <c r="B3558" s="1" t="str">
        <f ca="1">IFERROR(__xludf.DUMMYFUNCTION("GOOGLETRANSLATE(A3558, ""en"", ""fr"")"),"ENRICHIR")</f>
        <v>ENRICHIR</v>
      </c>
      <c r="C3558" s="1" t="s">
        <v>185</v>
      </c>
      <c r="D3558" s="1" t="s">
        <v>16612</v>
      </c>
      <c r="J3558" s="1" t="s">
        <v>6</v>
      </c>
      <c r="N3558" s="1" t="s">
        <v>10</v>
      </c>
      <c r="BX3558" s="1" t="s">
        <v>72</v>
      </c>
      <c r="DN3558" s="1" t="s">
        <v>114</v>
      </c>
      <c r="FN3558" s="1" t="s">
        <v>166</v>
      </c>
      <c r="GD3558" s="1" t="s">
        <v>189</v>
      </c>
      <c r="GE3558" s="1" t="s">
        <v>190</v>
      </c>
    </row>
    <row r="3559" spans="1:187" ht="11.25" customHeight="1">
      <c r="A3559" s="1" t="s">
        <v>5029</v>
      </c>
      <c r="B3559" s="1" t="str">
        <f ca="1">IFERROR(__xludf.DUMMYFUNCTION("GOOGLETRANSLATE(A3559, ""en"", ""fr"")"),"ENRICHISSEMENT")</f>
        <v>ENRICHISSEMENT</v>
      </c>
      <c r="C3559" s="1" t="s">
        <v>192</v>
      </c>
      <c r="D3559" s="1" t="s">
        <v>16612</v>
      </c>
      <c r="J3559" s="1" t="s">
        <v>6</v>
      </c>
      <c r="BX3559" s="1" t="s">
        <v>72</v>
      </c>
      <c r="GD3559" s="1" t="s">
        <v>193</v>
      </c>
      <c r="GE3559" s="1" t="s">
        <v>190</v>
      </c>
    </row>
    <row r="3560" spans="1:187" ht="11.25" customHeight="1">
      <c r="A3560" s="1" t="s">
        <v>5030</v>
      </c>
      <c r="B3560" s="1" t="str">
        <f ca="1">IFERROR(__xludf.DUMMYFUNCTION("GOOGLETRANSLATE(A3560, ""en"", ""fr"")"),"INSCRIRE")</f>
        <v>INSCRIRE</v>
      </c>
      <c r="C3560" s="1" t="s">
        <v>185</v>
      </c>
      <c r="M3560" s="1" t="s">
        <v>9</v>
      </c>
      <c r="N3560" s="1" t="s">
        <v>10</v>
      </c>
      <c r="AN3560" s="1" t="s">
        <v>36</v>
      </c>
      <c r="DO3560" s="1" t="s">
        <v>115</v>
      </c>
      <c r="FP3560" s="1" t="s">
        <v>168</v>
      </c>
      <c r="GD3560" s="1" t="s">
        <v>189</v>
      </c>
      <c r="GE3560" s="1" t="s">
        <v>190</v>
      </c>
    </row>
    <row r="3561" spans="1:187" ht="11.25" customHeight="1">
      <c r="A3561" s="1" t="s">
        <v>5031</v>
      </c>
      <c r="B3561" s="1" t="str">
        <f ca="1">IFERROR(__xludf.DUMMYFUNCTION("GOOGLETRANSLATE(A3561, ""en"", ""fr"")"),"INSCRIPTION")</f>
        <v>INSCRIPTION</v>
      </c>
      <c r="C3561" s="1" t="s">
        <v>185</v>
      </c>
      <c r="AA3561" s="1" t="s">
        <v>23</v>
      </c>
      <c r="BK3561" s="1" t="s">
        <v>59</v>
      </c>
      <c r="GC3561" s="1" t="s">
        <v>181</v>
      </c>
      <c r="GD3561" s="1" t="s">
        <v>193</v>
      </c>
      <c r="GE3561" s="1" t="s">
        <v>190</v>
      </c>
    </row>
    <row r="3562" spans="1:187" ht="11.25" customHeight="1">
      <c r="A3562" s="1" t="s">
        <v>5032</v>
      </c>
      <c r="B3562" s="1" t="str">
        <f ca="1">IFERROR(__xludf.DUMMYFUNCTION("GOOGLETRANSLATE(A3562, ""en"", ""fr"")"),"Inscription n ° 1")</f>
        <v>Inscription n ° 1</v>
      </c>
      <c r="C3562" s="1" t="s">
        <v>192</v>
      </c>
      <c r="GE3562" s="1" t="s">
        <v>190</v>
      </c>
    </row>
    <row r="3563" spans="1:187" ht="11.25" customHeight="1">
      <c r="A3563" s="1" t="s">
        <v>5033</v>
      </c>
      <c r="B3563" s="1" t="str">
        <f ca="1">IFERROR(__xludf.DUMMYFUNCTION("GOOGLETRANSLATE(A3563, ""en"", ""fr"")"),"ENSEMBLE")</f>
        <v>ENSEMBLE</v>
      </c>
      <c r="C3563" s="1" t="s">
        <v>192</v>
      </c>
      <c r="D3563" s="1" t="s">
        <v>16612</v>
      </c>
      <c r="AK3563" s="1" t="s">
        <v>33</v>
      </c>
      <c r="AT3563" s="1" t="s">
        <v>42</v>
      </c>
      <c r="GD3563" s="1" t="s">
        <v>193</v>
      </c>
      <c r="GE3563" s="1" t="s">
        <v>190</v>
      </c>
    </row>
    <row r="3564" spans="1:187" ht="11.25" customHeight="1">
      <c r="A3564" s="1" t="s">
        <v>5034</v>
      </c>
      <c r="B3564" s="1" t="str">
        <f ca="1">IFERROR(__xludf.DUMMYFUNCTION("GOOGLETRANSLATE(A3564, ""en"", ""fr"")"),"ASSERVIR")</f>
        <v>ASSERVIR</v>
      </c>
      <c r="C3564" s="1" t="s">
        <v>192</v>
      </c>
      <c r="E3564" s="1" t="s">
        <v>16613</v>
      </c>
      <c r="K3564" s="1" t="s">
        <v>7</v>
      </c>
      <c r="AG3564" s="1" t="s">
        <v>29</v>
      </c>
      <c r="DN3564" s="1" t="s">
        <v>114</v>
      </c>
      <c r="GD3564" s="1" t="s">
        <v>670</v>
      </c>
      <c r="GE3564" s="1" t="s">
        <v>190</v>
      </c>
    </row>
    <row r="3565" spans="1:187" ht="11.25" customHeight="1">
      <c r="A3565" s="1" t="s">
        <v>5035</v>
      </c>
      <c r="B3565" s="1" t="str">
        <f ca="1">IFERROR(__xludf.DUMMYFUNCTION("GOOGLETRANSLATE(A3565, ""en"", ""fr"")"),"ASSURER")</f>
        <v>ASSURER</v>
      </c>
      <c r="C3565" s="1" t="s">
        <v>185</v>
      </c>
      <c r="D3565" s="1" t="s">
        <v>16612</v>
      </c>
      <c r="F3565" s="1" t="s">
        <v>2</v>
      </c>
      <c r="J3565" s="1" t="s">
        <v>6</v>
      </c>
      <c r="K3565" s="1" t="s">
        <v>7</v>
      </c>
      <c r="W3565" s="1" t="s">
        <v>19</v>
      </c>
      <c r="AN3565" s="1" t="s">
        <v>36</v>
      </c>
      <c r="DN3565" s="1" t="s">
        <v>114</v>
      </c>
      <c r="FN3565" s="1" t="s">
        <v>166</v>
      </c>
      <c r="GD3565" s="1" t="s">
        <v>189</v>
      </c>
      <c r="GE3565" s="1" t="s">
        <v>190</v>
      </c>
    </row>
    <row r="3566" spans="1:187" ht="11.25" customHeight="1">
      <c r="A3566" s="1" t="s">
        <v>5036</v>
      </c>
      <c r="B3566" s="1" t="str">
        <f ca="1">IFERROR(__xludf.DUMMYFUNCTION("GOOGLETRANSLATE(A3566, ""en"", ""fr"")"),"ENTRAÎNER")</f>
        <v>ENTRAÎNER</v>
      </c>
      <c r="C3566" s="1" t="s">
        <v>196</v>
      </c>
      <c r="GD3566" s="1" t="s">
        <v>189</v>
      </c>
    </row>
    <row r="3567" spans="1:187" ht="11.25" customHeight="1">
      <c r="A3567" s="1" t="s">
        <v>5037</v>
      </c>
      <c r="B3567" s="1" t="str">
        <f ca="1">IFERROR(__xludf.DUMMYFUNCTION("GOOGLETRANSLATE(A3567, ""en"", ""fr"")"),"EMMÊLER")</f>
        <v>EMMÊLER</v>
      </c>
      <c r="C3567" s="1" t="s">
        <v>192</v>
      </c>
      <c r="E3567" s="1" t="s">
        <v>16613</v>
      </c>
      <c r="K3567" s="1" t="s">
        <v>7</v>
      </c>
      <c r="AG3567" s="1" t="s">
        <v>29</v>
      </c>
      <c r="DN3567" s="1" t="s">
        <v>114</v>
      </c>
      <c r="GD3567" s="1" t="s">
        <v>670</v>
      </c>
      <c r="GE3567" s="1" t="s">
        <v>190</v>
      </c>
    </row>
    <row r="3568" spans="1:187" ht="11.25" customHeight="1">
      <c r="A3568" s="1" t="s">
        <v>5038</v>
      </c>
      <c r="B3568" s="1" t="str">
        <f ca="1">IFERROR(__xludf.DUMMYFUNCTION("GOOGLETRANSLATE(A3568, ""en"", ""fr"")"),"ENCHEVÊTREMENT")</f>
        <v>ENCHEVÊTREMENT</v>
      </c>
      <c r="C3568" s="1" t="s">
        <v>192</v>
      </c>
      <c r="E3568" s="1" t="s">
        <v>16613</v>
      </c>
      <c r="I3568" s="1" t="s">
        <v>5</v>
      </c>
      <c r="AG3568" s="1" t="s">
        <v>29</v>
      </c>
      <c r="GD3568" s="1" t="s">
        <v>193</v>
      </c>
      <c r="GE3568" s="1" t="s">
        <v>190</v>
      </c>
    </row>
    <row r="3569" spans="1:187" ht="11.25" customHeight="1">
      <c r="A3569" s="1" t="s">
        <v>5039</v>
      </c>
      <c r="B3569" s="1" t="str">
        <f ca="1">IFERROR(__xludf.DUMMYFUNCTION("GOOGLETRANSLATE(A3569, ""en"", ""fr"")"),"ENTRER")</f>
        <v>ENTRER</v>
      </c>
      <c r="C3569" s="1" t="s">
        <v>185</v>
      </c>
      <c r="N3569" s="1" t="s">
        <v>10</v>
      </c>
      <c r="CE3569" s="1" t="s">
        <v>79</v>
      </c>
      <c r="DO3569" s="1" t="s">
        <v>115</v>
      </c>
      <c r="GD3569" s="1" t="s">
        <v>189</v>
      </c>
      <c r="GE3569" s="1" t="s">
        <v>5040</v>
      </c>
    </row>
    <row r="3570" spans="1:187" ht="11.25" customHeight="1">
      <c r="A3570" s="1" t="s">
        <v>5041</v>
      </c>
      <c r="B3570" s="1" t="str">
        <f ca="1">IFERROR(__xludf.DUMMYFUNCTION("GOOGLETRANSLATE(A3570, ""en"", ""fr"")"),"ENTREPRISE")</f>
        <v>ENTREPRISE</v>
      </c>
      <c r="C3570" s="1" t="s">
        <v>185</v>
      </c>
      <c r="J3570" s="1" t="s">
        <v>6</v>
      </c>
      <c r="N3570" s="1" t="s">
        <v>10</v>
      </c>
      <c r="AA3570" s="1" t="s">
        <v>23</v>
      </c>
      <c r="AC3570" s="1" t="s">
        <v>25</v>
      </c>
      <c r="AK3570" s="1" t="s">
        <v>33</v>
      </c>
      <c r="AT3570" s="1" t="s">
        <v>42</v>
      </c>
      <c r="EV3570" s="1" t="s">
        <v>148</v>
      </c>
      <c r="EW3570" s="1" t="s">
        <v>149</v>
      </c>
      <c r="GD3570" s="1" t="s">
        <v>193</v>
      </c>
      <c r="GE3570" s="1" t="s">
        <v>190</v>
      </c>
    </row>
    <row r="3571" spans="1:187" ht="11.25" customHeight="1">
      <c r="A3571" s="1" t="s">
        <v>5042</v>
      </c>
      <c r="B3571" s="1" t="str">
        <f ca="1">IFERROR(__xludf.DUMMYFUNCTION("GOOGLETRANSLATE(A3571, ""en"", ""fr"")"),"Divertir n ° 1")</f>
        <v>Divertir n ° 1</v>
      </c>
      <c r="C3571" s="1" t="s">
        <v>185</v>
      </c>
      <c r="D3571" s="1" t="s">
        <v>16612</v>
      </c>
      <c r="F3571" s="1" t="s">
        <v>2</v>
      </c>
      <c r="G3571" s="1" t="s">
        <v>3</v>
      </c>
      <c r="N3571" s="1" t="s">
        <v>10</v>
      </c>
      <c r="AD3571" s="1" t="s">
        <v>26</v>
      </c>
      <c r="AN3571" s="1" t="s">
        <v>36</v>
      </c>
      <c r="CN3571" s="1" t="s">
        <v>88</v>
      </c>
      <c r="GD3571" s="1" t="s">
        <v>202</v>
      </c>
      <c r="GE3571" s="1" t="s">
        <v>190</v>
      </c>
    </row>
    <row r="3572" spans="1:187" ht="11.25" customHeight="1">
      <c r="A3572" s="1" t="s">
        <v>5043</v>
      </c>
      <c r="B3572" s="1" t="str">
        <f ca="1">IFERROR(__xludf.DUMMYFUNCTION("GOOGLETRANSLATE(A3572, ""en"", ""fr"")"),"Divertir # 2")</f>
        <v>Divertir # 2</v>
      </c>
      <c r="C3572" s="1" t="s">
        <v>185</v>
      </c>
      <c r="D3572" s="1" t="s">
        <v>16612</v>
      </c>
      <c r="F3572" s="1" t="s">
        <v>2</v>
      </c>
      <c r="N3572" s="1" t="s">
        <v>10</v>
      </c>
      <c r="BK3572" s="1" t="s">
        <v>59</v>
      </c>
      <c r="DN3572" s="1" t="s">
        <v>114</v>
      </c>
      <c r="GD3572" s="1" t="s">
        <v>189</v>
      </c>
      <c r="GE3572" s="1" t="s">
        <v>190</v>
      </c>
    </row>
    <row r="3573" spans="1:187" ht="11.25" customHeight="1">
      <c r="A3573" s="1" t="s">
        <v>5044</v>
      </c>
      <c r="B3573" s="1" t="str">
        <f ca="1">IFERROR(__xludf.DUMMYFUNCTION("GOOGLETRANSLATE(A3573, ""en"", ""fr"")"),"DIVERTISSEMENT")</f>
        <v>DIVERTISSEMENT</v>
      </c>
      <c r="C3573" s="1" t="s">
        <v>185</v>
      </c>
      <c r="D3573" s="1" t="s">
        <v>16612</v>
      </c>
      <c r="F3573" s="1" t="s">
        <v>2</v>
      </c>
      <c r="AD3573" s="1" t="s">
        <v>26</v>
      </c>
      <c r="AM3573" s="1" t="s">
        <v>35</v>
      </c>
      <c r="FA3573" s="1" t="s">
        <v>153</v>
      </c>
      <c r="FC3573" s="1" t="s">
        <v>155</v>
      </c>
      <c r="GD3573" s="1" t="s">
        <v>193</v>
      </c>
      <c r="GE3573" s="1" t="s">
        <v>190</v>
      </c>
    </row>
    <row r="3574" spans="1:187" ht="11.25" customHeight="1">
      <c r="A3574" s="1" t="s">
        <v>5045</v>
      </c>
      <c r="B3574" s="1" t="str">
        <f ca="1">IFERROR(__xludf.DUMMYFUNCTION("GOOGLETRANSLATE(A3574, ""en"", ""fr"")"),"ENTHOUSIASME")</f>
        <v>ENTHOUSIASME</v>
      </c>
      <c r="C3574" s="1" t="s">
        <v>185</v>
      </c>
      <c r="D3574" s="1" t="s">
        <v>16612</v>
      </c>
      <c r="F3574" s="1" t="s">
        <v>2</v>
      </c>
      <c r="G3574" s="1" t="s">
        <v>3</v>
      </c>
      <c r="P3574" s="1" t="s">
        <v>12</v>
      </c>
      <c r="T3574" s="1" t="s">
        <v>16</v>
      </c>
      <c r="EZ3574" s="1" t="s">
        <v>152</v>
      </c>
      <c r="FC3574" s="1" t="s">
        <v>155</v>
      </c>
      <c r="GD3574" s="1" t="s">
        <v>193</v>
      </c>
      <c r="GE3574" s="1" t="s">
        <v>190</v>
      </c>
    </row>
    <row r="3575" spans="1:187" ht="11.25" customHeight="1">
      <c r="A3575" s="1" t="s">
        <v>5046</v>
      </c>
      <c r="B3575" s="1" t="str">
        <f ca="1">IFERROR(__xludf.DUMMYFUNCTION("GOOGLETRANSLATE(A3575, ""en"", ""fr"")"),"ENTHOUSIASTE")</f>
        <v>ENTHOUSIASTE</v>
      </c>
      <c r="C3575" s="1" t="s">
        <v>185</v>
      </c>
      <c r="D3575" s="1" t="s">
        <v>16612</v>
      </c>
      <c r="F3575" s="1" t="s">
        <v>2</v>
      </c>
      <c r="G3575" s="1" t="s">
        <v>3</v>
      </c>
      <c r="J3575" s="1" t="s">
        <v>6</v>
      </c>
      <c r="P3575" s="1" t="s">
        <v>12</v>
      </c>
      <c r="R3575" s="1" t="s">
        <v>14</v>
      </c>
      <c r="T3575" s="1" t="s">
        <v>16</v>
      </c>
      <c r="DR3575" s="1" t="s">
        <v>118</v>
      </c>
      <c r="FX3575" s="1" t="s">
        <v>176</v>
      </c>
      <c r="GD3575" s="1" t="s">
        <v>202</v>
      </c>
      <c r="GE3575" s="1" t="s">
        <v>190</v>
      </c>
    </row>
    <row r="3576" spans="1:187" ht="11.25" customHeight="1">
      <c r="A3576" s="1" t="s">
        <v>5047</v>
      </c>
      <c r="B3576" s="1" t="str">
        <f ca="1">IFERROR(__xludf.DUMMYFUNCTION("GOOGLETRANSLATE(A3576, ""en"", ""fr"")"),"ENTIER")</f>
        <v>ENTIER</v>
      </c>
      <c r="C3576" s="1" t="s">
        <v>185</v>
      </c>
      <c r="J3576" s="1" t="s">
        <v>6</v>
      </c>
      <c r="W3576" s="1" t="s">
        <v>19</v>
      </c>
      <c r="CS3576" s="1" t="s">
        <v>93</v>
      </c>
      <c r="FY3576" s="1" t="s">
        <v>177</v>
      </c>
      <c r="GD3576" s="1" t="s">
        <v>202</v>
      </c>
      <c r="GE3576" s="1" t="s">
        <v>5048</v>
      </c>
    </row>
    <row r="3577" spans="1:187" ht="11.25" customHeight="1">
      <c r="A3577" s="1" t="s">
        <v>5049</v>
      </c>
      <c r="B3577" s="1" t="str">
        <f ca="1">IFERROR(__xludf.DUMMYFUNCTION("GOOGLETRANSLATE(A3577, ""en"", ""fr"")"),"Droit")</f>
        <v>Droit</v>
      </c>
      <c r="C3577" s="1" t="s">
        <v>185</v>
      </c>
      <c r="J3577" s="1" t="s">
        <v>6</v>
      </c>
      <c r="K3577" s="1" t="s">
        <v>7</v>
      </c>
      <c r="AE3577" s="1" t="s">
        <v>27</v>
      </c>
      <c r="AN3577" s="1" t="s">
        <v>36</v>
      </c>
      <c r="DN3577" s="1" t="s">
        <v>114</v>
      </c>
      <c r="EM3577" s="1" t="s">
        <v>139</v>
      </c>
      <c r="EN3577" s="1" t="s">
        <v>140</v>
      </c>
      <c r="GD3577" s="1" t="s">
        <v>189</v>
      </c>
      <c r="GE3577" s="1" t="s">
        <v>190</v>
      </c>
    </row>
    <row r="3578" spans="1:187" ht="11.25" customHeight="1">
      <c r="A3578" s="1" t="s">
        <v>5050</v>
      </c>
      <c r="B3578" s="1" t="str">
        <f ca="1">IFERROR(__xludf.DUMMYFUNCTION("GOOGLETRANSLATE(A3578, ""en"", ""fr"")"),"ENTITÉ")</f>
        <v>ENTITÉ</v>
      </c>
      <c r="C3578" s="1" t="s">
        <v>185</v>
      </c>
      <c r="O3578" s="1" t="s">
        <v>11</v>
      </c>
      <c r="CH3578" s="1" t="s">
        <v>82</v>
      </c>
      <c r="GD3578" s="1" t="s">
        <v>193</v>
      </c>
      <c r="GE3578" s="1" t="s">
        <v>190</v>
      </c>
    </row>
    <row r="3579" spans="1:187" ht="11.25" customHeight="1">
      <c r="A3579" s="1" t="s">
        <v>5051</v>
      </c>
      <c r="B3579" s="1" t="str">
        <f ca="1">IFERROR(__xludf.DUMMYFUNCTION("GOOGLETRANSLATE(A3579, ""en"", ""fr"")"),"Entrée n ° 1")</f>
        <v>Entrée n ° 1</v>
      </c>
      <c r="C3579" s="1" t="s">
        <v>185</v>
      </c>
      <c r="BC3579" s="1" t="s">
        <v>51</v>
      </c>
      <c r="BG3579" s="1" t="s">
        <v>55</v>
      </c>
      <c r="GD3579" s="1" t="s">
        <v>849</v>
      </c>
      <c r="GE3579" s="1" t="s">
        <v>5052</v>
      </c>
    </row>
    <row r="3580" spans="1:187" ht="11.25" customHeight="1">
      <c r="A3580" s="1" t="s">
        <v>5053</v>
      </c>
      <c r="B3580" s="1" t="str">
        <f ca="1">IFERROR(__xludf.DUMMYFUNCTION("GOOGLETRANSLATE(A3580, ""en"", ""fr"")"),"Entrée n ° 2")</f>
        <v>Entrée n ° 2</v>
      </c>
      <c r="C3580" s="1" t="s">
        <v>185</v>
      </c>
      <c r="N3580" s="1" t="s">
        <v>10</v>
      </c>
      <c r="CE3580" s="1" t="s">
        <v>79</v>
      </c>
      <c r="GD3580" s="1" t="s">
        <v>193</v>
      </c>
      <c r="GE3580" s="1" t="s">
        <v>5054</v>
      </c>
    </row>
    <row r="3581" spans="1:187" ht="11.25" customHeight="1">
      <c r="A3581" s="1" t="s">
        <v>5055</v>
      </c>
      <c r="B3581" s="1" t="str">
        <f ca="1">IFERROR(__xludf.DUMMYFUNCTION("GOOGLETRANSLATE(A3581, ""en"", ""fr"")"),"Entrée n ° 3")</f>
        <v>Entrée n ° 3</v>
      </c>
      <c r="C3581" s="1" t="s">
        <v>185</v>
      </c>
      <c r="AM3581" s="1" t="s">
        <v>35</v>
      </c>
      <c r="GD3581" s="1" t="s">
        <v>193</v>
      </c>
      <c r="GE3581" s="1" t="s">
        <v>5056</v>
      </c>
    </row>
    <row r="3582" spans="1:187" ht="11.25" customHeight="1">
      <c r="A3582" s="1" t="s">
        <v>5057</v>
      </c>
      <c r="B3582" s="1" t="str">
        <f ca="1">IFERROR(__xludf.DUMMYFUNCTION("GOOGLETRANSLATE(A3582, ""en"", ""fr"")"),"SUPPLIER")</f>
        <v>SUPPLIER</v>
      </c>
      <c r="C3582" s="1" t="s">
        <v>192</v>
      </c>
      <c r="E3582" s="1" t="s">
        <v>16613</v>
      </c>
      <c r="L3582" s="1" t="s">
        <v>8</v>
      </c>
      <c r="M3582" s="1" t="s">
        <v>9</v>
      </c>
      <c r="AN3582" s="1" t="s">
        <v>36</v>
      </c>
      <c r="DN3582" s="1" t="s">
        <v>114</v>
      </c>
      <c r="GD3582" s="1" t="s">
        <v>189</v>
      </c>
      <c r="GE3582" s="1" t="s">
        <v>190</v>
      </c>
    </row>
    <row r="3583" spans="1:187" ht="11.25" customHeight="1">
      <c r="A3583" s="1" t="s">
        <v>5058</v>
      </c>
      <c r="B3583" s="1" t="str">
        <f ca="1">IFERROR(__xludf.DUMMYFUNCTION("GOOGLETRANSLATE(A3583, ""en"", ""fr"")"),"Entrepreneurial")</f>
        <v>Entrepreneurial</v>
      </c>
      <c r="C3583" s="1" t="s">
        <v>192</v>
      </c>
      <c r="D3583" s="1" t="s">
        <v>16612</v>
      </c>
      <c r="AA3583" s="1" t="s">
        <v>23</v>
      </c>
      <c r="BV3583" s="1" t="s">
        <v>70</v>
      </c>
      <c r="DR3583" s="1" t="s">
        <v>118</v>
      </c>
      <c r="GD3583" s="1" t="s">
        <v>202</v>
      </c>
      <c r="GE3583" s="1" t="s">
        <v>190</v>
      </c>
    </row>
    <row r="3584" spans="1:187" ht="11.25" customHeight="1">
      <c r="A3584" s="1" t="s">
        <v>5059</v>
      </c>
      <c r="B3584" s="1" t="str">
        <f ca="1">IFERROR(__xludf.DUMMYFUNCTION("GOOGLETRANSLATE(A3584, ""en"", ""fr"")"),"Entropie")</f>
        <v>Entropie</v>
      </c>
      <c r="C3584" s="1" t="s">
        <v>185</v>
      </c>
      <c r="BU3584" s="1" t="s">
        <v>69</v>
      </c>
      <c r="GD3584" s="1" t="s">
        <v>193</v>
      </c>
      <c r="GE3584" s="1" t="s">
        <v>190</v>
      </c>
    </row>
    <row r="3585" spans="1:187" ht="11.25" customHeight="1">
      <c r="A3585" s="1" t="s">
        <v>5060</v>
      </c>
      <c r="B3585" s="1" t="str">
        <f ca="1">IFERROR(__xludf.DUMMYFUNCTION("GOOGLETRANSLATE(A3585, ""en"", ""fr"")"),"CONFIER")</f>
        <v>CONFIER</v>
      </c>
      <c r="C3585" s="1" t="s">
        <v>185</v>
      </c>
      <c r="D3585" s="1" t="s">
        <v>16612</v>
      </c>
      <c r="N3585" s="1" t="s">
        <v>10</v>
      </c>
      <c r="R3585" s="1" t="s">
        <v>14</v>
      </c>
      <c r="CD3585" s="1" t="s">
        <v>78</v>
      </c>
      <c r="DN3585" s="1" t="s">
        <v>114</v>
      </c>
      <c r="FN3585" s="1" t="s">
        <v>166</v>
      </c>
      <c r="GD3585" s="1" t="s">
        <v>670</v>
      </c>
      <c r="GE3585" s="1" t="s">
        <v>190</v>
      </c>
    </row>
    <row r="3586" spans="1:187" ht="11.25" customHeight="1">
      <c r="A3586" s="1" t="s">
        <v>5061</v>
      </c>
      <c r="B3586" s="1" t="str">
        <f ca="1">IFERROR(__xludf.DUMMYFUNCTION("GOOGLETRANSLATE(A3586, ""en"", ""fr"")"),"ENTRÉE")</f>
        <v>ENTRÉE</v>
      </c>
      <c r="C3586" s="1" t="s">
        <v>185</v>
      </c>
      <c r="BC3586" s="1" t="s">
        <v>51</v>
      </c>
      <c r="BG3586" s="1" t="s">
        <v>55</v>
      </c>
      <c r="GD3586" s="1" t="s">
        <v>193</v>
      </c>
      <c r="GE3586" s="1" t="s">
        <v>190</v>
      </c>
    </row>
    <row r="3587" spans="1:187" ht="11.25" customHeight="1">
      <c r="A3587" s="1" t="s">
        <v>5062</v>
      </c>
      <c r="B3587" s="1" t="str">
        <f ca="1">IFERROR(__xludf.DUMMYFUNCTION("GOOGLETRANSLATE(A3587, ""en"", ""fr"")"),"ÉNONCER")</f>
        <v>ÉNONCER</v>
      </c>
      <c r="C3587" s="1" t="s">
        <v>196</v>
      </c>
      <c r="FH3587" s="1" t="s">
        <v>160</v>
      </c>
      <c r="FI3587" s="1" t="s">
        <v>161</v>
      </c>
      <c r="GD3587" s="1" t="s">
        <v>189</v>
      </c>
    </row>
    <row r="3588" spans="1:187" ht="11.25" customHeight="1">
      <c r="A3588" s="1" t="s">
        <v>5063</v>
      </c>
      <c r="B3588" s="1" t="str">
        <f ca="1">IFERROR(__xludf.DUMMYFUNCTION("GOOGLETRANSLATE(A3588, ""en"", ""fr"")"),"ENVIEUX")</f>
        <v>ENVIEUX</v>
      </c>
      <c r="C3588" s="1" t="s">
        <v>185</v>
      </c>
      <c r="E3588" s="1" t="s">
        <v>16613</v>
      </c>
      <c r="V3588" s="1" t="s">
        <v>18</v>
      </c>
      <c r="BN3588" s="1" t="s">
        <v>62</v>
      </c>
      <c r="DQ3588" s="1" t="s">
        <v>117</v>
      </c>
      <c r="FR3588" s="1" t="s">
        <v>170</v>
      </c>
      <c r="GD3588" s="1" t="s">
        <v>4155</v>
      </c>
      <c r="GE3588" s="1" t="s">
        <v>190</v>
      </c>
    </row>
    <row r="3589" spans="1:187" ht="11.25" customHeight="1">
      <c r="A3589" s="1" t="s">
        <v>5064</v>
      </c>
      <c r="B3589" s="1" t="str">
        <f ca="1">IFERROR(__xludf.DUMMYFUNCTION("GOOGLETRANSLATE(A3589, ""en"", ""fr"")"),"ENVIRONNEMENT")</f>
        <v>ENVIRONNEMENT</v>
      </c>
      <c r="C3589" s="1" t="s">
        <v>185</v>
      </c>
      <c r="AV3589" s="1" t="s">
        <v>44</v>
      </c>
      <c r="AX3589" s="1" t="s">
        <v>46</v>
      </c>
      <c r="CP3589" s="1" t="s">
        <v>90</v>
      </c>
      <c r="CQ3589" s="1" t="s">
        <v>91</v>
      </c>
      <c r="FS3589" s="1" t="s">
        <v>171</v>
      </c>
      <c r="GD3589" s="1" t="s">
        <v>193</v>
      </c>
      <c r="GE3589" s="1" t="s">
        <v>190</v>
      </c>
    </row>
    <row r="3590" spans="1:187" ht="11.25" customHeight="1">
      <c r="A3590" s="1" t="s">
        <v>5065</v>
      </c>
      <c r="B3590" s="1" t="str">
        <f ca="1">IFERROR(__xludf.DUMMYFUNCTION("GOOGLETRANSLATE(A3590, ""en"", ""fr"")"),"Environnement")</f>
        <v>Environnement</v>
      </c>
      <c r="C3590" s="1" t="s">
        <v>185</v>
      </c>
      <c r="AV3590" s="1" t="s">
        <v>44</v>
      </c>
      <c r="AX3590" s="1" t="s">
        <v>46</v>
      </c>
      <c r="GD3590" s="1" t="s">
        <v>202</v>
      </c>
      <c r="GE3590" s="1" t="s">
        <v>190</v>
      </c>
    </row>
    <row r="3591" spans="1:187" ht="11.25" customHeight="1">
      <c r="A3591" s="1" t="s">
        <v>5066</v>
      </c>
      <c r="B3591" s="1" t="str">
        <f ca="1">IFERROR(__xludf.DUMMYFUNCTION("GOOGLETRANSLATE(A3591, ""en"", ""fr"")"),"ENVISAGER")</f>
        <v>ENVISAGER</v>
      </c>
      <c r="C3591" s="1" t="s">
        <v>196</v>
      </c>
      <c r="FH3591" s="1" t="s">
        <v>160</v>
      </c>
      <c r="FI3591" s="1" t="s">
        <v>161</v>
      </c>
      <c r="GD3591" s="1" t="s">
        <v>189</v>
      </c>
    </row>
    <row r="3592" spans="1:187" ht="11.25" customHeight="1">
      <c r="A3592" s="1" t="s">
        <v>5067</v>
      </c>
      <c r="B3592" s="1" t="str">
        <f ca="1">IFERROR(__xludf.DUMMYFUNCTION("GOOGLETRANSLATE(A3592, ""en"", ""fr"")"),"Envisager")</f>
        <v>Envisager</v>
      </c>
      <c r="C3592" s="1" t="s">
        <v>192</v>
      </c>
      <c r="D3592" s="1" t="s">
        <v>16612</v>
      </c>
      <c r="N3592" s="1" t="s">
        <v>10</v>
      </c>
      <c r="CK3592" s="1" t="s">
        <v>85</v>
      </c>
      <c r="DN3592" s="1" t="s">
        <v>114</v>
      </c>
      <c r="GD3592" s="1" t="s">
        <v>189</v>
      </c>
      <c r="GE3592" s="1" t="s">
        <v>190</v>
      </c>
    </row>
    <row r="3593" spans="1:187" ht="11.25" customHeight="1">
      <c r="A3593" s="1" t="s">
        <v>5068</v>
      </c>
      <c r="B3593" s="1" t="str">
        <f ca="1">IFERROR(__xludf.DUMMYFUNCTION("GOOGLETRANSLATE(A3593, ""en"", ""fr"")"),"ENVOYÉ")</f>
        <v>ENVOYÉ</v>
      </c>
      <c r="C3593" s="1" t="s">
        <v>196</v>
      </c>
      <c r="DY3593" s="1" t="s">
        <v>125</v>
      </c>
      <c r="ED3593" s="1" t="s">
        <v>130</v>
      </c>
      <c r="GD3593" s="1" t="s">
        <v>4912</v>
      </c>
    </row>
    <row r="3594" spans="1:187" ht="11.25" customHeight="1">
      <c r="A3594" s="1" t="s">
        <v>5069</v>
      </c>
      <c r="B3594" s="1" t="str">
        <f ca="1">IFERROR(__xludf.DUMMYFUNCTION("GOOGLETRANSLATE(A3594, ""en"", ""fr"")"),"ENVIE")</f>
        <v>ENVIE</v>
      </c>
      <c r="C3594" s="1" t="s">
        <v>185</v>
      </c>
      <c r="E3594" s="1" t="s">
        <v>16613</v>
      </c>
      <c r="V3594" s="1" t="s">
        <v>18</v>
      </c>
      <c r="BN3594" s="1" t="s">
        <v>62</v>
      </c>
      <c r="FR3594" s="1" t="s">
        <v>170</v>
      </c>
      <c r="GD3594" s="1" t="s">
        <v>1177</v>
      </c>
      <c r="GE3594" s="1" t="s">
        <v>190</v>
      </c>
    </row>
    <row r="3595" spans="1:187" ht="11.25" customHeight="1">
      <c r="A3595" s="1" t="s">
        <v>5070</v>
      </c>
      <c r="B3595" s="1" t="str">
        <f ca="1">IFERROR(__xludf.DUMMYFUNCTION("GOOGLETRANSLATE(A3595, ""en"", ""fr"")"),"ÉPIDÉMIE")</f>
        <v>ÉPIDÉMIE</v>
      </c>
      <c r="C3595" s="1" t="s">
        <v>192</v>
      </c>
      <c r="E3595" s="1" t="s">
        <v>16613</v>
      </c>
      <c r="BU3595" s="1" t="s">
        <v>69</v>
      </c>
      <c r="CR3595" s="1" t="s">
        <v>92</v>
      </c>
      <c r="GD3595" s="1" t="s">
        <v>193</v>
      </c>
      <c r="GE3595" s="1" t="s">
        <v>190</v>
      </c>
    </row>
    <row r="3596" spans="1:187" ht="11.25" customHeight="1">
      <c r="A3596" s="1" t="s">
        <v>5071</v>
      </c>
      <c r="B3596" s="1" t="str">
        <f ca="1">IFERROR(__xludf.DUMMYFUNCTION("GOOGLETRANSLATE(A3596, ""en"", ""fr"")"),"ÉPITHÈTE")</f>
        <v>ÉPITHÈTE</v>
      </c>
      <c r="C3596" s="1" t="s">
        <v>185</v>
      </c>
      <c r="E3596" s="1" t="s">
        <v>16613</v>
      </c>
      <c r="H3596" s="1" t="s">
        <v>4</v>
      </c>
      <c r="I3596" s="1" t="s">
        <v>5</v>
      </c>
      <c r="BK3596" s="1" t="s">
        <v>59</v>
      </c>
      <c r="BL3596" s="1" t="s">
        <v>60</v>
      </c>
      <c r="FW3596" s="1" t="s">
        <v>175</v>
      </c>
      <c r="GC3596" s="1" t="s">
        <v>181</v>
      </c>
      <c r="GD3596" s="1" t="s">
        <v>193</v>
      </c>
      <c r="GE3596" s="1" t="s">
        <v>190</v>
      </c>
    </row>
    <row r="3597" spans="1:187" ht="11.25" customHeight="1">
      <c r="A3597" s="1" t="s">
        <v>5072</v>
      </c>
      <c r="B3597" s="1" t="str">
        <f ca="1">IFERROR(__xludf.DUMMYFUNCTION("GOOGLETRANSLATE(A3597, ""en"", ""fr"")"),"Égal # 1")</f>
        <v>Égal # 1</v>
      </c>
      <c r="C3597" s="1" t="s">
        <v>185</v>
      </c>
      <c r="CS3597" s="1" t="s">
        <v>93</v>
      </c>
      <c r="GD3597" s="1" t="s">
        <v>202</v>
      </c>
      <c r="GE3597" s="1" t="s">
        <v>5073</v>
      </c>
    </row>
    <row r="3598" spans="1:187" ht="11.25" customHeight="1">
      <c r="A3598" s="1" t="s">
        <v>5074</v>
      </c>
      <c r="B3598" s="1" t="str">
        <f ca="1">IFERROR(__xludf.DUMMYFUNCTION("GOOGLETRANSLATE(A3598, ""en"", ""fr"")"),"Égal # 2")</f>
        <v>Égal # 2</v>
      </c>
      <c r="C3598" s="1" t="s">
        <v>185</v>
      </c>
      <c r="AJ3598" s="1" t="s">
        <v>32</v>
      </c>
      <c r="AT3598" s="1" t="s">
        <v>42</v>
      </c>
      <c r="GD3598" s="1" t="s">
        <v>193</v>
      </c>
      <c r="GE3598" s="1" t="s">
        <v>5075</v>
      </c>
    </row>
    <row r="3599" spans="1:187" ht="11.25" customHeight="1">
      <c r="A3599" s="1" t="s">
        <v>5076</v>
      </c>
      <c r="B3599" s="1" t="str">
        <f ca="1">IFERROR(__xludf.DUMMYFUNCTION("GOOGLETRANSLATE(A3599, ""en"", ""fr"")"),"Égal # 3")</f>
        <v>Égal # 3</v>
      </c>
      <c r="C3599" s="1" t="s">
        <v>185</v>
      </c>
      <c r="J3599" s="1" t="s">
        <v>6</v>
      </c>
      <c r="DD3599" s="1" t="s">
        <v>104</v>
      </c>
      <c r="DO3599" s="1" t="s">
        <v>115</v>
      </c>
      <c r="DS3599" s="1" t="s">
        <v>119</v>
      </c>
      <c r="ED3599" s="1" t="s">
        <v>130</v>
      </c>
      <c r="GD3599" s="1" t="s">
        <v>189</v>
      </c>
      <c r="GE3599" s="1" t="s">
        <v>5077</v>
      </c>
    </row>
    <row r="3600" spans="1:187" ht="11.25" customHeight="1">
      <c r="A3600" s="1" t="s">
        <v>5078</v>
      </c>
      <c r="B3600" s="1" t="str">
        <f ca="1">IFERROR(__xludf.DUMMYFUNCTION("GOOGLETRANSLATE(A3600, ""en"", ""fr"")"),"Égal # 4")</f>
        <v>Égal # 4</v>
      </c>
      <c r="C3600" s="1" t="s">
        <v>185</v>
      </c>
      <c r="CS3600" s="1" t="s">
        <v>93</v>
      </c>
      <c r="GD3600" s="1" t="s">
        <v>236</v>
      </c>
      <c r="GE3600" s="1" t="s">
        <v>5079</v>
      </c>
    </row>
    <row r="3601" spans="1:187" ht="11.25" customHeight="1">
      <c r="A3601" s="1" t="s">
        <v>5080</v>
      </c>
      <c r="B3601" s="1" t="str">
        <f ca="1">IFERROR(__xludf.DUMMYFUNCTION("GOOGLETRANSLATE(A3601, ""en"", ""fr"")"),"ÉGALITÉ")</f>
        <v>ÉGALITÉ</v>
      </c>
      <c r="C3601" s="1" t="s">
        <v>185</v>
      </c>
      <c r="D3601" s="1" t="s">
        <v>16612</v>
      </c>
      <c r="F3601" s="1" t="s">
        <v>2</v>
      </c>
      <c r="U3601" s="1" t="s">
        <v>17</v>
      </c>
      <c r="AG3601" s="1" t="s">
        <v>29</v>
      </c>
      <c r="AH3601" s="1" t="s">
        <v>30</v>
      </c>
      <c r="CP3601" s="1" t="s">
        <v>90</v>
      </c>
      <c r="CQ3601" s="1" t="s">
        <v>91</v>
      </c>
      <c r="EM3601" s="1" t="s">
        <v>139</v>
      </c>
      <c r="EN3601" s="1" t="s">
        <v>140</v>
      </c>
      <c r="GD3601" s="1" t="s">
        <v>193</v>
      </c>
      <c r="GE3601" s="1" t="s">
        <v>190</v>
      </c>
    </row>
    <row r="3602" spans="1:187" ht="11.25" customHeight="1">
      <c r="A3602" s="1" t="s">
        <v>5081</v>
      </c>
      <c r="B3602" s="1" t="str">
        <f ca="1">IFERROR(__xludf.DUMMYFUNCTION("GOOGLETRANSLATE(A3602, ""en"", ""fr"")"),"ÉGALISATION")</f>
        <v>ÉGALISATION</v>
      </c>
      <c r="C3602" s="1" t="s">
        <v>196</v>
      </c>
      <c r="GD3602" s="1" t="s">
        <v>193</v>
      </c>
    </row>
    <row r="3603" spans="1:187" ht="11.25" customHeight="1">
      <c r="A3603" s="1" t="s">
        <v>5082</v>
      </c>
      <c r="B3603" s="1" t="str">
        <f ca="1">IFERROR(__xludf.DUMMYFUNCTION("GOOGLETRANSLATE(A3603, ""en"", ""fr"")"),"ASSIMILER")</f>
        <v>ASSIMILER</v>
      </c>
      <c r="C3603" s="1" t="s">
        <v>196</v>
      </c>
      <c r="FH3603" s="1" t="s">
        <v>160</v>
      </c>
      <c r="FI3603" s="1" t="s">
        <v>161</v>
      </c>
      <c r="GD3603" s="1" t="s">
        <v>189</v>
      </c>
    </row>
    <row r="3604" spans="1:187" ht="11.25" customHeight="1">
      <c r="A3604" s="1" t="s">
        <v>5083</v>
      </c>
      <c r="B3604" s="1" t="str">
        <f ca="1">IFERROR(__xludf.DUMMYFUNCTION("GOOGLETRANSLATE(A3604, ""en"", ""fr"")"),"ÉQUATION")</f>
        <v>ÉQUATION</v>
      </c>
      <c r="C3604" s="1" t="s">
        <v>185</v>
      </c>
      <c r="CH3604" s="1" t="s">
        <v>82</v>
      </c>
      <c r="FH3604" s="1" t="s">
        <v>160</v>
      </c>
      <c r="FI3604" s="1" t="s">
        <v>161</v>
      </c>
      <c r="GD3604" s="1" t="s">
        <v>193</v>
      </c>
      <c r="GE3604" s="1" t="s">
        <v>190</v>
      </c>
    </row>
    <row r="3605" spans="1:187" ht="11.25" customHeight="1">
      <c r="A3605" s="1" t="s">
        <v>5084</v>
      </c>
      <c r="B3605" s="1" t="str">
        <f ca="1">IFERROR(__xludf.DUMMYFUNCTION("GOOGLETRANSLATE(A3605, ""en"", ""fr"")"),"ÉQUILIBRE")</f>
        <v>ÉQUILIBRE</v>
      </c>
      <c r="C3605" s="1" t="s">
        <v>185</v>
      </c>
      <c r="J3605" s="1" t="s">
        <v>6</v>
      </c>
      <c r="BR3605" s="1" t="s">
        <v>66</v>
      </c>
      <c r="GD3605" s="1" t="s">
        <v>193</v>
      </c>
      <c r="GE3605" s="1" t="s">
        <v>190</v>
      </c>
    </row>
    <row r="3606" spans="1:187" ht="11.25" customHeight="1">
      <c r="A3606" s="1" t="s">
        <v>5085</v>
      </c>
      <c r="B3606" s="1" t="str">
        <f ca="1">IFERROR(__xludf.DUMMYFUNCTION("GOOGLETRANSLATE(A3606, ""en"", ""fr"")"),"ÉQUIPER")</f>
        <v>ÉQUIPER</v>
      </c>
      <c r="C3606" s="1" t="s">
        <v>185</v>
      </c>
      <c r="J3606" s="1" t="s">
        <v>6</v>
      </c>
      <c r="N3606" s="1" t="s">
        <v>10</v>
      </c>
      <c r="AL3606" s="1" t="s">
        <v>34</v>
      </c>
      <c r="DN3606" s="1" t="s">
        <v>114</v>
      </c>
      <c r="FQ3606" s="1" t="s">
        <v>169</v>
      </c>
      <c r="GD3606" s="1" t="s">
        <v>189</v>
      </c>
      <c r="GE3606" s="1" t="s">
        <v>190</v>
      </c>
    </row>
    <row r="3607" spans="1:187" ht="11.25" customHeight="1">
      <c r="A3607" s="1" t="s">
        <v>5086</v>
      </c>
      <c r="B3607" s="1" t="str">
        <f ca="1">IFERROR(__xludf.DUMMYFUNCTION("GOOGLETRANSLATE(A3607, ""en"", ""fr"")"),"ÉQUIPEMENT")</f>
        <v>ÉQUIPEMENT</v>
      </c>
      <c r="C3607" s="1" t="s">
        <v>185</v>
      </c>
      <c r="BC3607" s="1" t="s">
        <v>51</v>
      </c>
      <c r="BD3607" s="1" t="s">
        <v>52</v>
      </c>
      <c r="FQ3607" s="1" t="s">
        <v>169</v>
      </c>
      <c r="GD3607" s="1" t="s">
        <v>193</v>
      </c>
      <c r="GE3607" s="1" t="s">
        <v>5087</v>
      </c>
    </row>
    <row r="3608" spans="1:187" ht="11.25" customHeight="1">
      <c r="A3608" s="1" t="s">
        <v>5088</v>
      </c>
      <c r="B3608" s="1" t="str">
        <f ca="1">IFERROR(__xludf.DUMMYFUNCTION("GOOGLETRANSLATE(A3608, ""en"", ""fr"")"),"ÉQUITABLE")</f>
        <v>ÉQUITABLE</v>
      </c>
      <c r="C3608" s="1" t="s">
        <v>185</v>
      </c>
      <c r="D3608" s="1" t="s">
        <v>16612</v>
      </c>
      <c r="F3608" s="1" t="s">
        <v>2</v>
      </c>
      <c r="U3608" s="1" t="s">
        <v>17</v>
      </c>
      <c r="EE3608" s="1" t="s">
        <v>131</v>
      </c>
      <c r="EJ3608" s="1" t="s">
        <v>136</v>
      </c>
      <c r="GD3608" s="1" t="s">
        <v>202</v>
      </c>
      <c r="GE3608" s="1" t="s">
        <v>190</v>
      </c>
    </row>
    <row r="3609" spans="1:187" ht="11.25" customHeight="1">
      <c r="A3609" s="1" t="s">
        <v>5089</v>
      </c>
      <c r="B3609" s="1" t="str">
        <f ca="1">IFERROR(__xludf.DUMMYFUNCTION("GOOGLETRANSLATE(A3609, ""en"", ""fr"")"),"ÉQUITÉ")</f>
        <v>ÉQUITÉ</v>
      </c>
      <c r="C3609" s="1" t="s">
        <v>185</v>
      </c>
      <c r="D3609" s="1" t="s">
        <v>16612</v>
      </c>
      <c r="F3609" s="1" t="s">
        <v>2</v>
      </c>
      <c r="AA3609" s="1" t="s">
        <v>23</v>
      </c>
      <c r="AC3609" s="1" t="s">
        <v>25</v>
      </c>
      <c r="AE3609" s="1" t="s">
        <v>27</v>
      </c>
      <c r="BK3609" s="1" t="s">
        <v>59</v>
      </c>
      <c r="BL3609" s="1" t="s">
        <v>60</v>
      </c>
      <c r="EV3609" s="1" t="s">
        <v>148</v>
      </c>
      <c r="EW3609" s="1" t="s">
        <v>149</v>
      </c>
      <c r="GC3609" s="1" t="s">
        <v>181</v>
      </c>
      <c r="GD3609" s="1" t="s">
        <v>193</v>
      </c>
      <c r="GE3609" s="1" t="s">
        <v>190</v>
      </c>
    </row>
    <row r="3610" spans="1:187" ht="11.25" customHeight="1">
      <c r="A3610" s="1" t="s">
        <v>5090</v>
      </c>
      <c r="B3610" s="1" t="str">
        <f ca="1">IFERROR(__xludf.DUMMYFUNCTION("GOOGLETRANSLATE(A3610, ""en"", ""fr"")"),"ÉQUIVALENT")</f>
        <v>ÉQUIVALENT</v>
      </c>
      <c r="C3610" s="1" t="s">
        <v>185</v>
      </c>
      <c r="CH3610" s="1" t="s">
        <v>82</v>
      </c>
      <c r="GD3610" s="1" t="s">
        <v>202</v>
      </c>
      <c r="GE3610" s="1" t="s">
        <v>190</v>
      </c>
    </row>
    <row r="3611" spans="1:187" ht="11.25" customHeight="1">
      <c r="A3611" s="1" t="s">
        <v>5091</v>
      </c>
      <c r="B3611" s="1" t="str">
        <f ca="1">IFERROR(__xludf.DUMMYFUNCTION("GOOGLETRANSLATE(A3611, ""en"", ""fr"")"),"ÉQUIVOQUE")</f>
        <v>ÉQUIVOQUE</v>
      </c>
      <c r="C3611" s="1" t="s">
        <v>185</v>
      </c>
      <c r="E3611" s="1" t="s">
        <v>16613</v>
      </c>
      <c r="H3611" s="1" t="s">
        <v>4</v>
      </c>
      <c r="L3611" s="1" t="s">
        <v>8</v>
      </c>
      <c r="V3611" s="1" t="s">
        <v>18</v>
      </c>
      <c r="X3611" s="1" t="s">
        <v>20</v>
      </c>
      <c r="FZ3611" s="1" t="s">
        <v>178</v>
      </c>
      <c r="GD3611" s="1" t="s">
        <v>202</v>
      </c>
      <c r="GE3611" s="1" t="s">
        <v>190</v>
      </c>
    </row>
    <row r="3612" spans="1:187" ht="11.25" customHeight="1">
      <c r="A3612" s="1" t="s">
        <v>5092</v>
      </c>
      <c r="B3612" s="1" t="str">
        <f ca="1">IFERROR(__xludf.DUMMYFUNCTION("GOOGLETRANSLATE(A3612, ""en"", ""fr"")"),"ÈRE")</f>
        <v>ÈRE</v>
      </c>
      <c r="C3612" s="1" t="s">
        <v>185</v>
      </c>
      <c r="W3612" s="1" t="s">
        <v>19</v>
      </c>
      <c r="CQ3612" s="1" t="s">
        <v>91</v>
      </c>
      <c r="CY3612" s="1" t="s">
        <v>99</v>
      </c>
      <c r="CZ3612" s="1" t="s">
        <v>100</v>
      </c>
      <c r="GB3612" s="1" t="s">
        <v>180</v>
      </c>
      <c r="GD3612" s="1" t="s">
        <v>193</v>
      </c>
      <c r="GE3612" s="1" t="s">
        <v>190</v>
      </c>
    </row>
    <row r="3613" spans="1:187" ht="11.25" customHeight="1">
      <c r="A3613" s="1" t="s">
        <v>5093</v>
      </c>
      <c r="B3613" s="1" t="str">
        <f ca="1">IFERROR(__xludf.DUMMYFUNCTION("GOOGLETRANSLATE(A3613, ""en"", ""fr"")"),"ÉRADIQUER")</f>
        <v>ÉRADIQUER</v>
      </c>
      <c r="C3613" s="1" t="s">
        <v>192</v>
      </c>
      <c r="E3613" s="1" t="s">
        <v>16613</v>
      </c>
      <c r="K3613" s="1" t="s">
        <v>7</v>
      </c>
      <c r="N3613" s="1" t="s">
        <v>10</v>
      </c>
      <c r="BY3613" s="1" t="s">
        <v>73</v>
      </c>
      <c r="BZ3613" s="1" t="s">
        <v>74</v>
      </c>
      <c r="DN3613" s="1" t="s">
        <v>114</v>
      </c>
      <c r="GD3613" s="1" t="s">
        <v>189</v>
      </c>
      <c r="GE3613" s="1" t="s">
        <v>190</v>
      </c>
    </row>
    <row r="3614" spans="1:187" ht="11.25" customHeight="1">
      <c r="A3614" s="1" t="s">
        <v>5094</v>
      </c>
      <c r="B3614" s="1" t="str">
        <f ca="1">IFERROR(__xludf.DUMMYFUNCTION("GOOGLETRANSLATE(A3614, ""en"", ""fr"")"),"EFFACER")</f>
        <v>EFFACER</v>
      </c>
      <c r="C3614" s="1" t="s">
        <v>192</v>
      </c>
      <c r="E3614" s="1" t="s">
        <v>16613</v>
      </c>
      <c r="N3614" s="1" t="s">
        <v>10</v>
      </c>
      <c r="BY3614" s="1" t="s">
        <v>73</v>
      </c>
      <c r="BZ3614" s="1" t="s">
        <v>74</v>
      </c>
      <c r="DO3614" s="1" t="s">
        <v>115</v>
      </c>
      <c r="GD3614" s="1" t="s">
        <v>189</v>
      </c>
      <c r="GE3614" s="1" t="s">
        <v>190</v>
      </c>
    </row>
    <row r="3615" spans="1:187" ht="11.25" customHeight="1">
      <c r="A3615" s="1" t="s">
        <v>5095</v>
      </c>
      <c r="B3615" s="1" t="str">
        <f ca="1">IFERROR(__xludf.DUMMYFUNCTION("GOOGLETRANSLATE(A3615, ""en"", ""fr"")"),"Ériger # 1")</f>
        <v>Ériger # 1</v>
      </c>
      <c r="C3615" s="1" t="s">
        <v>185</v>
      </c>
      <c r="J3615" s="1" t="s">
        <v>6</v>
      </c>
      <c r="N3615" s="1" t="s">
        <v>10</v>
      </c>
      <c r="CR3615" s="1" t="s">
        <v>92</v>
      </c>
      <c r="GD3615" s="1" t="s">
        <v>193</v>
      </c>
      <c r="GE3615" s="1" t="s">
        <v>190</v>
      </c>
    </row>
    <row r="3616" spans="1:187" ht="11.25" customHeight="1">
      <c r="A3616" s="1" t="s">
        <v>5096</v>
      </c>
      <c r="B3616" s="1" t="str">
        <f ca="1">IFERROR(__xludf.DUMMYFUNCTION("GOOGLETRANSLATE(A3616, ""en"", ""fr"")"),"Ériger # 2")</f>
        <v>Ériger # 2</v>
      </c>
      <c r="C3616" s="1" t="s">
        <v>185</v>
      </c>
      <c r="J3616" s="1" t="s">
        <v>6</v>
      </c>
      <c r="N3616" s="1" t="s">
        <v>10</v>
      </c>
      <c r="AL3616" s="1" t="s">
        <v>34</v>
      </c>
      <c r="DN3616" s="1" t="s">
        <v>114</v>
      </c>
      <c r="FP3616" s="1" t="s">
        <v>168</v>
      </c>
      <c r="GD3616" s="1" t="s">
        <v>189</v>
      </c>
      <c r="GE3616" s="1" t="s">
        <v>190</v>
      </c>
    </row>
    <row r="3617" spans="1:187" ht="11.25" customHeight="1">
      <c r="A3617" s="1" t="s">
        <v>5097</v>
      </c>
      <c r="B3617" s="1" t="str">
        <f ca="1">IFERROR(__xludf.DUMMYFUNCTION("GOOGLETRANSLATE(A3617, ""en"", ""fr"")"),"ÉRODER")</f>
        <v>ÉRODER</v>
      </c>
      <c r="C3617" s="1" t="s">
        <v>192</v>
      </c>
      <c r="E3617" s="1" t="s">
        <v>16613</v>
      </c>
      <c r="O3617" s="1" t="s">
        <v>11</v>
      </c>
      <c r="BY3617" s="1" t="s">
        <v>73</v>
      </c>
      <c r="DO3617" s="1" t="s">
        <v>115</v>
      </c>
      <c r="GD3617" s="1" t="s">
        <v>189</v>
      </c>
      <c r="GE3617" s="1" t="s">
        <v>190</v>
      </c>
    </row>
    <row r="3618" spans="1:187" ht="11.25" customHeight="1">
      <c r="A3618" s="1" t="s">
        <v>5098</v>
      </c>
      <c r="B3618" s="1" t="str">
        <f ca="1">IFERROR(__xludf.DUMMYFUNCTION("GOOGLETRANSLATE(A3618, ""en"", ""fr"")"),"ÉROSION")</f>
        <v>ÉROSION</v>
      </c>
      <c r="C3618" s="1" t="s">
        <v>192</v>
      </c>
      <c r="E3618" s="1" t="s">
        <v>16613</v>
      </c>
      <c r="BY3618" s="1" t="s">
        <v>73</v>
      </c>
      <c r="GD3618" s="1" t="s">
        <v>193</v>
      </c>
      <c r="GE3618" s="1" t="s">
        <v>190</v>
      </c>
    </row>
    <row r="3619" spans="1:187" ht="11.25" customHeight="1">
      <c r="A3619" s="1" t="s">
        <v>5099</v>
      </c>
      <c r="B3619" s="1" t="str">
        <f ca="1">IFERROR(__xludf.DUMMYFUNCTION("GOOGLETRANSLATE(A3619, ""en"", ""fr"")"),"SE TROMPER")</f>
        <v>SE TROMPER</v>
      </c>
      <c r="C3619" s="1" t="s">
        <v>192</v>
      </c>
      <c r="E3619" s="1" t="s">
        <v>16613</v>
      </c>
      <c r="L3619" s="1" t="s">
        <v>8</v>
      </c>
      <c r="N3619" s="1" t="s">
        <v>10</v>
      </c>
      <c r="BT3619" s="1" t="s">
        <v>68</v>
      </c>
      <c r="DN3619" s="1" t="s">
        <v>114</v>
      </c>
      <c r="GD3619" s="1" t="s">
        <v>189</v>
      </c>
      <c r="GE3619" s="1" t="s">
        <v>190</v>
      </c>
    </row>
    <row r="3620" spans="1:187" ht="11.25" customHeight="1">
      <c r="A3620" s="1" t="s">
        <v>5100</v>
      </c>
      <c r="B3620" s="1" t="str">
        <f ca="1">IFERROR(__xludf.DUMMYFUNCTION("GOOGLETRANSLATE(A3620, ""en"", ""fr"")"),"ERRONÉ")</f>
        <v>ERRONÉ</v>
      </c>
      <c r="C3620" s="1" t="s">
        <v>192</v>
      </c>
      <c r="E3620" s="1" t="s">
        <v>16613</v>
      </c>
      <c r="L3620" s="1" t="s">
        <v>8</v>
      </c>
      <c r="BT3620" s="1" t="s">
        <v>68</v>
      </c>
      <c r="DR3620" s="1" t="s">
        <v>118</v>
      </c>
      <c r="GD3620" s="1" t="s">
        <v>202</v>
      </c>
      <c r="GE3620" s="1" t="s">
        <v>190</v>
      </c>
    </row>
    <row r="3621" spans="1:187" ht="11.25" customHeight="1">
      <c r="A3621" s="1" t="s">
        <v>5101</v>
      </c>
      <c r="B3621" s="1" t="str">
        <f ca="1">IFERROR(__xludf.DUMMYFUNCTION("GOOGLETRANSLATE(A3621, ""en"", ""fr"")"),"ERREUR")</f>
        <v>ERREUR</v>
      </c>
      <c r="C3621" s="1" t="s">
        <v>185</v>
      </c>
      <c r="E3621" s="1" t="s">
        <v>16613</v>
      </c>
      <c r="H3621" s="1" t="s">
        <v>4</v>
      </c>
      <c r="V3621" s="1" t="s">
        <v>18</v>
      </c>
      <c r="FL3621" s="1" t="s">
        <v>164</v>
      </c>
      <c r="FM3621" s="1" t="s">
        <v>418</v>
      </c>
      <c r="GD3621" s="1" t="s">
        <v>193</v>
      </c>
      <c r="GE3621" s="1" t="s">
        <v>190</v>
      </c>
    </row>
    <row r="3622" spans="1:187" ht="11.25" customHeight="1">
      <c r="A3622" s="1" t="s">
        <v>5102</v>
      </c>
      <c r="B3622" s="1" t="str">
        <f ca="1">IFERROR(__xludf.DUMMYFUNCTION("GOOGLETRANSLATE(A3622, ""en"", ""fr"")"),"Escape # 1")</f>
        <v>Escape # 1</v>
      </c>
      <c r="C3622" s="1" t="s">
        <v>185</v>
      </c>
      <c r="I3622" s="1" t="s">
        <v>5</v>
      </c>
      <c r="J3622" s="1" t="s">
        <v>6</v>
      </c>
      <c r="N3622" s="1" t="s">
        <v>10</v>
      </c>
      <c r="CE3622" s="1" t="s">
        <v>79</v>
      </c>
      <c r="DN3622" s="1" t="s">
        <v>114</v>
      </c>
      <c r="DS3622" s="1" t="s">
        <v>119</v>
      </c>
      <c r="ED3622" s="1" t="s">
        <v>130</v>
      </c>
      <c r="GD3622" s="1" t="s">
        <v>400</v>
      </c>
      <c r="GE3622" s="1" t="s">
        <v>5103</v>
      </c>
    </row>
    <row r="3623" spans="1:187" ht="11.25" customHeight="1">
      <c r="A3623" s="1" t="s">
        <v>5104</v>
      </c>
      <c r="B3623" s="1" t="str">
        <f ca="1">IFERROR(__xludf.DUMMYFUNCTION("GOOGLETRANSLATE(A3623, ""en"", ""fr"")"),"Escape # 2")</f>
        <v>Escape # 2</v>
      </c>
      <c r="C3623" s="1" t="s">
        <v>185</v>
      </c>
      <c r="I3623" s="1" t="s">
        <v>5</v>
      </c>
      <c r="J3623" s="1" t="s">
        <v>6</v>
      </c>
      <c r="N3623" s="1" t="s">
        <v>10</v>
      </c>
      <c r="CE3623" s="1" t="s">
        <v>79</v>
      </c>
      <c r="EC3623" s="1" t="s">
        <v>129</v>
      </c>
      <c r="ED3623" s="1" t="s">
        <v>130</v>
      </c>
      <c r="GD3623" s="1" t="s">
        <v>193</v>
      </c>
      <c r="GE3623" s="1" t="s">
        <v>5105</v>
      </c>
    </row>
    <row r="3624" spans="1:187" ht="11.25" customHeight="1">
      <c r="A3624" s="1" t="s">
        <v>5106</v>
      </c>
      <c r="B3624" s="1" t="str">
        <f ca="1">IFERROR(__xludf.DUMMYFUNCTION("GOOGLETRANSLATE(A3624, ""en"", ""fr"")"),"Escape # 3")</f>
        <v>Escape # 3</v>
      </c>
      <c r="C3624" s="1" t="s">
        <v>185</v>
      </c>
      <c r="AV3624" s="1" t="s">
        <v>44</v>
      </c>
      <c r="AY3624" s="1" t="s">
        <v>47</v>
      </c>
      <c r="GD3624" s="1" t="s">
        <v>193</v>
      </c>
      <c r="GE3624" s="1" t="s">
        <v>5107</v>
      </c>
    </row>
    <row r="3625" spans="1:187" ht="11.25" customHeight="1">
      <c r="A3625" s="1" t="s">
        <v>5108</v>
      </c>
      <c r="B3625" s="1" t="str">
        <f ca="1">IFERROR(__xludf.DUMMYFUNCTION("GOOGLETRANSLATE(A3625, ""en"", ""fr"")"),"ESCORTE")</f>
        <v>ESCORTE</v>
      </c>
      <c r="C3625" s="1" t="s">
        <v>196</v>
      </c>
      <c r="GD3625" s="1" t="s">
        <v>189</v>
      </c>
    </row>
    <row r="3626" spans="1:187" ht="11.25" customHeight="1">
      <c r="A3626" s="1" t="s">
        <v>5109</v>
      </c>
      <c r="B3626" s="1" t="str">
        <f ca="1">IFERROR(__xludf.DUMMYFUNCTION("GOOGLETRANSLATE(A3626, ""en"", ""fr"")"),"ÉSOTÉRIQUE")</f>
        <v>ÉSOTÉRIQUE</v>
      </c>
      <c r="C3626" s="1" t="s">
        <v>192</v>
      </c>
      <c r="E3626" s="1" t="s">
        <v>16613</v>
      </c>
      <c r="G3626" s="1" t="s">
        <v>3</v>
      </c>
      <c r="K3626" s="1" t="s">
        <v>7</v>
      </c>
      <c r="CG3626" s="1" t="s">
        <v>81</v>
      </c>
      <c r="DR3626" s="1" t="s">
        <v>118</v>
      </c>
      <c r="GD3626" s="1" t="s">
        <v>202</v>
      </c>
      <c r="GE3626" s="1" t="s">
        <v>190</v>
      </c>
    </row>
    <row r="3627" spans="1:187" ht="11.25" customHeight="1">
      <c r="A3627" s="1" t="s">
        <v>5110</v>
      </c>
      <c r="B3627" s="1" t="str">
        <f ca="1">IFERROR(__xludf.DUMMYFUNCTION("GOOGLETRANSLATE(A3627, ""en"", ""fr"")"),"EN PARTICULIER")</f>
        <v>EN PARTICULIER</v>
      </c>
      <c r="C3627" s="1" t="s">
        <v>185</v>
      </c>
      <c r="W3627" s="1" t="s">
        <v>19</v>
      </c>
      <c r="CM3627" s="1" t="s">
        <v>87</v>
      </c>
      <c r="FY3627" s="1" t="s">
        <v>177</v>
      </c>
      <c r="GD3627" s="1" t="s">
        <v>236</v>
      </c>
      <c r="GE3627" s="1" t="s">
        <v>5111</v>
      </c>
    </row>
    <row r="3628" spans="1:187" ht="11.25" customHeight="1">
      <c r="A3628" s="1" t="s">
        <v>5112</v>
      </c>
      <c r="B3628" s="1" t="str">
        <f ca="1">IFERROR(__xludf.DUMMYFUNCTION("GOOGLETRANSLATE(A3628, ""en"", ""fr"")"),"ESPLANADE")</f>
        <v>ESPLANADE</v>
      </c>
      <c r="C3628" s="1" t="s">
        <v>185</v>
      </c>
      <c r="AV3628" s="1" t="s">
        <v>44</v>
      </c>
      <c r="AY3628" s="1" t="s">
        <v>47</v>
      </c>
      <c r="GD3628" s="1" t="s">
        <v>193</v>
      </c>
      <c r="GE3628" s="1" t="s">
        <v>190</v>
      </c>
    </row>
    <row r="3629" spans="1:187" ht="11.25" customHeight="1">
      <c r="A3629" s="1" t="s">
        <v>5113</v>
      </c>
      <c r="B3629" s="1" t="str">
        <f ca="1">IFERROR(__xludf.DUMMYFUNCTION("GOOGLETRANSLATE(A3629, ""en"", ""fr"")"),"ESSAI")</f>
        <v>ESSAI</v>
      </c>
      <c r="C3629" s="1" t="s">
        <v>185</v>
      </c>
      <c r="Y3629" s="1" t="s">
        <v>21</v>
      </c>
      <c r="AD3629" s="1" t="s">
        <v>26</v>
      </c>
      <c r="BK3629" s="1" t="s">
        <v>59</v>
      </c>
      <c r="BL3629" s="1" t="s">
        <v>60</v>
      </c>
      <c r="GD3629" s="1" t="s">
        <v>193</v>
      </c>
      <c r="GE3629" s="1" t="s">
        <v>190</v>
      </c>
    </row>
    <row r="3630" spans="1:187" ht="11.25" customHeight="1">
      <c r="A3630" s="1" t="s">
        <v>5114</v>
      </c>
      <c r="B3630" s="1" t="str">
        <f ca="1">IFERROR(__xludf.DUMMYFUNCTION("GOOGLETRANSLATE(A3630, ""en"", ""fr"")"),"ESSENCE")</f>
        <v>ESSENCE</v>
      </c>
      <c r="C3630" s="1" t="s">
        <v>185</v>
      </c>
      <c r="J3630" s="1" t="s">
        <v>6</v>
      </c>
      <c r="W3630" s="1" t="s">
        <v>19</v>
      </c>
      <c r="CH3630" s="1" t="s">
        <v>82</v>
      </c>
      <c r="GD3630" s="1" t="s">
        <v>193</v>
      </c>
      <c r="GE3630" s="1" t="s">
        <v>190</v>
      </c>
    </row>
    <row r="3631" spans="1:187" ht="11.25" customHeight="1">
      <c r="A3631" s="1" t="s">
        <v>5115</v>
      </c>
      <c r="B3631" s="1" t="str">
        <f ca="1">IFERROR(__xludf.DUMMYFUNCTION("GOOGLETRANSLATE(A3631, ""en"", ""fr"")"),"Essential n ° 1")</f>
        <v>Essential n ° 1</v>
      </c>
      <c r="C3631" s="1" t="s">
        <v>185</v>
      </c>
      <c r="D3631" s="1" t="s">
        <v>16612</v>
      </c>
      <c r="F3631" s="1" t="s">
        <v>2</v>
      </c>
      <c r="J3631" s="1" t="s">
        <v>6</v>
      </c>
      <c r="U3631" s="1" t="s">
        <v>17</v>
      </c>
      <c r="W3631" s="1" t="s">
        <v>19</v>
      </c>
      <c r="FY3631" s="1" t="s">
        <v>177</v>
      </c>
      <c r="GD3631" s="1" t="s">
        <v>193</v>
      </c>
      <c r="GE3631" s="1" t="s">
        <v>5116</v>
      </c>
    </row>
    <row r="3632" spans="1:187" ht="11.25" customHeight="1">
      <c r="A3632" s="1" t="s">
        <v>5117</v>
      </c>
      <c r="B3632" s="1" t="str">
        <f ca="1">IFERROR(__xludf.DUMMYFUNCTION("GOOGLETRANSLATE(A3632, ""en"", ""fr"")"),"Essential n ° 2")</f>
        <v>Essential n ° 2</v>
      </c>
      <c r="C3632" s="1" t="s">
        <v>185</v>
      </c>
      <c r="D3632" s="1" t="s">
        <v>16612</v>
      </c>
      <c r="F3632" s="1" t="s">
        <v>2</v>
      </c>
      <c r="J3632" s="1" t="s">
        <v>6</v>
      </c>
      <c r="U3632" s="1" t="s">
        <v>17</v>
      </c>
      <c r="W3632" s="1" t="s">
        <v>19</v>
      </c>
      <c r="CN3632" s="1" t="s">
        <v>88</v>
      </c>
      <c r="FY3632" s="1" t="s">
        <v>177</v>
      </c>
      <c r="GD3632" s="1" t="s">
        <v>202</v>
      </c>
      <c r="GE3632" s="1" t="s">
        <v>5118</v>
      </c>
    </row>
    <row r="3633" spans="1:187" ht="11.25" customHeight="1">
      <c r="A3633" s="1" t="s">
        <v>5119</v>
      </c>
      <c r="B3633" s="1" t="str">
        <f ca="1">IFERROR(__xludf.DUMMYFUNCTION("GOOGLETRANSLATE(A3633, ""en"", ""fr"")"),"Essential n ° 3")</f>
        <v>Essential n ° 3</v>
      </c>
      <c r="C3633" s="1" t="s">
        <v>185</v>
      </c>
      <c r="U3633" s="1" t="s">
        <v>17</v>
      </c>
      <c r="W3633" s="1" t="s">
        <v>19</v>
      </c>
      <c r="FY3633" s="1" t="s">
        <v>177</v>
      </c>
      <c r="GD3633" s="1" t="s">
        <v>236</v>
      </c>
      <c r="GE3633" s="1" t="s">
        <v>5120</v>
      </c>
    </row>
    <row r="3634" spans="1:187" ht="11.25" customHeight="1">
      <c r="A3634" s="1" t="s">
        <v>5121</v>
      </c>
      <c r="B3634" s="1" t="str">
        <f ca="1">IFERROR(__xludf.DUMMYFUNCTION("GOOGLETRANSLATE(A3634, ""en"", ""fr"")"),"Établir # 1")</f>
        <v>Établir # 1</v>
      </c>
      <c r="C3634" s="1" t="s">
        <v>185</v>
      </c>
      <c r="D3634" s="1" t="s">
        <v>16612</v>
      </c>
      <c r="F3634" s="1" t="s">
        <v>2</v>
      </c>
      <c r="J3634" s="1" t="s">
        <v>6</v>
      </c>
      <c r="K3634" s="1" t="s">
        <v>7</v>
      </c>
      <c r="N3634" s="1" t="s">
        <v>10</v>
      </c>
      <c r="W3634" s="1" t="s">
        <v>19</v>
      </c>
      <c r="BS3634" s="1" t="s">
        <v>67</v>
      </c>
      <c r="DN3634" s="1" t="s">
        <v>114</v>
      </c>
      <c r="FP3634" s="1" t="s">
        <v>168</v>
      </c>
      <c r="GD3634" s="1" t="s">
        <v>400</v>
      </c>
      <c r="GE3634" s="1" t="s">
        <v>5122</v>
      </c>
    </row>
    <row r="3635" spans="1:187" ht="11.25" customHeight="1">
      <c r="A3635" s="1" t="s">
        <v>5123</v>
      </c>
      <c r="B3635" s="1" t="str">
        <f ca="1">IFERROR(__xludf.DUMMYFUNCTION("GOOGLETRANSLATE(A3635, ""en"", ""fr"")"),"Établir # 2")</f>
        <v>Établir # 2</v>
      </c>
      <c r="C3635" s="1" t="s">
        <v>185</v>
      </c>
      <c r="D3635" s="1" t="s">
        <v>16612</v>
      </c>
      <c r="F3635" s="1" t="s">
        <v>2</v>
      </c>
      <c r="J3635" s="1" t="s">
        <v>6</v>
      </c>
      <c r="U3635" s="1" t="s">
        <v>17</v>
      </c>
      <c r="W3635" s="1" t="s">
        <v>19</v>
      </c>
      <c r="GD3635" s="1" t="s">
        <v>202</v>
      </c>
      <c r="GE3635" s="1" t="s">
        <v>5124</v>
      </c>
    </row>
    <row r="3636" spans="1:187" ht="11.25" customHeight="1">
      <c r="A3636" s="1" t="s">
        <v>5125</v>
      </c>
      <c r="B3636" s="1" t="str">
        <f ca="1">IFERROR(__xludf.DUMMYFUNCTION("GOOGLETRANSLATE(A3636, ""en"", ""fr"")"),"ÉTABLISSEMENT")</f>
        <v>ÉTABLISSEMENT</v>
      </c>
      <c r="C3636" s="1" t="s">
        <v>185</v>
      </c>
      <c r="W3636" s="1" t="s">
        <v>19</v>
      </c>
      <c r="AA3636" s="1" t="s">
        <v>23</v>
      </c>
      <c r="AC3636" s="1" t="s">
        <v>25</v>
      </c>
      <c r="AG3636" s="1" t="s">
        <v>29</v>
      </c>
      <c r="AH3636" s="1" t="s">
        <v>30</v>
      </c>
      <c r="AK3636" s="1" t="s">
        <v>33</v>
      </c>
      <c r="AT3636" s="1" t="s">
        <v>42</v>
      </c>
      <c r="DZ3636" s="1" t="s">
        <v>126</v>
      </c>
      <c r="ED3636" s="1" t="s">
        <v>130</v>
      </c>
      <c r="GD3636" s="1" t="s">
        <v>193</v>
      </c>
      <c r="GE3636" s="1" t="s">
        <v>190</v>
      </c>
    </row>
    <row r="3637" spans="1:187" ht="11.25" customHeight="1">
      <c r="A3637" s="1" t="s">
        <v>5126</v>
      </c>
      <c r="B3637" s="1" t="str">
        <f ca="1">IFERROR(__xludf.DUMMYFUNCTION("GOOGLETRANSLATE(A3637, ""en"", ""fr"")"),"DOMAINE")</f>
        <v>DOMAINE</v>
      </c>
      <c r="C3637" s="1" t="s">
        <v>185</v>
      </c>
      <c r="AC3637" s="1" t="s">
        <v>25</v>
      </c>
      <c r="AV3637" s="1" t="s">
        <v>44</v>
      </c>
      <c r="AW3637" s="1" t="s">
        <v>45</v>
      </c>
      <c r="EV3637" s="1" t="s">
        <v>148</v>
      </c>
      <c r="EW3637" s="1" t="s">
        <v>149</v>
      </c>
      <c r="GD3637" s="1" t="s">
        <v>193</v>
      </c>
      <c r="GE3637" s="1" t="s">
        <v>190</v>
      </c>
    </row>
    <row r="3638" spans="1:187" ht="11.25" customHeight="1">
      <c r="A3638" s="1" t="s">
        <v>5127</v>
      </c>
      <c r="B3638" s="1" t="str">
        <f ca="1">IFERROR(__xludf.DUMMYFUNCTION("GOOGLETRANSLATE(A3638, ""en"", ""fr"")"),"ESTIME")</f>
        <v>ESTIME</v>
      </c>
      <c r="C3638" s="1" t="s">
        <v>192</v>
      </c>
      <c r="D3638" s="1" t="s">
        <v>16612</v>
      </c>
      <c r="R3638" s="1" t="s">
        <v>14</v>
      </c>
      <c r="CM3638" s="1" t="s">
        <v>87</v>
      </c>
      <c r="GD3638" s="1" t="s">
        <v>193</v>
      </c>
      <c r="GE3638" s="1" t="s">
        <v>190</v>
      </c>
    </row>
    <row r="3639" spans="1:187" ht="11.25" customHeight="1">
      <c r="A3639" s="1" t="s">
        <v>5128</v>
      </c>
      <c r="B3639" s="1" t="str">
        <f ca="1">IFERROR(__xludf.DUMMYFUNCTION("GOOGLETRANSLATE(A3639, ""en"", ""fr"")"),"Estimation n ° 1")</f>
        <v>Estimation n ° 1</v>
      </c>
      <c r="C3639" s="1" t="s">
        <v>185</v>
      </c>
      <c r="AA3639" s="1" t="s">
        <v>23</v>
      </c>
      <c r="BK3639" s="1" t="s">
        <v>59</v>
      </c>
      <c r="BL3639" s="1" t="s">
        <v>60</v>
      </c>
      <c r="FR3639" s="1" t="s">
        <v>170</v>
      </c>
      <c r="GC3639" s="1" t="s">
        <v>181</v>
      </c>
      <c r="GD3639" s="1" t="s">
        <v>193</v>
      </c>
      <c r="GE3639" s="1" t="s">
        <v>190</v>
      </c>
    </row>
    <row r="3640" spans="1:187" ht="11.25" customHeight="1">
      <c r="A3640" s="1" t="s">
        <v>5129</v>
      </c>
      <c r="B3640" s="1" t="str">
        <f ca="1">IFERROR(__xludf.DUMMYFUNCTION("GOOGLETRANSLATE(A3640, ""en"", ""fr"")"),"Estimation n ° 2")</f>
        <v>Estimation n ° 2</v>
      </c>
      <c r="C3640" s="1" t="s">
        <v>185</v>
      </c>
      <c r="CO3640" s="1" t="s">
        <v>89</v>
      </c>
      <c r="DN3640" s="1" t="s">
        <v>114</v>
      </c>
      <c r="FR3640" s="1" t="s">
        <v>170</v>
      </c>
      <c r="GD3640" s="1" t="s">
        <v>189</v>
      </c>
      <c r="GE3640" s="1" t="s">
        <v>190</v>
      </c>
    </row>
    <row r="3641" spans="1:187" ht="11.25" customHeight="1">
      <c r="A3641" s="1" t="s">
        <v>5130</v>
      </c>
      <c r="B3641" s="1" t="str">
        <f ca="1">IFERROR(__xludf.DUMMYFUNCTION("GOOGLETRANSLATE(A3641, ""en"", ""fr"")"),"ÉLOIGNER")</f>
        <v>ÉLOIGNER</v>
      </c>
      <c r="C3641" s="1" t="s">
        <v>196</v>
      </c>
      <c r="DW3641" s="1" t="s">
        <v>123</v>
      </c>
      <c r="ED3641" s="1" t="s">
        <v>130</v>
      </c>
      <c r="GD3641" s="1" t="s">
        <v>189</v>
      </c>
    </row>
    <row r="3642" spans="1:187" ht="11.25" customHeight="1">
      <c r="A3642" s="1" t="s">
        <v>5131</v>
      </c>
      <c r="B3642" s="1" t="str">
        <f ca="1">IFERROR(__xludf.DUMMYFUNCTION("GOOGLETRANSLATE(A3642, ""en"", ""fr"")"),"Éloigné")</f>
        <v>Éloigné</v>
      </c>
      <c r="C3642" s="1" t="s">
        <v>192</v>
      </c>
      <c r="E3642" s="1" t="s">
        <v>16613</v>
      </c>
      <c r="Q3642" s="1" t="s">
        <v>13</v>
      </c>
      <c r="AN3642" s="1" t="s">
        <v>36</v>
      </c>
      <c r="DQ3642" s="1" t="s">
        <v>117</v>
      </c>
      <c r="GD3642" s="1" t="s">
        <v>202</v>
      </c>
      <c r="GE3642" s="1" t="s">
        <v>190</v>
      </c>
    </row>
    <row r="3643" spans="1:187" ht="11.25" customHeight="1">
      <c r="A3643" s="1" t="s">
        <v>5132</v>
      </c>
      <c r="B3643" s="1" t="str">
        <f ca="1">IFERROR(__xludf.DUMMYFUNCTION("GOOGLETRANSLATE(A3643, ""en"", ""fr"")"),"ÉLOIGNEMENT")</f>
        <v>ÉLOIGNEMENT</v>
      </c>
      <c r="C3643" s="1" t="s">
        <v>196</v>
      </c>
      <c r="DW3643" s="1" t="s">
        <v>123</v>
      </c>
      <c r="ED3643" s="1" t="s">
        <v>130</v>
      </c>
      <c r="GD3643" s="1" t="s">
        <v>193</v>
      </c>
    </row>
    <row r="3644" spans="1:187" ht="11.25" customHeight="1">
      <c r="A3644" s="1" t="s">
        <v>5133</v>
      </c>
      <c r="B3644" s="1" t="str">
        <f ca="1">IFERROR(__xludf.DUMMYFUNCTION("GOOGLETRANSLATE(A3644, ""en"", ""fr"")"),"ETC")</f>
        <v>ETC</v>
      </c>
      <c r="C3644" s="1" t="s">
        <v>185</v>
      </c>
      <c r="W3644" s="1" t="s">
        <v>19</v>
      </c>
      <c r="GD3644" s="1" t="s">
        <v>5134</v>
      </c>
      <c r="GE3644" s="1" t="s">
        <v>190</v>
      </c>
    </row>
    <row r="3645" spans="1:187" ht="11.25" customHeight="1">
      <c r="A3645" s="1" t="s">
        <v>5135</v>
      </c>
      <c r="B3645" s="1" t="str">
        <f ca="1">IFERROR(__xludf.DUMMYFUNCTION("GOOGLETRANSLATE(A3645, ""en"", ""fr"")"),"ETC.")</f>
        <v>ETC.</v>
      </c>
      <c r="C3645" s="1" t="s">
        <v>196</v>
      </c>
      <c r="GD3645" s="1" t="s">
        <v>5134</v>
      </c>
    </row>
    <row r="3646" spans="1:187" ht="11.25" customHeight="1">
      <c r="A3646" s="1" t="s">
        <v>5136</v>
      </c>
      <c r="B3646" s="1" t="str">
        <f ca="1">IFERROR(__xludf.DUMMYFUNCTION("GOOGLETRANSLATE(A3646, ""en"", ""fr"")"),"ÉTERNEL")</f>
        <v>ÉTERNEL</v>
      </c>
      <c r="C3646" s="1" t="s">
        <v>185</v>
      </c>
      <c r="J3646" s="1" t="s">
        <v>6</v>
      </c>
      <c r="W3646" s="1" t="s">
        <v>19</v>
      </c>
      <c r="AI3646" s="1" t="s">
        <v>31</v>
      </c>
      <c r="BR3646" s="1" t="s">
        <v>66</v>
      </c>
      <c r="GB3646" s="1" t="s">
        <v>180</v>
      </c>
      <c r="GD3646" s="1" t="s">
        <v>202</v>
      </c>
      <c r="GE3646" s="1" t="s">
        <v>190</v>
      </c>
    </row>
    <row r="3647" spans="1:187" ht="11.25" customHeight="1">
      <c r="A3647" s="1" t="s">
        <v>5137</v>
      </c>
      <c r="B3647" s="1" t="str">
        <f ca="1">IFERROR(__xludf.DUMMYFUNCTION("GOOGLETRANSLATE(A3647, ""en"", ""fr"")"),"ÉTHIQUE")</f>
        <v>ÉTHIQUE</v>
      </c>
      <c r="C3647" s="1" t="s">
        <v>185</v>
      </c>
      <c r="D3647" s="1" t="s">
        <v>16612</v>
      </c>
      <c r="F3647" s="1" t="s">
        <v>2</v>
      </c>
      <c r="U3647" s="1" t="s">
        <v>17</v>
      </c>
      <c r="CN3647" s="1" t="s">
        <v>88</v>
      </c>
      <c r="EE3647" s="1" t="s">
        <v>131</v>
      </c>
      <c r="EJ3647" s="1" t="s">
        <v>136</v>
      </c>
      <c r="GD3647" s="1" t="s">
        <v>202</v>
      </c>
      <c r="GE3647" s="1" t="s">
        <v>190</v>
      </c>
    </row>
    <row r="3648" spans="1:187" ht="11.25" customHeight="1">
      <c r="A3648" s="1" t="s">
        <v>5138</v>
      </c>
      <c r="B3648" s="1" t="str">
        <f ca="1">IFERROR(__xludf.DUMMYFUNCTION("GOOGLETRANSLATE(A3648, ""en"", ""fr"")"),"ÉTHIQUE")</f>
        <v>ÉTHIQUE</v>
      </c>
      <c r="C3648" s="1" t="s">
        <v>185</v>
      </c>
      <c r="D3648" s="1" t="s">
        <v>16612</v>
      </c>
      <c r="F3648" s="1" t="s">
        <v>2</v>
      </c>
      <c r="Z3648" s="1" t="s">
        <v>22</v>
      </c>
      <c r="EE3648" s="1" t="s">
        <v>131</v>
      </c>
      <c r="EJ3648" s="1" t="s">
        <v>136</v>
      </c>
      <c r="GD3648" s="1" t="s">
        <v>193</v>
      </c>
      <c r="GE3648" s="1" t="s">
        <v>190</v>
      </c>
    </row>
    <row r="3649" spans="1:187" ht="11.25" customHeight="1">
      <c r="A3649" s="1" t="s">
        <v>5139</v>
      </c>
      <c r="B3649" s="1" t="str">
        <f ca="1">IFERROR(__xludf.DUMMYFUNCTION("GOOGLETRANSLATE(A3649, ""en"", ""fr"")"),"ETHIOPIE")</f>
        <v>ETHIOPIE</v>
      </c>
      <c r="C3649" s="1" t="s">
        <v>196</v>
      </c>
      <c r="FU3649" s="1" t="s">
        <v>173</v>
      </c>
      <c r="GD3649" s="1" t="s">
        <v>416</v>
      </c>
    </row>
    <row r="3650" spans="1:187" ht="11.25" customHeight="1">
      <c r="A3650" s="1" t="s">
        <v>5140</v>
      </c>
      <c r="B3650" s="1" t="str">
        <f ca="1">IFERROR(__xludf.DUMMYFUNCTION("GOOGLETRANSLATE(A3650, ""en"", ""fr"")"),"ETHNIQUE")</f>
        <v>ETHNIQUE</v>
      </c>
      <c r="C3650" s="1" t="s">
        <v>185</v>
      </c>
      <c r="AH3650" s="1" t="s">
        <v>30</v>
      </c>
      <c r="AO3650" s="1" t="s">
        <v>37</v>
      </c>
      <c r="GD3650" s="1" t="s">
        <v>202</v>
      </c>
      <c r="GE3650" s="1" t="s">
        <v>190</v>
      </c>
    </row>
    <row r="3651" spans="1:187" ht="11.25" customHeight="1">
      <c r="A3651" s="1" t="s">
        <v>5141</v>
      </c>
      <c r="B3651" s="1" t="str">
        <f ca="1">IFERROR(__xludf.DUMMYFUNCTION("GOOGLETRANSLATE(A3651, ""en"", ""fr"")"),"Éthique")</f>
        <v>Éthique</v>
      </c>
      <c r="C3651" s="1" t="s">
        <v>196</v>
      </c>
      <c r="GD3651" s="1" t="s">
        <v>193</v>
      </c>
    </row>
    <row r="3652" spans="1:187" ht="11.25" customHeight="1">
      <c r="A3652" s="1" t="s">
        <v>5142</v>
      </c>
      <c r="B3652" s="1" t="str">
        <f ca="1">IFERROR(__xludf.DUMMYFUNCTION("GOOGLETRANSLATE(A3652, ""en"", ""fr"")"),"ÉTIQUETTE")</f>
        <v>ÉTIQUETTE</v>
      </c>
      <c r="C3652" s="1" t="s">
        <v>192</v>
      </c>
      <c r="D3652" s="1" t="s">
        <v>16612</v>
      </c>
      <c r="Z3652" s="1" t="s">
        <v>22</v>
      </c>
      <c r="CJ3652" s="1" t="s">
        <v>84</v>
      </c>
      <c r="GD3652" s="1" t="s">
        <v>193</v>
      </c>
      <c r="GE3652" s="1" t="s">
        <v>190</v>
      </c>
    </row>
    <row r="3653" spans="1:187" ht="11.25" customHeight="1">
      <c r="A3653" s="1" t="s">
        <v>5143</v>
      </c>
      <c r="B3653" s="1" t="str">
        <f ca="1">IFERROR(__xludf.DUMMYFUNCTION("GOOGLETRANSLATE(A3653, ""en"", ""fr"")"),"Etrans # 1")</f>
        <v>Etrans # 1</v>
      </c>
      <c r="C3653" s="1" t="s">
        <v>196</v>
      </c>
      <c r="FH3653" s="1" t="s">
        <v>160</v>
      </c>
      <c r="FI3653" s="1" t="s">
        <v>161</v>
      </c>
      <c r="GD3653" s="1" t="s">
        <v>202</v>
      </c>
    </row>
    <row r="3654" spans="1:187" ht="11.25" customHeight="1">
      <c r="A3654" s="1" t="s">
        <v>5144</v>
      </c>
      <c r="B3654" s="1" t="str">
        <f ca="1">IFERROR(__xludf.DUMMYFUNCTION("GOOGLETRANSLATE(A3654, ""en"", ""fr"")"),"Etrans # 2")</f>
        <v>Etrans # 2</v>
      </c>
      <c r="C3654" s="1" t="s">
        <v>196</v>
      </c>
      <c r="FH3654" s="1" t="s">
        <v>160</v>
      </c>
      <c r="FI3654" s="1" t="s">
        <v>161</v>
      </c>
      <c r="GD3654" s="1" t="s">
        <v>236</v>
      </c>
    </row>
    <row r="3655" spans="1:187" ht="11.25" customHeight="1">
      <c r="A3655" s="1" t="s">
        <v>5145</v>
      </c>
      <c r="B3655" s="1" t="str">
        <f ca="1">IFERROR(__xludf.DUMMYFUNCTION("GOOGLETRANSLATE(A3655, ""en"", ""fr"")"),"Etrans # 3")</f>
        <v>Etrans # 3</v>
      </c>
      <c r="C3655" s="1" t="s">
        <v>196</v>
      </c>
      <c r="EC3655" s="1" t="s">
        <v>129</v>
      </c>
      <c r="ED3655" s="1" t="s">
        <v>130</v>
      </c>
      <c r="GD3655" s="1" t="s">
        <v>189</v>
      </c>
    </row>
    <row r="3656" spans="1:187" ht="11.25" customHeight="1">
      <c r="A3656" s="1" t="s">
        <v>5146</v>
      </c>
      <c r="B3656" s="1" t="str">
        <f ca="1">IFERROR(__xludf.DUMMYFUNCTION("GOOGLETRANSLATE(A3656, ""en"", ""fr"")"),"Etrans # 4")</f>
        <v>Etrans # 4</v>
      </c>
      <c r="C3656" s="1" t="s">
        <v>196</v>
      </c>
      <c r="FL3656" s="1" t="s">
        <v>164</v>
      </c>
      <c r="FM3656" s="1" t="s">
        <v>418</v>
      </c>
      <c r="GD3656" s="1" t="s">
        <v>202</v>
      </c>
    </row>
    <row r="3657" spans="1:187" ht="11.25" customHeight="1">
      <c r="A3657" s="1" t="s">
        <v>5147</v>
      </c>
      <c r="B3657" s="1" t="str">
        <f ca="1">IFERROR(__xludf.DUMMYFUNCTION("GOOGLETRANSLATE(A3657, ""en"", ""fr"")"),"Euratom")</f>
        <v>Euratom</v>
      </c>
      <c r="C3657" s="1" t="s">
        <v>196</v>
      </c>
      <c r="GD3657" s="1" t="s">
        <v>2981</v>
      </c>
    </row>
    <row r="3658" spans="1:187" ht="11.25" customHeight="1">
      <c r="A3658" s="1" t="s">
        <v>5148</v>
      </c>
      <c r="B3658" s="1" t="str">
        <f ca="1">IFERROR(__xludf.DUMMYFUNCTION("GOOGLETRANSLATE(A3658, ""en"", ""fr"")"),"L'EUROPE ")</f>
        <v>L'EUROPE </v>
      </c>
      <c r="C3658" s="1" t="s">
        <v>185</v>
      </c>
      <c r="AC3658" s="1" t="s">
        <v>25</v>
      </c>
      <c r="AH3658" s="1" t="s">
        <v>30</v>
      </c>
      <c r="DI3658" s="1" t="s">
        <v>109</v>
      </c>
      <c r="DV3658" s="1" t="s">
        <v>122</v>
      </c>
      <c r="ED3658" s="1" t="s">
        <v>130</v>
      </c>
      <c r="GD3658" s="1" t="s">
        <v>193</v>
      </c>
      <c r="GE3658" s="1" t="s">
        <v>190</v>
      </c>
    </row>
    <row r="3659" spans="1:187" ht="11.25" customHeight="1">
      <c r="A3659" s="1" t="s">
        <v>5149</v>
      </c>
      <c r="B3659" s="1" t="str">
        <f ca="1">IFERROR(__xludf.DUMMYFUNCTION("GOOGLETRANSLATE(A3659, ""en"", ""fr"")"),"EUROPÉEN")</f>
        <v>EUROPÉEN</v>
      </c>
      <c r="C3659" s="1" t="s">
        <v>185</v>
      </c>
      <c r="AC3659" s="1" t="s">
        <v>25</v>
      </c>
      <c r="AH3659" s="1" t="s">
        <v>30</v>
      </c>
      <c r="DI3659" s="1" t="s">
        <v>109</v>
      </c>
      <c r="EC3659" s="1" t="s">
        <v>129</v>
      </c>
      <c r="ED3659" s="1" t="s">
        <v>130</v>
      </c>
      <c r="GD3659" s="1" t="s">
        <v>193</v>
      </c>
      <c r="GE3659" s="1" t="s">
        <v>190</v>
      </c>
    </row>
    <row r="3660" spans="1:187" ht="11.25" customHeight="1">
      <c r="A3660" s="1" t="s">
        <v>5150</v>
      </c>
      <c r="B3660" s="1" t="str">
        <f ca="1">IFERROR(__xludf.DUMMYFUNCTION("GOOGLETRANSLATE(A3660, ""en"", ""fr"")"),"ÉVACUER")</f>
        <v>ÉVACUER</v>
      </c>
      <c r="C3660" s="1" t="s">
        <v>196</v>
      </c>
      <c r="FP3660" s="1" t="s">
        <v>168</v>
      </c>
      <c r="GD3660" s="1" t="s">
        <v>189</v>
      </c>
    </row>
    <row r="3661" spans="1:187" ht="11.25" customHeight="1">
      <c r="A3661" s="1" t="s">
        <v>5151</v>
      </c>
      <c r="B3661" s="1" t="str">
        <f ca="1">IFERROR(__xludf.DUMMYFUNCTION("GOOGLETRANSLATE(A3661, ""en"", ""fr"")"),"ÉVACUATION")</f>
        <v>ÉVACUATION</v>
      </c>
      <c r="C3661" s="1" t="s">
        <v>196</v>
      </c>
      <c r="FP3661" s="1" t="s">
        <v>168</v>
      </c>
      <c r="GD3661" s="1" t="s">
        <v>193</v>
      </c>
    </row>
    <row r="3662" spans="1:187" ht="11.25" customHeight="1">
      <c r="A3662" s="1" t="s">
        <v>5152</v>
      </c>
      <c r="B3662" s="1" t="str">
        <f ca="1">IFERROR(__xludf.DUMMYFUNCTION("GOOGLETRANSLATE(A3662, ""en"", ""fr"")"),"ÉLUDER")</f>
        <v>ÉLUDER</v>
      </c>
      <c r="C3662" s="1" t="s">
        <v>185</v>
      </c>
      <c r="E3662" s="1" t="s">
        <v>16613</v>
      </c>
      <c r="N3662" s="1" t="s">
        <v>10</v>
      </c>
      <c r="DN3662" s="1" t="s">
        <v>114</v>
      </c>
      <c r="FZ3662" s="1" t="s">
        <v>178</v>
      </c>
      <c r="GD3662" s="1" t="s">
        <v>189</v>
      </c>
      <c r="GE3662" s="1" t="s">
        <v>190</v>
      </c>
    </row>
    <row r="3663" spans="1:187" ht="11.25" customHeight="1">
      <c r="A3663" s="1" t="s">
        <v>5153</v>
      </c>
      <c r="B3663" s="1" t="str">
        <f ca="1">IFERROR(__xludf.DUMMYFUNCTION("GOOGLETRANSLATE(A3663, ""en"", ""fr"")"),"ÉVALUER")</f>
        <v>ÉVALUER</v>
      </c>
      <c r="C3663" s="1" t="s">
        <v>185</v>
      </c>
      <c r="N3663" s="1" t="s">
        <v>10</v>
      </c>
      <c r="CO3663" s="1" t="s">
        <v>89</v>
      </c>
      <c r="DN3663" s="1" t="s">
        <v>114</v>
      </c>
      <c r="FD3663" s="1" t="s">
        <v>156</v>
      </c>
      <c r="FI3663" s="1" t="s">
        <v>161</v>
      </c>
      <c r="GD3663" s="1" t="s">
        <v>189</v>
      </c>
      <c r="GE3663" s="1" t="s">
        <v>190</v>
      </c>
    </row>
    <row r="3664" spans="1:187" ht="11.25" customHeight="1">
      <c r="A3664" s="1" t="s">
        <v>5154</v>
      </c>
      <c r="B3664" s="1" t="str">
        <f ca="1">IFERROR(__xludf.DUMMYFUNCTION("GOOGLETRANSLATE(A3664, ""en"", ""fr"")"),"ÉVALUATION")</f>
        <v>ÉVALUATION</v>
      </c>
      <c r="C3664" s="1" t="s">
        <v>185</v>
      </c>
      <c r="N3664" s="1" t="s">
        <v>10</v>
      </c>
      <c r="U3664" s="1" t="s">
        <v>17</v>
      </c>
      <c r="CP3664" s="1" t="s">
        <v>90</v>
      </c>
      <c r="CQ3664" s="1" t="s">
        <v>91</v>
      </c>
      <c r="FD3664" s="1" t="s">
        <v>156</v>
      </c>
      <c r="FI3664" s="1" t="s">
        <v>161</v>
      </c>
      <c r="GD3664" s="1" t="s">
        <v>193</v>
      </c>
      <c r="GE3664" s="1" t="s">
        <v>190</v>
      </c>
    </row>
    <row r="3665" spans="1:187" ht="11.25" customHeight="1">
      <c r="A3665" s="1" t="s">
        <v>5155</v>
      </c>
      <c r="B3665" s="1" t="str">
        <f ca="1">IFERROR(__xludf.DUMMYFUNCTION("GOOGLETRANSLATE(A3665, ""en"", ""fr"")"),"ÉVANGÉLISME")</f>
        <v>ÉVANGÉLISME</v>
      </c>
      <c r="C3665" s="1" t="s">
        <v>185</v>
      </c>
      <c r="Z3665" s="1" t="s">
        <v>22</v>
      </c>
      <c r="AI3665" s="1" t="s">
        <v>31</v>
      </c>
      <c r="EF3665" s="1" t="s">
        <v>132</v>
      </c>
      <c r="EJ3665" s="1" t="s">
        <v>136</v>
      </c>
      <c r="GD3665" s="1" t="s">
        <v>193</v>
      </c>
      <c r="GE3665" s="1" t="s">
        <v>190</v>
      </c>
    </row>
    <row r="3666" spans="1:187" ht="11.25" customHeight="1">
      <c r="A3666" s="1" t="s">
        <v>5156</v>
      </c>
      <c r="B3666" s="1" t="str">
        <f ca="1">IFERROR(__xludf.DUMMYFUNCTION("GOOGLETRANSLATE(A3666, ""en"", ""fr"")"),"ÉVASION")</f>
        <v>ÉVASION</v>
      </c>
      <c r="C3666" s="1" t="s">
        <v>192</v>
      </c>
      <c r="E3666" s="1" t="s">
        <v>16613</v>
      </c>
      <c r="GD3666" s="1" t="s">
        <v>193</v>
      </c>
      <c r="GE3666" s="1" t="s">
        <v>190</v>
      </c>
    </row>
    <row r="3667" spans="1:187" ht="11.25" customHeight="1">
      <c r="A3667" s="1" t="s">
        <v>5157</v>
      </c>
      <c r="B3667" s="1" t="str">
        <f ca="1">IFERROR(__xludf.DUMMYFUNCTION("GOOGLETRANSLATE(A3667, ""en"", ""fr"")"),"Même n ° 1")</f>
        <v>Même n ° 1</v>
      </c>
      <c r="C3667" s="1" t="s">
        <v>185</v>
      </c>
      <c r="W3667" s="1" t="s">
        <v>19</v>
      </c>
      <c r="GD3667" s="1" t="s">
        <v>236</v>
      </c>
      <c r="GE3667" s="1" t="s">
        <v>5158</v>
      </c>
    </row>
    <row r="3668" spans="1:187" ht="11.25" customHeight="1">
      <c r="A3668" s="1" t="s">
        <v>5159</v>
      </c>
      <c r="B3668" s="1" t="str">
        <f ca="1">IFERROR(__xludf.DUMMYFUNCTION("GOOGLETRANSLATE(A3668, ""en"", ""fr"")"),"Même # 2")</f>
        <v>Même # 2</v>
      </c>
      <c r="C3668" s="1" t="s">
        <v>185</v>
      </c>
      <c r="W3668" s="1" t="s">
        <v>19</v>
      </c>
      <c r="CR3668" s="1" t="s">
        <v>92</v>
      </c>
      <c r="FY3668" s="1" t="s">
        <v>177</v>
      </c>
      <c r="GD3668" s="1" t="s">
        <v>1357</v>
      </c>
      <c r="GE3668" s="1" t="s">
        <v>5160</v>
      </c>
    </row>
    <row r="3669" spans="1:187" ht="11.25" customHeight="1">
      <c r="A3669" s="1" t="s">
        <v>5161</v>
      </c>
      <c r="B3669" s="1" t="str">
        <f ca="1">IFERROR(__xludf.DUMMYFUNCTION("GOOGLETRANSLATE(A3669, ""en"", ""fr"")"),"Même # 3")</f>
        <v>Même # 3</v>
      </c>
      <c r="C3669" s="1" t="s">
        <v>185</v>
      </c>
      <c r="E3669" s="1" t="s">
        <v>16613</v>
      </c>
      <c r="H3669" s="1" t="s">
        <v>4</v>
      </c>
      <c r="I3669" s="1" t="s">
        <v>5</v>
      </c>
      <c r="AN3669" s="1" t="s">
        <v>36</v>
      </c>
      <c r="DN3669" s="1" t="s">
        <v>114</v>
      </c>
      <c r="EG3669" s="1" t="s">
        <v>133</v>
      </c>
      <c r="EJ3669" s="1" t="s">
        <v>136</v>
      </c>
      <c r="GD3669" s="1" t="s">
        <v>189</v>
      </c>
      <c r="GE3669" s="1" t="s">
        <v>5162</v>
      </c>
    </row>
    <row r="3670" spans="1:187" ht="11.25" customHeight="1">
      <c r="A3670" s="1" t="s">
        <v>5163</v>
      </c>
      <c r="B3670" s="1" t="str">
        <f ca="1">IFERROR(__xludf.DUMMYFUNCTION("GOOGLETRANSLATE(A3670, ""en"", ""fr"")"),"Même # 4")</f>
        <v>Même # 4</v>
      </c>
      <c r="C3670" s="1" t="s">
        <v>185</v>
      </c>
      <c r="D3670" s="1" t="s">
        <v>16612</v>
      </c>
      <c r="F3670" s="1" t="s">
        <v>2</v>
      </c>
      <c r="CR3670" s="1" t="s">
        <v>92</v>
      </c>
      <c r="GD3670" s="1" t="s">
        <v>236</v>
      </c>
      <c r="GE3670" s="1" t="s">
        <v>5164</v>
      </c>
    </row>
    <row r="3671" spans="1:187" ht="11.25" customHeight="1">
      <c r="A3671" s="1" t="s">
        <v>5165</v>
      </c>
      <c r="B3671" s="1" t="str">
        <f ca="1">IFERROR(__xludf.DUMMYFUNCTION("GOOGLETRANSLATE(A3671, ""en"", ""fr"")"),"Même # 5")</f>
        <v>Même # 5</v>
      </c>
      <c r="C3671" s="1" t="s">
        <v>185</v>
      </c>
      <c r="D3671" s="1" t="s">
        <v>16612</v>
      </c>
      <c r="F3671" s="1" t="s">
        <v>2</v>
      </c>
      <c r="CR3671" s="1" t="s">
        <v>92</v>
      </c>
      <c r="GD3671" s="1" t="s">
        <v>202</v>
      </c>
      <c r="GE3671" s="1" t="s">
        <v>5166</v>
      </c>
    </row>
    <row r="3672" spans="1:187" ht="11.25" customHeight="1">
      <c r="A3672" s="1" t="s">
        <v>5167</v>
      </c>
      <c r="B3672" s="1" t="str">
        <f ca="1">IFERROR(__xludf.DUMMYFUNCTION("GOOGLETRANSLATE(A3672, ""en"", ""fr"")"),"SOIRÉE")</f>
        <v>SOIRÉE</v>
      </c>
      <c r="C3672" s="1" t="s">
        <v>185</v>
      </c>
      <c r="CQ3672" s="1" t="s">
        <v>91</v>
      </c>
      <c r="CY3672" s="1" t="s">
        <v>99</v>
      </c>
      <c r="CZ3672" s="1" t="s">
        <v>100</v>
      </c>
      <c r="GB3672" s="1" t="s">
        <v>180</v>
      </c>
      <c r="GD3672" s="1" t="s">
        <v>193</v>
      </c>
      <c r="GE3672" s="1" t="s">
        <v>5168</v>
      </c>
    </row>
    <row r="3673" spans="1:187" ht="11.25" customHeight="1">
      <c r="A3673" s="1" t="s">
        <v>5169</v>
      </c>
      <c r="B3673" s="1" t="str">
        <f ca="1">IFERROR(__xludf.DUMMYFUNCTION("GOOGLETRANSLATE(A3673, ""en"", ""fr"")"),"Événement n ° 1")</f>
        <v>Événement n ° 1</v>
      </c>
      <c r="C3673" s="1" t="s">
        <v>185</v>
      </c>
      <c r="BW3673" s="1" t="s">
        <v>71</v>
      </c>
      <c r="GD3673" s="1" t="s">
        <v>849</v>
      </c>
      <c r="GE3673" s="1" t="s">
        <v>5170</v>
      </c>
    </row>
    <row r="3674" spans="1:187" ht="11.25" customHeight="1">
      <c r="A3674" s="1" t="s">
        <v>5171</v>
      </c>
      <c r="B3674" s="1" t="str">
        <f ca="1">IFERROR(__xludf.DUMMYFUNCTION("GOOGLETRANSLATE(A3674, ""en"", ""fr"")"),"Événement n ° 2")</f>
        <v>Événement n ° 2</v>
      </c>
      <c r="C3674" s="1" t="s">
        <v>185</v>
      </c>
      <c r="X3674" s="1" t="s">
        <v>20</v>
      </c>
      <c r="GD3674" s="1" t="s">
        <v>236</v>
      </c>
      <c r="GE3674" s="1" t="s">
        <v>5172</v>
      </c>
    </row>
    <row r="3675" spans="1:187" ht="11.25" customHeight="1">
      <c r="A3675" s="1" t="s">
        <v>5173</v>
      </c>
      <c r="B3675" s="1" t="str">
        <f ca="1">IFERROR(__xludf.DUMMYFUNCTION("GOOGLETRANSLATE(A3675, ""en"", ""fr"")"),"Événement n ° 3")</f>
        <v>Événement n ° 3</v>
      </c>
      <c r="C3675" s="1" t="s">
        <v>185</v>
      </c>
      <c r="CH3675" s="1" t="s">
        <v>82</v>
      </c>
      <c r="FZ3675" s="1" t="s">
        <v>178</v>
      </c>
      <c r="GD3675" s="1" t="s">
        <v>763</v>
      </c>
      <c r="GE3675" s="1" t="s">
        <v>5174</v>
      </c>
    </row>
    <row r="3676" spans="1:187" ht="11.25" customHeight="1">
      <c r="A3676" s="1" t="s">
        <v>5175</v>
      </c>
      <c r="B3676" s="1" t="str">
        <f ca="1">IFERROR(__xludf.DUMMYFUNCTION("GOOGLETRANSLATE(A3676, ""en"", ""fr"")"),"Éventuel")</f>
        <v>Éventuel</v>
      </c>
      <c r="C3676" s="1" t="s">
        <v>185</v>
      </c>
      <c r="W3676" s="1" t="s">
        <v>19</v>
      </c>
      <c r="CY3676" s="1" t="s">
        <v>99</v>
      </c>
      <c r="GD3676" s="1" t="s">
        <v>202</v>
      </c>
      <c r="GE3676" s="1" t="s">
        <v>5176</v>
      </c>
    </row>
    <row r="3677" spans="1:187" ht="11.25" customHeight="1">
      <c r="A3677" s="1" t="s">
        <v>5177</v>
      </c>
      <c r="B3677" s="1" t="str">
        <f ca="1">IFERROR(__xludf.DUMMYFUNCTION("GOOGLETRANSLATE(A3677, ""en"", ""fr"")"),"Jamais n ° 1")</f>
        <v>Jamais n ° 1</v>
      </c>
      <c r="C3677" s="1" t="s">
        <v>185</v>
      </c>
      <c r="W3677" s="1" t="s">
        <v>19</v>
      </c>
      <c r="CY3677" s="1" t="s">
        <v>99</v>
      </c>
      <c r="GD3677" s="1" t="s">
        <v>236</v>
      </c>
      <c r="GE3677" s="1" t="s">
        <v>5178</v>
      </c>
    </row>
    <row r="3678" spans="1:187" ht="11.25" customHeight="1">
      <c r="A3678" s="1" t="s">
        <v>5179</v>
      </c>
      <c r="B3678" s="1" t="str">
        <f ca="1">IFERROR(__xludf.DUMMYFUNCTION("GOOGLETRANSLATE(A3678, ""en"", ""fr"")"),"Ever # 2")</f>
        <v>Ever # 2</v>
      </c>
      <c r="C3678" s="1" t="s">
        <v>185</v>
      </c>
      <c r="W3678" s="1" t="s">
        <v>19</v>
      </c>
      <c r="BR3678" s="1" t="s">
        <v>66</v>
      </c>
      <c r="GB3678" s="1" t="s">
        <v>180</v>
      </c>
      <c r="GD3678" s="1" t="s">
        <v>236</v>
      </c>
      <c r="GE3678" s="1" t="s">
        <v>5180</v>
      </c>
    </row>
    <row r="3679" spans="1:187" ht="11.25" customHeight="1">
      <c r="A3679" s="1" t="s">
        <v>5181</v>
      </c>
      <c r="B3679" s="1" t="str">
        <f ca="1">IFERROR(__xludf.DUMMYFUNCTION("GOOGLETRANSLATE(A3679, ""en"", ""fr"")"),"Jamais # 3")</f>
        <v>Jamais # 3</v>
      </c>
      <c r="C3679" s="1" t="s">
        <v>185</v>
      </c>
      <c r="J3679" s="1" t="s">
        <v>6</v>
      </c>
      <c r="W3679" s="1" t="s">
        <v>19</v>
      </c>
      <c r="CS3679" s="1" t="s">
        <v>93</v>
      </c>
      <c r="GD3679" s="1" t="s">
        <v>236</v>
      </c>
      <c r="GE3679" s="1" t="s">
        <v>5182</v>
      </c>
    </row>
    <row r="3680" spans="1:187" ht="11.25" customHeight="1">
      <c r="A3680" s="1" t="s">
        <v>5183</v>
      </c>
      <c r="B3680" s="1" t="str">
        <f ca="1">IFERROR(__xludf.DUMMYFUNCTION("GOOGLETRANSLATE(A3680, ""en"", ""fr"")"),"ÉTERNEL")</f>
        <v>ÉTERNEL</v>
      </c>
      <c r="C3680" s="1" t="s">
        <v>192</v>
      </c>
      <c r="D3680" s="1" t="s">
        <v>16612</v>
      </c>
      <c r="J3680" s="1" t="s">
        <v>6</v>
      </c>
      <c r="CA3680" s="1" t="s">
        <v>75</v>
      </c>
      <c r="CW3680" s="1" t="s">
        <v>97</v>
      </c>
      <c r="DR3680" s="1" t="s">
        <v>118</v>
      </c>
      <c r="GD3680" s="1" t="s">
        <v>202</v>
      </c>
      <c r="GE3680" s="1" t="s">
        <v>190</v>
      </c>
    </row>
    <row r="3681" spans="1:187" ht="11.25" customHeight="1">
      <c r="A3681" s="1" t="s">
        <v>5184</v>
      </c>
      <c r="B3681" s="1" t="str">
        <f ca="1">IFERROR(__xludf.DUMMYFUNCTION("GOOGLETRANSLATE(A3681, ""en"", ""fr"")"),"CHAQUE")</f>
        <v>CHAQUE</v>
      </c>
      <c r="C3681" s="1" t="s">
        <v>185</v>
      </c>
      <c r="J3681" s="1" t="s">
        <v>6</v>
      </c>
      <c r="W3681" s="1" t="s">
        <v>19</v>
      </c>
      <c r="CS3681" s="1" t="s">
        <v>93</v>
      </c>
      <c r="GD3681" s="1" t="s">
        <v>2464</v>
      </c>
      <c r="GE3681" s="1" t="s">
        <v>5185</v>
      </c>
    </row>
    <row r="3682" spans="1:187" ht="11.25" customHeight="1">
      <c r="A3682" s="1" t="s">
        <v>5186</v>
      </c>
      <c r="B3682" s="1" t="str">
        <f ca="1">IFERROR(__xludf.DUMMYFUNCTION("GOOGLETRANSLATE(A3682, ""en"", ""fr"")"),"TOUT LE MONDE")</f>
        <v>TOUT LE MONDE</v>
      </c>
      <c r="C3682" s="1" t="s">
        <v>185</v>
      </c>
      <c r="W3682" s="1" t="s">
        <v>19</v>
      </c>
      <c r="GD3682" s="1" t="s">
        <v>929</v>
      </c>
      <c r="GE3682" s="1" t="s">
        <v>5187</v>
      </c>
    </row>
    <row r="3683" spans="1:187" ht="11.25" customHeight="1">
      <c r="A3683" s="1" t="s">
        <v>5188</v>
      </c>
      <c r="B3683" s="1" t="str">
        <f ca="1">IFERROR(__xludf.DUMMYFUNCTION("GOOGLETRANSLATE(A3683, ""en"", ""fr"")"),"TOUS LES JOURS")</f>
        <v>TOUS LES JOURS</v>
      </c>
      <c r="C3683" s="1" t="s">
        <v>185</v>
      </c>
      <c r="X3683" s="1" t="s">
        <v>20</v>
      </c>
      <c r="CY3683" s="1" t="s">
        <v>99</v>
      </c>
      <c r="GD3683" s="1" t="s">
        <v>202</v>
      </c>
      <c r="GE3683" s="1" t="s">
        <v>5189</v>
      </c>
    </row>
    <row r="3684" spans="1:187" ht="11.25" customHeight="1">
      <c r="A3684" s="1" t="s">
        <v>5190</v>
      </c>
      <c r="B3684" s="1" t="str">
        <f ca="1">IFERROR(__xludf.DUMMYFUNCTION("GOOGLETRANSLATE(A3684, ""en"", ""fr"")"),"TOUT LE MONDE")</f>
        <v>TOUT LE MONDE</v>
      </c>
      <c r="C3684" s="1" t="s">
        <v>185</v>
      </c>
      <c r="W3684" s="1" t="s">
        <v>19</v>
      </c>
      <c r="GD3684" s="1" t="s">
        <v>929</v>
      </c>
      <c r="GE3684" s="1" t="s">
        <v>5187</v>
      </c>
    </row>
    <row r="3685" spans="1:187" ht="11.25" customHeight="1">
      <c r="A3685" s="1" t="s">
        <v>5191</v>
      </c>
      <c r="B3685" s="1" t="str">
        <f ca="1">IFERROR(__xludf.DUMMYFUNCTION("GOOGLETRANSLATE(A3685, ""en"", ""fr"")"),"TOUT")</f>
        <v>TOUT</v>
      </c>
      <c r="C3685" s="1" t="s">
        <v>185</v>
      </c>
      <c r="W3685" s="1" t="s">
        <v>19</v>
      </c>
      <c r="GD3685" s="1" t="s">
        <v>884</v>
      </c>
      <c r="GE3685" s="1" t="s">
        <v>5192</v>
      </c>
    </row>
    <row r="3686" spans="1:187" ht="11.25" customHeight="1">
      <c r="A3686" s="1" t="s">
        <v>5193</v>
      </c>
      <c r="B3686" s="1" t="str">
        <f ca="1">IFERROR(__xludf.DUMMYFUNCTION("GOOGLETRANSLATE(A3686, ""en"", ""fr"")"),"PARTOUT")</f>
        <v>PARTOUT</v>
      </c>
      <c r="C3686" s="1" t="s">
        <v>185</v>
      </c>
      <c r="W3686" s="1" t="s">
        <v>19</v>
      </c>
      <c r="DA3686" s="1" t="s">
        <v>101</v>
      </c>
      <c r="GB3686" s="1" t="s">
        <v>180</v>
      </c>
      <c r="GD3686" s="1" t="s">
        <v>236</v>
      </c>
      <c r="GE3686" s="1" t="s">
        <v>5194</v>
      </c>
    </row>
    <row r="3687" spans="1:187" ht="11.25" customHeight="1">
      <c r="A3687" s="1" t="s">
        <v>5195</v>
      </c>
      <c r="B3687" s="1" t="str">
        <f ca="1">IFERROR(__xludf.DUMMYFUNCTION("GOOGLETRANSLATE(A3687, ""en"", ""fr"")"),"EXPULSER")</f>
        <v>EXPULSER</v>
      </c>
      <c r="C3687" s="1" t="s">
        <v>192</v>
      </c>
      <c r="E3687" s="1" t="s">
        <v>16613</v>
      </c>
      <c r="K3687" s="1" t="s">
        <v>7</v>
      </c>
      <c r="AE3687" s="1" t="s">
        <v>27</v>
      </c>
      <c r="CC3687" s="1" t="s">
        <v>77</v>
      </c>
      <c r="DN3687" s="1" t="s">
        <v>114</v>
      </c>
      <c r="GD3687" s="1" t="s">
        <v>189</v>
      </c>
      <c r="GE3687" s="1" t="s">
        <v>190</v>
      </c>
    </row>
    <row r="3688" spans="1:187" ht="11.25" customHeight="1">
      <c r="A3688" s="1" t="s">
        <v>5196</v>
      </c>
      <c r="B3688" s="1" t="str">
        <f ca="1">IFERROR(__xludf.DUMMYFUNCTION("GOOGLETRANSLATE(A3688, ""en"", ""fr"")"),"Preuve n ° 1")</f>
        <v>Preuve n ° 1</v>
      </c>
      <c r="C3688" s="1" t="s">
        <v>185</v>
      </c>
      <c r="J3688" s="1" t="s">
        <v>6</v>
      </c>
      <c r="AE3688" s="1" t="s">
        <v>27</v>
      </c>
      <c r="BQ3688" s="1" t="s">
        <v>65</v>
      </c>
      <c r="FH3688" s="1" t="s">
        <v>160</v>
      </c>
      <c r="FI3688" s="1" t="s">
        <v>161</v>
      </c>
      <c r="GD3688" s="1" t="s">
        <v>193</v>
      </c>
      <c r="GE3688" s="1" t="s">
        <v>5197</v>
      </c>
    </row>
    <row r="3689" spans="1:187" ht="11.25" customHeight="1">
      <c r="A3689" s="1" t="s">
        <v>5198</v>
      </c>
      <c r="B3689" s="1" t="str">
        <f ca="1">IFERROR(__xludf.DUMMYFUNCTION("GOOGLETRANSLATE(A3689, ""en"", ""fr"")"),"Preuve n ° 2")</f>
        <v>Preuve n ° 2</v>
      </c>
      <c r="C3689" s="1" t="s">
        <v>185</v>
      </c>
      <c r="J3689" s="1" t="s">
        <v>6</v>
      </c>
      <c r="N3689" s="1" t="s">
        <v>10</v>
      </c>
      <c r="AE3689" s="1" t="s">
        <v>27</v>
      </c>
      <c r="BK3689" s="1" t="s">
        <v>59</v>
      </c>
      <c r="DN3689" s="1" t="s">
        <v>114</v>
      </c>
      <c r="FD3689" s="1" t="s">
        <v>156</v>
      </c>
      <c r="FI3689" s="1" t="s">
        <v>161</v>
      </c>
      <c r="GD3689" s="1" t="s">
        <v>189</v>
      </c>
      <c r="GE3689" s="1" t="s">
        <v>5199</v>
      </c>
    </row>
    <row r="3690" spans="1:187" ht="11.25" customHeight="1">
      <c r="A3690" s="1" t="s">
        <v>5200</v>
      </c>
      <c r="B3690" s="1" t="str">
        <f ca="1">IFERROR(__xludf.DUMMYFUNCTION("GOOGLETRANSLATE(A3690, ""en"", ""fr"")"),"ÉVIDENT")</f>
        <v>ÉVIDENT</v>
      </c>
      <c r="C3690" s="1" t="s">
        <v>185</v>
      </c>
      <c r="O3690" s="1" t="s">
        <v>11</v>
      </c>
      <c r="W3690" s="1" t="s">
        <v>19</v>
      </c>
      <c r="CK3690" s="1" t="s">
        <v>85</v>
      </c>
      <c r="FY3690" s="1" t="s">
        <v>177</v>
      </c>
      <c r="GD3690" s="1" t="s">
        <v>202</v>
      </c>
      <c r="GE3690" s="1" t="s">
        <v>190</v>
      </c>
    </row>
    <row r="3691" spans="1:187" ht="11.25" customHeight="1">
      <c r="A3691" s="1" t="s">
        <v>5201</v>
      </c>
      <c r="B3691" s="1" t="str">
        <f ca="1">IFERROR(__xludf.DUMMYFUNCTION("GOOGLETRANSLATE(A3691, ""en"", ""fr"")"),"ÉVIDEMMENT")</f>
        <v>ÉVIDEMMENT</v>
      </c>
      <c r="C3691" s="1" t="s">
        <v>185</v>
      </c>
      <c r="O3691" s="1" t="s">
        <v>11</v>
      </c>
      <c r="X3691" s="1" t="s">
        <v>20</v>
      </c>
      <c r="CK3691" s="1" t="s">
        <v>85</v>
      </c>
      <c r="FQ3691" s="1" t="s">
        <v>169</v>
      </c>
      <c r="GD3691" s="1" t="s">
        <v>202</v>
      </c>
      <c r="GE3691" s="1" t="s">
        <v>190</v>
      </c>
    </row>
    <row r="3692" spans="1:187" ht="11.25" customHeight="1">
      <c r="A3692" s="1" t="s">
        <v>5202</v>
      </c>
      <c r="B3692" s="1" t="str">
        <f ca="1">IFERROR(__xludf.DUMMYFUNCTION("GOOGLETRANSLATE(A3692, ""en"", ""fr"")"),"Mal # 1")</f>
        <v>Mal # 1</v>
      </c>
      <c r="C3692" s="1" t="s">
        <v>185</v>
      </c>
      <c r="E3692" s="1" t="s">
        <v>16613</v>
      </c>
      <c r="H3692" s="1" t="s">
        <v>4</v>
      </c>
      <c r="V3692" s="1" t="s">
        <v>18</v>
      </c>
      <c r="EF3692" s="1" t="s">
        <v>132</v>
      </c>
      <c r="EJ3692" s="1" t="s">
        <v>136</v>
      </c>
      <c r="GD3692" s="1" t="s">
        <v>193</v>
      </c>
      <c r="GE3692" s="1" t="s">
        <v>5203</v>
      </c>
    </row>
    <row r="3693" spans="1:187" ht="11.25" customHeight="1">
      <c r="A3693" s="1" t="s">
        <v>5204</v>
      </c>
      <c r="B3693" s="1" t="str">
        <f ca="1">IFERROR(__xludf.DUMMYFUNCTION("GOOGLETRANSLATE(A3693, ""en"", ""fr"")"),"Evil # 2")</f>
        <v>Evil # 2</v>
      </c>
      <c r="C3693" s="1" t="s">
        <v>185</v>
      </c>
      <c r="E3693" s="1" t="s">
        <v>16613</v>
      </c>
      <c r="H3693" s="1" t="s">
        <v>4</v>
      </c>
      <c r="V3693" s="1" t="s">
        <v>18</v>
      </c>
      <c r="CN3693" s="1" t="s">
        <v>88</v>
      </c>
      <c r="EF3693" s="1" t="s">
        <v>132</v>
      </c>
      <c r="EJ3693" s="1" t="s">
        <v>136</v>
      </c>
      <c r="GD3693" s="1" t="s">
        <v>202</v>
      </c>
      <c r="GE3693" s="1" t="s">
        <v>5205</v>
      </c>
    </row>
    <row r="3694" spans="1:187" ht="11.25" customHeight="1">
      <c r="A3694" s="1" t="s">
        <v>5206</v>
      </c>
      <c r="B3694" s="1" t="str">
        <f ca="1">IFERROR(__xludf.DUMMYFUNCTION("GOOGLETRANSLATE(A3694, ""en"", ""fr"")"),"ÉVOQUER")</f>
        <v>ÉVOQUER</v>
      </c>
      <c r="C3694" s="1" t="s">
        <v>196</v>
      </c>
      <c r="GD3694" s="1" t="s">
        <v>189</v>
      </c>
    </row>
    <row r="3695" spans="1:187" ht="11.25" customHeight="1">
      <c r="A3695" s="1" t="s">
        <v>5207</v>
      </c>
      <c r="B3695" s="1" t="str">
        <f ca="1">IFERROR(__xludf.DUMMYFUNCTION("GOOGLETRANSLATE(A3695, ""en"", ""fr"")"),"ÉVOLUTION")</f>
        <v>ÉVOLUTION</v>
      </c>
      <c r="C3695" s="1" t="s">
        <v>185</v>
      </c>
      <c r="O3695" s="1" t="s">
        <v>11</v>
      </c>
      <c r="BW3695" s="1" t="s">
        <v>71</v>
      </c>
      <c r="GD3695" s="1" t="s">
        <v>193</v>
      </c>
      <c r="GE3695" s="1" t="s">
        <v>190</v>
      </c>
    </row>
    <row r="3696" spans="1:187" ht="11.25" customHeight="1">
      <c r="A3696" s="1" t="s">
        <v>5208</v>
      </c>
      <c r="B3696" s="1" t="str">
        <f ca="1">IFERROR(__xludf.DUMMYFUNCTION("GOOGLETRANSLATE(A3696, ""en"", ""fr"")"),"ÉVOLUTIONNISTE")</f>
        <v>ÉVOLUTIONNISTE</v>
      </c>
      <c r="C3696" s="1" t="s">
        <v>196</v>
      </c>
      <c r="GD3696" s="1" t="s">
        <v>202</v>
      </c>
    </row>
    <row r="3697" spans="1:187" ht="11.25" customHeight="1">
      <c r="A3697" s="1" t="s">
        <v>5209</v>
      </c>
      <c r="B3697" s="1" t="str">
        <f ca="1">IFERROR(__xludf.DUMMYFUNCTION("GOOGLETRANSLATE(A3697, ""en"", ""fr"")"),"ÉVOLUER")</f>
        <v>ÉVOLUER</v>
      </c>
      <c r="C3697" s="1" t="s">
        <v>185</v>
      </c>
      <c r="O3697" s="1" t="s">
        <v>11</v>
      </c>
      <c r="BW3697" s="1" t="s">
        <v>71</v>
      </c>
      <c r="DN3697" s="1" t="s">
        <v>114</v>
      </c>
      <c r="FR3697" s="1" t="s">
        <v>170</v>
      </c>
      <c r="GD3697" s="1" t="s">
        <v>189</v>
      </c>
      <c r="GE3697" s="1" t="s">
        <v>190</v>
      </c>
    </row>
    <row r="3698" spans="1:187" ht="11.25" customHeight="1">
      <c r="A3698" s="1" t="s">
        <v>5210</v>
      </c>
      <c r="B3698" s="1" t="str">
        <f ca="1">IFERROR(__xludf.DUMMYFUNCTION("GOOGLETRANSLATE(A3698, ""en"", ""fr"")"),"Exact n ° 1")</f>
        <v>Exact n ° 1</v>
      </c>
      <c r="C3698" s="1" t="s">
        <v>192</v>
      </c>
      <c r="D3698" s="1" t="s">
        <v>16612</v>
      </c>
      <c r="F3698" s="1" t="s">
        <v>2</v>
      </c>
      <c r="U3698" s="1" t="s">
        <v>17</v>
      </c>
      <c r="W3698" s="1" t="s">
        <v>19</v>
      </c>
      <c r="GD3698" s="1" t="s">
        <v>202</v>
      </c>
      <c r="GE3698" s="1" t="s">
        <v>5211</v>
      </c>
    </row>
    <row r="3699" spans="1:187" ht="11.25" customHeight="1">
      <c r="A3699" s="1" t="s">
        <v>5212</v>
      </c>
      <c r="B3699" s="1" t="str">
        <f ca="1">IFERROR(__xludf.DUMMYFUNCTION("GOOGLETRANSLATE(A3699, ""en"", ""fr"")"),"Exact # 2")</f>
        <v>Exact # 2</v>
      </c>
      <c r="C3699" s="1" t="s">
        <v>192</v>
      </c>
      <c r="D3699" s="1" t="s">
        <v>16612</v>
      </c>
      <c r="F3699" s="1" t="s">
        <v>2</v>
      </c>
      <c r="U3699" s="1" t="s">
        <v>17</v>
      </c>
      <c r="W3699" s="1" t="s">
        <v>19</v>
      </c>
      <c r="GD3699" s="1" t="s">
        <v>236</v>
      </c>
      <c r="GE3699" s="1" t="s">
        <v>5213</v>
      </c>
    </row>
    <row r="3700" spans="1:187" ht="11.25" customHeight="1">
      <c r="A3700" s="1" t="s">
        <v>5214</v>
      </c>
      <c r="B3700" s="1" t="str">
        <f ca="1">IFERROR(__xludf.DUMMYFUNCTION("GOOGLETRANSLATE(A3700, ""en"", ""fr"")"),"Exact # 3")</f>
        <v>Exact # 3</v>
      </c>
      <c r="C3700" s="1" t="s">
        <v>192</v>
      </c>
      <c r="J3700" s="1" t="s">
        <v>6</v>
      </c>
      <c r="K3700" s="1" t="s">
        <v>7</v>
      </c>
      <c r="N3700" s="1" t="s">
        <v>10</v>
      </c>
      <c r="AN3700" s="1" t="s">
        <v>36</v>
      </c>
      <c r="DN3700" s="1" t="s">
        <v>114</v>
      </c>
      <c r="GD3700" s="1" t="s">
        <v>189</v>
      </c>
      <c r="GE3700" s="1" t="s">
        <v>5215</v>
      </c>
    </row>
    <row r="3701" spans="1:187" ht="11.25" customHeight="1">
      <c r="A3701" s="1" t="s">
        <v>5216</v>
      </c>
      <c r="B3701" s="1" t="str">
        <f ca="1">IFERROR(__xludf.DUMMYFUNCTION("GOOGLETRANSLATE(A3701, ""en"", ""fr"")"),"Exact # 4")</f>
        <v>Exact # 4</v>
      </c>
      <c r="C3701" s="1" t="s">
        <v>192</v>
      </c>
      <c r="J3701" s="1" t="s">
        <v>6</v>
      </c>
      <c r="N3701" s="1" t="s">
        <v>10</v>
      </c>
      <c r="BQ3701" s="1" t="s">
        <v>65</v>
      </c>
      <c r="GD3701" s="1" t="s">
        <v>202</v>
      </c>
      <c r="GE3701" s="1" t="s">
        <v>5217</v>
      </c>
    </row>
    <row r="3702" spans="1:187" ht="11.25" customHeight="1">
      <c r="A3702" s="1" t="s">
        <v>5218</v>
      </c>
      <c r="B3702" s="1" t="str">
        <f ca="1">IFERROR(__xludf.DUMMYFUNCTION("GOOGLETRANSLATE(A3702, ""en"", ""fr"")"),"EXAGÉRER")</f>
        <v>EXAGÉRER</v>
      </c>
      <c r="C3702" s="1" t="s">
        <v>185</v>
      </c>
      <c r="W3702" s="1" t="s">
        <v>19</v>
      </c>
      <c r="BK3702" s="1" t="s">
        <v>59</v>
      </c>
      <c r="DN3702" s="1" t="s">
        <v>114</v>
      </c>
      <c r="FE3702" s="1" t="s">
        <v>157</v>
      </c>
      <c r="FI3702" s="1" t="s">
        <v>161</v>
      </c>
      <c r="GD3702" s="1" t="s">
        <v>189</v>
      </c>
      <c r="GE3702" s="1" t="s">
        <v>190</v>
      </c>
    </row>
    <row r="3703" spans="1:187" ht="11.25" customHeight="1">
      <c r="A3703" s="1" t="s">
        <v>5219</v>
      </c>
      <c r="B3703" s="1" t="str">
        <f ca="1">IFERROR(__xludf.DUMMYFUNCTION("GOOGLETRANSLATE(A3703, ""en"", ""fr"")"),"EXAGÉRATION")</f>
        <v>EXAGÉRATION</v>
      </c>
      <c r="C3703" s="1" t="s">
        <v>192</v>
      </c>
      <c r="E3703" s="1" t="s">
        <v>16613</v>
      </c>
      <c r="W3703" s="1" t="s">
        <v>19</v>
      </c>
      <c r="BK3703" s="1" t="s">
        <v>59</v>
      </c>
      <c r="CM3703" s="1" t="s">
        <v>87</v>
      </c>
      <c r="GD3703" s="1" t="s">
        <v>193</v>
      </c>
      <c r="GE3703" s="1" t="s">
        <v>190</v>
      </c>
    </row>
    <row r="3704" spans="1:187" ht="11.25" customHeight="1">
      <c r="A3704" s="1" t="s">
        <v>5220</v>
      </c>
      <c r="B3704" s="1" t="str">
        <f ca="1">IFERROR(__xludf.DUMMYFUNCTION("GOOGLETRANSLATE(A3704, ""en"", ""fr"")"),"EXALTER")</f>
        <v>EXALTER</v>
      </c>
      <c r="C3704" s="1" t="s">
        <v>192</v>
      </c>
      <c r="D3704" s="1" t="s">
        <v>16612</v>
      </c>
      <c r="M3704" s="1" t="s">
        <v>9</v>
      </c>
      <c r="O3704" s="1" t="s">
        <v>11</v>
      </c>
      <c r="AN3704" s="1" t="s">
        <v>36</v>
      </c>
      <c r="CM3704" s="1" t="s">
        <v>87</v>
      </c>
      <c r="DN3704" s="1" t="s">
        <v>114</v>
      </c>
      <c r="GD3704" s="1" t="s">
        <v>189</v>
      </c>
      <c r="GE3704" s="1" t="s">
        <v>190</v>
      </c>
    </row>
    <row r="3705" spans="1:187" ht="11.25" customHeight="1">
      <c r="A3705" s="1" t="s">
        <v>5221</v>
      </c>
      <c r="B3705" s="1" t="str">
        <f ca="1">IFERROR(__xludf.DUMMYFUNCTION("GOOGLETRANSLATE(A3705, ""en"", ""fr"")"),"EXAMEN")</f>
        <v>EXAMEN</v>
      </c>
      <c r="C3705" s="1" t="s">
        <v>185</v>
      </c>
      <c r="Y3705" s="1" t="s">
        <v>21</v>
      </c>
      <c r="BK3705" s="1" t="s">
        <v>59</v>
      </c>
      <c r="BL3705" s="1" t="s">
        <v>60</v>
      </c>
      <c r="FH3705" s="1" t="s">
        <v>160</v>
      </c>
      <c r="FI3705" s="1" t="s">
        <v>161</v>
      </c>
      <c r="GD3705" s="1" t="s">
        <v>193</v>
      </c>
      <c r="GE3705" s="1" t="s">
        <v>190</v>
      </c>
    </row>
    <row r="3706" spans="1:187" ht="11.25" customHeight="1">
      <c r="A3706" s="1" t="s">
        <v>5222</v>
      </c>
      <c r="B3706" s="1" t="str">
        <f ca="1">IFERROR(__xludf.DUMMYFUNCTION("GOOGLETRANSLATE(A3706, ""en"", ""fr"")"),"EXAMEN")</f>
        <v>EXAMEN</v>
      </c>
      <c r="C3706" s="1" t="s">
        <v>185</v>
      </c>
      <c r="N3706" s="1" t="s">
        <v>10</v>
      </c>
      <c r="Y3706" s="1" t="s">
        <v>21</v>
      </c>
      <c r="AM3706" s="1" t="s">
        <v>35</v>
      </c>
      <c r="FH3706" s="1" t="s">
        <v>160</v>
      </c>
      <c r="FI3706" s="1" t="s">
        <v>161</v>
      </c>
      <c r="GD3706" s="1" t="s">
        <v>193</v>
      </c>
      <c r="GE3706" s="1" t="s">
        <v>190</v>
      </c>
    </row>
    <row r="3707" spans="1:187" ht="11.25" customHeight="1">
      <c r="A3707" s="1" t="s">
        <v>5223</v>
      </c>
      <c r="B3707" s="1" t="str">
        <f ca="1">IFERROR(__xludf.DUMMYFUNCTION("GOOGLETRANSLATE(A3707, ""en"", ""fr"")"),"EXAMINER")</f>
        <v>EXAMINER</v>
      </c>
      <c r="C3707" s="1" t="s">
        <v>185</v>
      </c>
      <c r="K3707" s="1" t="s">
        <v>7</v>
      </c>
      <c r="N3707" s="1" t="s">
        <v>10</v>
      </c>
      <c r="Y3707" s="1" t="s">
        <v>21</v>
      </c>
      <c r="AN3707" s="1" t="s">
        <v>36</v>
      </c>
      <c r="DN3707" s="1" t="s">
        <v>114</v>
      </c>
      <c r="FF3707" s="1" t="s">
        <v>158</v>
      </c>
      <c r="FI3707" s="1" t="s">
        <v>161</v>
      </c>
      <c r="GD3707" s="1" t="s">
        <v>189</v>
      </c>
      <c r="GE3707" s="1" t="s">
        <v>5224</v>
      </c>
    </row>
    <row r="3708" spans="1:187" ht="11.25" customHeight="1">
      <c r="A3708" s="1" t="s">
        <v>5225</v>
      </c>
      <c r="B3708" s="1" t="str">
        <f ca="1">IFERROR(__xludf.DUMMYFUNCTION("GOOGLETRANSLATE(A3708, ""en"", ""fr"")"),"EXAMINATEUR")</f>
        <v>EXAMINATEUR</v>
      </c>
      <c r="C3708" s="1" t="s">
        <v>185</v>
      </c>
      <c r="K3708" s="1" t="s">
        <v>7</v>
      </c>
      <c r="Y3708" s="1" t="s">
        <v>21</v>
      </c>
      <c r="AJ3708" s="1" t="s">
        <v>32</v>
      </c>
      <c r="AT3708" s="1" t="s">
        <v>42</v>
      </c>
      <c r="DY3708" s="1" t="s">
        <v>125</v>
      </c>
      <c r="ED3708" s="1" t="s">
        <v>130</v>
      </c>
      <c r="GD3708" s="1" t="s">
        <v>193</v>
      </c>
      <c r="GE3708" s="1" t="s">
        <v>190</v>
      </c>
    </row>
    <row r="3709" spans="1:187" ht="11.25" customHeight="1">
      <c r="A3709" s="1" t="s">
        <v>5226</v>
      </c>
      <c r="B3709" s="1" t="str">
        <f ca="1">IFERROR(__xludf.DUMMYFUNCTION("GOOGLETRANSLATE(A3709, ""en"", ""fr"")"),"EXEMPLE")</f>
        <v>EXEMPLE</v>
      </c>
      <c r="C3709" s="1" t="s">
        <v>185</v>
      </c>
      <c r="CH3709" s="1" t="s">
        <v>82</v>
      </c>
      <c r="FH3709" s="1" t="s">
        <v>160</v>
      </c>
      <c r="FI3709" s="1" t="s">
        <v>161</v>
      </c>
      <c r="GD3709" s="1" t="s">
        <v>193</v>
      </c>
      <c r="GE3709" s="1" t="s">
        <v>5227</v>
      </c>
    </row>
    <row r="3710" spans="1:187" ht="11.25" customHeight="1">
      <c r="A3710" s="1" t="s">
        <v>5228</v>
      </c>
      <c r="B3710" s="1" t="str">
        <f ca="1">IFERROR(__xludf.DUMMYFUNCTION("GOOGLETRANSLATE(A3710, ""en"", ""fr"")"),"EXASPÉRER")</f>
        <v>EXASPÉRER</v>
      </c>
      <c r="C3710" s="1" t="s">
        <v>185</v>
      </c>
      <c r="E3710" s="1" t="s">
        <v>16613</v>
      </c>
      <c r="BY3710" s="1" t="s">
        <v>73</v>
      </c>
      <c r="DN3710" s="1" t="s">
        <v>114</v>
      </c>
      <c r="FA3710" s="1" t="s">
        <v>153</v>
      </c>
      <c r="FC3710" s="1" t="s">
        <v>155</v>
      </c>
      <c r="GD3710" s="1" t="s">
        <v>189</v>
      </c>
      <c r="GE3710" s="1" t="s">
        <v>190</v>
      </c>
    </row>
    <row r="3711" spans="1:187" ht="11.25" customHeight="1">
      <c r="A3711" s="1" t="s">
        <v>5229</v>
      </c>
      <c r="B3711" s="1" t="str">
        <f ca="1">IFERROR(__xludf.DUMMYFUNCTION("GOOGLETRANSLATE(A3711, ""en"", ""fr"")"),"EXASPÉRATION")</f>
        <v>EXASPÉRATION</v>
      </c>
      <c r="C3711" s="1" t="s">
        <v>192</v>
      </c>
      <c r="E3711" s="1" t="s">
        <v>16613</v>
      </c>
      <c r="Q3711" s="1" t="s">
        <v>13</v>
      </c>
      <c r="T3711" s="1" t="s">
        <v>16</v>
      </c>
      <c r="GD3711" s="1" t="s">
        <v>193</v>
      </c>
      <c r="GE3711" s="1" t="s">
        <v>190</v>
      </c>
    </row>
    <row r="3712" spans="1:187" ht="11.25" customHeight="1">
      <c r="A3712" s="1" t="s">
        <v>5230</v>
      </c>
      <c r="B3712" s="1" t="str">
        <f ca="1">IFERROR(__xludf.DUMMYFUNCTION("GOOGLETRANSLATE(A3712, ""en"", ""fr"")"),"DÉPASSER")</f>
        <v>DÉPASSER</v>
      </c>
      <c r="C3712" s="1" t="s">
        <v>185</v>
      </c>
      <c r="J3712" s="1" t="s">
        <v>6</v>
      </c>
      <c r="N3712" s="1" t="s">
        <v>10</v>
      </c>
      <c r="W3712" s="1" t="s">
        <v>19</v>
      </c>
      <c r="BX3712" s="1" t="s">
        <v>72</v>
      </c>
      <c r="DN3712" s="1" t="s">
        <v>114</v>
      </c>
      <c r="GD3712" s="1" t="s">
        <v>189</v>
      </c>
      <c r="GE3712" s="1" t="s">
        <v>190</v>
      </c>
    </row>
    <row r="3713" spans="1:187" ht="11.25" customHeight="1">
      <c r="A3713" s="1" t="s">
        <v>5231</v>
      </c>
      <c r="B3713" s="1" t="str">
        <f ca="1">IFERROR(__xludf.DUMMYFUNCTION("GOOGLETRANSLATE(A3713, ""en"", ""fr"")"),"EXCELLER")</f>
        <v>EXCELLER</v>
      </c>
      <c r="C3713" s="1" t="s">
        <v>192</v>
      </c>
      <c r="D3713" s="1" t="s">
        <v>16612</v>
      </c>
      <c r="J3713" s="1" t="s">
        <v>6</v>
      </c>
      <c r="N3713" s="1" t="s">
        <v>10</v>
      </c>
      <c r="BX3713" s="1" t="s">
        <v>72</v>
      </c>
      <c r="DN3713" s="1" t="s">
        <v>114</v>
      </c>
      <c r="GD3713" s="1" t="s">
        <v>189</v>
      </c>
      <c r="GE3713" s="1" t="s">
        <v>190</v>
      </c>
    </row>
    <row r="3714" spans="1:187" ht="11.25" customHeight="1">
      <c r="A3714" s="1" t="s">
        <v>5232</v>
      </c>
      <c r="B3714" s="1" t="str">
        <f ca="1">IFERROR(__xludf.DUMMYFUNCTION("GOOGLETRANSLATE(A3714, ""en"", ""fr"")"),"EXCELLENCE")</f>
        <v>EXCELLENCE</v>
      </c>
      <c r="C3714" s="1" t="s">
        <v>185</v>
      </c>
      <c r="D3714" s="1" t="s">
        <v>16612</v>
      </c>
      <c r="F3714" s="1" t="s">
        <v>2</v>
      </c>
      <c r="U3714" s="1" t="s">
        <v>17</v>
      </c>
      <c r="FR3714" s="1" t="s">
        <v>170</v>
      </c>
      <c r="GD3714" s="1" t="s">
        <v>193</v>
      </c>
      <c r="GE3714" s="1" t="s">
        <v>190</v>
      </c>
    </row>
    <row r="3715" spans="1:187" ht="11.25" customHeight="1">
      <c r="A3715" s="1" t="s">
        <v>5233</v>
      </c>
      <c r="B3715" s="1" t="str">
        <f ca="1">IFERROR(__xludf.DUMMYFUNCTION("GOOGLETRANSLATE(A3715, ""en"", ""fr"")"),"EXCELLENT")</f>
        <v>EXCELLENT</v>
      </c>
      <c r="C3715" s="1" t="s">
        <v>185</v>
      </c>
      <c r="D3715" s="1" t="s">
        <v>16612</v>
      </c>
      <c r="F3715" s="1" t="s">
        <v>2</v>
      </c>
      <c r="U3715" s="1" t="s">
        <v>17</v>
      </c>
      <c r="CN3715" s="1" t="s">
        <v>88</v>
      </c>
      <c r="FX3715" s="1" t="s">
        <v>176</v>
      </c>
      <c r="GD3715" s="1" t="s">
        <v>202</v>
      </c>
      <c r="GE3715" s="1" t="s">
        <v>190</v>
      </c>
    </row>
    <row r="3716" spans="1:187" ht="11.25" customHeight="1">
      <c r="A3716" s="1" t="s">
        <v>5234</v>
      </c>
      <c r="B3716" s="1" t="str">
        <f ca="1">IFERROR(__xludf.DUMMYFUNCTION("GOOGLETRANSLATE(A3716, ""en"", ""fr"")"),"SAUF")</f>
        <v>SAUF</v>
      </c>
      <c r="C3716" s="1" t="s">
        <v>185</v>
      </c>
      <c r="CH3716" s="1" t="s">
        <v>82</v>
      </c>
      <c r="GD3716" s="1" t="s">
        <v>1628</v>
      </c>
      <c r="GE3716" s="1" t="s">
        <v>5235</v>
      </c>
    </row>
    <row r="3717" spans="1:187" ht="11.25" customHeight="1">
      <c r="A3717" s="1" t="s">
        <v>5236</v>
      </c>
      <c r="B3717" s="1" t="str">
        <f ca="1">IFERROR(__xludf.DUMMYFUNCTION("GOOGLETRANSLATE(A3717, ""en"", ""fr"")"),"Exception n ° 1")</f>
        <v>Exception n ° 1</v>
      </c>
      <c r="C3717" s="1" t="s">
        <v>185</v>
      </c>
      <c r="CH3717" s="1" t="s">
        <v>82</v>
      </c>
      <c r="GD3717" s="1" t="s">
        <v>849</v>
      </c>
      <c r="GE3717" s="1" t="s">
        <v>5237</v>
      </c>
    </row>
    <row r="3718" spans="1:187" ht="11.25" customHeight="1">
      <c r="A3718" s="1" t="s">
        <v>5238</v>
      </c>
      <c r="B3718" s="1" t="str">
        <f ca="1">IFERROR(__xludf.DUMMYFUNCTION("GOOGLETRANSLATE(A3718, ""en"", ""fr"")"),"Exception n ° 2")</f>
        <v>Exception n ° 2</v>
      </c>
      <c r="C3718" s="1" t="s">
        <v>185</v>
      </c>
      <c r="E3718" s="1" t="s">
        <v>16613</v>
      </c>
      <c r="H3718" s="1" t="s">
        <v>4</v>
      </c>
      <c r="I3718" s="1" t="s">
        <v>5</v>
      </c>
      <c r="BK3718" s="1" t="s">
        <v>59</v>
      </c>
      <c r="DN3718" s="1" t="s">
        <v>114</v>
      </c>
      <c r="DW3718" s="1" t="s">
        <v>123</v>
      </c>
      <c r="ED3718" s="1" t="s">
        <v>130</v>
      </c>
      <c r="GD3718" s="1" t="s">
        <v>189</v>
      </c>
      <c r="GE3718" s="1" t="s">
        <v>5239</v>
      </c>
    </row>
    <row r="3719" spans="1:187" ht="11.25" customHeight="1">
      <c r="A3719" s="1" t="s">
        <v>5240</v>
      </c>
      <c r="B3719" s="1" t="str">
        <f ca="1">IFERROR(__xludf.DUMMYFUNCTION("GOOGLETRANSLATE(A3719, ""en"", ""fr"")"),"EXCEPTIONNEL")</f>
        <v>EXCEPTIONNEL</v>
      </c>
      <c r="C3719" s="1" t="s">
        <v>185</v>
      </c>
      <c r="U3719" s="1" t="s">
        <v>17</v>
      </c>
      <c r="W3719" s="1" t="s">
        <v>19</v>
      </c>
      <c r="CN3719" s="1" t="s">
        <v>88</v>
      </c>
      <c r="FY3719" s="1" t="s">
        <v>177</v>
      </c>
      <c r="GD3719" s="1" t="s">
        <v>202</v>
      </c>
      <c r="GE3719" s="1" t="s">
        <v>190</v>
      </c>
    </row>
    <row r="3720" spans="1:187" ht="11.25" customHeight="1">
      <c r="A3720" s="1" t="s">
        <v>5241</v>
      </c>
      <c r="B3720" s="1" t="str">
        <f ca="1">IFERROR(__xludf.DUMMYFUNCTION("GOOGLETRANSLATE(A3720, ""en"", ""fr"")"),"EXTRAIT")</f>
        <v>EXTRAIT</v>
      </c>
      <c r="C3720" s="1" t="s">
        <v>185</v>
      </c>
      <c r="BK3720" s="1" t="s">
        <v>59</v>
      </c>
      <c r="BL3720" s="1" t="s">
        <v>60</v>
      </c>
      <c r="GC3720" s="1" t="s">
        <v>181</v>
      </c>
      <c r="GD3720" s="1" t="s">
        <v>193</v>
      </c>
      <c r="GE3720" s="1" t="s">
        <v>190</v>
      </c>
    </row>
    <row r="3721" spans="1:187" ht="11.25" customHeight="1">
      <c r="A3721" s="1" t="s">
        <v>5242</v>
      </c>
      <c r="B3721" s="1" t="str">
        <f ca="1">IFERROR(__xludf.DUMMYFUNCTION("GOOGLETRANSLATE(A3721, ""en"", ""fr"")"),"EXCÈS")</f>
        <v>EXCÈS</v>
      </c>
      <c r="C3721" s="1" t="s">
        <v>185</v>
      </c>
      <c r="E3721" s="1" t="s">
        <v>16613</v>
      </c>
      <c r="H3721" s="1" t="s">
        <v>4</v>
      </c>
      <c r="W3721" s="1" t="s">
        <v>19</v>
      </c>
      <c r="CS3721" s="1" t="s">
        <v>93</v>
      </c>
      <c r="GD3721" s="1" t="s">
        <v>193</v>
      </c>
      <c r="GE3721" s="1" t="s">
        <v>190</v>
      </c>
    </row>
    <row r="3722" spans="1:187" ht="11.25" customHeight="1">
      <c r="A3722" s="1" t="s">
        <v>5243</v>
      </c>
      <c r="B3722" s="1" t="str">
        <f ca="1">IFERROR(__xludf.DUMMYFUNCTION("GOOGLETRANSLATE(A3722, ""en"", ""fr"")"),"EXCESSIF")</f>
        <v>EXCESSIF</v>
      </c>
      <c r="C3722" s="1" t="s">
        <v>185</v>
      </c>
      <c r="E3722" s="1" t="s">
        <v>16613</v>
      </c>
      <c r="H3722" s="1" t="s">
        <v>4</v>
      </c>
      <c r="V3722" s="1" t="s">
        <v>18</v>
      </c>
      <c r="W3722" s="1" t="s">
        <v>19</v>
      </c>
      <c r="CN3722" s="1" t="s">
        <v>88</v>
      </c>
      <c r="FW3722" s="1" t="s">
        <v>175</v>
      </c>
      <c r="GD3722" s="1" t="s">
        <v>202</v>
      </c>
      <c r="GE3722" s="1" t="s">
        <v>190</v>
      </c>
    </row>
    <row r="3723" spans="1:187" ht="11.25" customHeight="1">
      <c r="A3723" s="1" t="s">
        <v>5244</v>
      </c>
      <c r="B3723" s="1" t="str">
        <f ca="1">IFERROR(__xludf.DUMMYFUNCTION("GOOGLETRANSLATE(A3723, ""en"", ""fr"")"),"Exchange n ° 1")</f>
        <v>Exchange n ° 1</v>
      </c>
      <c r="C3723" s="1" t="s">
        <v>185</v>
      </c>
      <c r="N3723" s="1" t="s">
        <v>10</v>
      </c>
      <c r="AA3723" s="1" t="s">
        <v>23</v>
      </c>
      <c r="AC3723" s="1" t="s">
        <v>25</v>
      </c>
      <c r="AG3723" s="1" t="s">
        <v>29</v>
      </c>
      <c r="AH3723" s="1" t="s">
        <v>30</v>
      </c>
      <c r="BK3723" s="1" t="s">
        <v>59</v>
      </c>
      <c r="BL3723" s="1" t="s">
        <v>60</v>
      </c>
      <c r="FN3723" s="1" t="s">
        <v>166</v>
      </c>
      <c r="GC3723" s="1" t="s">
        <v>181</v>
      </c>
      <c r="GD3723" s="1" t="s">
        <v>193</v>
      </c>
      <c r="GE3723" s="1" t="s">
        <v>5245</v>
      </c>
    </row>
    <row r="3724" spans="1:187" ht="11.25" customHeight="1">
      <c r="A3724" s="1" t="s">
        <v>5246</v>
      </c>
      <c r="B3724" s="1" t="str">
        <f ca="1">IFERROR(__xludf.DUMMYFUNCTION("GOOGLETRANSLATE(A3724, ""en"", ""fr"")"),"Exchange n ° 2")</f>
        <v>Exchange n ° 2</v>
      </c>
      <c r="C3724" s="1" t="s">
        <v>185</v>
      </c>
      <c r="N3724" s="1" t="s">
        <v>10</v>
      </c>
      <c r="AA3724" s="1" t="s">
        <v>23</v>
      </c>
      <c r="AB3724" s="1" t="s">
        <v>24</v>
      </c>
      <c r="DN3724" s="1" t="s">
        <v>114</v>
      </c>
      <c r="FN3724" s="1" t="s">
        <v>166</v>
      </c>
      <c r="GD3724" s="1" t="s">
        <v>189</v>
      </c>
      <c r="GE3724" s="1" t="s">
        <v>5247</v>
      </c>
    </row>
    <row r="3725" spans="1:187" ht="11.25" customHeight="1">
      <c r="A3725" s="1" t="s">
        <v>5248</v>
      </c>
      <c r="B3725" s="1" t="str">
        <f ca="1">IFERROR(__xludf.DUMMYFUNCTION("GOOGLETRANSLATE(A3725, ""en"", ""fr"")"),"ÉCHIQUIER")</f>
        <v>ÉCHIQUIER</v>
      </c>
      <c r="C3725" s="1" t="s">
        <v>185</v>
      </c>
      <c r="AA3725" s="1" t="s">
        <v>23</v>
      </c>
      <c r="AC3725" s="1" t="s">
        <v>25</v>
      </c>
      <c r="AV3725" s="1" t="s">
        <v>44</v>
      </c>
      <c r="AW3725" s="1" t="s">
        <v>45</v>
      </c>
      <c r="ET3725" s="1" t="s">
        <v>146</v>
      </c>
      <c r="EW3725" s="1" t="s">
        <v>149</v>
      </c>
      <c r="GD3725" s="1" t="s">
        <v>193</v>
      </c>
      <c r="GE3725" s="1" t="s">
        <v>190</v>
      </c>
    </row>
    <row r="3726" spans="1:187" ht="11.25" customHeight="1">
      <c r="A3726" s="1" t="s">
        <v>5249</v>
      </c>
      <c r="B3726" s="1" t="str">
        <f ca="1">IFERROR(__xludf.DUMMYFUNCTION("GOOGLETRANSLATE(A3726, ""en"", ""fr"")"),"Exciter # 1")</f>
        <v>Exciter # 1</v>
      </c>
      <c r="C3726" s="1" t="s">
        <v>185</v>
      </c>
      <c r="D3726" s="1" t="s">
        <v>16612</v>
      </c>
      <c r="F3726" s="1" t="s">
        <v>2</v>
      </c>
      <c r="N3726" s="1" t="s">
        <v>10</v>
      </c>
      <c r="P3726" s="1" t="s">
        <v>12</v>
      </c>
      <c r="DN3726" s="1" t="s">
        <v>114</v>
      </c>
      <c r="FA3726" s="1" t="s">
        <v>153</v>
      </c>
      <c r="FC3726" s="1" t="s">
        <v>155</v>
      </c>
      <c r="GD3726" s="1" t="s">
        <v>400</v>
      </c>
      <c r="GE3726" s="1" t="s">
        <v>5250</v>
      </c>
    </row>
    <row r="3727" spans="1:187" ht="11.25" customHeight="1">
      <c r="A3727" s="1" t="s">
        <v>5251</v>
      </c>
      <c r="B3727" s="1" t="str">
        <f ca="1">IFERROR(__xludf.DUMMYFUNCTION("GOOGLETRANSLATE(A3727, ""en"", ""fr"")"),"Exciter # 2")</f>
        <v>Exciter # 2</v>
      </c>
      <c r="C3727" s="1" t="s">
        <v>185</v>
      </c>
      <c r="D3727" s="1" t="s">
        <v>16612</v>
      </c>
      <c r="F3727" s="1" t="s">
        <v>2</v>
      </c>
      <c r="N3727" s="1" t="s">
        <v>10</v>
      </c>
      <c r="P3727" s="1" t="s">
        <v>12</v>
      </c>
      <c r="FA3727" s="1" t="s">
        <v>153</v>
      </c>
      <c r="FC3727" s="1" t="s">
        <v>155</v>
      </c>
      <c r="GD3727" s="1" t="s">
        <v>202</v>
      </c>
      <c r="GE3727" s="1" t="s">
        <v>5252</v>
      </c>
    </row>
    <row r="3728" spans="1:187" ht="11.25" customHeight="1">
      <c r="A3728" s="1" t="s">
        <v>5253</v>
      </c>
      <c r="B3728" s="1" t="str">
        <f ca="1">IFERROR(__xludf.DUMMYFUNCTION("GOOGLETRANSLATE(A3728, ""en"", ""fr"")"),"Excité # 1")</f>
        <v>Excité # 1</v>
      </c>
      <c r="C3728" s="1" t="s">
        <v>185</v>
      </c>
      <c r="O3728" s="1" t="s">
        <v>11</v>
      </c>
      <c r="P3728" s="1" t="s">
        <v>12</v>
      </c>
      <c r="T3728" s="1" t="s">
        <v>16</v>
      </c>
      <c r="FA3728" s="1" t="s">
        <v>153</v>
      </c>
      <c r="FC3728" s="1" t="s">
        <v>155</v>
      </c>
      <c r="GD3728" s="1" t="s">
        <v>421</v>
      </c>
      <c r="GE3728" s="1" t="s">
        <v>5254</v>
      </c>
    </row>
    <row r="3729" spans="1:187" ht="11.25" customHeight="1">
      <c r="A3729" s="1" t="s">
        <v>5255</v>
      </c>
      <c r="B3729" s="1" t="str">
        <f ca="1">IFERROR(__xludf.DUMMYFUNCTION("GOOGLETRANSLATE(A3729, ""en"", ""fr"")"),"Excité # 2")</f>
        <v>Excité # 2</v>
      </c>
      <c r="C3729" s="1" t="s">
        <v>185</v>
      </c>
      <c r="D3729" s="1" t="s">
        <v>16612</v>
      </c>
      <c r="F3729" s="1" t="s">
        <v>2</v>
      </c>
      <c r="O3729" s="1" t="s">
        <v>11</v>
      </c>
      <c r="P3729" s="1" t="s">
        <v>12</v>
      </c>
      <c r="DN3729" s="1" t="s">
        <v>114</v>
      </c>
      <c r="FA3729" s="1" t="s">
        <v>153</v>
      </c>
      <c r="FC3729" s="1" t="s">
        <v>155</v>
      </c>
      <c r="GD3729" s="1" t="s">
        <v>1076</v>
      </c>
      <c r="GE3729" s="1" t="s">
        <v>5256</v>
      </c>
    </row>
    <row r="3730" spans="1:187" ht="11.25" customHeight="1">
      <c r="A3730" s="1" t="s">
        <v>5257</v>
      </c>
      <c r="B3730" s="1" t="str">
        <f ca="1">IFERROR(__xludf.DUMMYFUNCTION("GOOGLETRANSLATE(A3730, ""en"", ""fr"")"),"Enthousiasme")</f>
        <v>Enthousiasme</v>
      </c>
      <c r="C3730" s="1" t="s">
        <v>192</v>
      </c>
      <c r="D3730" s="1" t="s">
        <v>16612</v>
      </c>
      <c r="P3730" s="1" t="s">
        <v>12</v>
      </c>
      <c r="GD3730" s="1" t="s">
        <v>193</v>
      </c>
      <c r="GE3730" s="1" t="s">
        <v>190</v>
      </c>
    </row>
    <row r="3731" spans="1:187" ht="11.25" customHeight="1">
      <c r="A3731" s="1" t="s">
        <v>5258</v>
      </c>
      <c r="B3731" s="1" t="str">
        <f ca="1">IFERROR(__xludf.DUMMYFUNCTION("GOOGLETRANSLATE(A3731, ""en"", ""fr"")"),"EXCITATION")</f>
        <v>EXCITATION</v>
      </c>
      <c r="C3731" s="1" t="s">
        <v>185</v>
      </c>
      <c r="D3731" s="1" t="s">
        <v>16612</v>
      </c>
      <c r="F3731" s="1" t="s">
        <v>2</v>
      </c>
      <c r="O3731" s="1" t="s">
        <v>11</v>
      </c>
      <c r="P3731" s="1" t="s">
        <v>12</v>
      </c>
      <c r="T3731" s="1" t="s">
        <v>16</v>
      </c>
      <c r="FA3731" s="1" t="s">
        <v>153</v>
      </c>
      <c r="FC3731" s="1" t="s">
        <v>155</v>
      </c>
      <c r="GD3731" s="1" t="s">
        <v>193</v>
      </c>
      <c r="GE3731" s="1" t="s">
        <v>190</v>
      </c>
    </row>
    <row r="3732" spans="1:187" ht="11.25" customHeight="1">
      <c r="A3732" s="1" t="s">
        <v>5259</v>
      </c>
      <c r="B3732" s="1" t="str">
        <f ca="1">IFERROR(__xludf.DUMMYFUNCTION("GOOGLETRANSLATE(A3732, ""en"", ""fr"")"),"EXCLAMER")</f>
        <v>EXCLAMER</v>
      </c>
      <c r="C3732" s="1" t="s">
        <v>196</v>
      </c>
      <c r="GD3732" s="1" t="s">
        <v>189</v>
      </c>
    </row>
    <row r="3733" spans="1:187" ht="11.25" customHeight="1">
      <c r="A3733" s="1" t="s">
        <v>5260</v>
      </c>
      <c r="B3733" s="1" t="str">
        <f ca="1">IFERROR(__xludf.DUMMYFUNCTION("GOOGLETRANSLATE(A3733, ""en"", ""fr"")"),"EXCLAMATION")</f>
        <v>EXCLAMATION</v>
      </c>
      <c r="C3733" s="1" t="s">
        <v>185</v>
      </c>
      <c r="W3733" s="1" t="s">
        <v>19</v>
      </c>
      <c r="BK3733" s="1" t="s">
        <v>59</v>
      </c>
      <c r="BL3733" s="1" t="s">
        <v>60</v>
      </c>
      <c r="GC3733" s="1" t="s">
        <v>181</v>
      </c>
      <c r="GD3733" s="1" t="s">
        <v>193</v>
      </c>
      <c r="GE3733" s="1" t="s">
        <v>190</v>
      </c>
    </row>
    <row r="3734" spans="1:187" ht="11.25" customHeight="1">
      <c r="A3734" s="1" t="s">
        <v>5261</v>
      </c>
      <c r="B3734" s="1" t="str">
        <f ca="1">IFERROR(__xludf.DUMMYFUNCTION("GOOGLETRANSLATE(A3734, ""en"", ""fr"")"),"EXCLURE")</f>
        <v>EXCLURE</v>
      </c>
      <c r="C3734" s="1" t="s">
        <v>185</v>
      </c>
      <c r="E3734" s="1" t="s">
        <v>16613</v>
      </c>
      <c r="H3734" s="1" t="s">
        <v>4</v>
      </c>
      <c r="I3734" s="1" t="s">
        <v>5</v>
      </c>
      <c r="J3734" s="1" t="s">
        <v>6</v>
      </c>
      <c r="K3734" s="1" t="s">
        <v>7</v>
      </c>
      <c r="N3734" s="1" t="s">
        <v>10</v>
      </c>
      <c r="AN3734" s="1" t="s">
        <v>36</v>
      </c>
      <c r="DN3734" s="1" t="s">
        <v>114</v>
      </c>
      <c r="FO3734" s="1" t="s">
        <v>167</v>
      </c>
      <c r="GD3734" s="1" t="s">
        <v>189</v>
      </c>
      <c r="GE3734" s="1" t="s">
        <v>190</v>
      </c>
    </row>
    <row r="3735" spans="1:187" ht="11.25" customHeight="1">
      <c r="A3735" s="1" t="s">
        <v>5262</v>
      </c>
      <c r="B3735" s="1" t="str">
        <f ca="1">IFERROR(__xludf.DUMMYFUNCTION("GOOGLETRANSLATE(A3735, ""en"", ""fr"")"),"EXCLUSION")</f>
        <v>EXCLUSION</v>
      </c>
      <c r="C3735" s="1" t="s">
        <v>185</v>
      </c>
      <c r="E3735" s="1" t="s">
        <v>16613</v>
      </c>
      <c r="H3735" s="1" t="s">
        <v>4</v>
      </c>
      <c r="I3735" s="1" t="s">
        <v>5</v>
      </c>
      <c r="J3735" s="1" t="s">
        <v>6</v>
      </c>
      <c r="K3735" s="1" t="s">
        <v>7</v>
      </c>
      <c r="N3735" s="1" t="s">
        <v>10</v>
      </c>
      <c r="AN3735" s="1" t="s">
        <v>36</v>
      </c>
      <c r="GD3735" s="1" t="s">
        <v>193</v>
      </c>
      <c r="GE3735" s="1" t="s">
        <v>190</v>
      </c>
    </row>
    <row r="3736" spans="1:187" ht="11.25" customHeight="1">
      <c r="A3736" s="1" t="s">
        <v>5263</v>
      </c>
      <c r="B3736" s="1" t="str">
        <f ca="1">IFERROR(__xludf.DUMMYFUNCTION("GOOGLETRANSLATE(A3736, ""en"", ""fr"")"),"EXCLUSIF")</f>
        <v>EXCLUSIF</v>
      </c>
      <c r="C3736" s="1" t="s">
        <v>185</v>
      </c>
      <c r="J3736" s="1" t="s">
        <v>6</v>
      </c>
      <c r="U3736" s="1" t="s">
        <v>17</v>
      </c>
      <c r="W3736" s="1" t="s">
        <v>19</v>
      </c>
      <c r="CN3736" s="1" t="s">
        <v>88</v>
      </c>
      <c r="EK3736" s="1" t="s">
        <v>137</v>
      </c>
      <c r="EN3736" s="1" t="s">
        <v>140</v>
      </c>
      <c r="GD3736" s="1" t="s">
        <v>202</v>
      </c>
      <c r="GE3736" s="1" t="s">
        <v>190</v>
      </c>
    </row>
    <row r="3737" spans="1:187" ht="11.25" customHeight="1">
      <c r="A3737" s="1" t="s">
        <v>5264</v>
      </c>
      <c r="B3737" s="1" t="str">
        <f ca="1">IFERROR(__xludf.DUMMYFUNCTION("GOOGLETRANSLATE(A3737, ""en"", ""fr"")"),"EXCLUSIVITÉ")</f>
        <v>EXCLUSIVITÉ</v>
      </c>
      <c r="C3737" s="1" t="s">
        <v>196</v>
      </c>
      <c r="EM3737" s="1" t="s">
        <v>139</v>
      </c>
      <c r="EN3737" s="1" t="s">
        <v>140</v>
      </c>
      <c r="GD3737" s="1" t="s">
        <v>193</v>
      </c>
    </row>
    <row r="3738" spans="1:187" ht="11.25" customHeight="1">
      <c r="A3738" s="1" t="s">
        <v>5265</v>
      </c>
      <c r="B3738" s="1" t="str">
        <f ca="1">IFERROR(__xludf.DUMMYFUNCTION("GOOGLETRANSLATE(A3738, ""en"", ""fr"")"),"EXCOMMUNICATION")</f>
        <v>EXCOMMUNICATION</v>
      </c>
      <c r="C3738" s="1" t="s">
        <v>192</v>
      </c>
      <c r="E3738" s="1" t="s">
        <v>16613</v>
      </c>
      <c r="G3738" s="1" t="s">
        <v>3</v>
      </c>
      <c r="I3738" s="1" t="s">
        <v>5</v>
      </c>
      <c r="AE3738" s="1" t="s">
        <v>27</v>
      </c>
      <c r="GD3738" s="1" t="s">
        <v>193</v>
      </c>
      <c r="GE3738" s="1" t="s">
        <v>190</v>
      </c>
    </row>
    <row r="3739" spans="1:187" ht="11.25" customHeight="1">
      <c r="A3739" s="1" t="s">
        <v>5266</v>
      </c>
      <c r="B3739" s="1" t="str">
        <f ca="1">IFERROR(__xludf.DUMMYFUNCTION("GOOGLETRANSLATE(A3739, ""en"", ""fr"")"),"Excuse n ° 1")</f>
        <v>Excuse n ° 1</v>
      </c>
      <c r="C3739" s="1" t="s">
        <v>185</v>
      </c>
      <c r="L3739" s="1" t="s">
        <v>8</v>
      </c>
      <c r="M3739" s="1" t="s">
        <v>9</v>
      </c>
      <c r="O3739" s="1" t="s">
        <v>11</v>
      </c>
      <c r="BK3739" s="1" t="s">
        <v>59</v>
      </c>
      <c r="BL3739" s="1" t="s">
        <v>60</v>
      </c>
      <c r="GC3739" s="1" t="s">
        <v>181</v>
      </c>
      <c r="GD3739" s="1" t="s">
        <v>193</v>
      </c>
      <c r="GE3739" s="1" t="s">
        <v>190</v>
      </c>
    </row>
    <row r="3740" spans="1:187" ht="11.25" customHeight="1">
      <c r="A3740" s="1" t="s">
        <v>5267</v>
      </c>
      <c r="B3740" s="1" t="str">
        <f ca="1">IFERROR(__xludf.DUMMYFUNCTION("GOOGLETRANSLATE(A3740, ""en"", ""fr"")"),"Excuse n ° 2")</f>
        <v>Excuse n ° 2</v>
      </c>
      <c r="C3740" s="1" t="s">
        <v>185</v>
      </c>
      <c r="J3740" s="1" t="s">
        <v>6</v>
      </c>
      <c r="K3740" s="1" t="s">
        <v>7</v>
      </c>
      <c r="BK3740" s="1" t="s">
        <v>59</v>
      </c>
      <c r="DN3740" s="1" t="s">
        <v>114</v>
      </c>
      <c r="GD3740" s="1" t="s">
        <v>189</v>
      </c>
      <c r="GE3740" s="1" t="s">
        <v>190</v>
      </c>
    </row>
    <row r="3741" spans="1:187" ht="11.25" customHeight="1">
      <c r="A3741" s="1" t="s">
        <v>5268</v>
      </c>
      <c r="B3741" s="1" t="str">
        <f ca="1">IFERROR(__xludf.DUMMYFUNCTION("GOOGLETRANSLATE(A3741, ""en"", ""fr"")"),"EXÉCUTER")</f>
        <v>EXÉCUTER</v>
      </c>
      <c r="C3741" s="1" t="s">
        <v>185</v>
      </c>
      <c r="E3741" s="1" t="s">
        <v>16613</v>
      </c>
      <c r="I3741" s="1" t="s">
        <v>5</v>
      </c>
      <c r="AL3741" s="1" t="s">
        <v>34</v>
      </c>
      <c r="BZ3741" s="1" t="s">
        <v>74</v>
      </c>
      <c r="DN3741" s="1" t="s">
        <v>114</v>
      </c>
      <c r="GD3741" s="1" t="s">
        <v>189</v>
      </c>
      <c r="GE3741" s="1" t="s">
        <v>190</v>
      </c>
    </row>
    <row r="3742" spans="1:187" ht="11.25" customHeight="1">
      <c r="A3742" s="1" t="s">
        <v>5269</v>
      </c>
      <c r="B3742" s="1" t="str">
        <f ca="1">IFERROR(__xludf.DUMMYFUNCTION("GOOGLETRANSLATE(A3742, ""en"", ""fr"")"),"EXÉCUTION")</f>
        <v>EXÉCUTION</v>
      </c>
      <c r="C3742" s="1" t="s">
        <v>185</v>
      </c>
      <c r="I3742" s="1" t="s">
        <v>5</v>
      </c>
      <c r="J3742" s="1" t="s">
        <v>6</v>
      </c>
      <c r="N3742" s="1" t="s">
        <v>10</v>
      </c>
      <c r="AN3742" s="1" t="s">
        <v>36</v>
      </c>
      <c r="GD3742" s="1" t="s">
        <v>193</v>
      </c>
      <c r="GE3742" s="1" t="s">
        <v>190</v>
      </c>
    </row>
    <row r="3743" spans="1:187" ht="11.25" customHeight="1">
      <c r="A3743" s="1" t="s">
        <v>5270</v>
      </c>
      <c r="B3743" s="1" t="str">
        <f ca="1">IFERROR(__xludf.DUMMYFUNCTION("GOOGLETRANSLATE(A3743, ""en"", ""fr"")"),"EXÉCUTIF")</f>
        <v>EXÉCUTIF</v>
      </c>
      <c r="C3743" s="1" t="s">
        <v>185</v>
      </c>
      <c r="J3743" s="1" t="s">
        <v>6</v>
      </c>
      <c r="K3743" s="1" t="s">
        <v>7</v>
      </c>
      <c r="AA3743" s="1" t="s">
        <v>23</v>
      </c>
      <c r="AC3743" s="1" t="s">
        <v>25</v>
      </c>
      <c r="AH3743" s="1" t="s">
        <v>30</v>
      </c>
      <c r="AJ3743" s="1" t="s">
        <v>32</v>
      </c>
      <c r="AT3743" s="1" t="s">
        <v>42</v>
      </c>
      <c r="GD3743" s="1" t="s">
        <v>193</v>
      </c>
      <c r="GE3743" s="1" t="s">
        <v>190</v>
      </c>
    </row>
    <row r="3744" spans="1:187" ht="11.25" customHeight="1">
      <c r="A3744" s="1" t="s">
        <v>5271</v>
      </c>
      <c r="B3744" s="1" t="str">
        <f ca="1">IFERROR(__xludf.DUMMYFUNCTION("GOOGLETRANSLATE(A3744, ""en"", ""fr"")"),"EXEMPLAIRE")</f>
        <v>EXEMPLAIRE</v>
      </c>
      <c r="C3744" s="1" t="s">
        <v>196</v>
      </c>
      <c r="FX3744" s="1" t="s">
        <v>176</v>
      </c>
      <c r="GD3744" s="1" t="s">
        <v>202</v>
      </c>
    </row>
    <row r="3745" spans="1:187" ht="11.25" customHeight="1">
      <c r="A3745" s="1" t="s">
        <v>5272</v>
      </c>
      <c r="B3745" s="1" t="str">
        <f ca="1">IFERROR(__xludf.DUMMYFUNCTION("GOOGLETRANSLATE(A3745, ""en"", ""fr"")"),"EXEMPTER")</f>
        <v>EXEMPTER</v>
      </c>
      <c r="C3745" s="1" t="s">
        <v>192</v>
      </c>
      <c r="E3745" s="1" t="s">
        <v>16613</v>
      </c>
      <c r="W3745" s="1" t="s">
        <v>19</v>
      </c>
      <c r="CR3745" s="1" t="s">
        <v>92</v>
      </c>
      <c r="DR3745" s="1" t="s">
        <v>118</v>
      </c>
      <c r="GD3745" s="1" t="s">
        <v>202</v>
      </c>
      <c r="GE3745" s="1" t="s">
        <v>190</v>
      </c>
    </row>
    <row r="3746" spans="1:187" ht="11.25" customHeight="1">
      <c r="A3746" s="1" t="s">
        <v>5273</v>
      </c>
      <c r="B3746" s="1" t="str">
        <f ca="1">IFERROR(__xludf.DUMMYFUNCTION("GOOGLETRANSLATE(A3746, ""en"", ""fr"")"),"Exercice n ° 1")</f>
        <v>Exercice n ° 1</v>
      </c>
      <c r="C3746" s="1" t="s">
        <v>185</v>
      </c>
      <c r="J3746" s="1" t="s">
        <v>6</v>
      </c>
      <c r="N3746" s="1" t="s">
        <v>10</v>
      </c>
      <c r="AM3746" s="1" t="s">
        <v>35</v>
      </c>
      <c r="GD3746" s="1" t="s">
        <v>193</v>
      </c>
      <c r="GE3746" s="1" t="s">
        <v>190</v>
      </c>
    </row>
    <row r="3747" spans="1:187" ht="11.25" customHeight="1">
      <c r="A3747" s="1" t="s">
        <v>5274</v>
      </c>
      <c r="B3747" s="1" t="str">
        <f ca="1">IFERROR(__xludf.DUMMYFUNCTION("GOOGLETRANSLATE(A3747, ""en"", ""fr"")"),"Exercice n ° 2")</f>
        <v>Exercice n ° 2</v>
      </c>
      <c r="C3747" s="1" t="s">
        <v>185</v>
      </c>
      <c r="J3747" s="1" t="s">
        <v>6</v>
      </c>
      <c r="N3747" s="1" t="s">
        <v>10</v>
      </c>
      <c r="AL3747" s="1" t="s">
        <v>34</v>
      </c>
      <c r="DN3747" s="1" t="s">
        <v>114</v>
      </c>
      <c r="GD3747" s="1" t="s">
        <v>189</v>
      </c>
      <c r="GE3747" s="1" t="s">
        <v>190</v>
      </c>
    </row>
    <row r="3748" spans="1:187" ht="11.25" customHeight="1">
      <c r="A3748" s="1" t="s">
        <v>5275</v>
      </c>
      <c r="B3748" s="1" t="str">
        <f ca="1">IFERROR(__xludf.DUMMYFUNCTION("GOOGLETRANSLATE(A3748, ""en"", ""fr"")"),"EXERCER")</f>
        <v>EXERCER</v>
      </c>
      <c r="C3748" s="1" t="s">
        <v>185</v>
      </c>
      <c r="J3748" s="1" t="s">
        <v>6</v>
      </c>
      <c r="N3748" s="1" t="s">
        <v>10</v>
      </c>
      <c r="CC3748" s="1" t="s">
        <v>77</v>
      </c>
      <c r="DN3748" s="1" t="s">
        <v>114</v>
      </c>
      <c r="FR3748" s="1" t="s">
        <v>170</v>
      </c>
      <c r="GD3748" s="1" t="s">
        <v>189</v>
      </c>
      <c r="GE3748" s="1" t="s">
        <v>190</v>
      </c>
    </row>
    <row r="3749" spans="1:187" ht="11.25" customHeight="1">
      <c r="A3749" s="1" t="s">
        <v>5276</v>
      </c>
      <c r="B3749" s="1" t="str">
        <f ca="1">IFERROR(__xludf.DUMMYFUNCTION("GOOGLETRANSLATE(A3749, ""en"", ""fr"")"),"EFFORT")</f>
        <v>EFFORT</v>
      </c>
      <c r="C3749" s="1" t="s">
        <v>192</v>
      </c>
      <c r="D3749" s="1" t="s">
        <v>16612</v>
      </c>
      <c r="AL3749" s="1" t="s">
        <v>34</v>
      </c>
      <c r="GD3749" s="1" t="s">
        <v>193</v>
      </c>
      <c r="GE3749" s="1" t="s">
        <v>190</v>
      </c>
    </row>
    <row r="3750" spans="1:187" ht="11.25" customHeight="1">
      <c r="A3750" s="1" t="s">
        <v>5277</v>
      </c>
      <c r="B3750" s="1" t="str">
        <f ca="1">IFERROR(__xludf.DUMMYFUNCTION("GOOGLETRANSLATE(A3750, ""en"", ""fr"")"),"ÉCHAPPEMENT")</f>
        <v>ÉCHAPPEMENT</v>
      </c>
      <c r="C3750" s="1" t="s">
        <v>192</v>
      </c>
      <c r="E3750" s="1" t="s">
        <v>16613</v>
      </c>
      <c r="BY3750" s="1" t="s">
        <v>73</v>
      </c>
      <c r="DN3750" s="1" t="s">
        <v>114</v>
      </c>
      <c r="GD3750" s="1" t="s">
        <v>189</v>
      </c>
      <c r="GE3750" s="1" t="s">
        <v>190</v>
      </c>
    </row>
    <row r="3751" spans="1:187" ht="11.25" customHeight="1">
      <c r="A3751" s="1" t="s">
        <v>5278</v>
      </c>
      <c r="B3751" s="1" t="str">
        <f ca="1">IFERROR(__xludf.DUMMYFUNCTION("GOOGLETRANSLATE(A3751, ""en"", ""fr"")"),"ÉPUISEMENT")</f>
        <v>ÉPUISEMENT</v>
      </c>
      <c r="C3751" s="1" t="s">
        <v>192</v>
      </c>
      <c r="E3751" s="1" t="s">
        <v>16613</v>
      </c>
      <c r="Q3751" s="1" t="s">
        <v>13</v>
      </c>
      <c r="T3751" s="1" t="s">
        <v>16</v>
      </c>
      <c r="AL3751" s="1" t="s">
        <v>34</v>
      </c>
      <c r="DR3751" s="1" t="s">
        <v>118</v>
      </c>
      <c r="GD3751" s="1" t="s">
        <v>202</v>
      </c>
      <c r="GE3751" s="1" t="s">
        <v>190</v>
      </c>
    </row>
    <row r="3752" spans="1:187" ht="11.25" customHeight="1">
      <c r="A3752" s="1" t="s">
        <v>5279</v>
      </c>
      <c r="B3752" s="1" t="str">
        <f ca="1">IFERROR(__xludf.DUMMYFUNCTION("GOOGLETRANSLATE(A3752, ""en"", ""fr"")"),"Pièce n ° 1")</f>
        <v>Pièce n ° 1</v>
      </c>
      <c r="C3752" s="1" t="s">
        <v>185</v>
      </c>
      <c r="N3752" s="1" t="s">
        <v>10</v>
      </c>
      <c r="BK3752" s="1" t="s">
        <v>59</v>
      </c>
      <c r="BL3752" s="1" t="s">
        <v>60</v>
      </c>
      <c r="GC3752" s="1" t="s">
        <v>181</v>
      </c>
      <c r="GD3752" s="1" t="s">
        <v>193</v>
      </c>
      <c r="GE3752" s="1" t="s">
        <v>190</v>
      </c>
    </row>
    <row r="3753" spans="1:187" ht="11.25" customHeight="1">
      <c r="A3753" s="1" t="s">
        <v>5280</v>
      </c>
      <c r="B3753" s="1" t="str">
        <f ca="1">IFERROR(__xludf.DUMMYFUNCTION("GOOGLETRANSLATE(A3753, ""en"", ""fr"")"),"Pièce n ° 2")</f>
        <v>Pièce n ° 2</v>
      </c>
      <c r="C3753" s="1" t="s">
        <v>185</v>
      </c>
      <c r="N3753" s="1" t="s">
        <v>10</v>
      </c>
      <c r="BK3753" s="1" t="s">
        <v>59</v>
      </c>
      <c r="DN3753" s="1" t="s">
        <v>114</v>
      </c>
      <c r="GD3753" s="1" t="s">
        <v>189</v>
      </c>
      <c r="GE3753" s="1" t="s">
        <v>190</v>
      </c>
    </row>
    <row r="3754" spans="1:187" ht="11.25" customHeight="1">
      <c r="A3754" s="1" t="s">
        <v>5281</v>
      </c>
      <c r="B3754" s="1" t="str">
        <f ca="1">IFERROR(__xludf.DUMMYFUNCTION("GOOGLETRANSLATE(A3754, ""en"", ""fr"")"),"EXPOSITION")</f>
        <v>EXPOSITION</v>
      </c>
      <c r="C3754" s="1" t="s">
        <v>196</v>
      </c>
      <c r="GD3754" s="1" t="s">
        <v>193</v>
      </c>
    </row>
    <row r="3755" spans="1:187" ht="11.25" customHeight="1">
      <c r="A3755" s="1" t="s">
        <v>5282</v>
      </c>
      <c r="B3755" s="1" t="str">
        <f ca="1">IFERROR(__xludf.DUMMYFUNCTION("GOOGLETRANSLATE(A3755, ""en"", ""fr"")"),"EUPHORIE")</f>
        <v>EUPHORIE</v>
      </c>
      <c r="C3755" s="1" t="s">
        <v>192</v>
      </c>
      <c r="D3755" s="1" t="s">
        <v>16612</v>
      </c>
      <c r="P3755" s="1" t="s">
        <v>12</v>
      </c>
      <c r="GD3755" s="1" t="s">
        <v>193</v>
      </c>
      <c r="GE3755" s="1" t="s">
        <v>190</v>
      </c>
    </row>
    <row r="3756" spans="1:187" ht="11.25" customHeight="1">
      <c r="A3756" s="1" t="s">
        <v>5283</v>
      </c>
      <c r="B3756" s="1" t="str">
        <f ca="1">IFERROR(__xludf.DUMMYFUNCTION("GOOGLETRANSLATE(A3756, ""en"", ""fr"")"),"EXIGENCE")</f>
        <v>EXIGENCE</v>
      </c>
      <c r="C3756" s="1" t="s">
        <v>196</v>
      </c>
      <c r="FS3756" s="1" t="s">
        <v>171</v>
      </c>
      <c r="GD3756" s="1" t="s">
        <v>5284</v>
      </c>
    </row>
    <row r="3757" spans="1:187" ht="11.25" customHeight="1">
      <c r="A3757" s="1" t="s">
        <v>5285</v>
      </c>
      <c r="B3757" s="1" t="str">
        <f ca="1">IFERROR(__xludf.DUMMYFUNCTION("GOOGLETRANSLATE(A3757, ""en"", ""fr"")"),"EXILÉ")</f>
        <v>EXILÉ</v>
      </c>
      <c r="C3757" s="1" t="s">
        <v>192</v>
      </c>
      <c r="E3757" s="1" t="s">
        <v>16613</v>
      </c>
      <c r="G3757" s="1" t="s">
        <v>3</v>
      </c>
      <c r="I3757" s="1" t="s">
        <v>5</v>
      </c>
      <c r="N3757" s="1" t="s">
        <v>10</v>
      </c>
      <c r="CC3757" s="1" t="s">
        <v>77</v>
      </c>
      <c r="CE3757" s="1" t="s">
        <v>79</v>
      </c>
      <c r="DN3757" s="1" t="s">
        <v>114</v>
      </c>
      <c r="GD3757" s="1" t="s">
        <v>189</v>
      </c>
      <c r="GE3757" s="1" t="s">
        <v>190</v>
      </c>
    </row>
    <row r="3758" spans="1:187" ht="11.25" customHeight="1">
      <c r="A3758" s="1" t="s">
        <v>5286</v>
      </c>
      <c r="B3758" s="1" t="str">
        <f ca="1">IFERROR(__xludf.DUMMYFUNCTION("GOOGLETRANSLATE(A3758, ""en"", ""fr"")"),"Exister # 1")</f>
        <v>Exister # 1</v>
      </c>
      <c r="C3758" s="1" t="s">
        <v>185</v>
      </c>
      <c r="BU3758" s="1" t="s">
        <v>69</v>
      </c>
      <c r="DN3758" s="1" t="s">
        <v>114</v>
      </c>
      <c r="GB3758" s="1" t="s">
        <v>180</v>
      </c>
      <c r="GD3758" s="1" t="s">
        <v>189</v>
      </c>
      <c r="GE3758" s="1" t="s">
        <v>5287</v>
      </c>
    </row>
    <row r="3759" spans="1:187" ht="11.25" customHeight="1">
      <c r="A3759" s="1" t="s">
        <v>5288</v>
      </c>
      <c r="B3759" s="1" t="str">
        <f ca="1">IFERROR(__xludf.DUMMYFUNCTION("GOOGLETRANSLATE(A3759, ""en"", ""fr"")"),"Exister # 2")</f>
        <v>Exister # 2</v>
      </c>
      <c r="C3759" s="1" t="s">
        <v>185</v>
      </c>
      <c r="BU3759" s="1" t="s">
        <v>69</v>
      </c>
      <c r="GB3759" s="1" t="s">
        <v>180</v>
      </c>
      <c r="GD3759" s="1" t="s">
        <v>202</v>
      </c>
      <c r="GE3759" s="1" t="s">
        <v>5289</v>
      </c>
    </row>
    <row r="3760" spans="1:187" ht="11.25" customHeight="1">
      <c r="A3760" s="1" t="s">
        <v>5290</v>
      </c>
      <c r="B3760" s="1" t="str">
        <f ca="1">IFERROR(__xludf.DUMMYFUNCTION("GOOGLETRANSLATE(A3760, ""en"", ""fr"")"),"EXISTENCE")</f>
        <v>EXISTENCE</v>
      </c>
      <c r="C3760" s="1" t="s">
        <v>185</v>
      </c>
      <c r="BU3760" s="1" t="s">
        <v>69</v>
      </c>
      <c r="CP3760" s="1" t="s">
        <v>90</v>
      </c>
      <c r="CQ3760" s="1" t="s">
        <v>91</v>
      </c>
      <c r="GB3760" s="1" t="s">
        <v>180</v>
      </c>
      <c r="GD3760" s="1" t="s">
        <v>193</v>
      </c>
      <c r="GE3760" s="1" t="s">
        <v>5291</v>
      </c>
    </row>
    <row r="3761" spans="1:187" ht="11.25" customHeight="1">
      <c r="A3761" s="1" t="s">
        <v>5292</v>
      </c>
      <c r="B3761" s="1" t="str">
        <f ca="1">IFERROR(__xludf.DUMMYFUNCTION("GOOGLETRANSLATE(A3761, ""en"", ""fr"")"),"SORTIE")</f>
        <v>SORTIE</v>
      </c>
      <c r="C3761" s="1" t="s">
        <v>192</v>
      </c>
      <c r="E3761" s="1" t="s">
        <v>16613</v>
      </c>
      <c r="CE3761" s="1" t="s">
        <v>79</v>
      </c>
      <c r="DN3761" s="1" t="s">
        <v>114</v>
      </c>
      <c r="GD3761" s="1" t="s">
        <v>189</v>
      </c>
      <c r="GE3761" s="1" t="s">
        <v>190</v>
      </c>
    </row>
    <row r="3762" spans="1:187" ht="11.25" customHeight="1">
      <c r="A3762" s="1" t="s">
        <v>5293</v>
      </c>
      <c r="B3762" s="1" t="str">
        <f ca="1">IFERROR(__xludf.DUMMYFUNCTION("GOOGLETRANSLATE(A3762, ""en"", ""fr"")"),"EXOTIQUE")</f>
        <v>EXOTIQUE</v>
      </c>
      <c r="C3762" s="1" t="s">
        <v>192</v>
      </c>
      <c r="D3762" s="1" t="s">
        <v>16612</v>
      </c>
      <c r="CM3762" s="1" t="s">
        <v>87</v>
      </c>
      <c r="CR3762" s="1" t="s">
        <v>92</v>
      </c>
      <c r="DR3762" s="1" t="s">
        <v>118</v>
      </c>
      <c r="GD3762" s="1" t="s">
        <v>202</v>
      </c>
      <c r="GE3762" s="1" t="s">
        <v>190</v>
      </c>
    </row>
    <row r="3763" spans="1:187" ht="11.25" customHeight="1">
      <c r="A3763" s="1" t="s">
        <v>5294</v>
      </c>
      <c r="B3763" s="1" t="str">
        <f ca="1">IFERROR(__xludf.DUMMYFUNCTION("GOOGLETRANSLATE(A3763, ""en"", ""fr"")"),"Développer le n ° 1")</f>
        <v>Développer le n ° 1</v>
      </c>
      <c r="C3763" s="1" t="s">
        <v>185</v>
      </c>
      <c r="J3763" s="1" t="s">
        <v>6</v>
      </c>
      <c r="N3763" s="1" t="s">
        <v>10</v>
      </c>
      <c r="BX3763" s="1" t="s">
        <v>72</v>
      </c>
      <c r="FR3763" s="1" t="s">
        <v>170</v>
      </c>
      <c r="GD3763" s="1" t="s">
        <v>202</v>
      </c>
      <c r="GE3763" s="1" t="s">
        <v>190</v>
      </c>
    </row>
    <row r="3764" spans="1:187" ht="11.25" customHeight="1">
      <c r="A3764" s="1" t="s">
        <v>5295</v>
      </c>
      <c r="B3764" s="1" t="str">
        <f ca="1">IFERROR(__xludf.DUMMYFUNCTION("GOOGLETRANSLATE(A3764, ""en"", ""fr"")"),"Développer # 2")</f>
        <v>Développer # 2</v>
      </c>
      <c r="C3764" s="1" t="s">
        <v>185</v>
      </c>
      <c r="J3764" s="1" t="s">
        <v>6</v>
      </c>
      <c r="N3764" s="1" t="s">
        <v>10</v>
      </c>
      <c r="BX3764" s="1" t="s">
        <v>72</v>
      </c>
      <c r="DN3764" s="1" t="s">
        <v>114</v>
      </c>
      <c r="FR3764" s="1" t="s">
        <v>170</v>
      </c>
      <c r="GD3764" s="1" t="s">
        <v>189</v>
      </c>
      <c r="GE3764" s="1" t="s">
        <v>190</v>
      </c>
    </row>
    <row r="3765" spans="1:187" ht="11.25" customHeight="1">
      <c r="A3765" s="1" t="s">
        <v>5296</v>
      </c>
      <c r="B3765" s="1" t="str">
        <f ca="1">IFERROR(__xludf.DUMMYFUNCTION("GOOGLETRANSLATE(A3765, ""en"", ""fr"")"),"ÉTENDUE")</f>
        <v>ÉTENDUE</v>
      </c>
      <c r="C3765" s="1" t="s">
        <v>185</v>
      </c>
      <c r="J3765" s="1" t="s">
        <v>6</v>
      </c>
      <c r="DA3765" s="1" t="s">
        <v>101</v>
      </c>
      <c r="GD3765" s="1" t="s">
        <v>193</v>
      </c>
      <c r="GE3765" s="1" t="s">
        <v>190</v>
      </c>
    </row>
    <row r="3766" spans="1:187" ht="11.25" customHeight="1">
      <c r="A3766" s="1" t="s">
        <v>5297</v>
      </c>
      <c r="B3766" s="1" t="str">
        <f ca="1">IFERROR(__xludf.DUMMYFUNCTION("GOOGLETRANSLATE(A3766, ""en"", ""fr"")"),"EXPANSION")</f>
        <v>EXPANSION</v>
      </c>
      <c r="C3766" s="1" t="s">
        <v>185</v>
      </c>
      <c r="J3766" s="1" t="s">
        <v>6</v>
      </c>
      <c r="N3766" s="1" t="s">
        <v>10</v>
      </c>
      <c r="AC3766" s="1" t="s">
        <v>25</v>
      </c>
      <c r="AH3766" s="1" t="s">
        <v>30</v>
      </c>
      <c r="BX3766" s="1" t="s">
        <v>72</v>
      </c>
      <c r="FR3766" s="1" t="s">
        <v>170</v>
      </c>
      <c r="GD3766" s="1" t="s">
        <v>193</v>
      </c>
      <c r="GE3766" s="1" t="s">
        <v>190</v>
      </c>
    </row>
    <row r="3767" spans="1:187" ht="11.25" customHeight="1">
      <c r="A3767" s="1" t="s">
        <v>5298</v>
      </c>
      <c r="B3767" s="1" t="str">
        <f ca="1">IFERROR(__xludf.DUMMYFUNCTION("GOOGLETRANSLATE(A3767, ""en"", ""fr"")"),"Attendez-vous à # 1")</f>
        <v>Attendez-vous à # 1</v>
      </c>
      <c r="C3767" s="1" t="s">
        <v>185</v>
      </c>
      <c r="O3767" s="1" t="s">
        <v>11</v>
      </c>
      <c r="CO3767" s="1" t="s">
        <v>89</v>
      </c>
      <c r="DN3767" s="1" t="s">
        <v>114</v>
      </c>
      <c r="FR3767" s="1" t="s">
        <v>170</v>
      </c>
      <c r="GD3767" s="1" t="s">
        <v>400</v>
      </c>
      <c r="GE3767" s="1" t="s">
        <v>5299</v>
      </c>
    </row>
    <row r="3768" spans="1:187" ht="11.25" customHeight="1">
      <c r="A3768" s="1" t="s">
        <v>5300</v>
      </c>
      <c r="B3768" s="1" t="str">
        <f ca="1">IFERROR(__xludf.DUMMYFUNCTION("GOOGLETRANSLATE(A3768, ""en"", ""fr"")"),"Attendez-vous à # 2")</f>
        <v>Attendez-vous à # 2</v>
      </c>
      <c r="C3768" s="1" t="s">
        <v>185</v>
      </c>
      <c r="O3768" s="1" t="s">
        <v>11</v>
      </c>
      <c r="CH3768" s="1" t="s">
        <v>82</v>
      </c>
      <c r="FR3768" s="1" t="s">
        <v>170</v>
      </c>
      <c r="GD3768" s="1" t="s">
        <v>202</v>
      </c>
      <c r="GE3768" s="1" t="s">
        <v>5301</v>
      </c>
    </row>
    <row r="3769" spans="1:187" ht="11.25" customHeight="1">
      <c r="A3769" s="1" t="s">
        <v>5302</v>
      </c>
      <c r="B3769" s="1" t="str">
        <f ca="1">IFERROR(__xludf.DUMMYFUNCTION("GOOGLETRANSLATE(A3769, ""en"", ""fr"")"),"ATTENTE")</f>
        <v>ATTENTE</v>
      </c>
      <c r="C3769" s="1" t="s">
        <v>185</v>
      </c>
      <c r="O3769" s="1" t="s">
        <v>11</v>
      </c>
      <c r="S3769" s="1" t="s">
        <v>15</v>
      </c>
      <c r="FR3769" s="1" t="s">
        <v>170</v>
      </c>
      <c r="GD3769" s="1" t="s">
        <v>193</v>
      </c>
      <c r="GE3769" s="1" t="s">
        <v>190</v>
      </c>
    </row>
    <row r="3770" spans="1:187" ht="11.25" customHeight="1">
      <c r="A3770" s="1" t="s">
        <v>5303</v>
      </c>
      <c r="B3770" s="1" t="str">
        <f ca="1">IFERROR(__xludf.DUMMYFUNCTION("GOOGLETRANSLATE(A3770, ""en"", ""fr"")"),"OPPORTUNITÉ")</f>
        <v>OPPORTUNITÉ</v>
      </c>
      <c r="C3770" s="1" t="s">
        <v>196</v>
      </c>
      <c r="GD3770" s="1" t="s">
        <v>193</v>
      </c>
    </row>
    <row r="3771" spans="1:187" ht="11.25" customHeight="1">
      <c r="A3771" s="1" t="s">
        <v>5304</v>
      </c>
      <c r="B3771" s="1" t="str">
        <f ca="1">IFERROR(__xludf.DUMMYFUNCTION("GOOGLETRANSLATE(A3771, ""en"", ""fr"")"),"OPPORTUN")</f>
        <v>OPPORTUN</v>
      </c>
      <c r="C3771" s="1" t="s">
        <v>185</v>
      </c>
      <c r="E3771" s="1" t="s">
        <v>16613</v>
      </c>
      <c r="H3771" s="1" t="s">
        <v>4</v>
      </c>
      <c r="BQ3771" s="1" t="s">
        <v>65</v>
      </c>
      <c r="GD3771" s="1" t="s">
        <v>202</v>
      </c>
      <c r="GE3771" s="1" t="s">
        <v>190</v>
      </c>
    </row>
    <row r="3772" spans="1:187" ht="11.25" customHeight="1">
      <c r="A3772" s="1" t="s">
        <v>5305</v>
      </c>
      <c r="B3772" s="1" t="str">
        <f ca="1">IFERROR(__xludf.DUMMYFUNCTION("GOOGLETRANSLATE(A3772, ""en"", ""fr"")"),"ACCÉLÉRER")</f>
        <v>ACCÉLÉRER</v>
      </c>
      <c r="C3772" s="1" t="s">
        <v>196</v>
      </c>
      <c r="GD3772" s="1" t="s">
        <v>189</v>
      </c>
    </row>
    <row r="3773" spans="1:187" ht="11.25" customHeight="1">
      <c r="A3773" s="1" t="s">
        <v>5306</v>
      </c>
      <c r="B3773" s="1" t="str">
        <f ca="1">IFERROR(__xludf.DUMMYFUNCTION("GOOGLETRANSLATE(A3773, ""en"", ""fr"")"),"EXPÉDITION")</f>
        <v>EXPÉDITION</v>
      </c>
      <c r="C3773" s="1" t="s">
        <v>185</v>
      </c>
      <c r="N3773" s="1" t="s">
        <v>10</v>
      </c>
      <c r="CE3773" s="1" t="s">
        <v>79</v>
      </c>
      <c r="GD3773" s="1" t="s">
        <v>193</v>
      </c>
      <c r="GE3773" s="1" t="s">
        <v>190</v>
      </c>
    </row>
    <row r="3774" spans="1:187" ht="11.25" customHeight="1">
      <c r="A3774" s="1" t="s">
        <v>5307</v>
      </c>
      <c r="B3774" s="1" t="str">
        <f ca="1">IFERROR(__xludf.DUMMYFUNCTION("GOOGLETRANSLATE(A3774, ""en"", ""fr"")"),"EXPULSER")</f>
        <v>EXPULSER</v>
      </c>
      <c r="C3774" s="1" t="s">
        <v>192</v>
      </c>
      <c r="E3774" s="1" t="s">
        <v>16613</v>
      </c>
      <c r="G3774" s="1" t="s">
        <v>3</v>
      </c>
      <c r="I3774" s="1" t="s">
        <v>5</v>
      </c>
      <c r="N3774" s="1" t="s">
        <v>10</v>
      </c>
      <c r="CC3774" s="1" t="s">
        <v>77</v>
      </c>
      <c r="CE3774" s="1" t="s">
        <v>79</v>
      </c>
      <c r="DN3774" s="1" t="s">
        <v>114</v>
      </c>
      <c r="GD3774" s="1" t="s">
        <v>189</v>
      </c>
      <c r="GE3774" s="1" t="s">
        <v>190</v>
      </c>
    </row>
    <row r="3775" spans="1:187" ht="11.25" customHeight="1">
      <c r="A3775" s="1" t="s">
        <v>5308</v>
      </c>
      <c r="B3775" s="1" t="str">
        <f ca="1">IFERROR(__xludf.DUMMYFUNCTION("GOOGLETRANSLATE(A3775, ""en"", ""fr"")"),"Expulser")</f>
        <v>Expulser</v>
      </c>
      <c r="C3775" s="1" t="s">
        <v>196</v>
      </c>
      <c r="DT3775" s="1" t="s">
        <v>120</v>
      </c>
      <c r="ED3775" s="1" t="s">
        <v>130</v>
      </c>
      <c r="GD3775" s="1" t="s">
        <v>189</v>
      </c>
    </row>
    <row r="3776" spans="1:187" ht="11.25" customHeight="1">
      <c r="A3776" s="1" t="s">
        <v>5309</v>
      </c>
      <c r="B3776" s="1" t="str">
        <f ca="1">IFERROR(__xludf.DUMMYFUNCTION("GOOGLETRANSLATE(A3776, ""en"", ""fr"")"),"DÉPENSER")</f>
        <v>DÉPENSER</v>
      </c>
      <c r="C3776" s="1" t="s">
        <v>185</v>
      </c>
      <c r="N3776" s="1" t="s">
        <v>10</v>
      </c>
      <c r="AA3776" s="1" t="s">
        <v>23</v>
      </c>
      <c r="AB3776" s="1" t="s">
        <v>24</v>
      </c>
      <c r="DN3776" s="1" t="s">
        <v>114</v>
      </c>
      <c r="EU3776" s="1" t="s">
        <v>147</v>
      </c>
      <c r="EW3776" s="1" t="s">
        <v>149</v>
      </c>
      <c r="GD3776" s="1" t="s">
        <v>189</v>
      </c>
      <c r="GE3776" s="1" t="s">
        <v>190</v>
      </c>
    </row>
    <row r="3777" spans="1:187" ht="11.25" customHeight="1">
      <c r="A3777" s="1" t="s">
        <v>5310</v>
      </c>
      <c r="B3777" s="1" t="str">
        <f ca="1">IFERROR(__xludf.DUMMYFUNCTION("GOOGLETRANSLATE(A3777, ""en"", ""fr"")"),"DÉPENSE")</f>
        <v>DÉPENSE</v>
      </c>
      <c r="C3777" s="1" t="s">
        <v>185</v>
      </c>
      <c r="AA3777" s="1" t="s">
        <v>23</v>
      </c>
      <c r="AC3777" s="1" t="s">
        <v>25</v>
      </c>
      <c r="AH3777" s="1" t="s">
        <v>30</v>
      </c>
      <c r="BK3777" s="1" t="s">
        <v>59</v>
      </c>
      <c r="BL3777" s="1" t="s">
        <v>60</v>
      </c>
      <c r="EV3777" s="1" t="s">
        <v>148</v>
      </c>
      <c r="EW3777" s="1" t="s">
        <v>149</v>
      </c>
      <c r="GC3777" s="1" t="s">
        <v>181</v>
      </c>
      <c r="GD3777" s="1" t="s">
        <v>193</v>
      </c>
      <c r="GE3777" s="1" t="s">
        <v>190</v>
      </c>
    </row>
    <row r="3778" spans="1:187" ht="11.25" customHeight="1">
      <c r="A3778" s="1" t="s">
        <v>5311</v>
      </c>
      <c r="B3778" s="1" t="str">
        <f ca="1">IFERROR(__xludf.DUMMYFUNCTION("GOOGLETRANSLATE(A3778, ""en"", ""fr"")"),"Dépenses n ° 1")</f>
        <v>Dépenses n ° 1</v>
      </c>
      <c r="C3778" s="1" t="s">
        <v>185</v>
      </c>
      <c r="E3778" s="1" t="s">
        <v>16613</v>
      </c>
      <c r="H3778" s="1" t="s">
        <v>4</v>
      </c>
      <c r="AA3778" s="1" t="s">
        <v>23</v>
      </c>
      <c r="AC3778" s="1" t="s">
        <v>25</v>
      </c>
      <c r="BK3778" s="1" t="s">
        <v>59</v>
      </c>
      <c r="BL3778" s="1" t="s">
        <v>60</v>
      </c>
      <c r="EV3778" s="1" t="s">
        <v>148</v>
      </c>
      <c r="EW3778" s="1" t="s">
        <v>149</v>
      </c>
      <c r="GC3778" s="1" t="s">
        <v>181</v>
      </c>
      <c r="GD3778" s="1" t="s">
        <v>849</v>
      </c>
      <c r="GE3778" s="1" t="s">
        <v>5312</v>
      </c>
    </row>
    <row r="3779" spans="1:187" ht="11.25" customHeight="1">
      <c r="A3779" s="1" t="s">
        <v>5313</v>
      </c>
      <c r="B3779" s="1" t="str">
        <f ca="1">IFERROR(__xludf.DUMMYFUNCTION("GOOGLETRANSLATE(A3779, ""en"", ""fr"")"),"Dépenses n ° 2")</f>
        <v>Dépenses n ° 2</v>
      </c>
      <c r="C3779" s="1" t="s">
        <v>185</v>
      </c>
      <c r="E3779" s="1" t="s">
        <v>16613</v>
      </c>
      <c r="H3779" s="1" t="s">
        <v>4</v>
      </c>
      <c r="BQ3779" s="1" t="s">
        <v>65</v>
      </c>
      <c r="FO3779" s="1" t="s">
        <v>167</v>
      </c>
      <c r="GD3779" s="1" t="s">
        <v>193</v>
      </c>
      <c r="GE3779" s="1" t="s">
        <v>5314</v>
      </c>
    </row>
    <row r="3780" spans="1:187" ht="11.25" customHeight="1">
      <c r="A3780" s="1" t="s">
        <v>5315</v>
      </c>
      <c r="B3780" s="1" t="str">
        <f ca="1">IFERROR(__xludf.DUMMYFUNCTION("GOOGLETRANSLATE(A3780, ""en"", ""fr"")"),"CHER")</f>
        <v>CHER</v>
      </c>
      <c r="C3780" s="1" t="s">
        <v>185</v>
      </c>
      <c r="E3780" s="1" t="s">
        <v>16613</v>
      </c>
      <c r="H3780" s="1" t="s">
        <v>4</v>
      </c>
      <c r="V3780" s="1" t="s">
        <v>18</v>
      </c>
      <c r="AA3780" s="1" t="s">
        <v>23</v>
      </c>
      <c r="AC3780" s="1" t="s">
        <v>25</v>
      </c>
      <c r="EV3780" s="1" t="s">
        <v>148</v>
      </c>
      <c r="EW3780" s="1" t="s">
        <v>149</v>
      </c>
      <c r="GD3780" s="1" t="s">
        <v>202</v>
      </c>
      <c r="GE3780" s="1" t="s">
        <v>190</v>
      </c>
    </row>
    <row r="3781" spans="1:187" ht="11.25" customHeight="1">
      <c r="A3781" s="1" t="s">
        <v>5316</v>
      </c>
      <c r="B3781" s="1" t="str">
        <f ca="1">IFERROR(__xludf.DUMMYFUNCTION("GOOGLETRANSLATE(A3781, ""en"", ""fr"")"),"Expérience n ° 1")</f>
        <v>Expérience n ° 1</v>
      </c>
      <c r="C3781" s="1" t="s">
        <v>185</v>
      </c>
      <c r="D3781" s="1" t="s">
        <v>16612</v>
      </c>
      <c r="F3781" s="1" t="s">
        <v>2</v>
      </c>
      <c r="J3781" s="1" t="s">
        <v>6</v>
      </c>
      <c r="BQ3781" s="1" t="s">
        <v>65</v>
      </c>
      <c r="FH3781" s="1" t="s">
        <v>160</v>
      </c>
      <c r="FI3781" s="1" t="s">
        <v>161</v>
      </c>
      <c r="GD3781" s="1" t="s">
        <v>193</v>
      </c>
      <c r="GE3781" s="1" t="s">
        <v>5317</v>
      </c>
    </row>
    <row r="3782" spans="1:187" ht="11.25" customHeight="1">
      <c r="A3782" s="1" t="s">
        <v>5318</v>
      </c>
      <c r="B3782" s="1" t="str">
        <f ca="1">IFERROR(__xludf.DUMMYFUNCTION("GOOGLETRANSLATE(A3782, ""en"", ""fr"")"),"Expérience n ° 2")</f>
        <v>Expérience n ° 2</v>
      </c>
      <c r="C3782" s="1" t="s">
        <v>185</v>
      </c>
      <c r="O3782" s="1" t="s">
        <v>11</v>
      </c>
      <c r="BS3782" s="1" t="s">
        <v>67</v>
      </c>
      <c r="DN3782" s="1" t="s">
        <v>114</v>
      </c>
      <c r="FD3782" s="1" t="s">
        <v>156</v>
      </c>
      <c r="FI3782" s="1" t="s">
        <v>161</v>
      </c>
      <c r="GD3782" s="1" t="s">
        <v>189</v>
      </c>
      <c r="GE3782" s="1" t="s">
        <v>5319</v>
      </c>
    </row>
    <row r="3783" spans="1:187" ht="11.25" customHeight="1">
      <c r="A3783" s="1" t="s">
        <v>5320</v>
      </c>
      <c r="B3783" s="1" t="str">
        <f ca="1">IFERROR(__xludf.DUMMYFUNCTION("GOOGLETRANSLATE(A3783, ""en"", ""fr"")"),"Expérience n ° 3")</f>
        <v>Expérience n ° 3</v>
      </c>
      <c r="C3783" s="1" t="s">
        <v>185</v>
      </c>
      <c r="D3783" s="1" t="s">
        <v>16612</v>
      </c>
      <c r="F3783" s="1" t="s">
        <v>2</v>
      </c>
      <c r="J3783" s="1" t="s">
        <v>6</v>
      </c>
      <c r="O3783" s="1" t="s">
        <v>11</v>
      </c>
      <c r="U3783" s="1" t="s">
        <v>17</v>
      </c>
      <c r="FH3783" s="1" t="s">
        <v>160</v>
      </c>
      <c r="FI3783" s="1" t="s">
        <v>161</v>
      </c>
      <c r="GD3783" s="1" t="s">
        <v>202</v>
      </c>
      <c r="GE3783" s="1" t="s">
        <v>5321</v>
      </c>
    </row>
    <row r="3784" spans="1:187" ht="11.25" customHeight="1">
      <c r="A3784" s="1" t="s">
        <v>5322</v>
      </c>
      <c r="B3784" s="1" t="str">
        <f ca="1">IFERROR(__xludf.DUMMYFUNCTION("GOOGLETRANSLATE(A3784, ""en"", ""fr"")"),"Expérimentateur")</f>
        <v>Expérimentateur</v>
      </c>
      <c r="C3784" s="1" t="s">
        <v>185</v>
      </c>
      <c r="O3784" s="1" t="s">
        <v>11</v>
      </c>
      <c r="AJ3784" s="1" t="s">
        <v>32</v>
      </c>
      <c r="AT3784" s="1" t="s">
        <v>42</v>
      </c>
      <c r="FG3784" s="1" t="s">
        <v>159</v>
      </c>
      <c r="FI3784" s="1" t="s">
        <v>161</v>
      </c>
      <c r="GD3784" s="1" t="s">
        <v>193</v>
      </c>
      <c r="GE3784" s="1" t="s">
        <v>190</v>
      </c>
    </row>
    <row r="3785" spans="1:187" ht="11.25" customHeight="1">
      <c r="A3785" s="1" t="s">
        <v>5323</v>
      </c>
      <c r="B3785" s="1" t="str">
        <f ca="1">IFERROR(__xludf.DUMMYFUNCTION("GOOGLETRANSLATE(A3785, ""en"", ""fr"")"),"EXPÉRIMENTAL")</f>
        <v>EXPÉRIMENTAL</v>
      </c>
      <c r="C3785" s="1" t="s">
        <v>185</v>
      </c>
      <c r="O3785" s="1" t="s">
        <v>11</v>
      </c>
      <c r="CK3785" s="1" t="s">
        <v>85</v>
      </c>
      <c r="FH3785" s="1" t="s">
        <v>160</v>
      </c>
      <c r="FI3785" s="1" t="s">
        <v>161</v>
      </c>
      <c r="GD3785" s="1" t="s">
        <v>202</v>
      </c>
      <c r="GE3785" s="1" t="s">
        <v>190</v>
      </c>
    </row>
    <row r="3786" spans="1:187" ht="11.25" customHeight="1">
      <c r="A3786" s="1" t="s">
        <v>5324</v>
      </c>
      <c r="B3786" s="1" t="str">
        <f ca="1">IFERROR(__xludf.DUMMYFUNCTION("GOOGLETRANSLATE(A3786, ""en"", ""fr"")"),"Expérience n ° 1")</f>
        <v>Expérience n ° 1</v>
      </c>
      <c r="C3786" s="1" t="s">
        <v>185</v>
      </c>
      <c r="N3786" s="1" t="s">
        <v>10</v>
      </c>
      <c r="Y3786" s="1" t="s">
        <v>21</v>
      </c>
      <c r="AM3786" s="1" t="s">
        <v>35</v>
      </c>
      <c r="FH3786" s="1" t="s">
        <v>160</v>
      </c>
      <c r="FI3786" s="1" t="s">
        <v>161</v>
      </c>
      <c r="GD3786" s="1" t="s">
        <v>193</v>
      </c>
      <c r="GE3786" s="1" t="s">
        <v>190</v>
      </c>
    </row>
    <row r="3787" spans="1:187" ht="11.25" customHeight="1">
      <c r="A3787" s="1" t="s">
        <v>5325</v>
      </c>
      <c r="B3787" s="1" t="str">
        <f ca="1">IFERROR(__xludf.DUMMYFUNCTION("GOOGLETRANSLATE(A3787, ""en"", ""fr"")"),"Expérience n ° 2")</f>
        <v>Expérience n ° 2</v>
      </c>
      <c r="C3787" s="1" t="s">
        <v>185</v>
      </c>
      <c r="N3787" s="1" t="s">
        <v>10</v>
      </c>
      <c r="Y3787" s="1" t="s">
        <v>21</v>
      </c>
      <c r="BP3787" s="1" t="s">
        <v>64</v>
      </c>
      <c r="DN3787" s="1" t="s">
        <v>114</v>
      </c>
      <c r="FF3787" s="1" t="s">
        <v>158</v>
      </c>
      <c r="FI3787" s="1" t="s">
        <v>161</v>
      </c>
      <c r="GD3787" s="1" t="s">
        <v>189</v>
      </c>
      <c r="GE3787" s="1" t="s">
        <v>190</v>
      </c>
    </row>
    <row r="3788" spans="1:187" ht="11.25" customHeight="1">
      <c r="A3788" s="1" t="s">
        <v>5326</v>
      </c>
      <c r="B3788" s="1" t="str">
        <f ca="1">IFERROR(__xludf.DUMMYFUNCTION("GOOGLETRANSLATE(A3788, ""en"", ""fr"")"),"EXPÉRIMENTAL")</f>
        <v>EXPÉRIMENTAL</v>
      </c>
      <c r="C3788" s="1" t="s">
        <v>185</v>
      </c>
      <c r="N3788" s="1" t="s">
        <v>10</v>
      </c>
      <c r="Y3788" s="1" t="s">
        <v>21</v>
      </c>
      <c r="AM3788" s="1" t="s">
        <v>35</v>
      </c>
      <c r="FH3788" s="1" t="s">
        <v>160</v>
      </c>
      <c r="FI3788" s="1" t="s">
        <v>161</v>
      </c>
      <c r="GD3788" s="1" t="s">
        <v>202</v>
      </c>
      <c r="GE3788" s="1" t="s">
        <v>190</v>
      </c>
    </row>
    <row r="3789" spans="1:187" ht="11.25" customHeight="1">
      <c r="A3789" s="1" t="s">
        <v>5327</v>
      </c>
      <c r="B3789" s="1" t="str">
        <f ca="1">IFERROR(__xludf.DUMMYFUNCTION("GOOGLETRANSLATE(A3789, ""en"", ""fr"")"),"EXPÉRIMENTATEUR")</f>
        <v>EXPÉRIMENTATEUR</v>
      </c>
      <c r="C3789" s="1" t="s">
        <v>196</v>
      </c>
      <c r="FK3789" s="1" t="s">
        <v>163</v>
      </c>
      <c r="FM3789" s="1" t="s">
        <v>418</v>
      </c>
      <c r="GD3789" s="1" t="s">
        <v>448</v>
      </c>
    </row>
    <row r="3790" spans="1:187" ht="11.25" customHeight="1">
      <c r="A3790" s="1" t="s">
        <v>5328</v>
      </c>
      <c r="B3790" s="1" t="str">
        <f ca="1">IFERROR(__xludf.DUMMYFUNCTION("GOOGLETRANSLATE(A3790, ""en"", ""fr"")"),"Expert # 1")</f>
        <v>Expert # 1</v>
      </c>
      <c r="C3790" s="1" t="s">
        <v>185</v>
      </c>
      <c r="D3790" s="1" t="s">
        <v>16612</v>
      </c>
      <c r="F3790" s="1" t="s">
        <v>2</v>
      </c>
      <c r="J3790" s="1" t="s">
        <v>6</v>
      </c>
      <c r="K3790" s="1" t="s">
        <v>7</v>
      </c>
      <c r="AJ3790" s="1" t="s">
        <v>32</v>
      </c>
      <c r="AT3790" s="1" t="s">
        <v>42</v>
      </c>
      <c r="FK3790" s="1" t="s">
        <v>163</v>
      </c>
      <c r="FM3790" s="1" t="s">
        <v>418</v>
      </c>
      <c r="GD3790" s="1" t="s">
        <v>193</v>
      </c>
      <c r="GE3790" s="1" t="s">
        <v>5329</v>
      </c>
    </row>
    <row r="3791" spans="1:187" ht="11.25" customHeight="1">
      <c r="A3791" s="1" t="s">
        <v>5330</v>
      </c>
      <c r="B3791" s="1" t="str">
        <f ca="1">IFERROR(__xludf.DUMMYFUNCTION("GOOGLETRANSLATE(A3791, ""en"", ""fr"")"),"Expert # 2")</f>
        <v>Expert # 2</v>
      </c>
      <c r="C3791" s="1" t="s">
        <v>185</v>
      </c>
      <c r="D3791" s="1" t="s">
        <v>16612</v>
      </c>
      <c r="F3791" s="1" t="s">
        <v>2</v>
      </c>
      <c r="J3791" s="1" t="s">
        <v>6</v>
      </c>
      <c r="U3791" s="1" t="s">
        <v>17</v>
      </c>
      <c r="CN3791" s="1" t="s">
        <v>88</v>
      </c>
      <c r="FL3791" s="1" t="s">
        <v>164</v>
      </c>
      <c r="FM3791" s="1" t="s">
        <v>418</v>
      </c>
      <c r="GD3791" s="1" t="s">
        <v>202</v>
      </c>
      <c r="GE3791" s="1" t="s">
        <v>5331</v>
      </c>
    </row>
    <row r="3792" spans="1:187" ht="11.25" customHeight="1">
      <c r="A3792" s="1" t="s">
        <v>5332</v>
      </c>
      <c r="B3792" s="1" t="str">
        <f ca="1">IFERROR(__xludf.DUMMYFUNCTION("GOOGLETRANSLATE(A3792, ""en"", ""fr"")"),"EXPIRATION")</f>
        <v>EXPIRATION</v>
      </c>
      <c r="C3792" s="1" t="s">
        <v>196</v>
      </c>
      <c r="GD3792" s="1" t="s">
        <v>193</v>
      </c>
    </row>
    <row r="3793" spans="1:187" ht="11.25" customHeight="1">
      <c r="A3793" s="1" t="s">
        <v>5333</v>
      </c>
      <c r="B3793" s="1" t="str">
        <f ca="1">IFERROR(__xludf.DUMMYFUNCTION("GOOGLETRANSLATE(A3793, ""en"", ""fr"")"),"EXPIRER")</f>
        <v>EXPIRER</v>
      </c>
      <c r="C3793" s="1" t="s">
        <v>185</v>
      </c>
      <c r="L3793" s="1" t="s">
        <v>8</v>
      </c>
      <c r="O3793" s="1" t="s">
        <v>11</v>
      </c>
      <c r="BZ3793" s="1" t="s">
        <v>74</v>
      </c>
      <c r="DN3793" s="1" t="s">
        <v>114</v>
      </c>
      <c r="GD3793" s="1" t="s">
        <v>189</v>
      </c>
      <c r="GE3793" s="1" t="s">
        <v>190</v>
      </c>
    </row>
    <row r="3794" spans="1:187" ht="11.25" customHeight="1">
      <c r="A3794" s="1" t="s">
        <v>5334</v>
      </c>
      <c r="B3794" s="1" t="str">
        <f ca="1">IFERROR(__xludf.DUMMYFUNCTION("GOOGLETRANSLATE(A3794, ""en"", ""fr"")"),"EXPLIQUER")</f>
        <v>EXPLIQUER</v>
      </c>
      <c r="C3794" s="1" t="s">
        <v>185</v>
      </c>
      <c r="N3794" s="1" t="s">
        <v>10</v>
      </c>
      <c r="BK3794" s="1" t="s">
        <v>59</v>
      </c>
      <c r="DN3794" s="1" t="s">
        <v>114</v>
      </c>
      <c r="FD3794" s="1" t="s">
        <v>156</v>
      </c>
      <c r="FI3794" s="1" t="s">
        <v>161</v>
      </c>
      <c r="GD3794" s="1" t="s">
        <v>189</v>
      </c>
      <c r="GE3794" s="1" t="s">
        <v>5335</v>
      </c>
    </row>
    <row r="3795" spans="1:187" ht="11.25" customHeight="1">
      <c r="A3795" s="1" t="s">
        <v>5336</v>
      </c>
      <c r="B3795" s="1" t="str">
        <f ca="1">IFERROR(__xludf.DUMMYFUNCTION("GOOGLETRANSLATE(A3795, ""en"", ""fr"")"),"EXPLICATION")</f>
        <v>EXPLICATION</v>
      </c>
      <c r="C3795" s="1" t="s">
        <v>185</v>
      </c>
      <c r="N3795" s="1" t="s">
        <v>10</v>
      </c>
      <c r="BK3795" s="1" t="s">
        <v>59</v>
      </c>
      <c r="BL3795" s="1" t="s">
        <v>60</v>
      </c>
      <c r="FH3795" s="1" t="s">
        <v>160</v>
      </c>
      <c r="FI3795" s="1" t="s">
        <v>161</v>
      </c>
      <c r="GC3795" s="1" t="s">
        <v>181</v>
      </c>
      <c r="GD3795" s="1" t="s">
        <v>193</v>
      </c>
      <c r="GE3795" s="1" t="s">
        <v>5337</v>
      </c>
    </row>
    <row r="3796" spans="1:187" ht="11.25" customHeight="1">
      <c r="A3796" s="1" t="s">
        <v>5338</v>
      </c>
      <c r="B3796" s="1" t="str">
        <f ca="1">IFERROR(__xludf.DUMMYFUNCTION("GOOGLETRANSLATE(A3796, ""en"", ""fr"")"),"EXPLICITE")</f>
        <v>EXPLICITE</v>
      </c>
      <c r="C3796" s="1" t="s">
        <v>185</v>
      </c>
      <c r="BK3796" s="1" t="s">
        <v>59</v>
      </c>
      <c r="FH3796" s="1" t="s">
        <v>160</v>
      </c>
      <c r="FI3796" s="1" t="s">
        <v>161</v>
      </c>
      <c r="GC3796" s="1" t="s">
        <v>181</v>
      </c>
      <c r="GD3796" s="1" t="s">
        <v>202</v>
      </c>
      <c r="GE3796" s="1" t="s">
        <v>190</v>
      </c>
    </row>
    <row r="3797" spans="1:187" ht="11.25" customHeight="1">
      <c r="A3797" s="1" t="s">
        <v>5339</v>
      </c>
      <c r="B3797" s="1" t="str">
        <f ca="1">IFERROR(__xludf.DUMMYFUNCTION("GOOGLETRANSLATE(A3797, ""en"", ""fr"")"),"EXPLOSER")</f>
        <v>EXPLOSER</v>
      </c>
      <c r="C3797" s="1" t="s">
        <v>192</v>
      </c>
      <c r="E3797" s="1" t="s">
        <v>16613</v>
      </c>
      <c r="O3797" s="1" t="s">
        <v>11</v>
      </c>
      <c r="BZ3797" s="1" t="s">
        <v>74</v>
      </c>
      <c r="CC3797" s="1" t="s">
        <v>77</v>
      </c>
      <c r="DN3797" s="1" t="s">
        <v>114</v>
      </c>
      <c r="GD3797" s="1" t="s">
        <v>189</v>
      </c>
      <c r="GE3797" s="1" t="s">
        <v>190</v>
      </c>
    </row>
    <row r="3798" spans="1:187" ht="11.25" customHeight="1">
      <c r="A3798" s="1" t="s">
        <v>5340</v>
      </c>
      <c r="B3798" s="1" t="str">
        <f ca="1">IFERROR(__xludf.DUMMYFUNCTION("GOOGLETRANSLATE(A3798, ""en"", ""fr"")"),"Exploiter # 1")</f>
        <v>Exploiter # 1</v>
      </c>
      <c r="C3798" s="1" t="s">
        <v>185</v>
      </c>
      <c r="I3798" s="1" t="s">
        <v>5</v>
      </c>
      <c r="J3798" s="1" t="s">
        <v>6</v>
      </c>
      <c r="K3798" s="1" t="s">
        <v>7</v>
      </c>
      <c r="AN3798" s="1" t="s">
        <v>36</v>
      </c>
      <c r="DT3798" s="1" t="s">
        <v>120</v>
      </c>
      <c r="ED3798" s="1" t="s">
        <v>130</v>
      </c>
      <c r="GD3798" s="1" t="s">
        <v>202</v>
      </c>
      <c r="GE3798" s="1" t="s">
        <v>190</v>
      </c>
    </row>
    <row r="3799" spans="1:187" ht="11.25" customHeight="1">
      <c r="A3799" s="1" t="s">
        <v>5341</v>
      </c>
      <c r="B3799" s="1" t="str">
        <f ca="1">IFERROR(__xludf.DUMMYFUNCTION("GOOGLETRANSLATE(A3799, ""en"", ""fr"")"),"Exploit # 2")</f>
        <v>Exploit # 2</v>
      </c>
      <c r="C3799" s="1" t="s">
        <v>185</v>
      </c>
      <c r="E3799" s="1" t="s">
        <v>16613</v>
      </c>
      <c r="H3799" s="1" t="s">
        <v>4</v>
      </c>
      <c r="I3799" s="1" t="s">
        <v>5</v>
      </c>
      <c r="J3799" s="1" t="s">
        <v>6</v>
      </c>
      <c r="K3799" s="1" t="s">
        <v>7</v>
      </c>
      <c r="N3799" s="1" t="s">
        <v>10</v>
      </c>
      <c r="AN3799" s="1" t="s">
        <v>36</v>
      </c>
      <c r="DN3799" s="1" t="s">
        <v>114</v>
      </c>
      <c r="DT3799" s="1" t="s">
        <v>120</v>
      </c>
      <c r="ED3799" s="1" t="s">
        <v>130</v>
      </c>
      <c r="GD3799" s="1" t="s">
        <v>189</v>
      </c>
      <c r="GE3799" s="1" t="s">
        <v>190</v>
      </c>
    </row>
    <row r="3800" spans="1:187" ht="11.25" customHeight="1">
      <c r="A3800" s="1" t="s">
        <v>5342</v>
      </c>
      <c r="B3800" s="1" t="str">
        <f ca="1">IFERROR(__xludf.DUMMYFUNCTION("GOOGLETRANSLATE(A3800, ""en"", ""fr"")"),"EXPLORATION")</f>
        <v>EXPLORATION</v>
      </c>
      <c r="C3800" s="1" t="s">
        <v>185</v>
      </c>
      <c r="N3800" s="1" t="s">
        <v>10</v>
      </c>
      <c r="BQ3800" s="1" t="s">
        <v>65</v>
      </c>
      <c r="FH3800" s="1" t="s">
        <v>160</v>
      </c>
      <c r="FI3800" s="1" t="s">
        <v>161</v>
      </c>
      <c r="GD3800" s="1" t="s">
        <v>193</v>
      </c>
      <c r="GE3800" s="1" t="s">
        <v>190</v>
      </c>
    </row>
    <row r="3801" spans="1:187" ht="11.25" customHeight="1">
      <c r="A3801" s="1" t="s">
        <v>5343</v>
      </c>
      <c r="B3801" s="1" t="str">
        <f ca="1">IFERROR(__xludf.DUMMYFUNCTION("GOOGLETRANSLATE(A3801, ""en"", ""fr"")"),"EXPLORATOIRE")</f>
        <v>EXPLORATOIRE</v>
      </c>
      <c r="C3801" s="1" t="s">
        <v>196</v>
      </c>
      <c r="FH3801" s="1" t="s">
        <v>160</v>
      </c>
      <c r="FI3801" s="1" t="s">
        <v>161</v>
      </c>
      <c r="GD3801" s="1" t="s">
        <v>202</v>
      </c>
    </row>
    <row r="3802" spans="1:187" ht="11.25" customHeight="1">
      <c r="A3802" s="1" t="s">
        <v>5344</v>
      </c>
      <c r="B3802" s="1" t="str">
        <f ca="1">IFERROR(__xludf.DUMMYFUNCTION("GOOGLETRANSLATE(A3802, ""en"", ""fr"")"),"EXPLORER")</f>
        <v>EXPLORER</v>
      </c>
      <c r="C3802" s="1" t="s">
        <v>185</v>
      </c>
      <c r="N3802" s="1" t="s">
        <v>10</v>
      </c>
      <c r="CO3802" s="1" t="s">
        <v>89</v>
      </c>
      <c r="DN3802" s="1" t="s">
        <v>114</v>
      </c>
      <c r="FF3802" s="1" t="s">
        <v>158</v>
      </c>
      <c r="FI3802" s="1" t="s">
        <v>161</v>
      </c>
      <c r="GD3802" s="1" t="s">
        <v>189</v>
      </c>
      <c r="GE3802" s="1" t="s">
        <v>190</v>
      </c>
    </row>
    <row r="3803" spans="1:187" ht="11.25" customHeight="1">
      <c r="A3803" s="1" t="s">
        <v>5345</v>
      </c>
      <c r="B3803" s="1" t="str">
        <f ca="1">IFERROR(__xludf.DUMMYFUNCTION("GOOGLETRANSLATE(A3803, ""en"", ""fr"")"),"EXPLORATEUR")</f>
        <v>EXPLORATEUR</v>
      </c>
      <c r="C3803" s="1" t="s">
        <v>185</v>
      </c>
      <c r="N3803" s="1" t="s">
        <v>10</v>
      </c>
      <c r="AJ3803" s="1" t="s">
        <v>32</v>
      </c>
      <c r="AT3803" s="1" t="s">
        <v>42</v>
      </c>
      <c r="FG3803" s="1" t="s">
        <v>159</v>
      </c>
      <c r="FI3803" s="1" t="s">
        <v>161</v>
      </c>
      <c r="GD3803" s="1" t="s">
        <v>193</v>
      </c>
      <c r="GE3803" s="1" t="s">
        <v>190</v>
      </c>
    </row>
    <row r="3804" spans="1:187" ht="11.25" customHeight="1">
      <c r="A3804" s="1" t="s">
        <v>5346</v>
      </c>
      <c r="B3804" s="1" t="str">
        <f ca="1">IFERROR(__xludf.DUMMYFUNCTION("GOOGLETRANSLATE(A3804, ""en"", ""fr"")"),"EXPLOSION")</f>
        <v>EXPLOSION</v>
      </c>
      <c r="C3804" s="1" t="s">
        <v>185</v>
      </c>
      <c r="E3804" s="1" t="s">
        <v>16613</v>
      </c>
      <c r="H3804" s="1" t="s">
        <v>4</v>
      </c>
      <c r="J3804" s="1" t="s">
        <v>6</v>
      </c>
      <c r="N3804" s="1" t="s">
        <v>10</v>
      </c>
      <c r="BU3804" s="1" t="s">
        <v>69</v>
      </c>
      <c r="GD3804" s="1" t="s">
        <v>193</v>
      </c>
      <c r="GE3804" s="1" t="s">
        <v>190</v>
      </c>
    </row>
    <row r="3805" spans="1:187" ht="11.25" customHeight="1">
      <c r="A3805" s="1" t="s">
        <v>5347</v>
      </c>
      <c r="B3805" s="1" t="str">
        <f ca="1">IFERROR(__xludf.DUMMYFUNCTION("GOOGLETRANSLATE(A3805, ""en"", ""fr"")"),"EXPLOSIF")</f>
        <v>EXPLOSIF</v>
      </c>
      <c r="C3805" s="1" t="s">
        <v>185</v>
      </c>
      <c r="E3805" s="1" t="s">
        <v>16613</v>
      </c>
      <c r="H3805" s="1" t="s">
        <v>4</v>
      </c>
      <c r="J3805" s="1" t="s">
        <v>6</v>
      </c>
      <c r="N3805" s="1" t="s">
        <v>10</v>
      </c>
      <c r="BU3805" s="1" t="s">
        <v>69</v>
      </c>
      <c r="EC3805" s="1" t="s">
        <v>129</v>
      </c>
      <c r="ED3805" s="1" t="s">
        <v>130</v>
      </c>
      <c r="GD3805" s="1" t="s">
        <v>202</v>
      </c>
      <c r="GE3805" s="1" t="s">
        <v>190</v>
      </c>
    </row>
    <row r="3806" spans="1:187" ht="11.25" customHeight="1">
      <c r="A3806" s="1" t="s">
        <v>5348</v>
      </c>
      <c r="B3806" s="1" t="str">
        <f ca="1">IFERROR(__xludf.DUMMYFUNCTION("GOOGLETRANSLATE(A3806, ""en"", ""fr"")"),"EXPORTER")</f>
        <v>EXPORTER</v>
      </c>
      <c r="C3806" s="1" t="s">
        <v>196</v>
      </c>
      <c r="EV3806" s="1" t="s">
        <v>148</v>
      </c>
      <c r="EW3806" s="1" t="s">
        <v>149</v>
      </c>
      <c r="GD3806" s="1" t="s">
        <v>875</v>
      </c>
    </row>
    <row r="3807" spans="1:187" ht="11.25" customHeight="1">
      <c r="A3807" s="1" t="s">
        <v>5349</v>
      </c>
      <c r="B3807" s="1" t="str">
        <f ca="1">IFERROR(__xludf.DUMMYFUNCTION("GOOGLETRANSLATE(A3807, ""en"", ""fr"")"),"EXPORTATION")</f>
        <v>EXPORTATION</v>
      </c>
      <c r="C3807" s="1" t="s">
        <v>196</v>
      </c>
      <c r="EU3807" s="1" t="s">
        <v>147</v>
      </c>
      <c r="EW3807" s="1" t="s">
        <v>149</v>
      </c>
      <c r="GD3807" s="1" t="s">
        <v>875</v>
      </c>
    </row>
    <row r="3808" spans="1:187" ht="11.25" customHeight="1">
      <c r="A3808" s="1" t="s">
        <v>5350</v>
      </c>
      <c r="B3808" s="1" t="str">
        <f ca="1">IFERROR(__xludf.DUMMYFUNCTION("GOOGLETRANSLATE(A3808, ""en"", ""fr"")"),"EXPORTATEUR")</f>
        <v>EXPORTATEUR</v>
      </c>
      <c r="C3808" s="1" t="s">
        <v>196</v>
      </c>
      <c r="ET3808" s="1" t="s">
        <v>146</v>
      </c>
      <c r="EW3808" s="1" t="s">
        <v>149</v>
      </c>
      <c r="GD3808" s="1" t="s">
        <v>193</v>
      </c>
    </row>
    <row r="3809" spans="1:187" ht="11.25" customHeight="1">
      <c r="A3809" s="1" t="s">
        <v>5351</v>
      </c>
      <c r="B3809" s="1" t="str">
        <f ca="1">IFERROR(__xludf.DUMMYFUNCTION("GOOGLETRANSLATE(A3809, ""en"", ""fr"")"),"EXPOSER")</f>
        <v>EXPOSER</v>
      </c>
      <c r="C3809" s="1" t="s">
        <v>185</v>
      </c>
      <c r="E3809" s="1" t="s">
        <v>16613</v>
      </c>
      <c r="N3809" s="1" t="s">
        <v>10</v>
      </c>
      <c r="BK3809" s="1" t="s">
        <v>59</v>
      </c>
      <c r="CK3809" s="1" t="s">
        <v>85</v>
      </c>
      <c r="DN3809" s="1" t="s">
        <v>114</v>
      </c>
      <c r="FP3809" s="1" t="s">
        <v>168</v>
      </c>
      <c r="GD3809" s="1" t="s">
        <v>189</v>
      </c>
      <c r="GE3809" s="1" t="s">
        <v>190</v>
      </c>
    </row>
    <row r="3810" spans="1:187" ht="11.25" customHeight="1">
      <c r="A3810" s="1" t="s">
        <v>5352</v>
      </c>
      <c r="B3810" s="1" t="str">
        <f ca="1">IFERROR(__xludf.DUMMYFUNCTION("GOOGLETRANSLATE(A3810, ""en"", ""fr"")"),"EXPRIMER")</f>
        <v>EXPRIMER</v>
      </c>
      <c r="C3810" s="1" t="s">
        <v>185</v>
      </c>
      <c r="N3810" s="1" t="s">
        <v>10</v>
      </c>
      <c r="AD3810" s="1" t="s">
        <v>26</v>
      </c>
      <c r="BK3810" s="1" t="s">
        <v>59</v>
      </c>
      <c r="DN3810" s="1" t="s">
        <v>114</v>
      </c>
      <c r="FD3810" s="1" t="s">
        <v>156</v>
      </c>
      <c r="FI3810" s="1" t="s">
        <v>161</v>
      </c>
      <c r="GD3810" s="1" t="s">
        <v>189</v>
      </c>
      <c r="GE3810" s="1" t="s">
        <v>5353</v>
      </c>
    </row>
    <row r="3811" spans="1:187" ht="11.25" customHeight="1">
      <c r="A3811" s="1" t="s">
        <v>5354</v>
      </c>
      <c r="B3811" s="1" t="str">
        <f ca="1">IFERROR(__xludf.DUMMYFUNCTION("GOOGLETRANSLATE(A3811, ""en"", ""fr"")"),"Expression # 1")</f>
        <v>Expression # 1</v>
      </c>
      <c r="C3811" s="1" t="s">
        <v>185</v>
      </c>
      <c r="N3811" s="1" t="s">
        <v>10</v>
      </c>
      <c r="AD3811" s="1" t="s">
        <v>26</v>
      </c>
      <c r="BK3811" s="1" t="s">
        <v>59</v>
      </c>
      <c r="BL3811" s="1" t="s">
        <v>60</v>
      </c>
      <c r="CP3811" s="1" t="s">
        <v>90</v>
      </c>
      <c r="CQ3811" s="1" t="s">
        <v>91</v>
      </c>
      <c r="FD3811" s="1" t="s">
        <v>156</v>
      </c>
      <c r="FI3811" s="1" t="s">
        <v>161</v>
      </c>
      <c r="GC3811" s="1" t="s">
        <v>181</v>
      </c>
      <c r="GD3811" s="1" t="s">
        <v>193</v>
      </c>
      <c r="GE3811" s="1" t="s">
        <v>5355</v>
      </c>
    </row>
    <row r="3812" spans="1:187" ht="11.25" customHeight="1">
      <c r="A3812" s="1" t="s">
        <v>5356</v>
      </c>
      <c r="B3812" s="1" t="str">
        <f ca="1">IFERROR(__xludf.DUMMYFUNCTION("GOOGLETRANSLATE(A3812, ""en"", ""fr"")"),"Expression # 2")</f>
        <v>Expression # 2</v>
      </c>
      <c r="C3812" s="1" t="s">
        <v>185</v>
      </c>
      <c r="O3812" s="1" t="s">
        <v>11</v>
      </c>
      <c r="AD3812" s="1" t="s">
        <v>26</v>
      </c>
      <c r="BK3812" s="1" t="s">
        <v>59</v>
      </c>
      <c r="BL3812" s="1" t="s">
        <v>60</v>
      </c>
      <c r="FD3812" s="1" t="s">
        <v>156</v>
      </c>
      <c r="FI3812" s="1" t="s">
        <v>161</v>
      </c>
      <c r="GC3812" s="1" t="s">
        <v>181</v>
      </c>
      <c r="GD3812" s="1" t="s">
        <v>193</v>
      </c>
      <c r="GE3812" s="1" t="s">
        <v>5357</v>
      </c>
    </row>
    <row r="3813" spans="1:187" ht="11.25" customHeight="1">
      <c r="A3813" s="1" t="s">
        <v>5358</v>
      </c>
      <c r="B3813" s="1" t="str">
        <f ca="1">IFERROR(__xludf.DUMMYFUNCTION("GOOGLETRANSLATE(A3813, ""en"", ""fr"")"),"EXPRESSIF")</f>
        <v>EXPRESSIF</v>
      </c>
      <c r="C3813" s="1" t="s">
        <v>185</v>
      </c>
      <c r="O3813" s="1" t="s">
        <v>11</v>
      </c>
      <c r="AD3813" s="1" t="s">
        <v>26</v>
      </c>
      <c r="BK3813" s="1" t="s">
        <v>59</v>
      </c>
      <c r="FD3813" s="1" t="s">
        <v>156</v>
      </c>
      <c r="FI3813" s="1" t="s">
        <v>161</v>
      </c>
      <c r="GD3813" s="1" t="s">
        <v>202</v>
      </c>
      <c r="GE3813" s="1" t="s">
        <v>190</v>
      </c>
    </row>
    <row r="3814" spans="1:187" ht="11.25" customHeight="1">
      <c r="A3814" s="1" t="s">
        <v>5359</v>
      </c>
      <c r="B3814" s="1" t="str">
        <f ca="1">IFERROR(__xludf.DUMMYFUNCTION("GOOGLETRANSLATE(A3814, ""en"", ""fr"")"),"EXPULSION")</f>
        <v>EXPULSION</v>
      </c>
      <c r="C3814" s="1" t="s">
        <v>196</v>
      </c>
      <c r="DT3814" s="1" t="s">
        <v>120</v>
      </c>
      <c r="ED3814" s="1" t="s">
        <v>130</v>
      </c>
      <c r="GD3814" s="1" t="s">
        <v>193</v>
      </c>
    </row>
    <row r="3815" spans="1:187" ht="11.25" customHeight="1">
      <c r="A3815" s="1" t="s">
        <v>5360</v>
      </c>
      <c r="B3815" s="1" t="str">
        <f ca="1">IFERROR(__xludf.DUMMYFUNCTION("GOOGLETRANSLATE(A3815, ""en"", ""fr"")"),"EXQUIS")</f>
        <v>EXQUIS</v>
      </c>
      <c r="C3815" s="1" t="s">
        <v>192</v>
      </c>
      <c r="D3815" s="1" t="s">
        <v>16612</v>
      </c>
      <c r="CM3815" s="1" t="s">
        <v>87</v>
      </c>
      <c r="CR3815" s="1" t="s">
        <v>92</v>
      </c>
      <c r="DR3815" s="1" t="s">
        <v>118</v>
      </c>
      <c r="GD3815" s="1" t="s">
        <v>202</v>
      </c>
      <c r="GE3815" s="1" t="s">
        <v>190</v>
      </c>
    </row>
    <row r="3816" spans="1:187" ht="11.25" customHeight="1">
      <c r="A3816" s="1" t="s">
        <v>5361</v>
      </c>
      <c r="B3816" s="1" t="str">
        <f ca="1">IFERROR(__xludf.DUMMYFUNCTION("GOOGLETRANSLATE(A3816, ""en"", ""fr"")"),"Étendre n ° 1")</f>
        <v>Étendre n ° 1</v>
      </c>
      <c r="C3816" s="1" t="s">
        <v>185</v>
      </c>
      <c r="J3816" s="1" t="s">
        <v>6</v>
      </c>
      <c r="N3816" s="1" t="s">
        <v>10</v>
      </c>
      <c r="BX3816" s="1" t="s">
        <v>72</v>
      </c>
      <c r="DN3816" s="1" t="s">
        <v>114</v>
      </c>
      <c r="FP3816" s="1" t="s">
        <v>168</v>
      </c>
      <c r="GD3816" s="1" t="s">
        <v>400</v>
      </c>
      <c r="GE3816" s="1" t="s">
        <v>5362</v>
      </c>
    </row>
    <row r="3817" spans="1:187" ht="11.25" customHeight="1">
      <c r="A3817" s="1" t="s">
        <v>5363</v>
      </c>
      <c r="B3817" s="1" t="str">
        <f ca="1">IFERROR(__xludf.DUMMYFUNCTION("GOOGLETRANSLATE(A3817, ""en"", ""fr"")"),"Étendre n ° 2")</f>
        <v>Étendre n ° 2</v>
      </c>
      <c r="C3817" s="1" t="s">
        <v>185</v>
      </c>
      <c r="G3817" s="1" t="s">
        <v>3</v>
      </c>
      <c r="N3817" s="1" t="s">
        <v>10</v>
      </c>
      <c r="BK3817" s="1" t="s">
        <v>59</v>
      </c>
      <c r="DN3817" s="1" t="s">
        <v>114</v>
      </c>
      <c r="FP3817" s="1" t="s">
        <v>168</v>
      </c>
      <c r="GD3817" s="1" t="s">
        <v>189</v>
      </c>
      <c r="GE3817" s="1" t="s">
        <v>5364</v>
      </c>
    </row>
    <row r="3818" spans="1:187" ht="11.25" customHeight="1">
      <c r="A3818" s="1" t="s">
        <v>5365</v>
      </c>
      <c r="B3818" s="1" t="str">
        <f ca="1">IFERROR(__xludf.DUMMYFUNCTION("GOOGLETRANSLATE(A3818, ""en"", ""fr"")"),"Étendre n ° 3")</f>
        <v>Étendre n ° 3</v>
      </c>
      <c r="C3818" s="1" t="s">
        <v>185</v>
      </c>
      <c r="O3818" s="1" t="s">
        <v>11</v>
      </c>
      <c r="CS3818" s="1" t="s">
        <v>93</v>
      </c>
      <c r="GB3818" s="1" t="s">
        <v>180</v>
      </c>
      <c r="GD3818" s="1" t="s">
        <v>202</v>
      </c>
      <c r="GE3818" s="1" t="s">
        <v>5366</v>
      </c>
    </row>
    <row r="3819" spans="1:187" ht="11.25" customHeight="1">
      <c r="A3819" s="1" t="s">
        <v>5367</v>
      </c>
      <c r="B3819" s="1" t="str">
        <f ca="1">IFERROR(__xludf.DUMMYFUNCTION("GOOGLETRANSLATE(A3819, ""en"", ""fr"")"),"EXTENSION")</f>
        <v>EXTENSION</v>
      </c>
      <c r="C3819" s="1" t="s">
        <v>185</v>
      </c>
      <c r="J3819" s="1" t="s">
        <v>6</v>
      </c>
      <c r="DA3819" s="1" t="s">
        <v>101</v>
      </c>
      <c r="GD3819" s="1" t="s">
        <v>193</v>
      </c>
      <c r="GE3819" s="1" t="s">
        <v>190</v>
      </c>
    </row>
    <row r="3820" spans="1:187" ht="11.25" customHeight="1">
      <c r="A3820" s="1" t="s">
        <v>5368</v>
      </c>
      <c r="B3820" s="1" t="str">
        <f ca="1">IFERROR(__xludf.DUMMYFUNCTION("GOOGLETRANSLATE(A3820, ""en"", ""fr"")"),"EXTENSIF")</f>
        <v>EXTENSIF</v>
      </c>
      <c r="C3820" s="1" t="s">
        <v>185</v>
      </c>
      <c r="J3820" s="1" t="s">
        <v>6</v>
      </c>
      <c r="W3820" s="1" t="s">
        <v>19</v>
      </c>
      <c r="DA3820" s="1" t="s">
        <v>101</v>
      </c>
      <c r="DC3820" s="1" t="s">
        <v>103</v>
      </c>
      <c r="FY3820" s="1" t="s">
        <v>177</v>
      </c>
      <c r="GD3820" s="1" t="s">
        <v>202</v>
      </c>
      <c r="GE3820" s="1" t="s">
        <v>190</v>
      </c>
    </row>
    <row r="3821" spans="1:187" ht="11.25" customHeight="1">
      <c r="A3821" s="1" t="s">
        <v>5369</v>
      </c>
      <c r="B3821" s="1" t="str">
        <f ca="1">IFERROR(__xludf.DUMMYFUNCTION("GOOGLETRANSLATE(A3821, ""en"", ""fr"")"),"ÉTENDUE")</f>
        <v>ÉTENDUE</v>
      </c>
      <c r="C3821" s="1" t="s">
        <v>185</v>
      </c>
      <c r="DD3821" s="1" t="s">
        <v>104</v>
      </c>
      <c r="GD3821" s="1" t="s">
        <v>193</v>
      </c>
      <c r="GE3821" s="1" t="s">
        <v>5370</v>
      </c>
    </row>
    <row r="3822" spans="1:187" ht="11.25" customHeight="1">
      <c r="A3822" s="1" t="s">
        <v>5371</v>
      </c>
      <c r="B3822" s="1" t="str">
        <f ca="1">IFERROR(__xludf.DUMMYFUNCTION("GOOGLETRANSLATE(A3822, ""en"", ""fr"")"),"EXTERMINER")</f>
        <v>EXTERMINER</v>
      </c>
      <c r="C3822" s="1" t="s">
        <v>192</v>
      </c>
      <c r="E3822" s="1" t="s">
        <v>16613</v>
      </c>
      <c r="K3822" s="1" t="s">
        <v>7</v>
      </c>
      <c r="N3822" s="1" t="s">
        <v>10</v>
      </c>
      <c r="BY3822" s="1" t="s">
        <v>73</v>
      </c>
      <c r="BZ3822" s="1" t="s">
        <v>74</v>
      </c>
      <c r="DN3822" s="1" t="s">
        <v>114</v>
      </c>
      <c r="GD3822" s="1" t="s">
        <v>189</v>
      </c>
      <c r="GE3822" s="1" t="s">
        <v>190</v>
      </c>
    </row>
    <row r="3823" spans="1:187" ht="11.25" customHeight="1">
      <c r="A3823" s="1" t="s">
        <v>5372</v>
      </c>
      <c r="B3823" s="1" t="str">
        <f ca="1">IFERROR(__xludf.DUMMYFUNCTION("GOOGLETRANSLATE(A3823, ""en"", ""fr"")"),"EXTERMINATION")</f>
        <v>EXTERMINATION</v>
      </c>
      <c r="C3823" s="1" t="s">
        <v>192</v>
      </c>
      <c r="E3823" s="1" t="s">
        <v>16613</v>
      </c>
      <c r="K3823" s="1" t="s">
        <v>7</v>
      </c>
      <c r="BY3823" s="1" t="s">
        <v>73</v>
      </c>
      <c r="BZ3823" s="1" t="s">
        <v>74</v>
      </c>
      <c r="GD3823" s="1" t="s">
        <v>193</v>
      </c>
      <c r="GE3823" s="1" t="s">
        <v>190</v>
      </c>
    </row>
    <row r="3824" spans="1:187" ht="11.25" customHeight="1">
      <c r="A3824" s="1" t="s">
        <v>5373</v>
      </c>
      <c r="B3824" s="1" t="str">
        <f ca="1">IFERROR(__xludf.DUMMYFUNCTION("GOOGLETRANSLATE(A3824, ""en"", ""fr"")"),"EXTERNE")</f>
        <v>EXTERNE</v>
      </c>
      <c r="C3824" s="1" t="s">
        <v>185</v>
      </c>
      <c r="DA3824" s="1" t="s">
        <v>101</v>
      </c>
      <c r="GD3824" s="1" t="s">
        <v>202</v>
      </c>
      <c r="GE3824" s="1" t="s">
        <v>190</v>
      </c>
    </row>
    <row r="3825" spans="1:187" ht="11.25" customHeight="1">
      <c r="A3825" s="1" t="s">
        <v>5374</v>
      </c>
      <c r="B3825" s="1" t="str">
        <f ca="1">IFERROR(__xludf.DUMMYFUNCTION("GOOGLETRANSLATE(A3825, ""en"", ""fr"")"),"ÉTEINT")</f>
        <v>ÉTEINT</v>
      </c>
      <c r="C3825" s="1" t="s">
        <v>185</v>
      </c>
      <c r="E3825" s="1" t="s">
        <v>16613</v>
      </c>
      <c r="BZ3825" s="1" t="s">
        <v>74</v>
      </c>
      <c r="CR3825" s="1" t="s">
        <v>92</v>
      </c>
      <c r="CS3825" s="1" t="s">
        <v>93</v>
      </c>
      <c r="DR3825" s="1" t="s">
        <v>118</v>
      </c>
      <c r="EY3825" s="1" t="s">
        <v>151</v>
      </c>
      <c r="FC3825" s="1" t="s">
        <v>155</v>
      </c>
      <c r="GD3825" s="1" t="s">
        <v>202</v>
      </c>
      <c r="GE3825" s="1" t="s">
        <v>190</v>
      </c>
    </row>
    <row r="3826" spans="1:187" ht="11.25" customHeight="1">
      <c r="A3826" s="1" t="s">
        <v>5375</v>
      </c>
      <c r="B3826" s="1" t="str">
        <f ca="1">IFERROR(__xludf.DUMMYFUNCTION("GOOGLETRANSLATE(A3826, ""en"", ""fr"")"),"ÉTEINDRE")</f>
        <v>ÉTEINDRE</v>
      </c>
      <c r="C3826" s="1" t="s">
        <v>185</v>
      </c>
      <c r="E3826" s="1" t="s">
        <v>16613</v>
      </c>
      <c r="H3826" s="1" t="s">
        <v>4</v>
      </c>
      <c r="J3826" s="1" t="s">
        <v>6</v>
      </c>
      <c r="N3826" s="1" t="s">
        <v>10</v>
      </c>
      <c r="BZ3826" s="1" t="s">
        <v>74</v>
      </c>
      <c r="DN3826" s="1" t="s">
        <v>114</v>
      </c>
      <c r="FP3826" s="1" t="s">
        <v>168</v>
      </c>
      <c r="GD3826" s="1" t="s">
        <v>189</v>
      </c>
      <c r="GE3826" s="1" t="s">
        <v>190</v>
      </c>
    </row>
    <row r="3827" spans="1:187" ht="11.25" customHeight="1">
      <c r="A3827" s="1" t="s">
        <v>5376</v>
      </c>
      <c r="B3827" s="1" t="str">
        <f ca="1">IFERROR(__xludf.DUMMYFUNCTION("GOOGLETRANSLATE(A3827, ""en"", ""fr"")"),"EXALTER")</f>
        <v>EXALTER</v>
      </c>
      <c r="C3827" s="1" t="s">
        <v>192</v>
      </c>
      <c r="D3827" s="1" t="s">
        <v>16612</v>
      </c>
      <c r="M3827" s="1" t="s">
        <v>9</v>
      </c>
      <c r="O3827" s="1" t="s">
        <v>11</v>
      </c>
      <c r="AN3827" s="1" t="s">
        <v>36</v>
      </c>
      <c r="CM3827" s="1" t="s">
        <v>87</v>
      </c>
      <c r="DN3827" s="1" t="s">
        <v>114</v>
      </c>
      <c r="GD3827" s="1" t="s">
        <v>189</v>
      </c>
      <c r="GE3827" s="1" t="s">
        <v>190</v>
      </c>
    </row>
    <row r="3828" spans="1:187" ht="11.25" customHeight="1">
      <c r="A3828" s="1" t="s">
        <v>5377</v>
      </c>
      <c r="B3828" s="1" t="str">
        <f ca="1">IFERROR(__xludf.DUMMYFUNCTION("GOOGLETRANSLATE(A3828, ""en"", ""fr"")"),"SUPPLÉMENTAIRE")</f>
        <v>SUPPLÉMENTAIRE</v>
      </c>
      <c r="C3828" s="1" t="s">
        <v>185</v>
      </c>
      <c r="W3828" s="1" t="s">
        <v>19</v>
      </c>
      <c r="CS3828" s="1" t="s">
        <v>93</v>
      </c>
      <c r="GD3828" s="1" t="s">
        <v>202</v>
      </c>
      <c r="GE3828" s="1" t="s">
        <v>5378</v>
      </c>
    </row>
    <row r="3829" spans="1:187" ht="11.25" customHeight="1">
      <c r="A3829" s="1" t="s">
        <v>5379</v>
      </c>
      <c r="B3829" s="1" t="str">
        <f ca="1">IFERROR(__xludf.DUMMYFUNCTION("GOOGLETRANSLATE(A3829, ""en"", ""fr"")"),"EXTRAORDINAIRE")</f>
        <v>EXTRAORDINAIRE</v>
      </c>
      <c r="C3829" s="1" t="s">
        <v>185</v>
      </c>
      <c r="D3829" s="1" t="s">
        <v>16612</v>
      </c>
      <c r="F3829" s="1" t="s">
        <v>2</v>
      </c>
      <c r="U3829" s="1" t="s">
        <v>17</v>
      </c>
      <c r="W3829" s="1" t="s">
        <v>19</v>
      </c>
      <c r="CN3829" s="1" t="s">
        <v>88</v>
      </c>
      <c r="CR3829" s="1" t="s">
        <v>92</v>
      </c>
      <c r="DR3829" s="1" t="s">
        <v>118</v>
      </c>
      <c r="FY3829" s="1" t="s">
        <v>177</v>
      </c>
      <c r="GD3829" s="1" t="s">
        <v>202</v>
      </c>
      <c r="GE3829" s="1" t="s">
        <v>190</v>
      </c>
    </row>
    <row r="3830" spans="1:187" ht="11.25" customHeight="1">
      <c r="A3830" s="1" t="s">
        <v>5380</v>
      </c>
      <c r="B3830" s="1" t="str">
        <f ca="1">IFERROR(__xludf.DUMMYFUNCTION("GOOGLETRANSLATE(A3830, ""en"", ""fr"")"),"EXTRAPOLER")</f>
        <v>EXTRAPOLER</v>
      </c>
      <c r="C3830" s="1" t="s">
        <v>185</v>
      </c>
      <c r="N3830" s="1" t="s">
        <v>10</v>
      </c>
      <c r="CO3830" s="1" t="s">
        <v>89</v>
      </c>
      <c r="DN3830" s="1" t="s">
        <v>114</v>
      </c>
      <c r="GD3830" s="1" t="s">
        <v>189</v>
      </c>
      <c r="GE3830" s="1" t="s">
        <v>190</v>
      </c>
    </row>
    <row r="3831" spans="1:187" ht="11.25" customHeight="1">
      <c r="A3831" s="1" t="s">
        <v>5381</v>
      </c>
      <c r="B3831" s="1" t="str">
        <f ca="1">IFERROR(__xludf.DUMMYFUNCTION("GOOGLETRANSLATE(A3831, ""en"", ""fr"")"),"Extrapolation")</f>
        <v>Extrapolation</v>
      </c>
      <c r="C3831" s="1" t="s">
        <v>185</v>
      </c>
      <c r="N3831" s="1" t="s">
        <v>10</v>
      </c>
      <c r="CH3831" s="1" t="s">
        <v>82</v>
      </c>
      <c r="GD3831" s="1" t="s">
        <v>193</v>
      </c>
      <c r="GE3831" s="1" t="s">
        <v>190</v>
      </c>
    </row>
    <row r="3832" spans="1:187" ht="11.25" customHeight="1">
      <c r="A3832" s="1" t="s">
        <v>5382</v>
      </c>
      <c r="B3832" s="1" t="str">
        <f ca="1">IFERROR(__xludf.DUMMYFUNCTION("GOOGLETRANSLATE(A3832, ""en"", ""fr"")"),"EXTRAVAGANCE")</f>
        <v>EXTRAVAGANCE</v>
      </c>
      <c r="C3832" s="1" t="s">
        <v>185</v>
      </c>
      <c r="D3832" s="1" t="s">
        <v>16612</v>
      </c>
      <c r="W3832" s="1" t="s">
        <v>19</v>
      </c>
      <c r="CM3832" s="1" t="s">
        <v>87</v>
      </c>
      <c r="FQ3832" s="1" t="s">
        <v>169</v>
      </c>
      <c r="GD3832" s="1" t="s">
        <v>193</v>
      </c>
      <c r="GE3832" s="1" t="s">
        <v>190</v>
      </c>
    </row>
    <row r="3833" spans="1:187" ht="11.25" customHeight="1">
      <c r="A3833" s="1" t="s">
        <v>5383</v>
      </c>
      <c r="B3833" s="1" t="str">
        <f ca="1">IFERROR(__xludf.DUMMYFUNCTION("GOOGLETRANSLATE(A3833, ""en"", ""fr"")"),"EXTRAVAGANT")</f>
        <v>EXTRAVAGANT</v>
      </c>
      <c r="C3833" s="1" t="s">
        <v>185</v>
      </c>
      <c r="E3833" s="1" t="s">
        <v>16613</v>
      </c>
      <c r="H3833" s="1" t="s">
        <v>4</v>
      </c>
      <c r="V3833" s="1" t="s">
        <v>18</v>
      </c>
      <c r="W3833" s="1" t="s">
        <v>19</v>
      </c>
      <c r="AA3833" s="1" t="s">
        <v>23</v>
      </c>
      <c r="CN3833" s="1" t="s">
        <v>88</v>
      </c>
      <c r="FQ3833" s="1" t="s">
        <v>169</v>
      </c>
      <c r="GD3833" s="1" t="s">
        <v>202</v>
      </c>
      <c r="GE3833" s="1" t="s">
        <v>190</v>
      </c>
    </row>
    <row r="3834" spans="1:187" ht="11.25" customHeight="1">
      <c r="A3834" s="1" t="s">
        <v>5384</v>
      </c>
      <c r="B3834" s="1" t="str">
        <f ca="1">IFERROR(__xludf.DUMMYFUNCTION("GOOGLETRANSLATE(A3834, ""en"", ""fr"")"),"Extreme # 1")</f>
        <v>Extreme # 1</v>
      </c>
      <c r="C3834" s="1" t="s">
        <v>185</v>
      </c>
      <c r="J3834" s="1" t="s">
        <v>6</v>
      </c>
      <c r="W3834" s="1" t="s">
        <v>19</v>
      </c>
      <c r="CS3834" s="1" t="s">
        <v>93</v>
      </c>
      <c r="DB3834" s="1" t="s">
        <v>102</v>
      </c>
      <c r="GD3834" s="1" t="s">
        <v>202</v>
      </c>
      <c r="GE3834" s="1" t="s">
        <v>5385</v>
      </c>
    </row>
    <row r="3835" spans="1:187" ht="11.25" customHeight="1">
      <c r="A3835" s="1" t="s">
        <v>5386</v>
      </c>
      <c r="B3835" s="1" t="str">
        <f ca="1">IFERROR(__xludf.DUMMYFUNCTION("GOOGLETRANSLATE(A3835, ""en"", ""fr"")"),"Extreme # 2")</f>
        <v>Extreme # 2</v>
      </c>
      <c r="C3835" s="1" t="s">
        <v>185</v>
      </c>
      <c r="J3835" s="1" t="s">
        <v>6</v>
      </c>
      <c r="W3835" s="1" t="s">
        <v>19</v>
      </c>
      <c r="CS3835" s="1" t="s">
        <v>93</v>
      </c>
      <c r="FY3835" s="1" t="s">
        <v>177</v>
      </c>
      <c r="GD3835" s="1" t="s">
        <v>236</v>
      </c>
      <c r="GE3835" s="1" t="s">
        <v>5387</v>
      </c>
    </row>
    <row r="3836" spans="1:187" ht="11.25" customHeight="1">
      <c r="A3836" s="1" t="s">
        <v>5388</v>
      </c>
      <c r="B3836" s="1" t="str">
        <f ca="1">IFERROR(__xludf.DUMMYFUNCTION("GOOGLETRANSLATE(A3836, ""en"", ""fr"")"),"Extreme # 3")</f>
        <v>Extreme # 3</v>
      </c>
      <c r="C3836" s="1" t="s">
        <v>185</v>
      </c>
      <c r="W3836" s="1" t="s">
        <v>19</v>
      </c>
      <c r="DA3836" s="1" t="s">
        <v>101</v>
      </c>
      <c r="GD3836" s="1" t="s">
        <v>193</v>
      </c>
      <c r="GE3836" s="1" t="s">
        <v>5389</v>
      </c>
    </row>
    <row r="3837" spans="1:187" ht="11.25" customHeight="1">
      <c r="A3837" s="1" t="s">
        <v>5390</v>
      </c>
      <c r="B3837" s="1" t="str">
        <f ca="1">IFERROR(__xludf.DUMMYFUNCTION("GOOGLETRANSLATE(A3837, ""en"", ""fr"")"),"EXUBÉRANCE")</f>
        <v>EXUBÉRANCE</v>
      </c>
      <c r="C3837" s="1" t="s">
        <v>192</v>
      </c>
      <c r="D3837" s="1" t="s">
        <v>16612</v>
      </c>
      <c r="R3837" s="1" t="s">
        <v>14</v>
      </c>
      <c r="W3837" s="1" t="s">
        <v>19</v>
      </c>
      <c r="GD3837" s="1" t="s">
        <v>193</v>
      </c>
      <c r="GE3837" s="1" t="s">
        <v>190</v>
      </c>
    </row>
    <row r="3838" spans="1:187" ht="11.25" customHeight="1">
      <c r="A3838" s="1" t="s">
        <v>5391</v>
      </c>
      <c r="B3838" s="1" t="str">
        <f ca="1">IFERROR(__xludf.DUMMYFUNCTION("GOOGLETRANSLATE(A3838, ""en"", ""fr"")"),"EXUBÉRANT")</f>
        <v>EXUBÉRANT</v>
      </c>
      <c r="C3838" s="1" t="s">
        <v>192</v>
      </c>
      <c r="D3838" s="1" t="s">
        <v>16612</v>
      </c>
      <c r="R3838" s="1" t="s">
        <v>14</v>
      </c>
      <c r="W3838" s="1" t="s">
        <v>19</v>
      </c>
      <c r="DR3838" s="1" t="s">
        <v>118</v>
      </c>
      <c r="GD3838" s="1" t="s">
        <v>202</v>
      </c>
      <c r="GE3838" s="1" t="s">
        <v>190</v>
      </c>
    </row>
    <row r="3839" spans="1:187" ht="11.25" customHeight="1">
      <c r="A3839" s="1" t="s">
        <v>5392</v>
      </c>
      <c r="B3839" s="1" t="str">
        <f ca="1">IFERROR(__xludf.DUMMYFUNCTION("GOOGLETRANSLATE(A3839, ""en"", ""fr"")"),"EXULTER")</f>
        <v>EXULTER</v>
      </c>
      <c r="C3839" s="1" t="s">
        <v>192</v>
      </c>
      <c r="D3839" s="1" t="s">
        <v>16612</v>
      </c>
      <c r="M3839" s="1" t="s">
        <v>9</v>
      </c>
      <c r="O3839" s="1" t="s">
        <v>11</v>
      </c>
      <c r="AN3839" s="1" t="s">
        <v>36</v>
      </c>
      <c r="CM3839" s="1" t="s">
        <v>87</v>
      </c>
      <c r="DN3839" s="1" t="s">
        <v>114</v>
      </c>
      <c r="GD3839" s="1" t="s">
        <v>189</v>
      </c>
      <c r="GE3839" s="1" t="s">
        <v>190</v>
      </c>
    </row>
    <row r="3840" spans="1:187" ht="11.25" customHeight="1">
      <c r="A3840" s="1" t="s">
        <v>5393</v>
      </c>
      <c r="B3840" s="1" t="str">
        <f ca="1">IFERROR(__xludf.DUMMYFUNCTION("GOOGLETRANSLATE(A3840, ""en"", ""fr"")"),"EXULTATION")</f>
        <v>EXULTATION</v>
      </c>
      <c r="C3840" s="1" t="s">
        <v>192</v>
      </c>
      <c r="D3840" s="1" t="s">
        <v>16612</v>
      </c>
      <c r="M3840" s="1" t="s">
        <v>9</v>
      </c>
      <c r="O3840" s="1" t="s">
        <v>11</v>
      </c>
      <c r="AN3840" s="1" t="s">
        <v>36</v>
      </c>
      <c r="CM3840" s="1" t="s">
        <v>87</v>
      </c>
      <c r="GD3840" s="1" t="s">
        <v>193</v>
      </c>
      <c r="GE3840" s="1" t="s">
        <v>190</v>
      </c>
    </row>
    <row r="3841" spans="1:187" ht="11.25" customHeight="1">
      <c r="A3841" s="1" t="s">
        <v>5394</v>
      </c>
      <c r="B3841" s="1" t="str">
        <f ca="1">IFERROR(__xludf.DUMMYFUNCTION("GOOGLETRANSLATE(A3841, ""en"", ""fr"")"),"Œil n ° 1")</f>
        <v>Œil n ° 1</v>
      </c>
      <c r="C3841" s="1" t="s">
        <v>185</v>
      </c>
      <c r="BJ3841" s="1" t="s">
        <v>58</v>
      </c>
      <c r="GD3841" s="1" t="s">
        <v>849</v>
      </c>
      <c r="GE3841" s="1" t="s">
        <v>5395</v>
      </c>
    </row>
    <row r="3842" spans="1:187" ht="11.25" customHeight="1">
      <c r="A3842" s="1" t="s">
        <v>5396</v>
      </c>
      <c r="B3842" s="1" t="str">
        <f ca="1">IFERROR(__xludf.DUMMYFUNCTION("GOOGLETRANSLATE(A3842, ""en"", ""fr"")"),"Œil n ° 2")</f>
        <v>Œil n ° 2</v>
      </c>
      <c r="C3842" s="1" t="s">
        <v>185</v>
      </c>
      <c r="O3842" s="1" t="s">
        <v>11</v>
      </c>
      <c r="CK3842" s="1" t="s">
        <v>85</v>
      </c>
      <c r="DN3842" s="1" t="s">
        <v>114</v>
      </c>
      <c r="FD3842" s="1" t="s">
        <v>156</v>
      </c>
      <c r="FI3842" s="1" t="s">
        <v>161</v>
      </c>
      <c r="GD3842" s="1" t="s">
        <v>189</v>
      </c>
      <c r="GE3842" s="1" t="s">
        <v>5397</v>
      </c>
    </row>
    <row r="3843" spans="1:187" ht="11.25" customHeight="1">
      <c r="A3843" s="1" t="s">
        <v>5398</v>
      </c>
      <c r="B3843" s="1" t="str">
        <f ca="1">IFERROR(__xludf.DUMMYFUNCTION("GOOGLETRANSLATE(A3843, ""en"", ""fr"")"),"Eye # 3")</f>
        <v>Eye # 3</v>
      </c>
      <c r="C3843" s="1" t="s">
        <v>185</v>
      </c>
      <c r="D3843" s="1" t="s">
        <v>16612</v>
      </c>
      <c r="F3843" s="1" t="s">
        <v>2</v>
      </c>
      <c r="BK3843" s="1" t="s">
        <v>59</v>
      </c>
      <c r="DX3843" s="1" t="s">
        <v>124</v>
      </c>
      <c r="ED3843" s="1" t="s">
        <v>130</v>
      </c>
      <c r="GC3843" s="1" t="s">
        <v>181</v>
      </c>
      <c r="GD3843" s="1" t="s">
        <v>236</v>
      </c>
      <c r="GE3843" s="1" t="s">
        <v>5399</v>
      </c>
    </row>
    <row r="3844" spans="1:187" ht="11.25" customHeight="1">
      <c r="A3844" s="1" t="s">
        <v>5400</v>
      </c>
      <c r="B3844" s="1" t="str">
        <f ca="1">IFERROR(__xludf.DUMMYFUNCTION("GOOGLETRANSLATE(A3844, ""en"", ""fr"")"),"Œil n ° 4")</f>
        <v>Œil n ° 4</v>
      </c>
      <c r="C3844" s="1" t="s">
        <v>185</v>
      </c>
      <c r="N3844" s="1" t="s">
        <v>10</v>
      </c>
      <c r="CK3844" s="1" t="s">
        <v>85</v>
      </c>
      <c r="DN3844" s="1" t="s">
        <v>114</v>
      </c>
      <c r="FD3844" s="1" t="s">
        <v>156</v>
      </c>
      <c r="FI3844" s="1" t="s">
        <v>161</v>
      </c>
      <c r="GD3844" s="1" t="s">
        <v>189</v>
      </c>
      <c r="GE3844" s="1" t="s">
        <v>5401</v>
      </c>
    </row>
    <row r="3845" spans="1:187" ht="11.25" customHeight="1">
      <c r="A3845" s="1" t="s">
        <v>5402</v>
      </c>
      <c r="B3845" s="1" t="str">
        <f ca="1">IFERROR(__xludf.DUMMYFUNCTION("GOOGLETRANSLATE(A3845, ""en"", ""fr"")"),"Œil n ° 5")</f>
        <v>Œil n ° 5</v>
      </c>
      <c r="C3845" s="1" t="s">
        <v>185</v>
      </c>
      <c r="O3845" s="1" t="s">
        <v>11</v>
      </c>
      <c r="CK3845" s="1" t="s">
        <v>85</v>
      </c>
      <c r="DN3845" s="1" t="s">
        <v>114</v>
      </c>
      <c r="FD3845" s="1" t="s">
        <v>156</v>
      </c>
      <c r="FI3845" s="1" t="s">
        <v>161</v>
      </c>
      <c r="GD3845" s="1" t="s">
        <v>189</v>
      </c>
      <c r="GE3845" s="1" t="s">
        <v>5403</v>
      </c>
    </row>
    <row r="3846" spans="1:187" ht="11.25" customHeight="1">
      <c r="A3846" s="1" t="s">
        <v>5404</v>
      </c>
      <c r="B3846" s="1" t="str">
        <f ca="1">IFERROR(__xludf.DUMMYFUNCTION("GOOGLETRANSLATE(A3846, ""en"", ""fr"")"),"Œil # 6")</f>
        <v>Œil # 6</v>
      </c>
      <c r="C3846" s="1" t="s">
        <v>185</v>
      </c>
      <c r="AE3846" s="1" t="s">
        <v>27</v>
      </c>
      <c r="AJ3846" s="1" t="s">
        <v>32</v>
      </c>
      <c r="AT3846" s="1" t="s">
        <v>42</v>
      </c>
      <c r="FK3846" s="1" t="s">
        <v>163</v>
      </c>
      <c r="FM3846" s="1" t="s">
        <v>418</v>
      </c>
      <c r="GD3846" s="1" t="s">
        <v>5405</v>
      </c>
      <c r="GE3846" s="1" t="s">
        <v>5406</v>
      </c>
    </row>
    <row r="3847" spans="1:187" ht="11.25" customHeight="1">
      <c r="A3847" s="1" t="s">
        <v>5407</v>
      </c>
      <c r="B3847" s="1" t="str">
        <f ca="1">IFERROR(__xludf.DUMMYFUNCTION("GOOGLETRANSLATE(A3847, ""en"", ""fr"")"),"SOURCIL")</f>
        <v>SOURCIL</v>
      </c>
      <c r="C3847" s="1" t="s">
        <v>185</v>
      </c>
      <c r="BJ3847" s="1" t="s">
        <v>58</v>
      </c>
      <c r="GD3847" s="1" t="s">
        <v>193</v>
      </c>
      <c r="GE3847" s="1" t="s">
        <v>190</v>
      </c>
    </row>
    <row r="3848" spans="1:187" ht="11.25" customHeight="1">
      <c r="A3848" s="1" t="s">
        <v>5408</v>
      </c>
      <c r="B3848" s="1" t="str">
        <f ca="1">IFERROR(__xludf.DUMMYFUNCTION("GOOGLETRANSLATE(A3848, ""en"", ""fr"")"),"PAUPIÈRE")</f>
        <v>PAUPIÈRE</v>
      </c>
      <c r="C3848" s="1" t="s">
        <v>185</v>
      </c>
      <c r="BJ3848" s="1" t="s">
        <v>58</v>
      </c>
      <c r="GD3848" s="1" t="s">
        <v>193</v>
      </c>
      <c r="GE3848" s="1" t="s">
        <v>190</v>
      </c>
    </row>
    <row r="3849" spans="1:187" ht="11.25" customHeight="1">
      <c r="A3849" s="1" t="s">
        <v>5409</v>
      </c>
      <c r="B3849" s="1" t="str">
        <f ca="1">IFERROR(__xludf.DUMMYFUNCTION("GOOGLETRANSLATE(A3849, ""en"", ""fr"")"),"TISSU")</f>
        <v>TISSU</v>
      </c>
      <c r="C3849" s="1" t="s">
        <v>185</v>
      </c>
      <c r="BC3849" s="1" t="s">
        <v>51</v>
      </c>
      <c r="BD3849" s="1" t="s">
        <v>52</v>
      </c>
      <c r="GD3849" s="1" t="s">
        <v>193</v>
      </c>
      <c r="GE3849" s="1" t="s">
        <v>190</v>
      </c>
    </row>
    <row r="3850" spans="1:187" ht="11.25" customHeight="1">
      <c r="A3850" s="1" t="s">
        <v>5410</v>
      </c>
      <c r="B3850" s="1" t="str">
        <f ca="1">IFERROR(__xludf.DUMMYFUNCTION("GOOGLETRANSLATE(A3850, ""en"", ""fr"")"),"FABRIQUER")</f>
        <v>FABRIQUER</v>
      </c>
      <c r="C3850" s="1" t="s">
        <v>192</v>
      </c>
      <c r="E3850" s="1" t="s">
        <v>16613</v>
      </c>
      <c r="N3850" s="1" t="s">
        <v>10</v>
      </c>
      <c r="BK3850" s="1" t="s">
        <v>59</v>
      </c>
      <c r="DN3850" s="1" t="s">
        <v>114</v>
      </c>
      <c r="GD3850" s="1" t="s">
        <v>189</v>
      </c>
      <c r="GE3850" s="1" t="s">
        <v>190</v>
      </c>
    </row>
    <row r="3851" spans="1:187" ht="11.25" customHeight="1">
      <c r="A3851" s="1" t="s">
        <v>5411</v>
      </c>
      <c r="B3851" s="1" t="str">
        <f ca="1">IFERROR(__xludf.DUMMYFUNCTION("GOOGLETRANSLATE(A3851, ""en"", ""fr"")"),"FABRICATION")</f>
        <v>FABRICATION</v>
      </c>
      <c r="C3851" s="1" t="s">
        <v>192</v>
      </c>
      <c r="E3851" s="1" t="s">
        <v>16613</v>
      </c>
      <c r="V3851" s="1" t="s">
        <v>18</v>
      </c>
      <c r="BK3851" s="1" t="s">
        <v>59</v>
      </c>
      <c r="GD3851" s="1" t="s">
        <v>193</v>
      </c>
      <c r="GE3851" s="1" t="s">
        <v>190</v>
      </c>
    </row>
    <row r="3852" spans="1:187" ht="11.25" customHeight="1">
      <c r="A3852" s="1" t="s">
        <v>5412</v>
      </c>
      <c r="B3852" s="1" t="str">
        <f ca="1">IFERROR(__xludf.DUMMYFUNCTION("GOOGLETRANSLATE(A3852, ""en"", ""fr"")"),"FABULEUX")</f>
        <v>FABULEUX</v>
      </c>
      <c r="C3852" s="1" t="s">
        <v>192</v>
      </c>
      <c r="D3852" s="1" t="s">
        <v>16612</v>
      </c>
      <c r="CM3852" s="1" t="s">
        <v>87</v>
      </c>
      <c r="CR3852" s="1" t="s">
        <v>92</v>
      </c>
      <c r="DR3852" s="1" t="s">
        <v>118</v>
      </c>
      <c r="GD3852" s="1" t="s">
        <v>202</v>
      </c>
      <c r="GE3852" s="1" t="s">
        <v>190</v>
      </c>
    </row>
    <row r="3853" spans="1:187" ht="11.25" customHeight="1">
      <c r="A3853" s="1" t="s">
        <v>5413</v>
      </c>
      <c r="B3853" s="1" t="str">
        <f ca="1">IFERROR(__xludf.DUMMYFUNCTION("GOOGLETRANSLATE(A3853, ""en"", ""fr"")"),"Visage n ° 1")</f>
        <v>Visage n ° 1</v>
      </c>
      <c r="C3853" s="1" t="s">
        <v>185</v>
      </c>
      <c r="BJ3853" s="1" t="s">
        <v>58</v>
      </c>
      <c r="GD3853" s="1" t="s">
        <v>193</v>
      </c>
      <c r="GE3853" s="1" t="s">
        <v>5414</v>
      </c>
    </row>
    <row r="3854" spans="1:187" ht="11.25" customHeight="1">
      <c r="A3854" s="1" t="s">
        <v>5415</v>
      </c>
      <c r="B3854" s="1" t="str">
        <f ca="1">IFERROR(__xludf.DUMMYFUNCTION("GOOGLETRANSLATE(A3854, ""en"", ""fr"")"),"Visage n ° 2")</f>
        <v>Visage n ° 2</v>
      </c>
      <c r="C3854" s="1" t="s">
        <v>185</v>
      </c>
      <c r="J3854" s="1" t="s">
        <v>6</v>
      </c>
      <c r="N3854" s="1" t="s">
        <v>10</v>
      </c>
      <c r="CK3854" s="1" t="s">
        <v>85</v>
      </c>
      <c r="DN3854" s="1" t="s">
        <v>114</v>
      </c>
      <c r="GD3854" s="1" t="s">
        <v>189</v>
      </c>
      <c r="GE3854" s="1" t="s">
        <v>5416</v>
      </c>
    </row>
    <row r="3855" spans="1:187" ht="11.25" customHeight="1">
      <c r="A3855" s="1" t="s">
        <v>5417</v>
      </c>
      <c r="B3855" s="1" t="str">
        <f ca="1">IFERROR(__xludf.DUMMYFUNCTION("GOOGLETRANSLATE(A3855, ""en"", ""fr"")"),"Visage n ° 3")</f>
        <v>Visage n ° 3</v>
      </c>
      <c r="C3855" s="1" t="s">
        <v>185</v>
      </c>
      <c r="DA3855" s="1" t="s">
        <v>101</v>
      </c>
      <c r="GD3855" s="1" t="s">
        <v>215</v>
      </c>
      <c r="GE3855" s="1" t="s">
        <v>5418</v>
      </c>
    </row>
    <row r="3856" spans="1:187" ht="11.25" customHeight="1">
      <c r="A3856" s="1" t="s">
        <v>5419</v>
      </c>
      <c r="B3856" s="1" t="str">
        <f ca="1">IFERROR(__xludf.DUMMYFUNCTION("GOOGLETRANSLATE(A3856, ""en"", ""fr"")"),"Visage n ° 4")</f>
        <v>Visage n ° 4</v>
      </c>
      <c r="C3856" s="1" t="s">
        <v>185</v>
      </c>
      <c r="BK3856" s="1" t="s">
        <v>59</v>
      </c>
      <c r="GC3856" s="1" t="s">
        <v>181</v>
      </c>
      <c r="GD3856" s="1" t="s">
        <v>236</v>
      </c>
      <c r="GE3856" s="1" t="s">
        <v>5420</v>
      </c>
    </row>
    <row r="3857" spans="1:187" ht="11.25" customHeight="1">
      <c r="A3857" s="1" t="s">
        <v>5421</v>
      </c>
      <c r="B3857" s="1" t="str">
        <f ca="1">IFERROR(__xludf.DUMMYFUNCTION("GOOGLETRANSLATE(A3857, ""en"", ""fr"")"),"Visage n ° 5")</f>
        <v>Visage n ° 5</v>
      </c>
      <c r="C3857" s="1" t="s">
        <v>185</v>
      </c>
      <c r="BK3857" s="1" t="s">
        <v>59</v>
      </c>
      <c r="DN3857" s="1" t="s">
        <v>114</v>
      </c>
      <c r="EM3857" s="1" t="s">
        <v>139</v>
      </c>
      <c r="EN3857" s="1" t="s">
        <v>140</v>
      </c>
      <c r="GD3857" s="1" t="s">
        <v>189</v>
      </c>
      <c r="GE3857" s="1" t="s">
        <v>5422</v>
      </c>
    </row>
    <row r="3858" spans="1:187" ht="11.25" customHeight="1">
      <c r="A3858" s="1" t="s">
        <v>5423</v>
      </c>
      <c r="B3858" s="1" t="str">
        <f ca="1">IFERROR(__xludf.DUMMYFUNCTION("GOOGLETRANSLATE(A3858, ""en"", ""fr"")"),"Soin du visage")</f>
        <v>Soin du visage</v>
      </c>
      <c r="C3858" s="1" t="s">
        <v>185</v>
      </c>
      <c r="BJ3858" s="1" t="s">
        <v>58</v>
      </c>
      <c r="GD3858" s="1" t="s">
        <v>202</v>
      </c>
      <c r="GE3858" s="1" t="s">
        <v>190</v>
      </c>
    </row>
    <row r="3859" spans="1:187" ht="11.25" customHeight="1">
      <c r="A3859" s="1" t="s">
        <v>5424</v>
      </c>
      <c r="B3859" s="1" t="str">
        <f ca="1">IFERROR(__xludf.DUMMYFUNCTION("GOOGLETRANSLATE(A3859, ""en"", ""fr"")"),"FACILITER")</f>
        <v>FACILITER</v>
      </c>
      <c r="C3859" s="1" t="s">
        <v>185</v>
      </c>
      <c r="D3859" s="1" t="s">
        <v>16612</v>
      </c>
      <c r="F3859" s="1" t="s">
        <v>2</v>
      </c>
      <c r="G3859" s="1" t="s">
        <v>3</v>
      </c>
      <c r="J3859" s="1" t="s">
        <v>6</v>
      </c>
      <c r="AL3859" s="1" t="s">
        <v>34</v>
      </c>
      <c r="DN3859" s="1" t="s">
        <v>114</v>
      </c>
      <c r="FQ3859" s="1" t="s">
        <v>169</v>
      </c>
      <c r="GD3859" s="1" t="s">
        <v>189</v>
      </c>
      <c r="GE3859" s="1" t="s">
        <v>190</v>
      </c>
    </row>
    <row r="3860" spans="1:187" ht="11.25" customHeight="1">
      <c r="A3860" s="1" t="s">
        <v>5425</v>
      </c>
      <c r="B3860" s="1" t="str">
        <f ca="1">IFERROR(__xludf.DUMMYFUNCTION("GOOGLETRANSLATE(A3860, ""en"", ""fr"")"),"FACILITÉ")</f>
        <v>FACILITÉ</v>
      </c>
      <c r="C3860" s="1" t="s">
        <v>185</v>
      </c>
      <c r="J3860" s="1" t="s">
        <v>6</v>
      </c>
      <c r="BQ3860" s="1" t="s">
        <v>65</v>
      </c>
      <c r="FQ3860" s="1" t="s">
        <v>169</v>
      </c>
      <c r="GD3860" s="1" t="s">
        <v>193</v>
      </c>
      <c r="GE3860" s="1" t="s">
        <v>5426</v>
      </c>
    </row>
    <row r="3861" spans="1:187" ht="11.25" customHeight="1">
      <c r="A3861" s="1" t="s">
        <v>5427</v>
      </c>
      <c r="B3861" s="1" t="str">
        <f ca="1">IFERROR(__xludf.DUMMYFUNCTION("GOOGLETRANSLATE(A3861, ""en"", ""fr"")"),"Fait n ° 1")</f>
        <v>Fait n ° 1</v>
      </c>
      <c r="C3861" s="1" t="s">
        <v>185</v>
      </c>
      <c r="CH3861" s="1" t="s">
        <v>82</v>
      </c>
      <c r="FH3861" s="1" t="s">
        <v>160</v>
      </c>
      <c r="FI3861" s="1" t="s">
        <v>161</v>
      </c>
      <c r="GD3861" s="1" t="s">
        <v>193</v>
      </c>
      <c r="GE3861" s="1" t="s">
        <v>5428</v>
      </c>
    </row>
    <row r="3862" spans="1:187" ht="11.25" customHeight="1">
      <c r="A3862" s="1" t="s">
        <v>5429</v>
      </c>
      <c r="B3862" s="1" t="str">
        <f ca="1">IFERROR(__xludf.DUMMYFUNCTION("GOOGLETRANSLATE(A3862, ""en"", ""fr"")"),"Fait n ° 2")</f>
        <v>Fait n ° 2</v>
      </c>
      <c r="C3862" s="1" t="s">
        <v>185</v>
      </c>
      <c r="W3862" s="1" t="s">
        <v>19</v>
      </c>
      <c r="CH3862" s="1" t="s">
        <v>82</v>
      </c>
      <c r="FY3862" s="1" t="s">
        <v>177</v>
      </c>
      <c r="GD3862" s="1" t="s">
        <v>236</v>
      </c>
      <c r="GE3862" s="1" t="s">
        <v>5430</v>
      </c>
    </row>
    <row r="3863" spans="1:187" ht="11.25" customHeight="1">
      <c r="A3863" s="1" t="s">
        <v>5431</v>
      </c>
      <c r="B3863" s="1" t="str">
        <f ca="1">IFERROR(__xludf.DUMMYFUNCTION("GOOGLETRANSLATE(A3863, ""en"", ""fr"")"),"Fait n ° 3")</f>
        <v>Fait n ° 3</v>
      </c>
      <c r="C3863" s="1" t="s">
        <v>185</v>
      </c>
      <c r="W3863" s="1" t="s">
        <v>19</v>
      </c>
      <c r="CH3863" s="1" t="s">
        <v>82</v>
      </c>
      <c r="FH3863" s="1" t="s">
        <v>160</v>
      </c>
      <c r="FI3863" s="1" t="s">
        <v>161</v>
      </c>
      <c r="GD3863" s="1" t="s">
        <v>5432</v>
      </c>
      <c r="GE3863" s="1" t="s">
        <v>5433</v>
      </c>
    </row>
    <row r="3864" spans="1:187" ht="11.25" customHeight="1">
      <c r="A3864" s="1" t="s">
        <v>5434</v>
      </c>
      <c r="B3864" s="1" t="str">
        <f ca="1">IFERROR(__xludf.DUMMYFUNCTION("GOOGLETRANSLATE(A3864, ""en"", ""fr"")"),"FACTION")</f>
        <v>FACTION</v>
      </c>
      <c r="C3864" s="1" t="s">
        <v>196</v>
      </c>
      <c r="DZ3864" s="1" t="s">
        <v>126</v>
      </c>
      <c r="ED3864" s="1" t="s">
        <v>130</v>
      </c>
      <c r="GD3864" s="1" t="s">
        <v>193</v>
      </c>
    </row>
    <row r="3865" spans="1:187" ht="11.25" customHeight="1">
      <c r="A3865" s="1" t="s">
        <v>5435</v>
      </c>
      <c r="B3865" s="1" t="str">
        <f ca="1">IFERROR(__xludf.DUMMYFUNCTION("GOOGLETRANSLATE(A3865, ""en"", ""fr"")"),"FACTEUR")</f>
        <v>FACTEUR</v>
      </c>
      <c r="C3865" s="1" t="s">
        <v>185</v>
      </c>
      <c r="CH3865" s="1" t="s">
        <v>82</v>
      </c>
      <c r="FH3865" s="1" t="s">
        <v>160</v>
      </c>
      <c r="FI3865" s="1" t="s">
        <v>161</v>
      </c>
      <c r="GD3865" s="1" t="s">
        <v>193</v>
      </c>
      <c r="GE3865" s="1" t="s">
        <v>5436</v>
      </c>
    </row>
    <row r="3866" spans="1:187" ht="11.25" customHeight="1">
      <c r="A3866" s="1" t="s">
        <v>5437</v>
      </c>
      <c r="B3866" s="1" t="str">
        <f ca="1">IFERROR(__xludf.DUMMYFUNCTION("GOOGLETRANSLATE(A3866, ""en"", ""fr"")"),"USINE")</f>
        <v>USINE</v>
      </c>
      <c r="C3866" s="1" t="s">
        <v>185</v>
      </c>
      <c r="AA3866" s="1" t="s">
        <v>23</v>
      </c>
      <c r="AC3866" s="1" t="s">
        <v>25</v>
      </c>
      <c r="AV3866" s="1" t="s">
        <v>44</v>
      </c>
      <c r="AW3866" s="1" t="s">
        <v>45</v>
      </c>
      <c r="EV3866" s="1" t="s">
        <v>148</v>
      </c>
      <c r="EW3866" s="1" t="s">
        <v>149</v>
      </c>
      <c r="GD3866" s="1" t="s">
        <v>193</v>
      </c>
      <c r="GE3866" s="1" t="s">
        <v>190</v>
      </c>
    </row>
    <row r="3867" spans="1:187" ht="11.25" customHeight="1">
      <c r="A3867" s="1" t="s">
        <v>5438</v>
      </c>
      <c r="B3867" s="1" t="str">
        <f ca="1">IFERROR(__xludf.DUMMYFUNCTION("GOOGLETRANSLATE(A3867, ""en"", ""fr"")"),"FACTUEL")</f>
        <v>FACTUEL</v>
      </c>
      <c r="C3867" s="1" t="s">
        <v>192</v>
      </c>
      <c r="D3867" s="1" t="s">
        <v>16612</v>
      </c>
      <c r="CH3867" s="1" t="s">
        <v>82</v>
      </c>
      <c r="DR3867" s="1" t="s">
        <v>118</v>
      </c>
      <c r="GD3867" s="1" t="s">
        <v>202</v>
      </c>
      <c r="GE3867" s="1" t="s">
        <v>190</v>
      </c>
    </row>
    <row r="3868" spans="1:187" ht="11.25" customHeight="1">
      <c r="A3868" s="1" t="s">
        <v>5439</v>
      </c>
      <c r="B3868" s="1" t="str">
        <f ca="1">IFERROR(__xludf.DUMMYFUNCTION("GOOGLETRANSLATE(A3868, ""en"", ""fr"")"),"Faculté # 1")</f>
        <v>Faculté # 1</v>
      </c>
      <c r="C3868" s="1" t="s">
        <v>185</v>
      </c>
      <c r="Y3868" s="1" t="s">
        <v>21</v>
      </c>
      <c r="AK3868" s="1" t="s">
        <v>33</v>
      </c>
      <c r="AT3868" s="1" t="s">
        <v>42</v>
      </c>
      <c r="FG3868" s="1" t="s">
        <v>159</v>
      </c>
      <c r="FI3868" s="1" t="s">
        <v>161</v>
      </c>
      <c r="GD3868" s="1" t="s">
        <v>849</v>
      </c>
      <c r="GE3868" s="1" t="s">
        <v>5440</v>
      </c>
    </row>
    <row r="3869" spans="1:187" ht="11.25" customHeight="1">
      <c r="A3869" s="1" t="s">
        <v>5441</v>
      </c>
      <c r="B3869" s="1" t="str">
        <f ca="1">IFERROR(__xludf.DUMMYFUNCTION("GOOGLETRANSLATE(A3869, ""en"", ""fr"")"),"Faculté # 2")</f>
        <v>Faculté # 2</v>
      </c>
      <c r="C3869" s="1" t="s">
        <v>185</v>
      </c>
      <c r="J3869" s="1" t="s">
        <v>6</v>
      </c>
      <c r="BQ3869" s="1" t="s">
        <v>65</v>
      </c>
      <c r="FL3869" s="1" t="s">
        <v>164</v>
      </c>
      <c r="FM3869" s="1" t="s">
        <v>418</v>
      </c>
      <c r="GD3869" s="1" t="s">
        <v>193</v>
      </c>
      <c r="GE3869" s="1" t="s">
        <v>5442</v>
      </c>
    </row>
    <row r="3870" spans="1:187" ht="11.25" customHeight="1">
      <c r="A3870" s="1" t="s">
        <v>5443</v>
      </c>
      <c r="B3870" s="1" t="str">
        <f ca="1">IFERROR(__xludf.DUMMYFUNCTION("GOOGLETRANSLATE(A3870, ""en"", ""fr"")"),"Fade # 1")</f>
        <v>Fade # 1</v>
      </c>
      <c r="C3870" s="1" t="s">
        <v>185</v>
      </c>
      <c r="O3870" s="1" t="s">
        <v>11</v>
      </c>
      <c r="CR3870" s="1" t="s">
        <v>92</v>
      </c>
      <c r="GD3870" s="1" t="s">
        <v>202</v>
      </c>
      <c r="GE3870" s="1" t="s">
        <v>190</v>
      </c>
    </row>
    <row r="3871" spans="1:187" ht="11.25" customHeight="1">
      <c r="A3871" s="1" t="s">
        <v>5444</v>
      </c>
      <c r="B3871" s="1" t="str">
        <f ca="1">IFERROR(__xludf.DUMMYFUNCTION("GOOGLETRANSLATE(A3871, ""en"", ""fr"")"),"Fade # 2")</f>
        <v>Fade # 2</v>
      </c>
      <c r="C3871" s="1" t="s">
        <v>185</v>
      </c>
      <c r="O3871" s="1" t="s">
        <v>11</v>
      </c>
      <c r="BY3871" s="1" t="s">
        <v>73</v>
      </c>
      <c r="DN3871" s="1" t="s">
        <v>114</v>
      </c>
      <c r="GD3871" s="1" t="s">
        <v>189</v>
      </c>
      <c r="GE3871" s="1" t="s">
        <v>190</v>
      </c>
    </row>
    <row r="3872" spans="1:187" ht="11.25" customHeight="1">
      <c r="A3872" s="1" t="s">
        <v>5445</v>
      </c>
      <c r="B3872" s="1" t="str">
        <f ca="1">IFERROR(__xludf.DUMMYFUNCTION("GOOGLETRANSLATE(A3872, ""en"", ""fr"")"),"Échec n ° 1")</f>
        <v>Échec n ° 1</v>
      </c>
      <c r="C3872" s="1" t="s">
        <v>185</v>
      </c>
      <c r="E3872" s="1" t="s">
        <v>16613</v>
      </c>
      <c r="H3872" s="1" t="s">
        <v>4</v>
      </c>
      <c r="L3872" s="1" t="s">
        <v>8</v>
      </c>
      <c r="O3872" s="1" t="s">
        <v>11</v>
      </c>
      <c r="BT3872" s="1" t="s">
        <v>68</v>
      </c>
      <c r="DN3872" s="1" t="s">
        <v>114</v>
      </c>
      <c r="FL3872" s="1" t="s">
        <v>164</v>
      </c>
      <c r="FM3872" s="1" t="s">
        <v>418</v>
      </c>
      <c r="GD3872" s="1" t="s">
        <v>189</v>
      </c>
      <c r="GE3872" s="1" t="s">
        <v>5446</v>
      </c>
    </row>
    <row r="3873" spans="1:187" ht="11.25" customHeight="1">
      <c r="A3873" s="1" t="s">
        <v>5447</v>
      </c>
      <c r="B3873" s="1" t="str">
        <f ca="1">IFERROR(__xludf.DUMMYFUNCTION("GOOGLETRANSLATE(A3873, ""en"", ""fr"")"),"Échec n ° 2")</f>
        <v>Échec n ° 2</v>
      </c>
      <c r="C3873" s="1" t="s">
        <v>185</v>
      </c>
      <c r="E3873" s="1" t="s">
        <v>16613</v>
      </c>
      <c r="H3873" s="1" t="s">
        <v>4</v>
      </c>
      <c r="L3873" s="1" t="s">
        <v>8</v>
      </c>
      <c r="O3873" s="1" t="s">
        <v>11</v>
      </c>
      <c r="BT3873" s="1" t="s">
        <v>68</v>
      </c>
      <c r="DN3873" s="1" t="s">
        <v>114</v>
      </c>
      <c r="FL3873" s="1" t="s">
        <v>164</v>
      </c>
      <c r="FM3873" s="1" t="s">
        <v>418</v>
      </c>
      <c r="GD3873" s="1" t="s">
        <v>189</v>
      </c>
      <c r="GE3873" s="1" t="s">
        <v>5448</v>
      </c>
    </row>
    <row r="3874" spans="1:187" ht="11.25" customHeight="1">
      <c r="A3874" s="1" t="s">
        <v>5449</v>
      </c>
      <c r="B3874" s="1" t="str">
        <f ca="1">IFERROR(__xludf.DUMMYFUNCTION("GOOGLETRANSLATE(A3874, ""en"", ""fr"")"),"Échec n ° 3")</f>
        <v>Échec n ° 3</v>
      </c>
      <c r="C3874" s="1" t="s">
        <v>185</v>
      </c>
      <c r="E3874" s="1" t="s">
        <v>16613</v>
      </c>
      <c r="H3874" s="1" t="s">
        <v>4</v>
      </c>
      <c r="I3874" s="1" t="s">
        <v>5</v>
      </c>
      <c r="L3874" s="1" t="s">
        <v>8</v>
      </c>
      <c r="O3874" s="1" t="s">
        <v>11</v>
      </c>
      <c r="BT3874" s="1" t="s">
        <v>68</v>
      </c>
      <c r="DN3874" s="1" t="s">
        <v>114</v>
      </c>
      <c r="FL3874" s="1" t="s">
        <v>164</v>
      </c>
      <c r="FM3874" s="1" t="s">
        <v>418</v>
      </c>
      <c r="GD3874" s="1" t="s">
        <v>189</v>
      </c>
      <c r="GE3874" s="1" t="s">
        <v>5450</v>
      </c>
    </row>
    <row r="3875" spans="1:187" ht="11.25" customHeight="1">
      <c r="A3875" s="1" t="s">
        <v>5451</v>
      </c>
      <c r="B3875" s="1" t="str">
        <f ca="1">IFERROR(__xludf.DUMMYFUNCTION("GOOGLETRANSLATE(A3875, ""en"", ""fr"")"),"Échec n ° 4")</f>
        <v>Échec n ° 4</v>
      </c>
      <c r="C3875" s="1" t="s">
        <v>185</v>
      </c>
      <c r="E3875" s="1" t="s">
        <v>16613</v>
      </c>
      <c r="H3875" s="1" t="s">
        <v>4</v>
      </c>
      <c r="L3875" s="1" t="s">
        <v>8</v>
      </c>
      <c r="O3875" s="1" t="s">
        <v>11</v>
      </c>
      <c r="V3875" s="1" t="s">
        <v>18</v>
      </c>
      <c r="FL3875" s="1" t="s">
        <v>164</v>
      </c>
      <c r="FM3875" s="1" t="s">
        <v>418</v>
      </c>
      <c r="GD3875" s="1" t="s">
        <v>193</v>
      </c>
      <c r="GE3875" s="1" t="s">
        <v>5452</v>
      </c>
    </row>
    <row r="3876" spans="1:187" ht="11.25" customHeight="1">
      <c r="A3876" s="1" t="s">
        <v>5453</v>
      </c>
      <c r="B3876" s="1" t="str">
        <f ca="1">IFERROR(__xludf.DUMMYFUNCTION("GOOGLETRANSLATE(A3876, ""en"", ""fr"")"),"ÉCHEC")</f>
        <v>ÉCHEC</v>
      </c>
      <c r="C3876" s="1" t="s">
        <v>185</v>
      </c>
      <c r="E3876" s="1" t="s">
        <v>16613</v>
      </c>
      <c r="H3876" s="1" t="s">
        <v>4</v>
      </c>
      <c r="L3876" s="1" t="s">
        <v>8</v>
      </c>
      <c r="O3876" s="1" t="s">
        <v>11</v>
      </c>
      <c r="V3876" s="1" t="s">
        <v>18</v>
      </c>
      <c r="FL3876" s="1" t="s">
        <v>164</v>
      </c>
      <c r="FM3876" s="1" t="s">
        <v>418</v>
      </c>
      <c r="GD3876" s="1" t="s">
        <v>193</v>
      </c>
      <c r="GE3876" s="1" t="s">
        <v>5454</v>
      </c>
    </row>
    <row r="3877" spans="1:187" ht="11.25" customHeight="1">
      <c r="A3877" s="1" t="s">
        <v>5455</v>
      </c>
      <c r="B3877" s="1" t="str">
        <f ca="1">IFERROR(__xludf.DUMMYFUNCTION("GOOGLETRANSLATE(A3877, ""en"", ""fr"")"),"S'ÉVANOUIR")</f>
        <v>S'ÉVANOUIR</v>
      </c>
      <c r="C3877" s="1" t="s">
        <v>185</v>
      </c>
      <c r="E3877" s="1" t="s">
        <v>16613</v>
      </c>
      <c r="H3877" s="1" t="s">
        <v>4</v>
      </c>
      <c r="L3877" s="1" t="s">
        <v>8</v>
      </c>
      <c r="O3877" s="1" t="s">
        <v>11</v>
      </c>
      <c r="X3877" s="1" t="s">
        <v>20</v>
      </c>
      <c r="CK3877" s="1" t="s">
        <v>85</v>
      </c>
      <c r="EZ3877" s="1" t="s">
        <v>152</v>
      </c>
      <c r="FC3877" s="1" t="s">
        <v>155</v>
      </c>
      <c r="GD3877" s="1" t="s">
        <v>202</v>
      </c>
      <c r="GE3877" s="1" t="s">
        <v>190</v>
      </c>
    </row>
    <row r="3878" spans="1:187" ht="11.25" customHeight="1">
      <c r="A3878" s="1" t="s">
        <v>5456</v>
      </c>
      <c r="B3878" s="1" t="str">
        <f ca="1">IFERROR(__xludf.DUMMYFUNCTION("GOOGLETRANSLATE(A3878, ""en"", ""fr"")"),"Fair # 1")</f>
        <v>Fair # 1</v>
      </c>
      <c r="C3878" s="1" t="s">
        <v>185</v>
      </c>
      <c r="D3878" s="1" t="s">
        <v>16612</v>
      </c>
      <c r="F3878" s="1" t="s">
        <v>2</v>
      </c>
      <c r="U3878" s="1" t="s">
        <v>17</v>
      </c>
      <c r="AE3878" s="1" t="s">
        <v>27</v>
      </c>
      <c r="CN3878" s="1" t="s">
        <v>88</v>
      </c>
      <c r="EE3878" s="1" t="s">
        <v>131</v>
      </c>
      <c r="EJ3878" s="1" t="s">
        <v>136</v>
      </c>
      <c r="GD3878" s="1" t="s">
        <v>202</v>
      </c>
      <c r="GE3878" s="1" t="s">
        <v>5457</v>
      </c>
    </row>
    <row r="3879" spans="1:187" ht="11.25" customHeight="1">
      <c r="A3879" s="1" t="s">
        <v>5458</v>
      </c>
      <c r="B3879" s="1" t="str">
        <f ca="1">IFERROR(__xludf.DUMMYFUNCTION("GOOGLETRANSLATE(A3879, ""en"", ""fr"")"),"Fair # 2")</f>
        <v>Fair # 2</v>
      </c>
      <c r="C3879" s="1" t="s">
        <v>185</v>
      </c>
      <c r="CS3879" s="1" t="s">
        <v>93</v>
      </c>
      <c r="GD3879" s="1" t="s">
        <v>202</v>
      </c>
      <c r="GE3879" s="1" t="s">
        <v>5459</v>
      </c>
    </row>
    <row r="3880" spans="1:187" ht="11.25" customHeight="1">
      <c r="A3880" s="1" t="s">
        <v>5460</v>
      </c>
      <c r="B3880" s="1" t="str">
        <f ca="1">IFERROR(__xludf.DUMMYFUNCTION("GOOGLETRANSLATE(A3880, ""en"", ""fr"")"),"Fair # 3")</f>
        <v>Fair # 3</v>
      </c>
      <c r="C3880" s="1" t="s">
        <v>185</v>
      </c>
      <c r="U3880" s="1" t="s">
        <v>17</v>
      </c>
      <c r="X3880" s="1" t="s">
        <v>20</v>
      </c>
      <c r="GD3880" s="1" t="s">
        <v>236</v>
      </c>
      <c r="GE3880" s="1" t="s">
        <v>5461</v>
      </c>
    </row>
    <row r="3881" spans="1:187" ht="11.25" customHeight="1">
      <c r="A3881" s="1" t="s">
        <v>5462</v>
      </c>
      <c r="B3881" s="1" t="str">
        <f ca="1">IFERROR(__xludf.DUMMYFUNCTION("GOOGLETRANSLATE(A3881, ""en"", ""fr"")"),"Fair # 4")</f>
        <v>Fair # 4</v>
      </c>
      <c r="C3881" s="1" t="s">
        <v>185</v>
      </c>
      <c r="D3881" s="1" t="s">
        <v>16612</v>
      </c>
      <c r="F3881" s="1" t="s">
        <v>2</v>
      </c>
      <c r="CR3881" s="1" t="s">
        <v>92</v>
      </c>
      <c r="GD3881" s="1" t="s">
        <v>202</v>
      </c>
      <c r="GE3881" s="1" t="s">
        <v>5463</v>
      </c>
    </row>
    <row r="3882" spans="1:187" ht="11.25" customHeight="1">
      <c r="A3882" s="1" t="s">
        <v>5464</v>
      </c>
      <c r="B3882" s="1" t="str">
        <f ca="1">IFERROR(__xludf.DUMMYFUNCTION("GOOGLETRANSLATE(A3882, ""en"", ""fr"")"),"Fair # 5")</f>
        <v>Fair # 5</v>
      </c>
      <c r="C3882" s="1" t="s">
        <v>185</v>
      </c>
      <c r="D3882" s="1" t="s">
        <v>16612</v>
      </c>
      <c r="F3882" s="1" t="s">
        <v>2</v>
      </c>
      <c r="AD3882" s="1" t="s">
        <v>26</v>
      </c>
      <c r="AM3882" s="1" t="s">
        <v>35</v>
      </c>
      <c r="GD3882" s="1" t="s">
        <v>193</v>
      </c>
      <c r="GE3882" s="1" t="s">
        <v>5465</v>
      </c>
    </row>
    <row r="3883" spans="1:187" ht="11.25" customHeight="1">
      <c r="A3883" s="1" t="s">
        <v>5466</v>
      </c>
      <c r="B3883" s="1" t="str">
        <f ca="1">IFERROR(__xludf.DUMMYFUNCTION("GOOGLETRANSLATE(A3883, ""en"", ""fr"")"),"JUSTICE")</f>
        <v>JUSTICE</v>
      </c>
      <c r="C3883" s="1" t="s">
        <v>192</v>
      </c>
      <c r="D3883" s="1" t="s">
        <v>16612</v>
      </c>
      <c r="U3883" s="1" t="s">
        <v>17</v>
      </c>
      <c r="GD3883" s="1" t="s">
        <v>193</v>
      </c>
      <c r="GE3883" s="1" t="s">
        <v>190</v>
      </c>
    </row>
    <row r="3884" spans="1:187" ht="11.25" customHeight="1">
      <c r="A3884" s="1" t="s">
        <v>5467</v>
      </c>
      <c r="B3884" s="1" t="str">
        <f ca="1">IFERROR(__xludf.DUMMYFUNCTION("GOOGLETRANSLATE(A3884, ""en"", ""fr"")"),"Foi # 1")</f>
        <v>Foi # 1</v>
      </c>
      <c r="C3884" s="1" t="s">
        <v>185</v>
      </c>
      <c r="D3884" s="1" t="s">
        <v>16612</v>
      </c>
      <c r="F3884" s="1" t="s">
        <v>2</v>
      </c>
      <c r="O3884" s="1" t="s">
        <v>11</v>
      </c>
      <c r="T3884" s="1" t="s">
        <v>16</v>
      </c>
      <c r="Z3884" s="1" t="s">
        <v>22</v>
      </c>
      <c r="AI3884" s="1" t="s">
        <v>31</v>
      </c>
      <c r="CP3884" s="1" t="s">
        <v>90</v>
      </c>
      <c r="CQ3884" s="1" t="s">
        <v>91</v>
      </c>
      <c r="EI3884" s="1" t="s">
        <v>135</v>
      </c>
      <c r="EJ3884" s="1" t="s">
        <v>136</v>
      </c>
      <c r="GD3884" s="1" t="s">
        <v>849</v>
      </c>
      <c r="GE3884" s="1" t="s">
        <v>5468</v>
      </c>
    </row>
    <row r="3885" spans="1:187" ht="11.25" customHeight="1">
      <c r="A3885" s="1" t="s">
        <v>5469</v>
      </c>
      <c r="B3885" s="1" t="str">
        <f ca="1">IFERROR(__xludf.DUMMYFUNCTION("GOOGLETRANSLATE(A3885, ""en"", ""fr"")"),"Foi # 2")</f>
        <v>Foi # 2</v>
      </c>
      <c r="C3885" s="1" t="s">
        <v>185</v>
      </c>
      <c r="D3885" s="1" t="s">
        <v>16612</v>
      </c>
      <c r="F3885" s="1" t="s">
        <v>2</v>
      </c>
      <c r="G3885" s="1" t="s">
        <v>3</v>
      </c>
      <c r="M3885" s="1" t="s">
        <v>9</v>
      </c>
      <c r="O3885" s="1" t="s">
        <v>11</v>
      </c>
      <c r="U3885" s="1" t="s">
        <v>17</v>
      </c>
      <c r="EE3885" s="1" t="s">
        <v>131</v>
      </c>
      <c r="EJ3885" s="1" t="s">
        <v>136</v>
      </c>
      <c r="GD3885" s="1" t="s">
        <v>193</v>
      </c>
      <c r="GE3885" s="1" t="s">
        <v>5470</v>
      </c>
    </row>
    <row r="3886" spans="1:187" ht="11.25" customHeight="1">
      <c r="A3886" s="1" t="s">
        <v>5471</v>
      </c>
      <c r="B3886" s="1" t="str">
        <f ca="1">IFERROR(__xludf.DUMMYFUNCTION("GOOGLETRANSLATE(A3886, ""en"", ""fr"")"),"FIDÈLE")</f>
        <v>FIDÈLE</v>
      </c>
      <c r="C3886" s="1" t="s">
        <v>185</v>
      </c>
      <c r="D3886" s="1" t="s">
        <v>16612</v>
      </c>
      <c r="F3886" s="1" t="s">
        <v>2</v>
      </c>
      <c r="O3886" s="1" t="s">
        <v>11</v>
      </c>
      <c r="U3886" s="1" t="s">
        <v>17</v>
      </c>
      <c r="AI3886" s="1" t="s">
        <v>31</v>
      </c>
      <c r="ER3886" s="1" t="s">
        <v>144</v>
      </c>
      <c r="ES3886" s="1" t="s">
        <v>145</v>
      </c>
      <c r="GD3886" s="1" t="s">
        <v>202</v>
      </c>
      <c r="GE3886" s="1" t="s">
        <v>190</v>
      </c>
    </row>
    <row r="3887" spans="1:187" ht="11.25" customHeight="1">
      <c r="A3887" s="1" t="s">
        <v>5472</v>
      </c>
      <c r="B3887" s="1" t="str">
        <f ca="1">IFERROR(__xludf.DUMMYFUNCTION("GOOGLETRANSLATE(A3887, ""en"", ""fr"")"),"FIDÉLITÉ")</f>
        <v>FIDÉLITÉ</v>
      </c>
      <c r="C3887" s="1" t="s">
        <v>192</v>
      </c>
      <c r="D3887" s="1" t="s">
        <v>16612</v>
      </c>
      <c r="U3887" s="1" t="s">
        <v>17</v>
      </c>
      <c r="GD3887" s="1" t="s">
        <v>193</v>
      </c>
      <c r="GE3887" s="1" t="s">
        <v>190</v>
      </c>
    </row>
    <row r="3888" spans="1:187" ht="11.25" customHeight="1">
      <c r="A3888" s="1" t="s">
        <v>5473</v>
      </c>
      <c r="B3888" s="1" t="str">
        <f ca="1">IFERROR(__xludf.DUMMYFUNCTION("GOOGLETRANSLATE(A3888, ""en"", ""fr"")"),"FAUX")</f>
        <v>FAUX</v>
      </c>
      <c r="C3888" s="1" t="s">
        <v>192</v>
      </c>
      <c r="E3888" s="1" t="s">
        <v>16613</v>
      </c>
      <c r="CM3888" s="1" t="s">
        <v>87</v>
      </c>
      <c r="CR3888" s="1" t="s">
        <v>92</v>
      </c>
      <c r="DR3888" s="1" t="s">
        <v>118</v>
      </c>
      <c r="GD3888" s="1" t="s">
        <v>202</v>
      </c>
      <c r="GE3888" s="1" t="s">
        <v>190</v>
      </c>
    </row>
    <row r="3889" spans="1:187" ht="11.25" customHeight="1">
      <c r="A3889" s="1" t="s">
        <v>5474</v>
      </c>
      <c r="B3889" s="1" t="str">
        <f ca="1">IFERROR(__xludf.DUMMYFUNCTION("GOOGLETRANSLATE(A3889, ""en"", ""fr"")"),"Automne n ° 1")</f>
        <v>Automne n ° 1</v>
      </c>
      <c r="C3889" s="1" t="s">
        <v>185</v>
      </c>
      <c r="L3889" s="1" t="s">
        <v>8</v>
      </c>
      <c r="O3889" s="1" t="s">
        <v>11</v>
      </c>
      <c r="CF3889" s="1" t="s">
        <v>80</v>
      </c>
      <c r="DO3889" s="1" t="s">
        <v>115</v>
      </c>
      <c r="GD3889" s="1" t="s">
        <v>189</v>
      </c>
      <c r="GE3889" s="1" t="s">
        <v>5475</v>
      </c>
    </row>
    <row r="3890" spans="1:187" ht="11.25" customHeight="1">
      <c r="A3890" s="1" t="s">
        <v>5476</v>
      </c>
      <c r="B3890" s="1" t="str">
        <f ca="1">IFERROR(__xludf.DUMMYFUNCTION("GOOGLETRANSLATE(A3890, ""en"", ""fr"")"),"Automne n ° 2")</f>
        <v>Automne n ° 2</v>
      </c>
      <c r="C3890" s="1" t="s">
        <v>185</v>
      </c>
      <c r="G3890" s="1" t="s">
        <v>3</v>
      </c>
      <c r="O3890" s="1" t="s">
        <v>11</v>
      </c>
      <c r="AN3890" s="1" t="s">
        <v>36</v>
      </c>
      <c r="DN3890" s="1" t="s">
        <v>114</v>
      </c>
      <c r="GD3890" s="1" t="s">
        <v>189</v>
      </c>
      <c r="GE3890" s="1" t="s">
        <v>5477</v>
      </c>
    </row>
    <row r="3891" spans="1:187" ht="11.25" customHeight="1">
      <c r="A3891" s="1" t="s">
        <v>5478</v>
      </c>
      <c r="B3891" s="1" t="str">
        <f ca="1">IFERROR(__xludf.DUMMYFUNCTION("GOOGLETRANSLATE(A3891, ""en"", ""fr"")"),"Automne n ° 3")</f>
        <v>Automne n ° 3</v>
      </c>
      <c r="C3891" s="1" t="s">
        <v>185</v>
      </c>
      <c r="O3891" s="1" t="s">
        <v>11</v>
      </c>
      <c r="BU3891" s="1" t="s">
        <v>69</v>
      </c>
      <c r="DN3891" s="1" t="s">
        <v>114</v>
      </c>
      <c r="GD3891" s="1" t="s">
        <v>189</v>
      </c>
      <c r="GE3891" s="1" t="s">
        <v>5479</v>
      </c>
    </row>
    <row r="3892" spans="1:187" ht="11.25" customHeight="1">
      <c r="A3892" s="1" t="s">
        <v>5480</v>
      </c>
      <c r="B3892" s="1" t="str">
        <f ca="1">IFERROR(__xludf.DUMMYFUNCTION("GOOGLETRANSLATE(A3892, ""en"", ""fr"")"),"Automne n ° 4")</f>
        <v>Automne n ° 4</v>
      </c>
      <c r="C3892" s="1" t="s">
        <v>185</v>
      </c>
      <c r="CQ3892" s="1" t="s">
        <v>91</v>
      </c>
      <c r="CY3892" s="1" t="s">
        <v>99</v>
      </c>
      <c r="CZ3892" s="1" t="s">
        <v>100</v>
      </c>
      <c r="GB3892" s="1" t="s">
        <v>180</v>
      </c>
      <c r="GD3892" s="1" t="s">
        <v>193</v>
      </c>
      <c r="GE3892" s="1" t="s">
        <v>5481</v>
      </c>
    </row>
    <row r="3893" spans="1:187" ht="11.25" customHeight="1">
      <c r="A3893" s="1" t="s">
        <v>5482</v>
      </c>
      <c r="B3893" s="1" t="str">
        <f ca="1">IFERROR(__xludf.DUMMYFUNCTION("GOOGLETRANSLATE(A3893, ""en"", ""fr"")"),"Automne n ° 5")</f>
        <v>Automne n ° 5</v>
      </c>
      <c r="C3893" s="1" t="s">
        <v>185</v>
      </c>
      <c r="L3893" s="1" t="s">
        <v>8</v>
      </c>
      <c r="AV3893" s="1" t="s">
        <v>44</v>
      </c>
      <c r="BA3893" s="1" t="s">
        <v>49</v>
      </c>
      <c r="GD3893" s="1" t="s">
        <v>193</v>
      </c>
      <c r="GE3893" s="1" t="s">
        <v>5483</v>
      </c>
    </row>
    <row r="3894" spans="1:187" ht="11.25" customHeight="1">
      <c r="A3894" s="1" t="s">
        <v>5484</v>
      </c>
      <c r="B3894" s="1" t="str">
        <f ca="1">IFERROR(__xludf.DUMMYFUNCTION("GOOGLETRANSLATE(A3894, ""en"", ""fr"")"),"Automne n ° 6")</f>
        <v>Automne n ° 6</v>
      </c>
      <c r="C3894" s="1" t="s">
        <v>185</v>
      </c>
      <c r="L3894" s="1" t="s">
        <v>8</v>
      </c>
      <c r="O3894" s="1" t="s">
        <v>11</v>
      </c>
      <c r="CF3894" s="1" t="s">
        <v>80</v>
      </c>
      <c r="GD3894" s="1" t="s">
        <v>202</v>
      </c>
      <c r="GE3894" s="1" t="s">
        <v>5485</v>
      </c>
    </row>
    <row r="3895" spans="1:187" ht="11.25" customHeight="1">
      <c r="A3895" s="1" t="s">
        <v>5486</v>
      </c>
      <c r="B3895" s="1" t="str">
        <f ca="1">IFERROR(__xludf.DUMMYFUNCTION("GOOGLETRANSLATE(A3895, ""en"", ""fr"")"),"Automne n ° 7")</f>
        <v>Automne n ° 7</v>
      </c>
      <c r="C3895" s="1" t="s">
        <v>185</v>
      </c>
      <c r="E3895" s="1" t="s">
        <v>16613</v>
      </c>
      <c r="H3895" s="1" t="s">
        <v>4</v>
      </c>
      <c r="L3895" s="1" t="s">
        <v>8</v>
      </c>
      <c r="O3895" s="1" t="s">
        <v>11</v>
      </c>
      <c r="BY3895" s="1" t="s">
        <v>73</v>
      </c>
      <c r="DN3895" s="1" t="s">
        <v>114</v>
      </c>
      <c r="FO3895" s="1" t="s">
        <v>167</v>
      </c>
      <c r="GD3895" s="1" t="s">
        <v>189</v>
      </c>
      <c r="GE3895" s="1" t="s">
        <v>5487</v>
      </c>
    </row>
    <row r="3896" spans="1:187" ht="11.25" customHeight="1">
      <c r="A3896" s="1" t="s">
        <v>5488</v>
      </c>
      <c r="B3896" s="1" t="str">
        <f ca="1">IFERROR(__xludf.DUMMYFUNCTION("GOOGLETRANSLATE(A3896, ""en"", ""fr"")"),"Automne n ° 8")</f>
        <v>Automne n ° 8</v>
      </c>
      <c r="C3896" s="1" t="s">
        <v>185</v>
      </c>
      <c r="L3896" s="1" t="s">
        <v>8</v>
      </c>
      <c r="O3896" s="1" t="s">
        <v>11</v>
      </c>
      <c r="CF3896" s="1" t="s">
        <v>80</v>
      </c>
      <c r="GD3896" s="1" t="s">
        <v>202</v>
      </c>
      <c r="GE3896" s="1" t="s">
        <v>5489</v>
      </c>
    </row>
    <row r="3897" spans="1:187" ht="11.25" customHeight="1">
      <c r="A3897" s="1" t="s">
        <v>5490</v>
      </c>
      <c r="B3897" s="1" t="str">
        <f ca="1">IFERROR(__xludf.DUMMYFUNCTION("GOOGLETRANSLATE(A3897, ""en"", ""fr"")"),"Automne n ° 9")</f>
        <v>Automne n ° 9</v>
      </c>
      <c r="C3897" s="1" t="s">
        <v>185</v>
      </c>
      <c r="G3897" s="1" t="s">
        <v>3</v>
      </c>
      <c r="O3897" s="1" t="s">
        <v>11</v>
      </c>
      <c r="AN3897" s="1" t="s">
        <v>36</v>
      </c>
      <c r="DN3897" s="1" t="s">
        <v>114</v>
      </c>
      <c r="EO3897" s="1" t="s">
        <v>141</v>
      </c>
      <c r="ES3897" s="1" t="s">
        <v>145</v>
      </c>
      <c r="GD3897" s="1" t="s">
        <v>189</v>
      </c>
      <c r="GE3897" s="1" t="s">
        <v>5491</v>
      </c>
    </row>
    <row r="3898" spans="1:187" ht="11.25" customHeight="1">
      <c r="A3898" s="1" t="s">
        <v>5492</v>
      </c>
      <c r="B3898" s="1" t="str">
        <f ca="1">IFERROR(__xludf.DUMMYFUNCTION("GOOGLETRANSLATE(A3898, ""en"", ""fr"")"),"ERREUR")</f>
        <v>ERREUR</v>
      </c>
      <c r="C3898" s="1" t="s">
        <v>192</v>
      </c>
      <c r="E3898" s="1" t="s">
        <v>16613</v>
      </c>
      <c r="CM3898" s="1" t="s">
        <v>87</v>
      </c>
      <c r="CR3898" s="1" t="s">
        <v>92</v>
      </c>
      <c r="GD3898" s="1" t="s">
        <v>193</v>
      </c>
      <c r="GE3898" s="1" t="s">
        <v>190</v>
      </c>
    </row>
    <row r="3899" spans="1:187" ht="11.25" customHeight="1">
      <c r="A3899" s="1" t="s">
        <v>5493</v>
      </c>
      <c r="B3899" s="1" t="str">
        <f ca="1">IFERROR(__xludf.DUMMYFUNCTION("GOOGLETRANSLATE(A3899, ""en"", ""fr"")"),"Tombé # 1")</f>
        <v>Tombé # 1</v>
      </c>
      <c r="C3899" s="1" t="s">
        <v>192</v>
      </c>
      <c r="GD3899" s="1" t="s">
        <v>1085</v>
      </c>
      <c r="GE3899" s="1" t="s">
        <v>190</v>
      </c>
    </row>
    <row r="3900" spans="1:187" ht="11.25" customHeight="1">
      <c r="A3900" s="1" t="s">
        <v>5494</v>
      </c>
      <c r="B3900" s="1" t="str">
        <f ca="1">IFERROR(__xludf.DUMMYFUNCTION("GOOGLETRANSLATE(A3900, ""en"", ""fr"")"),"TOMBER")</f>
        <v>TOMBER</v>
      </c>
      <c r="C3900" s="1" t="s">
        <v>185</v>
      </c>
      <c r="E3900" s="1" t="s">
        <v>16613</v>
      </c>
      <c r="H3900" s="1" t="s">
        <v>4</v>
      </c>
      <c r="I3900" s="1" t="s">
        <v>5</v>
      </c>
      <c r="AH3900" s="1" t="s">
        <v>30</v>
      </c>
      <c r="BU3900" s="1" t="s">
        <v>69</v>
      </c>
      <c r="GD3900" s="1" t="s">
        <v>193</v>
      </c>
      <c r="GE3900" s="1" t="s">
        <v>190</v>
      </c>
    </row>
    <row r="3901" spans="1:187" ht="11.25" customHeight="1">
      <c r="A3901" s="1" t="b">
        <v>0</v>
      </c>
      <c r="B3901" s="1" t="str">
        <f ca="1">IFERROR(__xludf.DUMMYFUNCTION("GOOGLETRANSLATE(A3901, ""en"", ""fr"")"),"FAUX")</f>
        <v>FAUX</v>
      </c>
      <c r="C3901" s="1" t="s">
        <v>185</v>
      </c>
      <c r="E3901" s="1" t="s">
        <v>16613</v>
      </c>
      <c r="H3901" s="1" t="s">
        <v>4</v>
      </c>
      <c r="V3901" s="1" t="s">
        <v>18</v>
      </c>
      <c r="CN3901" s="1" t="s">
        <v>88</v>
      </c>
      <c r="EE3901" s="1" t="s">
        <v>131</v>
      </c>
      <c r="EJ3901" s="1" t="s">
        <v>136</v>
      </c>
      <c r="GD3901" s="1" t="s">
        <v>202</v>
      </c>
      <c r="GE3901" s="1" t="s">
        <v>190</v>
      </c>
    </row>
    <row r="3902" spans="1:187" ht="11.25" customHeight="1">
      <c r="A3902" s="1" t="s">
        <v>5495</v>
      </c>
      <c r="B3902" s="1" t="str">
        <f ca="1">IFERROR(__xludf.DUMMYFUNCTION("GOOGLETRANSLATE(A3902, ""en"", ""fr"")"),"MENSONGE")</f>
        <v>MENSONGE</v>
      </c>
      <c r="C3902" s="1" t="s">
        <v>192</v>
      </c>
      <c r="E3902" s="1" t="s">
        <v>16613</v>
      </c>
      <c r="CM3902" s="1" t="s">
        <v>87</v>
      </c>
      <c r="CR3902" s="1" t="s">
        <v>92</v>
      </c>
      <c r="GD3902" s="1" t="s">
        <v>193</v>
      </c>
      <c r="GE3902" s="1" t="s">
        <v>190</v>
      </c>
    </row>
    <row r="3903" spans="1:187" ht="11.25" customHeight="1">
      <c r="A3903" s="1" t="s">
        <v>5496</v>
      </c>
      <c r="B3903" s="1" t="str">
        <f ca="1">IFERROR(__xludf.DUMMYFUNCTION("GOOGLETRANSLATE(A3903, ""en"", ""fr"")"),"VACILLER")</f>
        <v>VACILLER</v>
      </c>
      <c r="C3903" s="1" t="s">
        <v>185</v>
      </c>
      <c r="E3903" s="1" t="s">
        <v>16613</v>
      </c>
      <c r="H3903" s="1" t="s">
        <v>4</v>
      </c>
      <c r="L3903" s="1" t="s">
        <v>8</v>
      </c>
      <c r="X3903" s="1" t="s">
        <v>20</v>
      </c>
      <c r="BY3903" s="1" t="s">
        <v>73</v>
      </c>
      <c r="DN3903" s="1" t="s">
        <v>114</v>
      </c>
      <c r="GD3903" s="1" t="s">
        <v>189</v>
      </c>
      <c r="GE3903" s="1" t="s">
        <v>190</v>
      </c>
    </row>
    <row r="3904" spans="1:187" ht="11.25" customHeight="1">
      <c r="A3904" s="1" t="s">
        <v>5497</v>
      </c>
      <c r="B3904" s="1" t="str">
        <f ca="1">IFERROR(__xludf.DUMMYFUNCTION("GOOGLETRANSLATE(A3904, ""en"", ""fr"")"),"NOTORIÉTÉ")</f>
        <v>NOTORIÉTÉ</v>
      </c>
      <c r="C3904" s="1" t="s">
        <v>185</v>
      </c>
      <c r="D3904" s="1" t="s">
        <v>16612</v>
      </c>
      <c r="W3904" s="1" t="s">
        <v>19</v>
      </c>
      <c r="EM3904" s="1" t="s">
        <v>139</v>
      </c>
      <c r="EN3904" s="1" t="s">
        <v>140</v>
      </c>
      <c r="GD3904" s="1" t="s">
        <v>193</v>
      </c>
      <c r="GE3904" s="1" t="s">
        <v>190</v>
      </c>
    </row>
    <row r="3905" spans="1:187" ht="11.25" customHeight="1">
      <c r="A3905" s="1" t="s">
        <v>5498</v>
      </c>
      <c r="B3905" s="1" t="str">
        <f ca="1">IFERROR(__xludf.DUMMYFUNCTION("GOOGLETRANSLATE(A3905, ""en"", ""fr"")"),"FAMILIER")</f>
        <v>FAMILIER</v>
      </c>
      <c r="C3905" s="1" t="s">
        <v>185</v>
      </c>
      <c r="D3905" s="1" t="s">
        <v>16612</v>
      </c>
      <c r="F3905" s="1" t="s">
        <v>2</v>
      </c>
      <c r="CK3905" s="1" t="s">
        <v>85</v>
      </c>
      <c r="FH3905" s="1" t="s">
        <v>160</v>
      </c>
      <c r="FI3905" s="1" t="s">
        <v>161</v>
      </c>
      <c r="GD3905" s="1" t="s">
        <v>202</v>
      </c>
      <c r="GE3905" s="1" t="s">
        <v>190</v>
      </c>
    </row>
    <row r="3906" spans="1:187" ht="11.25" customHeight="1">
      <c r="A3906" s="1" t="s">
        <v>5499</v>
      </c>
      <c r="B3906" s="1" t="str">
        <f ca="1">IFERROR(__xludf.DUMMYFUNCTION("GOOGLETRANSLATE(A3906, ""en"", ""fr"")"),"FAMILIARITÉ")</f>
        <v>FAMILIARITÉ</v>
      </c>
      <c r="C3906" s="1" t="s">
        <v>185</v>
      </c>
      <c r="D3906" s="1" t="s">
        <v>16612</v>
      </c>
      <c r="CH3906" s="1" t="s">
        <v>82</v>
      </c>
      <c r="FH3906" s="1" t="s">
        <v>160</v>
      </c>
      <c r="FI3906" s="1" t="s">
        <v>161</v>
      </c>
      <c r="GD3906" s="1" t="s">
        <v>193</v>
      </c>
      <c r="GE3906" s="1" t="s">
        <v>190</v>
      </c>
    </row>
    <row r="3907" spans="1:187" ht="11.25" customHeight="1">
      <c r="A3907" s="1" t="s">
        <v>5500</v>
      </c>
      <c r="B3907" s="1" t="str">
        <f ca="1">IFERROR(__xludf.DUMMYFUNCTION("GOOGLETRANSLATE(A3907, ""en"", ""fr"")"),"SE FAMILIARISER")</f>
        <v>SE FAMILIARISER</v>
      </c>
      <c r="C3907" s="1" t="s">
        <v>192</v>
      </c>
      <c r="D3907" s="1" t="s">
        <v>16612</v>
      </c>
      <c r="N3907" s="1" t="s">
        <v>10</v>
      </c>
      <c r="CH3907" s="1" t="s">
        <v>82</v>
      </c>
      <c r="CK3907" s="1" t="s">
        <v>85</v>
      </c>
      <c r="DD3907" s="1" t="s">
        <v>104</v>
      </c>
      <c r="DN3907" s="1" t="s">
        <v>114</v>
      </c>
      <c r="GD3907" s="1" t="s">
        <v>670</v>
      </c>
      <c r="GE3907" s="1" t="s">
        <v>190</v>
      </c>
    </row>
    <row r="3908" spans="1:187" ht="11.25" customHeight="1">
      <c r="A3908" s="1" t="s">
        <v>5501</v>
      </c>
      <c r="B3908" s="1" t="str">
        <f ca="1">IFERROR(__xludf.DUMMYFUNCTION("GOOGLETRANSLATE(A3908, ""en"", ""fr"")"),"FAMILLE")</f>
        <v>FAMILLE</v>
      </c>
      <c r="C3908" s="1" t="s">
        <v>185</v>
      </c>
      <c r="AK3908" s="1" t="s">
        <v>33</v>
      </c>
      <c r="AP3908" s="1" t="s">
        <v>38</v>
      </c>
      <c r="AT3908" s="1" t="s">
        <v>42</v>
      </c>
      <c r="ER3908" s="1" t="s">
        <v>144</v>
      </c>
      <c r="ES3908" s="1" t="s">
        <v>145</v>
      </c>
      <c r="GD3908" s="1" t="s">
        <v>837</v>
      </c>
      <c r="GE3908" s="1" t="s">
        <v>5502</v>
      </c>
    </row>
    <row r="3909" spans="1:187" ht="11.25" customHeight="1">
      <c r="A3909" s="1" t="s">
        <v>5503</v>
      </c>
      <c r="B3909" s="1" t="str">
        <f ca="1">IFERROR(__xludf.DUMMYFUNCTION("GOOGLETRANSLATE(A3909, ""en"", ""fr"")"),"FAMINE")</f>
        <v>FAMINE</v>
      </c>
      <c r="C3909" s="1" t="s">
        <v>185</v>
      </c>
      <c r="E3909" s="1" t="s">
        <v>16613</v>
      </c>
      <c r="L3909" s="1" t="s">
        <v>8</v>
      </c>
      <c r="Q3909" s="1" t="s">
        <v>13</v>
      </c>
      <c r="BN3909" s="1" t="s">
        <v>62</v>
      </c>
      <c r="EZ3909" s="1" t="s">
        <v>152</v>
      </c>
      <c r="FC3909" s="1" t="s">
        <v>155</v>
      </c>
      <c r="GD3909" s="1" t="s">
        <v>193</v>
      </c>
      <c r="GE3909" s="1" t="s">
        <v>190</v>
      </c>
    </row>
    <row r="3910" spans="1:187" ht="11.25" customHeight="1">
      <c r="A3910" s="1" t="s">
        <v>5504</v>
      </c>
      <c r="B3910" s="1" t="str">
        <f ca="1">IFERROR(__xludf.DUMMYFUNCTION("GOOGLETRANSLATE(A3910, ""en"", ""fr"")"),"AFFAMÉ")</f>
        <v>AFFAMÉ</v>
      </c>
      <c r="C3910" s="1" t="s">
        <v>192</v>
      </c>
      <c r="E3910" s="1" t="s">
        <v>16613</v>
      </c>
      <c r="BN3910" s="1" t="s">
        <v>62</v>
      </c>
      <c r="BU3910" s="1" t="s">
        <v>69</v>
      </c>
      <c r="DR3910" s="1" t="s">
        <v>118</v>
      </c>
      <c r="GD3910" s="1" t="s">
        <v>202</v>
      </c>
      <c r="GE3910" s="1" t="s">
        <v>190</v>
      </c>
    </row>
    <row r="3911" spans="1:187" ht="11.25" customHeight="1">
      <c r="A3911" s="1" t="s">
        <v>5505</v>
      </c>
      <c r="B3911" s="1" t="str">
        <f ca="1">IFERROR(__xludf.DUMMYFUNCTION("GOOGLETRANSLATE(A3911, ""en"", ""fr"")"),"CÉLÈBRE")</f>
        <v>CÉLÈBRE</v>
      </c>
      <c r="C3911" s="1" t="s">
        <v>185</v>
      </c>
      <c r="D3911" s="1" t="s">
        <v>16612</v>
      </c>
      <c r="F3911" s="1" t="s">
        <v>2</v>
      </c>
      <c r="K3911" s="1" t="s">
        <v>7</v>
      </c>
      <c r="U3911" s="1" t="s">
        <v>17</v>
      </c>
      <c r="CN3911" s="1" t="s">
        <v>88</v>
      </c>
      <c r="EM3911" s="1" t="s">
        <v>139</v>
      </c>
      <c r="EN3911" s="1" t="s">
        <v>140</v>
      </c>
      <c r="GD3911" s="1" t="s">
        <v>202</v>
      </c>
      <c r="GE3911" s="1" t="s">
        <v>5506</v>
      </c>
    </row>
    <row r="3912" spans="1:187" ht="11.25" customHeight="1">
      <c r="A3912" s="1" t="s">
        <v>5507</v>
      </c>
      <c r="B3912" s="1" t="str">
        <f ca="1">IFERROR(__xludf.DUMMYFUNCTION("GOOGLETRANSLATE(A3912, ""en"", ""fr"")"),"Ventilateur n ° 1")</f>
        <v>Ventilateur n ° 1</v>
      </c>
      <c r="C3912" s="1" t="s">
        <v>185</v>
      </c>
      <c r="G3912" s="1" t="s">
        <v>3</v>
      </c>
      <c r="M3912" s="1" t="s">
        <v>9</v>
      </c>
      <c r="O3912" s="1" t="s">
        <v>11</v>
      </c>
      <c r="AJ3912" s="1" t="s">
        <v>32</v>
      </c>
      <c r="AT3912" s="1" t="s">
        <v>42</v>
      </c>
      <c r="GD3912" s="1" t="s">
        <v>193</v>
      </c>
      <c r="GE3912" s="1" t="s">
        <v>5508</v>
      </c>
    </row>
    <row r="3913" spans="1:187" ht="11.25" customHeight="1">
      <c r="A3913" s="1" t="s">
        <v>5509</v>
      </c>
      <c r="B3913" s="1" t="str">
        <f ca="1">IFERROR(__xludf.DUMMYFUNCTION("GOOGLETRANSLATE(A3913, ""en"", ""fr"")"),"Ventilateur n ° 2")</f>
        <v>Ventilateur n ° 2</v>
      </c>
      <c r="C3913" s="1" t="s">
        <v>185</v>
      </c>
      <c r="N3913" s="1" t="s">
        <v>10</v>
      </c>
      <c r="CC3913" s="1" t="s">
        <v>77</v>
      </c>
      <c r="DN3913" s="1" t="s">
        <v>114</v>
      </c>
      <c r="GD3913" s="1" t="s">
        <v>189</v>
      </c>
      <c r="GE3913" s="1" t="s">
        <v>5510</v>
      </c>
    </row>
    <row r="3914" spans="1:187" ht="11.25" customHeight="1">
      <c r="A3914" s="1" t="s">
        <v>5511</v>
      </c>
      <c r="B3914" s="1" t="str">
        <f ca="1">IFERROR(__xludf.DUMMYFUNCTION("GOOGLETRANSLATE(A3914, ""en"", ""fr"")"),"Ventilateur n ° 3")</f>
        <v>Ventilateur n ° 3</v>
      </c>
      <c r="C3914" s="1" t="s">
        <v>185</v>
      </c>
      <c r="BC3914" s="1" t="s">
        <v>51</v>
      </c>
      <c r="BD3914" s="1" t="s">
        <v>52</v>
      </c>
      <c r="GD3914" s="1" t="s">
        <v>193</v>
      </c>
      <c r="GE3914" s="1" t="s">
        <v>5512</v>
      </c>
    </row>
    <row r="3915" spans="1:187" ht="11.25" customHeight="1">
      <c r="A3915" s="1" t="s">
        <v>5513</v>
      </c>
      <c r="B3915" s="1" t="str">
        <f ca="1">IFERROR(__xludf.DUMMYFUNCTION("GOOGLETRANSLATE(A3915, ""en"", ""fr"")"),"FANATIQUE")</f>
        <v>FANATIQUE</v>
      </c>
      <c r="C3915" s="1" t="s">
        <v>192</v>
      </c>
      <c r="E3915" s="1" t="s">
        <v>16613</v>
      </c>
      <c r="V3915" s="1" t="s">
        <v>18</v>
      </c>
      <c r="AT3915" s="1" t="s">
        <v>42</v>
      </c>
      <c r="BN3915" s="1" t="s">
        <v>62</v>
      </c>
      <c r="GD3915" s="1" t="s">
        <v>193</v>
      </c>
      <c r="GE3915" s="1" t="s">
        <v>190</v>
      </c>
    </row>
    <row r="3916" spans="1:187" ht="11.25" customHeight="1">
      <c r="A3916" s="1" t="s">
        <v>5514</v>
      </c>
      <c r="B3916" s="1" t="str">
        <f ca="1">IFERROR(__xludf.DUMMYFUNCTION("GOOGLETRANSLATE(A3916, ""en"", ""fr"")"),"FANATIQUE")</f>
        <v>FANATIQUE</v>
      </c>
      <c r="C3916" s="1" t="s">
        <v>192</v>
      </c>
      <c r="E3916" s="1" t="s">
        <v>16613</v>
      </c>
      <c r="V3916" s="1" t="s">
        <v>18</v>
      </c>
      <c r="BN3916" s="1" t="s">
        <v>62</v>
      </c>
      <c r="DR3916" s="1" t="s">
        <v>118</v>
      </c>
      <c r="GD3916" s="1" t="s">
        <v>202</v>
      </c>
      <c r="GE3916" s="1" t="s">
        <v>190</v>
      </c>
    </row>
    <row r="3917" spans="1:187" ht="11.25" customHeight="1">
      <c r="A3917" s="1" t="s">
        <v>5515</v>
      </c>
      <c r="B3917" s="1" t="str">
        <f ca="1">IFERROR(__xludf.DUMMYFUNCTION("GOOGLETRANSLATE(A3917, ""en"", ""fr"")"),"FANTAISIE")</f>
        <v>FANTAISIE</v>
      </c>
      <c r="C3917" s="1" t="s">
        <v>185</v>
      </c>
      <c r="D3917" s="1" t="s">
        <v>16612</v>
      </c>
      <c r="F3917" s="1" t="s">
        <v>2</v>
      </c>
      <c r="U3917" s="1" t="s">
        <v>17</v>
      </c>
      <c r="W3917" s="1" t="s">
        <v>19</v>
      </c>
      <c r="CN3917" s="1" t="s">
        <v>88</v>
      </c>
      <c r="GD3917" s="1" t="s">
        <v>202</v>
      </c>
      <c r="GE3917" s="1" t="s">
        <v>190</v>
      </c>
    </row>
    <row r="3918" spans="1:187" ht="11.25" customHeight="1">
      <c r="A3918" s="1" t="s">
        <v>5516</v>
      </c>
      <c r="B3918" s="1" t="str">
        <f ca="1">IFERROR(__xludf.DUMMYFUNCTION("GOOGLETRANSLATE(A3918, ""en"", ""fr"")"),"FANTASTIQUE")</f>
        <v>FANTASTIQUE</v>
      </c>
      <c r="C3918" s="1" t="s">
        <v>185</v>
      </c>
      <c r="D3918" s="1" t="s">
        <v>16612</v>
      </c>
      <c r="F3918" s="1" t="s">
        <v>2</v>
      </c>
      <c r="U3918" s="1" t="s">
        <v>17</v>
      </c>
      <c r="W3918" s="1" t="s">
        <v>19</v>
      </c>
      <c r="CN3918" s="1" t="s">
        <v>88</v>
      </c>
      <c r="FX3918" s="1" t="s">
        <v>176</v>
      </c>
      <c r="GD3918" s="1" t="s">
        <v>202</v>
      </c>
      <c r="GE3918" s="1" t="s">
        <v>190</v>
      </c>
    </row>
    <row r="3919" spans="1:187" ht="11.25" customHeight="1">
      <c r="A3919" s="1" t="s">
        <v>5517</v>
      </c>
      <c r="B3919" s="1" t="str">
        <f ca="1">IFERROR(__xludf.DUMMYFUNCTION("GOOGLETRANSLATE(A3919, ""en"", ""fr"")"),"FANTAISIE")</f>
        <v>FANTAISIE</v>
      </c>
      <c r="C3919" s="1" t="s">
        <v>192</v>
      </c>
      <c r="D3919" s="1" t="s">
        <v>16612</v>
      </c>
      <c r="P3919" s="1" t="s">
        <v>12</v>
      </c>
      <c r="CK3919" s="1" t="s">
        <v>85</v>
      </c>
      <c r="GD3919" s="1" t="s">
        <v>193</v>
      </c>
      <c r="GE3919" s="1" t="s">
        <v>190</v>
      </c>
    </row>
    <row r="3920" spans="1:187" ht="11.25" customHeight="1">
      <c r="A3920" s="1" t="s">
        <v>5518</v>
      </c>
      <c r="B3920" s="1" t="str">
        <f ca="1">IFERROR(__xludf.DUMMYFUNCTION("GOOGLETRANSLATE(A3920, ""en"", ""fr"")"),"Far # 1")</f>
        <v>Far # 1</v>
      </c>
      <c r="C3920" s="1" t="s">
        <v>185</v>
      </c>
      <c r="DA3920" s="1" t="s">
        <v>101</v>
      </c>
      <c r="GB3920" s="1" t="s">
        <v>180</v>
      </c>
      <c r="GD3920" s="1" t="s">
        <v>236</v>
      </c>
      <c r="GE3920" s="1" t="s">
        <v>5519</v>
      </c>
    </row>
    <row r="3921" spans="1:187" ht="11.25" customHeight="1">
      <c r="A3921" s="1" t="s">
        <v>5520</v>
      </c>
      <c r="B3921" s="1" t="str">
        <f ca="1">IFERROR(__xludf.DUMMYFUNCTION("GOOGLETRANSLATE(A3921, ""en"", ""fr"")"),"Far # 2")</f>
        <v>Far # 2</v>
      </c>
      <c r="C3921" s="1" t="s">
        <v>185</v>
      </c>
      <c r="CS3921" s="1" t="s">
        <v>93</v>
      </c>
      <c r="FY3921" s="1" t="s">
        <v>177</v>
      </c>
      <c r="GD3921" s="1" t="s">
        <v>236</v>
      </c>
      <c r="GE3921" s="1" t="s">
        <v>5521</v>
      </c>
    </row>
    <row r="3922" spans="1:187" ht="11.25" customHeight="1">
      <c r="A3922" s="1" t="s">
        <v>5522</v>
      </c>
      <c r="B3922" s="1" t="str">
        <f ca="1">IFERROR(__xludf.DUMMYFUNCTION("GOOGLETRANSLATE(A3922, ""en"", ""fr"")"),"Far # 3")</f>
        <v>Far # 3</v>
      </c>
      <c r="C3922" s="1" t="s">
        <v>185</v>
      </c>
      <c r="CY3922" s="1" t="s">
        <v>99</v>
      </c>
      <c r="GD3922" s="1" t="s">
        <v>236</v>
      </c>
      <c r="GE3922" s="1" t="s">
        <v>5523</v>
      </c>
    </row>
    <row r="3923" spans="1:187" ht="11.25" customHeight="1">
      <c r="A3923" s="1" t="s">
        <v>5524</v>
      </c>
      <c r="B3923" s="1" t="str">
        <f ca="1">IFERROR(__xludf.DUMMYFUNCTION("GOOGLETRANSLATE(A3923, ""en"", ""fr"")"),"Far # 4")</f>
        <v>Far # 4</v>
      </c>
      <c r="C3923" s="1" t="s">
        <v>185</v>
      </c>
      <c r="W3923" s="1" t="s">
        <v>19</v>
      </c>
      <c r="CS3923" s="1" t="s">
        <v>93</v>
      </c>
      <c r="GD3923" s="1" t="s">
        <v>236</v>
      </c>
      <c r="GE3923" s="1" t="s">
        <v>5525</v>
      </c>
    </row>
    <row r="3924" spans="1:187" ht="11.25" customHeight="1">
      <c r="A3924" s="1" t="s">
        <v>5526</v>
      </c>
      <c r="B3924" s="1" t="str">
        <f ca="1">IFERROR(__xludf.DUMMYFUNCTION("GOOGLETRANSLATE(A3924, ""en"", ""fr"")"),"D'une grande portée")</f>
        <v>D'une grande portée</v>
      </c>
      <c r="C3924" s="1" t="s">
        <v>196</v>
      </c>
      <c r="FY3924" s="1" t="s">
        <v>177</v>
      </c>
      <c r="GD3924" s="1" t="s">
        <v>202</v>
      </c>
    </row>
    <row r="3925" spans="1:187" ht="11.25" customHeight="1">
      <c r="A3925" s="1" t="s">
        <v>5527</v>
      </c>
      <c r="B3925" s="1" t="str">
        <f ca="1">IFERROR(__xludf.DUMMYFUNCTION("GOOGLETRANSLATE(A3925, ""en"", ""fr"")"),"FARCE")</f>
        <v>FARCE</v>
      </c>
      <c r="C3925" s="1" t="s">
        <v>192</v>
      </c>
      <c r="E3925" s="1" t="s">
        <v>16613</v>
      </c>
      <c r="BK3925" s="1" t="s">
        <v>59</v>
      </c>
      <c r="GD3925" s="1" t="s">
        <v>193</v>
      </c>
      <c r="GE3925" s="1" t="s">
        <v>190</v>
      </c>
    </row>
    <row r="3926" spans="1:187" ht="11.25" customHeight="1">
      <c r="A3926" s="1" t="s">
        <v>5528</v>
      </c>
      <c r="B3926" s="1" t="str">
        <f ca="1">IFERROR(__xludf.DUMMYFUNCTION("GOOGLETRANSLATE(A3926, ""en"", ""fr"")"),"Tarif n ° 1")</f>
        <v>Tarif n ° 1</v>
      </c>
      <c r="C3926" s="1" t="s">
        <v>185</v>
      </c>
      <c r="AA3926" s="1" t="s">
        <v>23</v>
      </c>
      <c r="BK3926" s="1" t="s">
        <v>59</v>
      </c>
      <c r="BL3926" s="1" t="s">
        <v>60</v>
      </c>
      <c r="GC3926" s="1" t="s">
        <v>181</v>
      </c>
      <c r="GD3926" s="1" t="s">
        <v>193</v>
      </c>
      <c r="GE3926" s="1" t="s">
        <v>190</v>
      </c>
    </row>
    <row r="3927" spans="1:187" ht="11.25" customHeight="1">
      <c r="A3927" s="1" t="s">
        <v>5529</v>
      </c>
      <c r="B3927" s="1" t="str">
        <f ca="1">IFERROR(__xludf.DUMMYFUNCTION("GOOGLETRANSLATE(A3927, ""en"", ""fr"")"),"Tarif n ° 2")</f>
        <v>Tarif n ° 2</v>
      </c>
      <c r="C3927" s="1" t="s">
        <v>185</v>
      </c>
      <c r="CE3927" s="1" t="s">
        <v>79</v>
      </c>
      <c r="DN3927" s="1" t="s">
        <v>114</v>
      </c>
      <c r="GD3927" s="1" t="s">
        <v>189</v>
      </c>
      <c r="GE3927" s="1" t="s">
        <v>190</v>
      </c>
    </row>
    <row r="3928" spans="1:187" ht="11.25" customHeight="1">
      <c r="A3928" s="1" t="s">
        <v>5530</v>
      </c>
      <c r="B3928" s="1" t="str">
        <f ca="1">IFERROR(__xludf.DUMMYFUNCTION("GOOGLETRANSLATE(A3928, ""en"", ""fr"")"),"ADIEU")</f>
        <v>ADIEU</v>
      </c>
      <c r="C3928" s="1" t="s">
        <v>185</v>
      </c>
      <c r="G3928" s="1" t="s">
        <v>3</v>
      </c>
      <c r="BK3928" s="1" t="s">
        <v>59</v>
      </c>
      <c r="BL3928" s="1" t="s">
        <v>60</v>
      </c>
      <c r="DM3928" s="1" t="s">
        <v>113</v>
      </c>
      <c r="ER3928" s="1" t="s">
        <v>144</v>
      </c>
      <c r="ES3928" s="1" t="s">
        <v>145</v>
      </c>
      <c r="GC3928" s="1" t="s">
        <v>181</v>
      </c>
      <c r="GD3928" s="1" t="s">
        <v>193</v>
      </c>
      <c r="GE3928" s="1" t="s">
        <v>190</v>
      </c>
    </row>
    <row r="3929" spans="1:187" ht="11.25" customHeight="1">
      <c r="A3929" s="1" t="s">
        <v>5531</v>
      </c>
      <c r="B3929" s="1" t="str">
        <f ca="1">IFERROR(__xludf.DUMMYFUNCTION("GOOGLETRANSLATE(A3929, ""en"", ""fr"")"),"Ferme n ° 1")</f>
        <v>Ferme n ° 1</v>
      </c>
      <c r="C3929" s="1" t="s">
        <v>185</v>
      </c>
      <c r="AA3929" s="1" t="s">
        <v>23</v>
      </c>
      <c r="AC3929" s="1" t="s">
        <v>25</v>
      </c>
      <c r="AV3929" s="1" t="s">
        <v>44</v>
      </c>
      <c r="AW3929" s="1" t="s">
        <v>45</v>
      </c>
      <c r="EV3929" s="1" t="s">
        <v>148</v>
      </c>
      <c r="EW3929" s="1" t="s">
        <v>149</v>
      </c>
      <c r="GD3929" s="1" t="s">
        <v>193</v>
      </c>
      <c r="GE3929" s="1" t="s">
        <v>5532</v>
      </c>
    </row>
    <row r="3930" spans="1:187" ht="11.25" customHeight="1">
      <c r="A3930" s="1" t="s">
        <v>5533</v>
      </c>
      <c r="B3930" s="1" t="str">
        <f ca="1">IFERROR(__xludf.DUMMYFUNCTION("GOOGLETRANSLATE(A3930, ""en"", ""fr"")"),"Ferme n ° 2")</f>
        <v>Ferme n ° 2</v>
      </c>
      <c r="C3930" s="1" t="s">
        <v>185</v>
      </c>
      <c r="AA3930" s="1" t="s">
        <v>23</v>
      </c>
      <c r="AL3930" s="1" t="s">
        <v>34</v>
      </c>
      <c r="DN3930" s="1" t="s">
        <v>114</v>
      </c>
      <c r="EV3930" s="1" t="s">
        <v>148</v>
      </c>
      <c r="EW3930" s="1" t="s">
        <v>149</v>
      </c>
      <c r="GD3930" s="1" t="s">
        <v>189</v>
      </c>
      <c r="GE3930" s="1" t="s">
        <v>5534</v>
      </c>
    </row>
    <row r="3931" spans="1:187" ht="11.25" customHeight="1">
      <c r="A3931" s="1" t="s">
        <v>5535</v>
      </c>
      <c r="B3931" s="1" t="str">
        <f ca="1">IFERROR(__xludf.DUMMYFUNCTION("GOOGLETRANSLATE(A3931, ""en"", ""fr"")"),"Ferme n ° 3")</f>
        <v>Ferme n ° 3</v>
      </c>
      <c r="C3931" s="1" t="s">
        <v>185</v>
      </c>
      <c r="AA3931" s="1" t="s">
        <v>23</v>
      </c>
      <c r="AC3931" s="1" t="s">
        <v>25</v>
      </c>
      <c r="AL3931" s="1" t="s">
        <v>34</v>
      </c>
      <c r="EV3931" s="1" t="s">
        <v>148</v>
      </c>
      <c r="EW3931" s="1" t="s">
        <v>149</v>
      </c>
      <c r="GD3931" s="1" t="s">
        <v>193</v>
      </c>
      <c r="GE3931" s="1" t="s">
        <v>5536</v>
      </c>
    </row>
    <row r="3932" spans="1:187" ht="11.25" customHeight="1">
      <c r="A3932" s="1" t="s">
        <v>5537</v>
      </c>
      <c r="B3932" s="1" t="str">
        <f ca="1">IFERROR(__xludf.DUMMYFUNCTION("GOOGLETRANSLATE(A3932, ""en"", ""fr"")"),"FERMIER")</f>
        <v>FERMIER</v>
      </c>
      <c r="C3932" s="1" t="s">
        <v>185</v>
      </c>
      <c r="AA3932" s="1" t="s">
        <v>23</v>
      </c>
      <c r="AC3932" s="1" t="s">
        <v>25</v>
      </c>
      <c r="AJ3932" s="1" t="s">
        <v>32</v>
      </c>
      <c r="AT3932" s="1" t="s">
        <v>42</v>
      </c>
      <c r="ET3932" s="1" t="s">
        <v>146</v>
      </c>
      <c r="EW3932" s="1" t="s">
        <v>149</v>
      </c>
      <c r="GD3932" s="1" t="s">
        <v>193</v>
      </c>
      <c r="GE3932" s="1" t="s">
        <v>5538</v>
      </c>
    </row>
    <row r="3933" spans="1:187" ht="11.25" customHeight="1">
      <c r="A3933" s="1" t="s">
        <v>5539</v>
      </c>
      <c r="B3933" s="1" t="str">
        <f ca="1">IFERROR(__xludf.DUMMYFUNCTION("GOOGLETRANSLATE(A3933, ""en"", ""fr"")"),"HYPERMÉTROPE")</f>
        <v>HYPERMÉTROPE</v>
      </c>
      <c r="C3933" s="1" t="s">
        <v>192</v>
      </c>
      <c r="D3933" s="1" t="s">
        <v>16612</v>
      </c>
      <c r="CK3933" s="1" t="s">
        <v>85</v>
      </c>
      <c r="DR3933" s="1" t="s">
        <v>118</v>
      </c>
      <c r="GD3933" s="1" t="s">
        <v>202</v>
      </c>
      <c r="GE3933" s="1" t="s">
        <v>190</v>
      </c>
    </row>
    <row r="3934" spans="1:187" ht="11.25" customHeight="1">
      <c r="A3934" s="1" t="s">
        <v>5540</v>
      </c>
      <c r="B3934" s="1" t="str">
        <f ca="1">IFERROR(__xludf.DUMMYFUNCTION("GOOGLETRANSLATE(A3934, ""en"", ""fr"")"),"PLUS LOIN")</f>
        <v>PLUS LOIN</v>
      </c>
      <c r="C3934" s="1" t="s">
        <v>185</v>
      </c>
      <c r="CL3934" s="1" t="s">
        <v>86</v>
      </c>
      <c r="DA3934" s="1" t="s">
        <v>101</v>
      </c>
      <c r="GD3934" s="1" t="s">
        <v>5541</v>
      </c>
      <c r="GE3934" s="1" t="s">
        <v>190</v>
      </c>
    </row>
    <row r="3935" spans="1:187" ht="11.25" customHeight="1">
      <c r="A3935" s="1" t="s">
        <v>5542</v>
      </c>
      <c r="B3935" s="1" t="str">
        <f ca="1">IFERROR(__xludf.DUMMYFUNCTION("GOOGLETRANSLATE(A3935, ""en"", ""fr"")"),"Fascine # 1")</f>
        <v>Fascine # 1</v>
      </c>
      <c r="C3935" s="1" t="s">
        <v>185</v>
      </c>
      <c r="P3935" s="1" t="s">
        <v>12</v>
      </c>
      <c r="W3935" s="1" t="s">
        <v>19</v>
      </c>
      <c r="FF3935" s="1" t="s">
        <v>158</v>
      </c>
      <c r="FI3935" s="1" t="s">
        <v>161</v>
      </c>
      <c r="GD3935" s="1" t="s">
        <v>193</v>
      </c>
      <c r="GE3935" s="1" t="s">
        <v>190</v>
      </c>
    </row>
    <row r="3936" spans="1:187" ht="11.25" customHeight="1">
      <c r="A3936" s="1" t="s">
        <v>5543</v>
      </c>
      <c r="B3936" s="1" t="str">
        <f ca="1">IFERROR(__xludf.DUMMYFUNCTION("GOOGLETRANSLATE(A3936, ""en"", ""fr"")"),"Fascine # 2")</f>
        <v>Fascine # 2</v>
      </c>
      <c r="C3936" s="1" t="s">
        <v>185</v>
      </c>
      <c r="S3936" s="1" t="s">
        <v>15</v>
      </c>
      <c r="W3936" s="1" t="s">
        <v>19</v>
      </c>
      <c r="DN3936" s="1" t="s">
        <v>114</v>
      </c>
      <c r="FF3936" s="1" t="s">
        <v>158</v>
      </c>
      <c r="FI3936" s="1" t="s">
        <v>161</v>
      </c>
      <c r="GD3936" s="1" t="s">
        <v>189</v>
      </c>
      <c r="GE3936" s="1" t="s">
        <v>190</v>
      </c>
    </row>
    <row r="3937" spans="1:187" ht="11.25" customHeight="1">
      <c r="A3937" s="1" t="s">
        <v>5544</v>
      </c>
      <c r="B3937" s="1" t="str">
        <f ca="1">IFERROR(__xludf.DUMMYFUNCTION("GOOGLETRANSLATE(A3937, ""en"", ""fr"")"),"FASCINATION")</f>
        <v>FASCINATION</v>
      </c>
      <c r="C3937" s="1" t="s">
        <v>192</v>
      </c>
      <c r="D3937" s="1" t="s">
        <v>16612</v>
      </c>
      <c r="BN3937" s="1" t="s">
        <v>62</v>
      </c>
      <c r="CG3937" s="1" t="s">
        <v>81</v>
      </c>
      <c r="GD3937" s="1" t="s">
        <v>1177</v>
      </c>
      <c r="GE3937" s="1" t="s">
        <v>190</v>
      </c>
    </row>
    <row r="3938" spans="1:187" ht="11.25" customHeight="1">
      <c r="A3938" s="1" t="s">
        <v>5545</v>
      </c>
      <c r="B3938" s="1" t="str">
        <f ca="1">IFERROR(__xludf.DUMMYFUNCTION("GOOGLETRANSLATE(A3938, ""en"", ""fr"")"),"FASCISTE")</f>
        <v>FASCISTE</v>
      </c>
      <c r="C3938" s="1" t="s">
        <v>185</v>
      </c>
      <c r="E3938" s="1" t="s">
        <v>16613</v>
      </c>
      <c r="G3938" s="1" t="s">
        <v>3</v>
      </c>
      <c r="Z3938" s="1" t="s">
        <v>22</v>
      </c>
      <c r="AG3938" s="1" t="s">
        <v>29</v>
      </c>
      <c r="DR3938" s="1" t="s">
        <v>118</v>
      </c>
      <c r="EA3938" s="1" t="s">
        <v>127</v>
      </c>
      <c r="ED3938" s="1" t="s">
        <v>130</v>
      </c>
      <c r="GD3938" s="1" t="s">
        <v>202</v>
      </c>
      <c r="GE3938" s="1" t="s">
        <v>190</v>
      </c>
    </row>
    <row r="3939" spans="1:187" ht="11.25" customHeight="1">
      <c r="A3939" s="1" t="s">
        <v>5546</v>
      </c>
      <c r="B3939" s="1" t="str">
        <f ca="1">IFERROR(__xludf.DUMMYFUNCTION("GOOGLETRANSLATE(A3939, ""en"", ""fr"")"),"MODE")</f>
        <v>MODE</v>
      </c>
      <c r="C3939" s="1" t="s">
        <v>185</v>
      </c>
      <c r="Z3939" s="1" t="s">
        <v>22</v>
      </c>
      <c r="AD3939" s="1" t="s">
        <v>26</v>
      </c>
      <c r="FL3939" s="1" t="s">
        <v>164</v>
      </c>
      <c r="FM3939" s="1" t="s">
        <v>418</v>
      </c>
      <c r="GD3939" s="1" t="s">
        <v>193</v>
      </c>
      <c r="GE3939" s="1" t="s">
        <v>190</v>
      </c>
    </row>
    <row r="3940" spans="1:187" ht="11.25" customHeight="1">
      <c r="A3940" s="1" t="s">
        <v>5547</v>
      </c>
      <c r="B3940" s="1" t="str">
        <f ca="1">IFERROR(__xludf.DUMMYFUNCTION("GOOGLETRANSLATE(A3940, ""en"", ""fr"")"),"À LA MODE")</f>
        <v>À LA MODE</v>
      </c>
      <c r="C3940" s="1" t="s">
        <v>192</v>
      </c>
      <c r="D3940" s="1" t="s">
        <v>16612</v>
      </c>
      <c r="CM3940" s="1" t="s">
        <v>87</v>
      </c>
      <c r="CR3940" s="1" t="s">
        <v>92</v>
      </c>
      <c r="DR3940" s="1" t="s">
        <v>118</v>
      </c>
      <c r="GD3940" s="1" t="s">
        <v>202</v>
      </c>
      <c r="GE3940" s="1" t="s">
        <v>190</v>
      </c>
    </row>
    <row r="3941" spans="1:187" ht="11.25" customHeight="1">
      <c r="A3941" s="1" t="s">
        <v>5548</v>
      </c>
      <c r="B3941" s="1" t="str">
        <f ca="1">IFERROR(__xludf.DUMMYFUNCTION("GOOGLETRANSLATE(A3941, ""en"", ""fr"")"),"Rapide # 1")</f>
        <v>Rapide # 1</v>
      </c>
      <c r="C3941" s="1" t="s">
        <v>185</v>
      </c>
      <c r="J3941" s="1" t="s">
        <v>6</v>
      </c>
      <c r="N3941" s="1" t="s">
        <v>10</v>
      </c>
      <c r="W3941" s="1" t="s">
        <v>19</v>
      </c>
      <c r="CY3941" s="1" t="s">
        <v>99</v>
      </c>
      <c r="GD3941" s="1" t="s">
        <v>202</v>
      </c>
      <c r="GE3941" s="1" t="s">
        <v>5549</v>
      </c>
    </row>
    <row r="3942" spans="1:187" ht="11.25" customHeight="1">
      <c r="A3942" s="1" t="s">
        <v>5550</v>
      </c>
      <c r="B3942" s="1" t="str">
        <f ca="1">IFERROR(__xludf.DUMMYFUNCTION("GOOGLETRANSLATE(A3942, ""en"", ""fr"")"),"Rapide # 2")</f>
        <v>Rapide # 2</v>
      </c>
      <c r="C3942" s="1" t="s">
        <v>185</v>
      </c>
      <c r="J3942" s="1" t="s">
        <v>6</v>
      </c>
      <c r="N3942" s="1" t="s">
        <v>10</v>
      </c>
      <c r="BU3942" s="1" t="s">
        <v>69</v>
      </c>
      <c r="DO3942" s="1" t="s">
        <v>115</v>
      </c>
      <c r="GD3942" s="1" t="s">
        <v>189</v>
      </c>
      <c r="GE3942" s="1" t="s">
        <v>5551</v>
      </c>
    </row>
    <row r="3943" spans="1:187" ht="11.25" customHeight="1">
      <c r="A3943" s="1" t="s">
        <v>5552</v>
      </c>
      <c r="B3943" s="1" t="str">
        <f ca="1">IFERROR(__xludf.DUMMYFUNCTION("GOOGLETRANSLATE(A3943, ""en"", ""fr"")"),"Rapide # 3")</f>
        <v>Rapide # 3</v>
      </c>
      <c r="C3943" s="1" t="s">
        <v>185</v>
      </c>
      <c r="J3943" s="1" t="s">
        <v>6</v>
      </c>
      <c r="BR3943" s="1" t="s">
        <v>66</v>
      </c>
      <c r="GD3943" s="1" t="s">
        <v>202</v>
      </c>
      <c r="GE3943" s="1" t="s">
        <v>5553</v>
      </c>
    </row>
    <row r="3944" spans="1:187" ht="11.25" customHeight="1">
      <c r="A3944" s="1" t="s">
        <v>5554</v>
      </c>
      <c r="B3944" s="1" t="str">
        <f ca="1">IFERROR(__xludf.DUMMYFUNCTION("GOOGLETRANSLATE(A3944, ""en"", ""fr"")"),"Rapide # 4")</f>
        <v>Rapide # 4</v>
      </c>
      <c r="C3944" s="1" t="s">
        <v>185</v>
      </c>
      <c r="AM3944" s="1" t="s">
        <v>35</v>
      </c>
      <c r="GD3944" s="1" t="s">
        <v>193</v>
      </c>
      <c r="GE3944" s="1" t="s">
        <v>5555</v>
      </c>
    </row>
    <row r="3945" spans="1:187" ht="11.25" customHeight="1">
      <c r="A3945" s="1" t="s">
        <v>5556</v>
      </c>
      <c r="B3945" s="1" t="str">
        <f ca="1">IFERROR(__xludf.DUMMYFUNCTION("GOOGLETRANSLATE(A3945, ""en"", ""fr"")"),"Fast # 5")</f>
        <v>Fast # 5</v>
      </c>
      <c r="C3945" s="1" t="s">
        <v>185</v>
      </c>
      <c r="J3945" s="1" t="s">
        <v>6</v>
      </c>
      <c r="N3945" s="1" t="s">
        <v>10</v>
      </c>
      <c r="W3945" s="1" t="s">
        <v>19</v>
      </c>
      <c r="CY3945" s="1" t="s">
        <v>99</v>
      </c>
      <c r="GD3945" s="1" t="s">
        <v>202</v>
      </c>
      <c r="GE3945" s="1" t="s">
        <v>5557</v>
      </c>
    </row>
    <row r="3946" spans="1:187" ht="11.25" customHeight="1">
      <c r="A3946" s="1" t="s">
        <v>5558</v>
      </c>
      <c r="B3946" s="1" t="str">
        <f ca="1">IFERROR(__xludf.DUMMYFUNCTION("GOOGLETRANSLATE(A3946, ""en"", ""fr"")"),"RAPIDE 6")</f>
        <v>RAPIDE 6</v>
      </c>
      <c r="C3946" s="1" t="s">
        <v>185</v>
      </c>
      <c r="J3946" s="1" t="s">
        <v>6</v>
      </c>
      <c r="N3946" s="1" t="s">
        <v>10</v>
      </c>
      <c r="W3946" s="1" t="s">
        <v>19</v>
      </c>
      <c r="CY3946" s="1" t="s">
        <v>99</v>
      </c>
      <c r="GD3946" s="1" t="s">
        <v>202</v>
      </c>
      <c r="GE3946" s="1" t="s">
        <v>5559</v>
      </c>
    </row>
    <row r="3947" spans="1:187" ht="11.25" customHeight="1">
      <c r="A3947" s="1" t="s">
        <v>5560</v>
      </c>
      <c r="B3947" s="1" t="str">
        <f ca="1">IFERROR(__xludf.DUMMYFUNCTION("GOOGLETRANSLATE(A3947, ""en"", ""fr"")"),"BOUCLER")</f>
        <v>BOUCLER</v>
      </c>
      <c r="C3947" s="1" t="s">
        <v>185</v>
      </c>
      <c r="AL3947" s="1" t="s">
        <v>34</v>
      </c>
      <c r="DN3947" s="1" t="s">
        <v>114</v>
      </c>
      <c r="GD3947" s="1" t="s">
        <v>189</v>
      </c>
      <c r="GE3947" s="1" t="s">
        <v>190</v>
      </c>
    </row>
    <row r="3948" spans="1:187" ht="11.25" customHeight="1">
      <c r="A3948" s="1" t="s">
        <v>5561</v>
      </c>
      <c r="B3948" s="1" t="str">
        <f ca="1">IFERROR(__xludf.DUMMYFUNCTION("GOOGLETRANSLATE(A3948, ""en"", ""fr"")"),"Graisse n ° 1")</f>
        <v>Graisse n ° 1</v>
      </c>
      <c r="C3948" s="1" t="s">
        <v>185</v>
      </c>
      <c r="E3948" s="1" t="s">
        <v>16613</v>
      </c>
      <c r="H3948" s="1" t="s">
        <v>4</v>
      </c>
      <c r="CN3948" s="1" t="s">
        <v>88</v>
      </c>
      <c r="DA3948" s="1" t="s">
        <v>101</v>
      </c>
      <c r="DC3948" s="1" t="s">
        <v>103</v>
      </c>
      <c r="EZ3948" s="1" t="s">
        <v>152</v>
      </c>
      <c r="FC3948" s="1" t="s">
        <v>155</v>
      </c>
      <c r="GD3948" s="1" t="s">
        <v>421</v>
      </c>
      <c r="GE3948" s="1" t="s">
        <v>5562</v>
      </c>
    </row>
    <row r="3949" spans="1:187" ht="11.25" customHeight="1">
      <c r="A3949" s="1" t="s">
        <v>5563</v>
      </c>
      <c r="B3949" s="1" t="str">
        <f ca="1">IFERROR(__xludf.DUMMYFUNCTION("GOOGLETRANSLATE(A3949, ""en"", ""fr"")"),"Graisse n ° 2")</f>
        <v>Graisse n ° 2</v>
      </c>
      <c r="C3949" s="1" t="s">
        <v>185</v>
      </c>
      <c r="E3949" s="1" t="s">
        <v>16613</v>
      </c>
      <c r="H3949" s="1" t="s">
        <v>4</v>
      </c>
      <c r="CN3949" s="1" t="s">
        <v>88</v>
      </c>
      <c r="DA3949" s="1" t="s">
        <v>101</v>
      </c>
      <c r="DC3949" s="1" t="s">
        <v>103</v>
      </c>
      <c r="GD3949" s="1" t="s">
        <v>202</v>
      </c>
      <c r="GE3949" s="1" t="s">
        <v>5564</v>
      </c>
    </row>
    <row r="3950" spans="1:187" ht="11.25" customHeight="1">
      <c r="A3950" s="1" t="s">
        <v>5565</v>
      </c>
      <c r="B3950" s="1" t="str">
        <f ca="1">IFERROR(__xludf.DUMMYFUNCTION("GOOGLETRANSLATE(A3950, ""en"", ""fr"")"),"Graisse # 3")</f>
        <v>Graisse # 3</v>
      </c>
      <c r="C3950" s="1" t="s">
        <v>185</v>
      </c>
      <c r="E3950" s="1" t="s">
        <v>16613</v>
      </c>
      <c r="H3950" s="1" t="s">
        <v>4</v>
      </c>
      <c r="CN3950" s="1" t="s">
        <v>88</v>
      </c>
      <c r="DA3950" s="1" t="s">
        <v>101</v>
      </c>
      <c r="DC3950" s="1" t="s">
        <v>103</v>
      </c>
      <c r="GD3950" s="1" t="s">
        <v>202</v>
      </c>
      <c r="GE3950" s="1" t="s">
        <v>5566</v>
      </c>
    </row>
    <row r="3951" spans="1:187" ht="11.25" customHeight="1">
      <c r="A3951" s="1" t="s">
        <v>5567</v>
      </c>
      <c r="B3951" s="1" t="str">
        <f ca="1">IFERROR(__xludf.DUMMYFUNCTION("GOOGLETRANSLATE(A3951, ""en"", ""fr"")"),"FATAL")</f>
        <v>FATAL</v>
      </c>
      <c r="C3951" s="1" t="s">
        <v>185</v>
      </c>
      <c r="E3951" s="1" t="s">
        <v>16613</v>
      </c>
      <c r="BU3951" s="1" t="s">
        <v>69</v>
      </c>
      <c r="BZ3951" s="1" t="s">
        <v>74</v>
      </c>
      <c r="DR3951" s="1" t="s">
        <v>118</v>
      </c>
      <c r="EY3951" s="1" t="s">
        <v>151</v>
      </c>
      <c r="FC3951" s="1" t="s">
        <v>155</v>
      </c>
      <c r="GD3951" s="1" t="s">
        <v>202</v>
      </c>
      <c r="GE3951" s="1" t="s">
        <v>190</v>
      </c>
    </row>
    <row r="3952" spans="1:187" ht="11.25" customHeight="1">
      <c r="A3952" s="1" t="s">
        <v>5568</v>
      </c>
      <c r="B3952" s="1" t="str">
        <f ca="1">IFERROR(__xludf.DUMMYFUNCTION("GOOGLETRANSLATE(A3952, ""en"", ""fr"")"),"Fataliste")</f>
        <v>Fataliste</v>
      </c>
      <c r="C3952" s="1" t="s">
        <v>192</v>
      </c>
      <c r="E3952" s="1" t="s">
        <v>16613</v>
      </c>
      <c r="BZ3952" s="1" t="s">
        <v>74</v>
      </c>
      <c r="CG3952" s="1" t="s">
        <v>81</v>
      </c>
      <c r="DR3952" s="1" t="s">
        <v>118</v>
      </c>
      <c r="GD3952" s="1" t="s">
        <v>202</v>
      </c>
      <c r="GE3952" s="1" t="s">
        <v>190</v>
      </c>
    </row>
    <row r="3953" spans="1:187" ht="11.25" customHeight="1">
      <c r="A3953" s="1" t="s">
        <v>5569</v>
      </c>
      <c r="B3953" s="1" t="str">
        <f ca="1">IFERROR(__xludf.DUMMYFUNCTION("GOOGLETRANSLATE(A3953, ""en"", ""fr"")"),"DESTIN")</f>
        <v>DESTIN</v>
      </c>
      <c r="C3953" s="1" t="s">
        <v>185</v>
      </c>
      <c r="J3953" s="1" t="s">
        <v>6</v>
      </c>
      <c r="Z3953" s="1" t="s">
        <v>22</v>
      </c>
      <c r="AI3953" s="1" t="s">
        <v>31</v>
      </c>
      <c r="CP3953" s="1" t="s">
        <v>90</v>
      </c>
      <c r="CQ3953" s="1" t="s">
        <v>91</v>
      </c>
      <c r="FR3953" s="1" t="s">
        <v>170</v>
      </c>
      <c r="GD3953" s="1" t="s">
        <v>193</v>
      </c>
      <c r="GE3953" s="1" t="s">
        <v>190</v>
      </c>
    </row>
    <row r="3954" spans="1:187" ht="11.25" customHeight="1">
      <c r="A3954" s="1" t="s">
        <v>5570</v>
      </c>
      <c r="B3954" s="1" t="str">
        <f ca="1">IFERROR(__xludf.DUMMYFUNCTION("GOOGLETRANSLATE(A3954, ""en"", ""fr"")"),"PÈRE")</f>
        <v>PÈRE</v>
      </c>
      <c r="C3954" s="1" t="s">
        <v>185</v>
      </c>
      <c r="G3954" s="1" t="s">
        <v>3</v>
      </c>
      <c r="J3954" s="1" t="s">
        <v>6</v>
      </c>
      <c r="AJ3954" s="1" t="s">
        <v>32</v>
      </c>
      <c r="AP3954" s="1" t="s">
        <v>38</v>
      </c>
      <c r="AQ3954" s="1" t="s">
        <v>39</v>
      </c>
      <c r="AT3954" s="1" t="s">
        <v>42</v>
      </c>
      <c r="EQ3954" s="1" t="s">
        <v>143</v>
      </c>
      <c r="ES3954" s="1" t="s">
        <v>145</v>
      </c>
      <c r="GD3954" s="1" t="s">
        <v>837</v>
      </c>
      <c r="GE3954" s="1" t="s">
        <v>5571</v>
      </c>
    </row>
    <row r="3955" spans="1:187" ht="11.25" customHeight="1">
      <c r="A3955" s="1" t="s">
        <v>5572</v>
      </c>
      <c r="B3955" s="1" t="str">
        <f ca="1">IFERROR(__xludf.DUMMYFUNCTION("GOOGLETRANSLATE(A3955, ""en"", ""fr"")"),"Fathom # 1")</f>
        <v>Fathom # 1</v>
      </c>
      <c r="C3955" s="1" t="s">
        <v>185</v>
      </c>
      <c r="J3955" s="1" t="s">
        <v>6</v>
      </c>
      <c r="CQ3955" s="1" t="s">
        <v>91</v>
      </c>
      <c r="CX3955" s="1" t="s">
        <v>98</v>
      </c>
      <c r="DA3955" s="1" t="s">
        <v>101</v>
      </c>
      <c r="GB3955" s="1" t="s">
        <v>180</v>
      </c>
      <c r="GD3955" s="1" t="s">
        <v>193</v>
      </c>
      <c r="GE3955" s="1" t="s">
        <v>190</v>
      </c>
    </row>
    <row r="3956" spans="1:187" ht="11.25" customHeight="1">
      <c r="A3956" s="1" t="s">
        <v>5573</v>
      </c>
      <c r="B3956" s="1" t="str">
        <f ca="1">IFERROR(__xludf.DUMMYFUNCTION("GOOGLETRANSLATE(A3956, ""en"", ""fr"")"),"Fathom # 2")</f>
        <v>Fathom # 2</v>
      </c>
      <c r="C3956" s="1" t="s">
        <v>185</v>
      </c>
      <c r="J3956" s="1" t="s">
        <v>6</v>
      </c>
      <c r="N3956" s="1" t="s">
        <v>10</v>
      </c>
      <c r="CO3956" s="1" t="s">
        <v>89</v>
      </c>
      <c r="DN3956" s="1" t="s">
        <v>114</v>
      </c>
      <c r="FD3956" s="1" t="s">
        <v>156</v>
      </c>
      <c r="FI3956" s="1" t="s">
        <v>161</v>
      </c>
      <c r="GD3956" s="1" t="s">
        <v>189</v>
      </c>
      <c r="GE3956" s="1" t="s">
        <v>190</v>
      </c>
    </row>
    <row r="3957" spans="1:187" ht="11.25" customHeight="1">
      <c r="A3957" s="1" t="s">
        <v>5574</v>
      </c>
      <c r="B3957" s="1" t="str">
        <f ca="1">IFERROR(__xludf.DUMMYFUNCTION("GOOGLETRANSLATE(A3957, ""en"", ""fr"")"),"FATIGUE")</f>
        <v>FATIGUE</v>
      </c>
      <c r="C3957" s="1" t="s">
        <v>185</v>
      </c>
      <c r="E3957" s="1" t="s">
        <v>16613</v>
      </c>
      <c r="H3957" s="1" t="s">
        <v>4</v>
      </c>
      <c r="L3957" s="1" t="s">
        <v>8</v>
      </c>
      <c r="O3957" s="1" t="s">
        <v>11</v>
      </c>
      <c r="Q3957" s="1" t="s">
        <v>13</v>
      </c>
      <c r="EZ3957" s="1" t="s">
        <v>152</v>
      </c>
      <c r="FC3957" s="1" t="s">
        <v>155</v>
      </c>
      <c r="GD3957" s="1" t="s">
        <v>193</v>
      </c>
      <c r="GE3957" s="1" t="s">
        <v>190</v>
      </c>
    </row>
    <row r="3958" spans="1:187" ht="11.25" customHeight="1">
      <c r="A3958" s="1" t="s">
        <v>5575</v>
      </c>
      <c r="B3958" s="1" t="str">
        <f ca="1">IFERROR(__xludf.DUMMYFUNCTION("GOOGLETRANSLATE(A3958, ""en"", ""fr"")"),"FAUTE")</f>
        <v>FAUTE</v>
      </c>
      <c r="C3958" s="1" t="s">
        <v>185</v>
      </c>
      <c r="E3958" s="1" t="s">
        <v>16613</v>
      </c>
      <c r="H3958" s="1" t="s">
        <v>4</v>
      </c>
      <c r="L3958" s="1" t="s">
        <v>8</v>
      </c>
      <c r="V3958" s="1" t="s">
        <v>18</v>
      </c>
      <c r="FL3958" s="1" t="s">
        <v>164</v>
      </c>
      <c r="FM3958" s="1" t="s">
        <v>418</v>
      </c>
      <c r="GD3958" s="1" t="s">
        <v>193</v>
      </c>
      <c r="GE3958" s="1" t="s">
        <v>190</v>
      </c>
    </row>
    <row r="3959" spans="1:187" ht="11.25" customHeight="1">
      <c r="A3959" s="1" t="s">
        <v>5576</v>
      </c>
      <c r="B3959" s="1" t="str">
        <f ca="1">IFERROR(__xludf.DUMMYFUNCTION("GOOGLETRANSLATE(A3959, ""en"", ""fr"")"),"Faveur n ° 1")</f>
        <v>Faveur n ° 1</v>
      </c>
      <c r="C3959" s="1" t="s">
        <v>185</v>
      </c>
      <c r="D3959" s="1" t="s">
        <v>16612</v>
      </c>
      <c r="F3959" s="1" t="s">
        <v>2</v>
      </c>
      <c r="G3959" s="1" t="s">
        <v>3</v>
      </c>
      <c r="U3959" s="1" t="s">
        <v>17</v>
      </c>
      <c r="FX3959" s="1" t="s">
        <v>176</v>
      </c>
      <c r="GD3959" s="1" t="s">
        <v>193</v>
      </c>
      <c r="GE3959" s="1" t="s">
        <v>5577</v>
      </c>
    </row>
    <row r="3960" spans="1:187" ht="11.25" customHeight="1">
      <c r="A3960" s="1" t="s">
        <v>5578</v>
      </c>
      <c r="B3960" s="1" t="str">
        <f ca="1">IFERROR(__xludf.DUMMYFUNCTION("GOOGLETRANSLATE(A3960, ""en"", ""fr"")"),"Faveur n ° 2")</f>
        <v>Faveur n ° 2</v>
      </c>
      <c r="C3960" s="1" t="s">
        <v>185</v>
      </c>
      <c r="D3960" s="1" t="s">
        <v>16612</v>
      </c>
      <c r="F3960" s="1" t="s">
        <v>2</v>
      </c>
      <c r="S3960" s="1" t="s">
        <v>15</v>
      </c>
      <c r="DN3960" s="1" t="s">
        <v>114</v>
      </c>
      <c r="FX3960" s="1" t="s">
        <v>176</v>
      </c>
      <c r="GD3960" s="1" t="s">
        <v>189</v>
      </c>
      <c r="GE3960" s="1" t="s">
        <v>5579</v>
      </c>
    </row>
    <row r="3961" spans="1:187" ht="11.25" customHeight="1">
      <c r="A3961" s="1" t="s">
        <v>5580</v>
      </c>
      <c r="B3961" s="1" t="str">
        <f ca="1">IFERROR(__xludf.DUMMYFUNCTION("GOOGLETRANSLATE(A3961, ""en"", ""fr"")"),"Faveur n ° 3")</f>
        <v>Faveur n ° 3</v>
      </c>
      <c r="C3961" s="1" t="s">
        <v>185</v>
      </c>
      <c r="D3961" s="1" t="s">
        <v>16612</v>
      </c>
      <c r="F3961" s="1" t="s">
        <v>2</v>
      </c>
      <c r="BQ3961" s="1" t="s">
        <v>65</v>
      </c>
      <c r="FX3961" s="1" t="s">
        <v>176</v>
      </c>
      <c r="GD3961" s="1" t="s">
        <v>193</v>
      </c>
      <c r="GE3961" s="1" t="s">
        <v>5581</v>
      </c>
    </row>
    <row r="3962" spans="1:187" ht="11.25" customHeight="1">
      <c r="A3962" s="1" t="s">
        <v>5582</v>
      </c>
      <c r="B3962" s="1" t="str">
        <f ca="1">IFERROR(__xludf.DUMMYFUNCTION("GOOGLETRANSLATE(A3962, ""en"", ""fr"")"),"Faveur n ° 4")</f>
        <v>Faveur n ° 4</v>
      </c>
      <c r="C3962" s="1" t="s">
        <v>185</v>
      </c>
      <c r="D3962" s="1" t="s">
        <v>16612</v>
      </c>
      <c r="F3962" s="1" t="s">
        <v>2</v>
      </c>
      <c r="G3962" s="1" t="s">
        <v>3</v>
      </c>
      <c r="U3962" s="1" t="s">
        <v>17</v>
      </c>
      <c r="FQ3962" s="1" t="s">
        <v>169</v>
      </c>
      <c r="GD3962" s="1" t="s">
        <v>193</v>
      </c>
      <c r="GE3962" s="1" t="s">
        <v>5583</v>
      </c>
    </row>
    <row r="3963" spans="1:187" ht="11.25" customHeight="1">
      <c r="A3963" s="1" t="s">
        <v>5584</v>
      </c>
      <c r="B3963" s="1" t="str">
        <f ca="1">IFERROR(__xludf.DUMMYFUNCTION("GOOGLETRANSLATE(A3963, ""en"", ""fr"")"),"Faveur n ° 5")</f>
        <v>Faveur n ° 5</v>
      </c>
      <c r="C3963" s="1" t="s">
        <v>185</v>
      </c>
      <c r="D3963" s="1" t="s">
        <v>16612</v>
      </c>
      <c r="F3963" s="1" t="s">
        <v>2</v>
      </c>
      <c r="G3963" s="1" t="s">
        <v>3</v>
      </c>
      <c r="O3963" s="1" t="s">
        <v>11</v>
      </c>
      <c r="U3963" s="1" t="s">
        <v>17</v>
      </c>
      <c r="CN3963" s="1" t="s">
        <v>88</v>
      </c>
      <c r="FX3963" s="1" t="s">
        <v>176</v>
      </c>
      <c r="GD3963" s="1" t="s">
        <v>202</v>
      </c>
      <c r="GE3963" s="1" t="s">
        <v>5585</v>
      </c>
    </row>
    <row r="3964" spans="1:187" ht="11.25" customHeight="1">
      <c r="A3964" s="1" t="s">
        <v>5586</v>
      </c>
      <c r="B3964" s="1" t="str">
        <f ca="1">IFERROR(__xludf.DUMMYFUNCTION("GOOGLETRANSLATE(A3964, ""en"", ""fr"")"),"FAVORABLE")</f>
        <v>FAVORABLE</v>
      </c>
      <c r="C3964" s="1" t="s">
        <v>185</v>
      </c>
      <c r="D3964" s="1" t="s">
        <v>16612</v>
      </c>
      <c r="F3964" s="1" t="s">
        <v>2</v>
      </c>
      <c r="G3964" s="1" t="s">
        <v>3</v>
      </c>
      <c r="U3964" s="1" t="s">
        <v>17</v>
      </c>
      <c r="CN3964" s="1" t="s">
        <v>88</v>
      </c>
      <c r="FX3964" s="1" t="s">
        <v>176</v>
      </c>
      <c r="GD3964" s="1" t="s">
        <v>202</v>
      </c>
      <c r="GE3964" s="1" t="s">
        <v>190</v>
      </c>
    </row>
    <row r="3965" spans="1:187" ht="11.25" customHeight="1">
      <c r="A3965" s="1" t="s">
        <v>5587</v>
      </c>
      <c r="B3965" s="1" t="str">
        <f ca="1">IFERROR(__xludf.DUMMYFUNCTION("GOOGLETRANSLATE(A3965, ""en"", ""fr"")"),"PRÉFÉRÉ")</f>
        <v>PRÉFÉRÉ</v>
      </c>
      <c r="C3965" s="1" t="s">
        <v>185</v>
      </c>
      <c r="D3965" s="1" t="s">
        <v>16612</v>
      </c>
      <c r="F3965" s="1" t="s">
        <v>2</v>
      </c>
      <c r="G3965" s="1" t="s">
        <v>3</v>
      </c>
      <c r="U3965" s="1" t="s">
        <v>17</v>
      </c>
      <c r="CN3965" s="1" t="s">
        <v>88</v>
      </c>
      <c r="ER3965" s="1" t="s">
        <v>144</v>
      </c>
      <c r="ES3965" s="1" t="s">
        <v>145</v>
      </c>
      <c r="GD3965" s="1" t="s">
        <v>202</v>
      </c>
      <c r="GE3965" s="1" t="s">
        <v>190</v>
      </c>
    </row>
    <row r="3966" spans="1:187" ht="11.25" customHeight="1">
      <c r="A3966" s="1" t="s">
        <v>5588</v>
      </c>
      <c r="B3966" s="1" t="str">
        <f ca="1">IFERROR(__xludf.DUMMYFUNCTION("GOOGLETRANSLATE(A3966, ""en"", ""fr"")"),"Faveur n ° 1")</f>
        <v>Faveur n ° 1</v>
      </c>
      <c r="C3966" s="1" t="s">
        <v>192</v>
      </c>
      <c r="GE3966" s="1" t="s">
        <v>190</v>
      </c>
    </row>
    <row r="3967" spans="1:187" ht="11.25" customHeight="1">
      <c r="A3967" s="1" t="s">
        <v>5589</v>
      </c>
      <c r="B3967" s="1" t="str">
        <f ca="1">IFERROR(__xludf.DUMMYFUNCTION("GOOGLETRANSLATE(A3967, ""en"", ""fr"")"),"Favorable # 1")</f>
        <v>Favorable # 1</v>
      </c>
      <c r="C3967" s="1" t="s">
        <v>192</v>
      </c>
      <c r="GE3967" s="1" t="s">
        <v>190</v>
      </c>
    </row>
    <row r="3968" spans="1:187" ht="11.25" customHeight="1">
      <c r="A3968" s="1" t="s">
        <v>5590</v>
      </c>
      <c r="B3968" s="1" t="str">
        <f ca="1">IFERROR(__xludf.DUMMYFUNCTION("GOOGLETRANSLATE(A3968, ""en"", ""fr"")"),"Préféré n ° 1")</f>
        <v>Préféré n ° 1</v>
      </c>
      <c r="C3968" s="1" t="s">
        <v>192</v>
      </c>
      <c r="GE3968" s="1" t="s">
        <v>190</v>
      </c>
    </row>
    <row r="3969" spans="1:187" ht="11.25" customHeight="1">
      <c r="A3969" s="1" t="s">
        <v>5591</v>
      </c>
      <c r="B3969" s="1" t="str">
        <f ca="1">IFERROR(__xludf.DUMMYFUNCTION("GOOGLETRANSLATE(A3969, ""en"", ""fr"")"),"Peur # 1")</f>
        <v>Peur # 1</v>
      </c>
      <c r="C3969" s="1" t="s">
        <v>185</v>
      </c>
      <c r="E3969" s="1" t="s">
        <v>16613</v>
      </c>
      <c r="H3969" s="1" t="s">
        <v>4</v>
      </c>
      <c r="L3969" s="1" t="s">
        <v>8</v>
      </c>
      <c r="M3969" s="1" t="s">
        <v>9</v>
      </c>
      <c r="O3969" s="1" t="s">
        <v>11</v>
      </c>
      <c r="Q3969" s="1" t="s">
        <v>13</v>
      </c>
      <c r="T3969" s="1" t="s">
        <v>16</v>
      </c>
      <c r="EY3969" s="1" t="s">
        <v>151</v>
      </c>
      <c r="FC3969" s="1" t="s">
        <v>155</v>
      </c>
      <c r="GD3969" s="1" t="s">
        <v>193</v>
      </c>
      <c r="GE3969" s="1" t="s">
        <v>5592</v>
      </c>
    </row>
    <row r="3970" spans="1:187" ht="11.25" customHeight="1">
      <c r="A3970" s="1" t="s">
        <v>5593</v>
      </c>
      <c r="B3970" s="1" t="str">
        <f ca="1">IFERROR(__xludf.DUMMYFUNCTION("GOOGLETRANSLATE(A3970, ""en"", ""fr"")"),"Peur # 2")</f>
        <v>Peur # 2</v>
      </c>
      <c r="C3970" s="1" t="s">
        <v>185</v>
      </c>
      <c r="E3970" s="1" t="s">
        <v>16613</v>
      </c>
      <c r="H3970" s="1" t="s">
        <v>4</v>
      </c>
      <c r="L3970" s="1" t="s">
        <v>8</v>
      </c>
      <c r="M3970" s="1" t="s">
        <v>9</v>
      </c>
      <c r="O3970" s="1" t="s">
        <v>11</v>
      </c>
      <c r="Q3970" s="1" t="s">
        <v>13</v>
      </c>
      <c r="DP3970" s="1" t="s">
        <v>116</v>
      </c>
      <c r="EY3970" s="1" t="s">
        <v>151</v>
      </c>
      <c r="FC3970" s="1" t="s">
        <v>155</v>
      </c>
      <c r="GD3970" s="1" t="s">
        <v>189</v>
      </c>
      <c r="GE3970" s="1" t="s">
        <v>5594</v>
      </c>
    </row>
    <row r="3971" spans="1:187" ht="11.25" customHeight="1">
      <c r="A3971" s="1" t="s">
        <v>5595</v>
      </c>
      <c r="B3971" s="1" t="str">
        <f ca="1">IFERROR(__xludf.DUMMYFUNCTION("GOOGLETRANSLATE(A3971, ""en"", ""fr"")"),"Peur # 3")</f>
        <v>Peur # 3</v>
      </c>
      <c r="C3971" s="1" t="s">
        <v>185</v>
      </c>
      <c r="E3971" s="1" t="s">
        <v>16613</v>
      </c>
      <c r="H3971" s="1" t="s">
        <v>4</v>
      </c>
      <c r="J3971" s="1" t="s">
        <v>6</v>
      </c>
      <c r="Q3971" s="1" t="s">
        <v>13</v>
      </c>
      <c r="GD3971" s="1" t="s">
        <v>202</v>
      </c>
      <c r="GE3971" s="1" t="s">
        <v>5596</v>
      </c>
    </row>
    <row r="3972" spans="1:187" ht="11.25" customHeight="1">
      <c r="A3972" s="1" t="s">
        <v>5597</v>
      </c>
      <c r="B3972" s="1" t="str">
        <f ca="1">IFERROR(__xludf.DUMMYFUNCTION("GOOGLETRANSLATE(A3972, ""en"", ""fr"")"),"CRAINTIF")</f>
        <v>CRAINTIF</v>
      </c>
      <c r="C3972" s="1" t="s">
        <v>185</v>
      </c>
      <c r="E3972" s="1" t="s">
        <v>16613</v>
      </c>
      <c r="H3972" s="1" t="s">
        <v>4</v>
      </c>
      <c r="L3972" s="1" t="s">
        <v>8</v>
      </c>
      <c r="M3972" s="1" t="s">
        <v>9</v>
      </c>
      <c r="O3972" s="1" t="s">
        <v>11</v>
      </c>
      <c r="Q3972" s="1" t="s">
        <v>13</v>
      </c>
      <c r="T3972" s="1" t="s">
        <v>16</v>
      </c>
      <c r="FA3972" s="1" t="s">
        <v>153</v>
      </c>
      <c r="FC3972" s="1" t="s">
        <v>155</v>
      </c>
      <c r="GD3972" s="1" t="s">
        <v>202</v>
      </c>
      <c r="GE3972" s="1" t="s">
        <v>190</v>
      </c>
    </row>
    <row r="3973" spans="1:187" ht="11.25" customHeight="1">
      <c r="A3973" s="1" t="s">
        <v>5598</v>
      </c>
      <c r="B3973" s="1" t="str">
        <f ca="1">IFERROR(__xludf.DUMMYFUNCTION("GOOGLETRANSLATE(A3973, ""en"", ""fr"")"),"INTRÉPIDE")</f>
        <v>INTRÉPIDE</v>
      </c>
      <c r="C3973" s="1" t="s">
        <v>192</v>
      </c>
      <c r="D3973" s="1" t="s">
        <v>16612</v>
      </c>
      <c r="J3973" s="1" t="s">
        <v>6</v>
      </c>
      <c r="DR3973" s="1" t="s">
        <v>118</v>
      </c>
      <c r="GD3973" s="1" t="s">
        <v>202</v>
      </c>
      <c r="GE3973" s="1" t="s">
        <v>190</v>
      </c>
    </row>
    <row r="3974" spans="1:187" ht="11.25" customHeight="1">
      <c r="A3974" s="1" t="s">
        <v>5599</v>
      </c>
      <c r="B3974" s="1" t="str">
        <f ca="1">IFERROR(__xludf.DUMMYFUNCTION("GOOGLETRANSLATE(A3974, ""en"", ""fr"")"),"Redoutable")</f>
        <v>Redoutable</v>
      </c>
      <c r="C3974" s="1" t="s">
        <v>192</v>
      </c>
      <c r="E3974" s="1" t="s">
        <v>16613</v>
      </c>
      <c r="Q3974" s="1" t="s">
        <v>13</v>
      </c>
      <c r="T3974" s="1" t="s">
        <v>16</v>
      </c>
      <c r="DR3974" s="1" t="s">
        <v>118</v>
      </c>
      <c r="GD3974" s="1" t="s">
        <v>202</v>
      </c>
      <c r="GE3974" s="1" t="s">
        <v>190</v>
      </c>
    </row>
    <row r="3975" spans="1:187" ht="11.25" customHeight="1">
      <c r="A3975" s="1" t="s">
        <v>5600</v>
      </c>
      <c r="B3975" s="1" t="str">
        <f ca="1">IFERROR(__xludf.DUMMYFUNCTION("GOOGLETRANSLATE(A3975, ""en"", ""fr"")"),"RÉALISABLE")</f>
        <v>RÉALISABLE</v>
      </c>
      <c r="C3975" s="1" t="s">
        <v>192</v>
      </c>
      <c r="D3975" s="1" t="s">
        <v>16612</v>
      </c>
      <c r="J3975" s="1" t="s">
        <v>6</v>
      </c>
      <c r="W3975" s="1" t="s">
        <v>19</v>
      </c>
      <c r="CI3975" s="1" t="s">
        <v>83</v>
      </c>
      <c r="DR3975" s="1" t="s">
        <v>118</v>
      </c>
      <c r="GD3975" s="1" t="s">
        <v>202</v>
      </c>
      <c r="GE3975" s="1" t="s">
        <v>190</v>
      </c>
    </row>
    <row r="3976" spans="1:187" ht="11.25" customHeight="1">
      <c r="A3976" s="1" t="s">
        <v>5601</v>
      </c>
      <c r="B3976" s="1" t="str">
        <f ca="1">IFERROR(__xludf.DUMMYFUNCTION("GOOGLETRANSLATE(A3976, ""en"", ""fr"")"),"Fête # 1")</f>
        <v>Fête # 1</v>
      </c>
      <c r="C3976" s="1" t="s">
        <v>185</v>
      </c>
      <c r="D3976" s="1" t="s">
        <v>16612</v>
      </c>
      <c r="F3976" s="1" t="s">
        <v>2</v>
      </c>
      <c r="N3976" s="1" t="s">
        <v>10</v>
      </c>
      <c r="AM3976" s="1" t="s">
        <v>35</v>
      </c>
      <c r="EZ3976" s="1" t="s">
        <v>152</v>
      </c>
      <c r="FC3976" s="1" t="s">
        <v>155</v>
      </c>
      <c r="GD3976" s="1" t="s">
        <v>193</v>
      </c>
      <c r="GE3976" s="1" t="s">
        <v>5602</v>
      </c>
    </row>
    <row r="3977" spans="1:187" ht="11.25" customHeight="1">
      <c r="A3977" s="1" t="s">
        <v>5603</v>
      </c>
      <c r="B3977" s="1" t="str">
        <f ca="1">IFERROR(__xludf.DUMMYFUNCTION("GOOGLETRANSLATE(A3977, ""en"", ""fr"")"),"Fête # 2")</f>
        <v>Fête # 2</v>
      </c>
      <c r="C3977" s="1" t="s">
        <v>185</v>
      </c>
      <c r="D3977" s="1" t="s">
        <v>16612</v>
      </c>
      <c r="F3977" s="1" t="s">
        <v>2</v>
      </c>
      <c r="G3977" s="1" t="s">
        <v>3</v>
      </c>
      <c r="N3977" s="1" t="s">
        <v>10</v>
      </c>
      <c r="AN3977" s="1" t="s">
        <v>36</v>
      </c>
      <c r="DN3977" s="1" t="s">
        <v>114</v>
      </c>
      <c r="EZ3977" s="1" t="s">
        <v>152</v>
      </c>
      <c r="FC3977" s="1" t="s">
        <v>155</v>
      </c>
      <c r="GD3977" s="1" t="s">
        <v>189</v>
      </c>
      <c r="GE3977" s="1" t="s">
        <v>5604</v>
      </c>
    </row>
    <row r="3978" spans="1:187" ht="11.25" customHeight="1">
      <c r="A3978" s="1" t="s">
        <v>5605</v>
      </c>
      <c r="B3978" s="1" t="str">
        <f ca="1">IFERROR(__xludf.DUMMYFUNCTION("GOOGLETRANSLATE(A3978, ""en"", ""fr"")"),"Plume # 1")</f>
        <v>Plume # 1</v>
      </c>
      <c r="C3978" s="1" t="s">
        <v>185</v>
      </c>
      <c r="BJ3978" s="1" t="s">
        <v>58</v>
      </c>
      <c r="GD3978" s="1" t="s">
        <v>193</v>
      </c>
      <c r="GE3978" s="1" t="s">
        <v>5606</v>
      </c>
    </row>
    <row r="3979" spans="1:187" ht="11.25" customHeight="1">
      <c r="A3979" s="1" t="s">
        <v>5607</v>
      </c>
      <c r="B3979" s="1" t="str">
        <f ca="1">IFERROR(__xludf.DUMMYFUNCTION("GOOGLETRANSLATE(A3979, ""en"", ""fr"")"),"Plume # 2")</f>
        <v>Plume # 2</v>
      </c>
      <c r="C3979" s="1" t="s">
        <v>185</v>
      </c>
      <c r="AL3979" s="1" t="s">
        <v>34</v>
      </c>
      <c r="DN3979" s="1" t="s">
        <v>114</v>
      </c>
      <c r="FL3979" s="1" t="s">
        <v>164</v>
      </c>
      <c r="FM3979" s="1" t="s">
        <v>418</v>
      </c>
      <c r="GD3979" s="1" t="s">
        <v>189</v>
      </c>
      <c r="GE3979" s="1" t="s">
        <v>5608</v>
      </c>
    </row>
    <row r="3980" spans="1:187" ht="11.25" customHeight="1">
      <c r="A3980" s="1" t="s">
        <v>5609</v>
      </c>
      <c r="B3980" s="1" t="str">
        <f ca="1">IFERROR(__xludf.DUMMYFUNCTION("GOOGLETRANSLATE(A3980, ""en"", ""fr"")"),"Plume # 3")</f>
        <v>Plume # 3</v>
      </c>
      <c r="C3980" s="1" t="s">
        <v>185</v>
      </c>
      <c r="CR3980" s="1" t="s">
        <v>92</v>
      </c>
      <c r="GD3980" s="1" t="s">
        <v>202</v>
      </c>
      <c r="GE3980" s="1" t="s">
        <v>5610</v>
      </c>
    </row>
    <row r="3981" spans="1:187" ht="11.25" customHeight="1">
      <c r="A3981" s="1" t="s">
        <v>5611</v>
      </c>
      <c r="B3981" s="1" t="str">
        <f ca="1">IFERROR(__xludf.DUMMYFUNCTION("GOOGLETRANSLATE(A3981, ""en"", ""fr"")"),"Fonctionnalité n ° 1")</f>
        <v>Fonctionnalité n ° 1</v>
      </c>
      <c r="C3981" s="1" t="s">
        <v>185</v>
      </c>
      <c r="CH3981" s="1" t="s">
        <v>82</v>
      </c>
      <c r="GD3981" s="1" t="s">
        <v>193</v>
      </c>
      <c r="GE3981" s="1" t="s">
        <v>190</v>
      </c>
    </row>
    <row r="3982" spans="1:187" ht="11.25" customHeight="1">
      <c r="A3982" s="1" t="s">
        <v>5612</v>
      </c>
      <c r="B3982" s="1" t="str">
        <f ca="1">IFERROR(__xludf.DUMMYFUNCTION("GOOGLETRANSLATE(A3982, ""en"", ""fr"")"),"Fonctionnalité n ° 2")</f>
        <v>Fonctionnalité n ° 2</v>
      </c>
      <c r="C3982" s="1" t="s">
        <v>185</v>
      </c>
      <c r="W3982" s="1" t="s">
        <v>19</v>
      </c>
      <c r="BK3982" s="1" t="s">
        <v>59</v>
      </c>
      <c r="DN3982" s="1" t="s">
        <v>114</v>
      </c>
      <c r="GD3982" s="1" t="s">
        <v>189</v>
      </c>
      <c r="GE3982" s="1" t="s">
        <v>190</v>
      </c>
    </row>
    <row r="3983" spans="1:187" ht="11.25" customHeight="1">
      <c r="A3983" s="1" t="s">
        <v>5613</v>
      </c>
      <c r="B3983" s="1" t="str">
        <f ca="1">IFERROR(__xludf.DUMMYFUNCTION("GOOGLETRANSLATE(A3983, ""en"", ""fr"")"),"FÉVRIER")</f>
        <v>FÉVRIER</v>
      </c>
      <c r="C3983" s="1" t="s">
        <v>185</v>
      </c>
      <c r="CQ3983" s="1" t="s">
        <v>91</v>
      </c>
      <c r="CY3983" s="1" t="s">
        <v>99</v>
      </c>
      <c r="CZ3983" s="1" t="s">
        <v>100</v>
      </c>
      <c r="GB3983" s="1" t="s">
        <v>180</v>
      </c>
      <c r="GD3983" s="1" t="s">
        <v>193</v>
      </c>
      <c r="GE3983" s="1" t="s">
        <v>190</v>
      </c>
    </row>
    <row r="3984" spans="1:187" ht="11.25" customHeight="1">
      <c r="A3984" s="1" t="s">
        <v>5614</v>
      </c>
      <c r="B3984" s="1" t="str">
        <f ca="1">IFERROR(__xludf.DUMMYFUNCTION("GOOGLETRANSLATE(A3984, ""en"", ""fr"")"),"Fed n ° 1")</f>
        <v>Fed n ° 1</v>
      </c>
      <c r="C3984" s="1" t="s">
        <v>185</v>
      </c>
      <c r="BU3984" s="1" t="s">
        <v>69</v>
      </c>
      <c r="DO3984" s="1" t="s">
        <v>115</v>
      </c>
      <c r="EX3984" s="1" t="s">
        <v>150</v>
      </c>
      <c r="FC3984" s="1" t="s">
        <v>155</v>
      </c>
      <c r="GD3984" s="1" t="s">
        <v>1076</v>
      </c>
      <c r="GE3984" s="1" t="s">
        <v>5615</v>
      </c>
    </row>
    <row r="3985" spans="1:187" ht="11.25" customHeight="1">
      <c r="A3985" s="1" t="s">
        <v>5616</v>
      </c>
      <c r="B3985" s="1" t="str">
        <f ca="1">IFERROR(__xludf.DUMMYFUNCTION("GOOGLETRANSLATE(A3985, ""en"", ""fr"")"),"Fed # 2")</f>
        <v>Fed # 2</v>
      </c>
      <c r="C3985" s="1" t="s">
        <v>185</v>
      </c>
      <c r="E3985" s="1" t="s">
        <v>16613</v>
      </c>
      <c r="H3985" s="1" t="s">
        <v>4</v>
      </c>
      <c r="I3985" s="1" t="s">
        <v>5</v>
      </c>
      <c r="O3985" s="1" t="s">
        <v>11</v>
      </c>
      <c r="Q3985" s="1" t="s">
        <v>13</v>
      </c>
      <c r="T3985" s="1" t="s">
        <v>16</v>
      </c>
      <c r="FW3985" s="1" t="s">
        <v>175</v>
      </c>
      <c r="GD3985" s="1" t="s">
        <v>202</v>
      </c>
      <c r="GE3985" s="1" t="s">
        <v>5617</v>
      </c>
    </row>
    <row r="3986" spans="1:187" ht="11.25" customHeight="1">
      <c r="A3986" s="1" t="s">
        <v>5618</v>
      </c>
      <c r="B3986" s="1" t="str">
        <f ca="1">IFERROR(__xludf.DUMMYFUNCTION("GOOGLETRANSLATE(A3986, ""en"", ""fr"")"),"FÉDÉRAL")</f>
        <v>FÉDÉRAL</v>
      </c>
      <c r="C3986" s="1" t="s">
        <v>185</v>
      </c>
      <c r="G3986" s="1" t="s">
        <v>3</v>
      </c>
      <c r="AG3986" s="1" t="s">
        <v>29</v>
      </c>
      <c r="AH3986" s="1" t="s">
        <v>30</v>
      </c>
      <c r="AK3986" s="1" t="s">
        <v>33</v>
      </c>
      <c r="AT3986" s="1" t="s">
        <v>42</v>
      </c>
      <c r="DV3986" s="1" t="s">
        <v>122</v>
      </c>
      <c r="ED3986" s="1" t="s">
        <v>130</v>
      </c>
      <c r="GD3986" s="1" t="s">
        <v>202</v>
      </c>
      <c r="GE3986" s="1" t="s">
        <v>5619</v>
      </c>
    </row>
    <row r="3987" spans="1:187" ht="11.25" customHeight="1">
      <c r="A3987" s="1" t="s">
        <v>5620</v>
      </c>
      <c r="B3987" s="1" t="str">
        <f ca="1">IFERROR(__xludf.DUMMYFUNCTION("GOOGLETRANSLATE(A3987, ""en"", ""fr"")"),"FÉDÉRER")</f>
        <v>FÉDÉRER</v>
      </c>
      <c r="C3987" s="1" t="s">
        <v>196</v>
      </c>
      <c r="DX3987" s="1" t="s">
        <v>124</v>
      </c>
      <c r="ED3987" s="1" t="s">
        <v>130</v>
      </c>
      <c r="GD3987" s="1" t="s">
        <v>189</v>
      </c>
    </row>
    <row r="3988" spans="1:187" ht="11.25" customHeight="1">
      <c r="A3988" s="1" t="s">
        <v>5621</v>
      </c>
      <c r="B3988" s="1" t="str">
        <f ca="1">IFERROR(__xludf.DUMMYFUNCTION("GOOGLETRANSLATE(A3988, ""en"", ""fr"")"),"FÉDÉRATION")</f>
        <v>FÉDÉRATION</v>
      </c>
      <c r="C3988" s="1" t="s">
        <v>185</v>
      </c>
      <c r="G3988" s="1" t="s">
        <v>3</v>
      </c>
      <c r="J3988" s="1" t="s">
        <v>6</v>
      </c>
      <c r="AG3988" s="1" t="s">
        <v>29</v>
      </c>
      <c r="AH3988" s="1" t="s">
        <v>30</v>
      </c>
      <c r="AK3988" s="1" t="s">
        <v>33</v>
      </c>
      <c r="AT3988" s="1" t="s">
        <v>42</v>
      </c>
      <c r="DX3988" s="1" t="s">
        <v>124</v>
      </c>
      <c r="ED3988" s="1" t="s">
        <v>130</v>
      </c>
      <c r="GD3988" s="1" t="s">
        <v>193</v>
      </c>
      <c r="GE3988" s="1" t="s">
        <v>190</v>
      </c>
    </row>
    <row r="3989" spans="1:187" ht="11.25" customHeight="1">
      <c r="A3989" s="1" t="s">
        <v>5622</v>
      </c>
      <c r="B3989" s="1" t="str">
        <f ca="1">IFERROR(__xludf.DUMMYFUNCTION("GOOGLETRANSLATE(A3989, ""en"", ""fr"")"),"FRAIS")</f>
        <v>FRAIS</v>
      </c>
      <c r="C3989" s="1" t="s">
        <v>185</v>
      </c>
      <c r="AA3989" s="1" t="s">
        <v>23</v>
      </c>
      <c r="AC3989" s="1" t="s">
        <v>25</v>
      </c>
      <c r="BK3989" s="1" t="s">
        <v>59</v>
      </c>
      <c r="BL3989" s="1" t="s">
        <v>60</v>
      </c>
      <c r="EX3989" s="1" t="s">
        <v>150</v>
      </c>
      <c r="FC3989" s="1" t="s">
        <v>155</v>
      </c>
      <c r="GD3989" s="1" t="s">
        <v>193</v>
      </c>
      <c r="GE3989" s="1" t="s">
        <v>190</v>
      </c>
    </row>
    <row r="3990" spans="1:187" ht="11.25" customHeight="1">
      <c r="A3990" s="1" t="s">
        <v>5623</v>
      </c>
      <c r="B3990" s="1" t="str">
        <f ca="1">IFERROR(__xludf.DUMMYFUNCTION("GOOGLETRANSLATE(A3990, ""en"", ""fr"")"),"FAIBLE")</f>
        <v>FAIBLE</v>
      </c>
      <c r="C3990" s="1" t="s">
        <v>185</v>
      </c>
      <c r="E3990" s="1" t="s">
        <v>16613</v>
      </c>
      <c r="H3990" s="1" t="s">
        <v>4</v>
      </c>
      <c r="L3990" s="1" t="s">
        <v>8</v>
      </c>
      <c r="O3990" s="1" t="s">
        <v>11</v>
      </c>
      <c r="V3990" s="1" t="s">
        <v>18</v>
      </c>
      <c r="X3990" s="1" t="s">
        <v>20</v>
      </c>
      <c r="FW3990" s="1" t="s">
        <v>175</v>
      </c>
      <c r="GD3990" s="1" t="s">
        <v>202</v>
      </c>
      <c r="GE3990" s="1" t="s">
        <v>190</v>
      </c>
    </row>
    <row r="3991" spans="1:187" ht="11.25" customHeight="1">
      <c r="A3991" s="1" t="s">
        <v>5624</v>
      </c>
      <c r="B3991" s="1" t="str">
        <f ca="1">IFERROR(__xludf.DUMMYFUNCTION("GOOGLETRANSLATE(A3991, ""en"", ""fr"")"),"Feed # 1")</f>
        <v>Feed # 1</v>
      </c>
      <c r="C3991" s="1" t="s">
        <v>185</v>
      </c>
      <c r="G3991" s="1" t="s">
        <v>3</v>
      </c>
      <c r="J3991" s="1" t="s">
        <v>6</v>
      </c>
      <c r="K3991" s="1" t="s">
        <v>7</v>
      </c>
      <c r="AN3991" s="1" t="s">
        <v>36</v>
      </c>
      <c r="DO3991" s="1" t="s">
        <v>115</v>
      </c>
      <c r="EX3991" s="1" t="s">
        <v>150</v>
      </c>
      <c r="FC3991" s="1" t="s">
        <v>155</v>
      </c>
      <c r="GD3991" s="1" t="s">
        <v>189</v>
      </c>
      <c r="GE3991" s="1" t="s">
        <v>5625</v>
      </c>
    </row>
    <row r="3992" spans="1:187" ht="11.25" customHeight="1">
      <c r="A3992" s="1" t="s">
        <v>5626</v>
      </c>
      <c r="B3992" s="1" t="str">
        <f ca="1">IFERROR(__xludf.DUMMYFUNCTION("GOOGLETRANSLATE(A3992, ""en"", ""fr"")"),"Feed # 2")</f>
        <v>Feed # 2</v>
      </c>
      <c r="C3992" s="1" t="s">
        <v>185</v>
      </c>
      <c r="BU3992" s="1" t="s">
        <v>69</v>
      </c>
      <c r="DO3992" s="1" t="s">
        <v>115</v>
      </c>
      <c r="EX3992" s="1" t="s">
        <v>150</v>
      </c>
      <c r="FC3992" s="1" t="s">
        <v>155</v>
      </c>
      <c r="GD3992" s="1" t="s">
        <v>189</v>
      </c>
      <c r="GE3992" s="1" t="s">
        <v>5627</v>
      </c>
    </row>
    <row r="3993" spans="1:187" ht="11.25" customHeight="1">
      <c r="A3993" s="1" t="s">
        <v>5628</v>
      </c>
      <c r="B3993" s="1" t="str">
        <f ca="1">IFERROR(__xludf.DUMMYFUNCTION("GOOGLETRANSLATE(A3993, ""en"", ""fr"")"),"Feed # 3")</f>
        <v>Feed # 3</v>
      </c>
      <c r="C3993" s="1" t="s">
        <v>185</v>
      </c>
      <c r="BC3993" s="1" t="s">
        <v>51</v>
      </c>
      <c r="BE3993" s="1" t="s">
        <v>53</v>
      </c>
      <c r="EZ3993" s="1" t="s">
        <v>152</v>
      </c>
      <c r="FC3993" s="1" t="s">
        <v>155</v>
      </c>
      <c r="GD3993" s="1" t="s">
        <v>193</v>
      </c>
      <c r="GE3993" s="1" t="s">
        <v>5629</v>
      </c>
    </row>
    <row r="3994" spans="1:187" ht="11.25" customHeight="1">
      <c r="A3994" s="1" t="s">
        <v>5630</v>
      </c>
      <c r="B3994" s="1" t="str">
        <f ca="1">IFERROR(__xludf.DUMMYFUNCTION("GOOGLETRANSLATE(A3994, ""en"", ""fr"")"),"Alimentation n ° 4")</f>
        <v>Alimentation n ° 4</v>
      </c>
      <c r="C3994" s="1" t="s">
        <v>185</v>
      </c>
      <c r="BU3994" s="1" t="s">
        <v>69</v>
      </c>
      <c r="EZ3994" s="1" t="s">
        <v>152</v>
      </c>
      <c r="FC3994" s="1" t="s">
        <v>155</v>
      </c>
      <c r="GD3994" s="1" t="s">
        <v>202</v>
      </c>
      <c r="GE3994" s="1" t="s">
        <v>5631</v>
      </c>
    </row>
    <row r="3995" spans="1:187" ht="11.25" customHeight="1">
      <c r="A3995" s="1" t="s">
        <v>5632</v>
      </c>
      <c r="B3995" s="1" t="str">
        <f ca="1">IFERROR(__xludf.DUMMYFUNCTION("GOOGLETRANSLATE(A3995, ""en"", ""fr"")"),"Se sentir n ° 1")</f>
        <v>Se sentir n ° 1</v>
      </c>
      <c r="C3995" s="1" t="s">
        <v>185</v>
      </c>
      <c r="O3995" s="1" t="s">
        <v>11</v>
      </c>
      <c r="S3995" s="1" t="s">
        <v>15</v>
      </c>
      <c r="DP3995" s="1" t="s">
        <v>116</v>
      </c>
      <c r="GD3995" s="1" t="s">
        <v>969</v>
      </c>
      <c r="GE3995" s="1" t="s">
        <v>5633</v>
      </c>
    </row>
    <row r="3996" spans="1:187" ht="11.25" customHeight="1">
      <c r="A3996" s="1" t="s">
        <v>5634</v>
      </c>
      <c r="B3996" s="1" t="str">
        <f ca="1">IFERROR(__xludf.DUMMYFUNCTION("GOOGLETRANSLATE(A3996, ""en"", ""fr"")"),"Sense # 2")</f>
        <v>Sense # 2</v>
      </c>
      <c r="C3996" s="1" t="s">
        <v>185</v>
      </c>
      <c r="O3996" s="1" t="s">
        <v>11</v>
      </c>
      <c r="CO3996" s="1" t="s">
        <v>89</v>
      </c>
      <c r="DP3996" s="1" t="s">
        <v>116</v>
      </c>
      <c r="FH3996" s="1" t="s">
        <v>160</v>
      </c>
      <c r="FI3996" s="1" t="s">
        <v>161</v>
      </c>
      <c r="GD3996" s="1" t="s">
        <v>189</v>
      </c>
      <c r="GE3996" s="1" t="s">
        <v>5635</v>
      </c>
    </row>
    <row r="3997" spans="1:187" ht="11.25" customHeight="1">
      <c r="A3997" s="1" t="s">
        <v>5636</v>
      </c>
      <c r="B3997" s="1" t="str">
        <f ca="1">IFERROR(__xludf.DUMMYFUNCTION("GOOGLETRANSLATE(A3997, ""en"", ""fr"")"),"Sentir # 3")</f>
        <v>Sentir # 3</v>
      </c>
      <c r="C3997" s="1" t="s">
        <v>185</v>
      </c>
      <c r="O3997" s="1" t="s">
        <v>11</v>
      </c>
      <c r="S3997" s="1" t="s">
        <v>15</v>
      </c>
      <c r="T3997" s="1" t="s">
        <v>16</v>
      </c>
      <c r="GD3997" s="1" t="s">
        <v>193</v>
      </c>
      <c r="GE3997" s="1" t="s">
        <v>5637</v>
      </c>
    </row>
    <row r="3998" spans="1:187" ht="11.25" customHeight="1">
      <c r="A3998" s="1" t="s">
        <v>5638</v>
      </c>
      <c r="B3998" s="1" t="str">
        <f ca="1">IFERROR(__xludf.DUMMYFUNCTION("GOOGLETRANSLATE(A3998, ""en"", ""fr"")"),"Palpitation")</f>
        <v>Palpitation</v>
      </c>
      <c r="C3998" s="1" t="s">
        <v>185</v>
      </c>
      <c r="CK3998" s="1" t="s">
        <v>85</v>
      </c>
      <c r="DX3998" s="1" t="s">
        <v>124</v>
      </c>
      <c r="ED3998" s="1" t="s">
        <v>130</v>
      </c>
      <c r="GD3998" s="1" t="s">
        <v>193</v>
      </c>
      <c r="GE3998" s="1" t="s">
        <v>190</v>
      </c>
    </row>
    <row r="3999" spans="1:187" ht="11.25" customHeight="1">
      <c r="A3999" s="1" t="s">
        <v>5639</v>
      </c>
      <c r="B3999" s="1" t="str">
        <f ca="1">IFERROR(__xludf.DUMMYFUNCTION("GOOGLETRANSLATE(A3999, ""en"", ""fr"")"),"Pieds # 1")</f>
        <v>Pieds # 1</v>
      </c>
      <c r="C3999" s="1" t="s">
        <v>185</v>
      </c>
      <c r="BJ3999" s="1" t="s">
        <v>58</v>
      </c>
      <c r="GD3999" s="1" t="s">
        <v>576</v>
      </c>
      <c r="GE3999" s="1" t="s">
        <v>5640</v>
      </c>
    </row>
    <row r="4000" spans="1:187" ht="11.25" customHeight="1">
      <c r="A4000" s="1" t="s">
        <v>5641</v>
      </c>
      <c r="B4000" s="1" t="str">
        <f ca="1">IFERROR(__xludf.DUMMYFUNCTION("GOOGLETRANSLATE(A4000, ""en"", ""fr"")"),"Pieds # 2")</f>
        <v>Pieds # 2</v>
      </c>
      <c r="C4000" s="1" t="s">
        <v>185</v>
      </c>
      <c r="CQ4000" s="1" t="s">
        <v>91</v>
      </c>
      <c r="CX4000" s="1" t="s">
        <v>98</v>
      </c>
      <c r="DA4000" s="1" t="s">
        <v>101</v>
      </c>
      <c r="GB4000" s="1" t="s">
        <v>180</v>
      </c>
      <c r="GD4000" s="1" t="s">
        <v>576</v>
      </c>
      <c r="GE4000" s="1" t="s">
        <v>5642</v>
      </c>
    </row>
    <row r="4001" spans="1:187" ht="11.25" customHeight="1">
      <c r="A4001" s="1" t="s">
        <v>5643</v>
      </c>
      <c r="B4001" s="1" t="str">
        <f ca="1">IFERROR(__xludf.DUMMYFUNCTION("GOOGLETRANSLATE(A4001, ""en"", ""fr"")"),"FEINDRE")</f>
        <v>FEINDRE</v>
      </c>
      <c r="C4001" s="1" t="s">
        <v>192</v>
      </c>
      <c r="E4001" s="1" t="s">
        <v>16613</v>
      </c>
      <c r="N4001" s="1" t="s">
        <v>10</v>
      </c>
      <c r="BK4001" s="1" t="s">
        <v>59</v>
      </c>
      <c r="DN4001" s="1" t="s">
        <v>114</v>
      </c>
      <c r="GD4001" s="1" t="s">
        <v>189</v>
      </c>
      <c r="GE4001" s="1" t="s">
        <v>190</v>
      </c>
    </row>
    <row r="4002" spans="1:187" ht="11.25" customHeight="1">
      <c r="A4002" s="1" t="s">
        <v>5644</v>
      </c>
      <c r="B4002" s="1" t="str">
        <f ca="1">IFERROR(__xludf.DUMMYFUNCTION("GOOGLETRANSLATE(A4002, ""en"", ""fr"")"),"FEINTE")</f>
        <v>FEINTE</v>
      </c>
      <c r="C4002" s="1" t="s">
        <v>192</v>
      </c>
      <c r="E4002" s="1" t="s">
        <v>16613</v>
      </c>
      <c r="N4002" s="1" t="s">
        <v>10</v>
      </c>
      <c r="BK4002" s="1" t="s">
        <v>59</v>
      </c>
      <c r="DN4002" s="1" t="s">
        <v>114</v>
      </c>
      <c r="GD4002" s="1" t="s">
        <v>189</v>
      </c>
      <c r="GE4002" s="1" t="s">
        <v>190</v>
      </c>
    </row>
    <row r="4003" spans="1:187" ht="11.25" customHeight="1">
      <c r="A4003" s="1" t="s">
        <v>5645</v>
      </c>
      <c r="B4003" s="1" t="str">
        <f ca="1">IFERROR(__xludf.DUMMYFUNCTION("GOOGLETRANSLATE(A4003, ""en"", ""fr"")"),"Est tombé # 1")</f>
        <v>Est tombé # 1</v>
      </c>
      <c r="C4003" s="1" t="s">
        <v>185</v>
      </c>
      <c r="CF4003" s="1" t="s">
        <v>80</v>
      </c>
      <c r="DO4003" s="1" t="s">
        <v>115</v>
      </c>
      <c r="GD4003" s="1" t="s">
        <v>400</v>
      </c>
      <c r="GE4003" s="1" t="s">
        <v>5646</v>
      </c>
    </row>
    <row r="4004" spans="1:187" ht="11.25" customHeight="1">
      <c r="A4004" s="1" t="s">
        <v>5647</v>
      </c>
      <c r="B4004" s="1" t="str">
        <f ca="1">IFERROR(__xludf.DUMMYFUNCTION("GOOGLETRANSLATE(A4004, ""en"", ""fr"")"),"Fell # 2")</f>
        <v>Fell # 2</v>
      </c>
      <c r="C4004" s="1" t="s">
        <v>185</v>
      </c>
      <c r="G4004" s="1" t="s">
        <v>3</v>
      </c>
      <c r="AN4004" s="1" t="s">
        <v>36</v>
      </c>
      <c r="DN4004" s="1" t="s">
        <v>114</v>
      </c>
      <c r="EO4004" s="1" t="s">
        <v>141</v>
      </c>
      <c r="ES4004" s="1" t="s">
        <v>145</v>
      </c>
      <c r="GD4004" s="1" t="s">
        <v>189</v>
      </c>
      <c r="GE4004" s="1" t="s">
        <v>5648</v>
      </c>
    </row>
    <row r="4005" spans="1:187" ht="11.25" customHeight="1">
      <c r="A4005" s="1" t="s">
        <v>5649</v>
      </c>
      <c r="B4005" s="1" t="str">
        <f ca="1">IFERROR(__xludf.DUMMYFUNCTION("GOOGLETRANSLATE(A4005, ""en"", ""fr"")"),"Fell # 3")</f>
        <v>Fell # 3</v>
      </c>
      <c r="C4005" s="1" t="s">
        <v>185</v>
      </c>
      <c r="BU4005" s="1" t="s">
        <v>69</v>
      </c>
      <c r="DN4005" s="1" t="s">
        <v>114</v>
      </c>
      <c r="GD4005" s="1" t="s">
        <v>189</v>
      </c>
      <c r="GE4005" s="1" t="s">
        <v>5650</v>
      </c>
    </row>
    <row r="4006" spans="1:187" ht="11.25" customHeight="1">
      <c r="A4006" s="1" t="s">
        <v>5651</v>
      </c>
      <c r="B4006" s="1" t="str">
        <f ca="1">IFERROR(__xludf.DUMMYFUNCTION("GOOGLETRANSLATE(A4006, ""en"", ""fr"")"),"Fell # 4")</f>
        <v>Fell # 4</v>
      </c>
      <c r="C4006" s="1" t="s">
        <v>185</v>
      </c>
      <c r="BZ4006" s="1" t="s">
        <v>74</v>
      </c>
      <c r="DN4006" s="1" t="s">
        <v>114</v>
      </c>
      <c r="FO4006" s="1" t="s">
        <v>167</v>
      </c>
      <c r="GD4006" s="1" t="s">
        <v>189</v>
      </c>
      <c r="GE4006" s="1" t="s">
        <v>5652</v>
      </c>
    </row>
    <row r="4007" spans="1:187" ht="11.25" customHeight="1">
      <c r="A4007" s="1" t="s">
        <v>5653</v>
      </c>
      <c r="B4007" s="1" t="str">
        <f ca="1">IFERROR(__xludf.DUMMYFUNCTION("GOOGLETRANSLATE(A4007, ""en"", ""fr"")"),"Fell # 5")</f>
        <v>Fell # 5</v>
      </c>
      <c r="C4007" s="1" t="s">
        <v>185</v>
      </c>
      <c r="AL4007" s="1" t="s">
        <v>34</v>
      </c>
      <c r="DN4007" s="1" t="s">
        <v>114</v>
      </c>
      <c r="GD4007" s="1" t="s">
        <v>189</v>
      </c>
      <c r="GE4007" s="1" t="s">
        <v>5654</v>
      </c>
    </row>
    <row r="4008" spans="1:187" ht="11.25" customHeight="1">
      <c r="A4008" s="1" t="s">
        <v>5655</v>
      </c>
      <c r="B4008" s="1" t="str">
        <f ca="1">IFERROR(__xludf.DUMMYFUNCTION("GOOGLETRANSLATE(A4008, ""en"", ""fr"")"),"Fell # 6")</f>
        <v>Fell # 6</v>
      </c>
      <c r="C4008" s="1" t="s">
        <v>185</v>
      </c>
      <c r="G4008" s="1" t="s">
        <v>3</v>
      </c>
      <c r="AN4008" s="1" t="s">
        <v>36</v>
      </c>
      <c r="DN4008" s="1" t="s">
        <v>114</v>
      </c>
      <c r="EO4008" s="1" t="s">
        <v>141</v>
      </c>
      <c r="ES4008" s="1" t="s">
        <v>145</v>
      </c>
      <c r="GD4008" s="1" t="s">
        <v>189</v>
      </c>
      <c r="GE4008" s="1" t="s">
        <v>5656</v>
      </c>
    </row>
    <row r="4009" spans="1:187" ht="11.25" customHeight="1">
      <c r="A4009" s="1" t="s">
        <v>5657</v>
      </c>
      <c r="B4009" s="1" t="str">
        <f ca="1">IFERROR(__xludf.DUMMYFUNCTION("GOOGLETRANSLATE(A4009, ""en"", ""fr"")"),"Fellow # 1")</f>
        <v>Fellow # 1</v>
      </c>
      <c r="C4009" s="1" t="s">
        <v>185</v>
      </c>
      <c r="AJ4009" s="1" t="s">
        <v>32</v>
      </c>
      <c r="AQ4009" s="1" t="s">
        <v>39</v>
      </c>
      <c r="AT4009" s="1" t="s">
        <v>42</v>
      </c>
      <c r="EQ4009" s="1" t="s">
        <v>143</v>
      </c>
      <c r="ES4009" s="1" t="s">
        <v>145</v>
      </c>
      <c r="GD4009" s="1" t="s">
        <v>193</v>
      </c>
      <c r="GE4009" s="1" t="s">
        <v>5658</v>
      </c>
    </row>
    <row r="4010" spans="1:187" ht="11.25" customHeight="1">
      <c r="A4010" s="1" t="s">
        <v>5659</v>
      </c>
      <c r="B4010" s="1" t="str">
        <f ca="1">IFERROR(__xludf.DUMMYFUNCTION("GOOGLETRANSLATE(A4010, ""en"", ""fr"")"),"Fellow # 2")</f>
        <v>Fellow # 2</v>
      </c>
      <c r="C4010" s="1" t="s">
        <v>185</v>
      </c>
      <c r="D4010" s="1" t="s">
        <v>16612</v>
      </c>
      <c r="F4010" s="1" t="s">
        <v>2</v>
      </c>
      <c r="G4010" s="1" t="s">
        <v>3</v>
      </c>
      <c r="DD4010" s="1" t="s">
        <v>104</v>
      </c>
      <c r="ER4010" s="1" t="s">
        <v>144</v>
      </c>
      <c r="ES4010" s="1" t="s">
        <v>145</v>
      </c>
      <c r="GD4010" s="1" t="s">
        <v>202</v>
      </c>
      <c r="GE4010" s="1" t="s">
        <v>5660</v>
      </c>
    </row>
    <row r="4011" spans="1:187" ht="11.25" customHeight="1">
      <c r="A4011" s="1" t="s">
        <v>5661</v>
      </c>
      <c r="B4011" s="1" t="str">
        <f ca="1">IFERROR(__xludf.DUMMYFUNCTION("GOOGLETRANSLATE(A4011, ""en"", ""fr"")"),"CAMARADERIE")</f>
        <v>CAMARADERIE</v>
      </c>
      <c r="C4011" s="1" t="s">
        <v>185</v>
      </c>
      <c r="D4011" s="1" t="s">
        <v>16612</v>
      </c>
      <c r="F4011" s="1" t="s">
        <v>2</v>
      </c>
      <c r="G4011" s="1" t="s">
        <v>3</v>
      </c>
      <c r="J4011" s="1" t="s">
        <v>6</v>
      </c>
      <c r="U4011" s="1" t="s">
        <v>17</v>
      </c>
      <c r="AC4011" s="1" t="s">
        <v>25</v>
      </c>
      <c r="ER4011" s="1" t="s">
        <v>144</v>
      </c>
      <c r="ES4011" s="1" t="s">
        <v>145</v>
      </c>
      <c r="GD4011" s="1" t="s">
        <v>193</v>
      </c>
      <c r="GE4011" s="1" t="s">
        <v>190</v>
      </c>
    </row>
    <row r="4012" spans="1:187" ht="11.25" customHeight="1">
      <c r="A4012" s="1" t="s">
        <v>5662</v>
      </c>
      <c r="B4012" s="1" t="str">
        <f ca="1">IFERROR(__xludf.DUMMYFUNCTION("GOOGLETRANSLATE(A4012, ""en"", ""fr"")"),"Feed # 1")</f>
        <v>Feed # 1</v>
      </c>
      <c r="C4012" s="1" t="s">
        <v>192</v>
      </c>
      <c r="GD4012" s="1" t="s">
        <v>1085</v>
      </c>
      <c r="GE4012" s="1" t="s">
        <v>190</v>
      </c>
    </row>
    <row r="4013" spans="1:187" ht="11.25" customHeight="1">
      <c r="A4013" s="1" t="s">
        <v>5663</v>
      </c>
      <c r="B4013" s="1" t="str">
        <f ca="1">IFERROR(__xludf.DUMMYFUNCTION("GOOGLETRANSLATE(A4013, ""en"", ""fr"")"),"FEMELLE")</f>
        <v>FEMELLE</v>
      </c>
      <c r="C4013" s="1" t="s">
        <v>185</v>
      </c>
      <c r="AJ4013" s="1" t="s">
        <v>32</v>
      </c>
      <c r="AR4013" s="1" t="s">
        <v>40</v>
      </c>
      <c r="AT4013" s="1" t="s">
        <v>42</v>
      </c>
      <c r="EZ4013" s="1" t="s">
        <v>152</v>
      </c>
      <c r="FC4013" s="1" t="s">
        <v>155</v>
      </c>
      <c r="GD4013" s="1" t="s">
        <v>193</v>
      </c>
      <c r="GE4013" s="1" t="s">
        <v>5664</v>
      </c>
    </row>
    <row r="4014" spans="1:187" ht="11.25" customHeight="1">
      <c r="A4014" s="1" t="s">
        <v>5665</v>
      </c>
      <c r="B4014" s="1" t="str">
        <f ca="1">IFERROR(__xludf.DUMMYFUNCTION("GOOGLETRANSLATE(A4014, ""en"", ""fr"")"),"FÉMININ")</f>
        <v>FÉMININ</v>
      </c>
      <c r="C4014" s="1" t="s">
        <v>185</v>
      </c>
      <c r="L4014" s="1" t="s">
        <v>8</v>
      </c>
      <c r="AJ4014" s="1" t="s">
        <v>32</v>
      </c>
      <c r="AR4014" s="1" t="s">
        <v>40</v>
      </c>
      <c r="AT4014" s="1" t="s">
        <v>42</v>
      </c>
      <c r="FL4014" s="1" t="s">
        <v>164</v>
      </c>
      <c r="FM4014" s="1" t="s">
        <v>418</v>
      </c>
      <c r="GD4014" s="1" t="s">
        <v>202</v>
      </c>
      <c r="GE4014" s="1" t="s">
        <v>190</v>
      </c>
    </row>
    <row r="4015" spans="1:187" ht="11.25" customHeight="1">
      <c r="A4015" s="1" t="s">
        <v>5666</v>
      </c>
      <c r="B4015" s="1" t="str">
        <f ca="1">IFERROR(__xludf.DUMMYFUNCTION("GOOGLETRANSLATE(A4015, ""en"", ""fr"")"),"Clôture n ° 1")</f>
        <v>Clôture n ° 1</v>
      </c>
      <c r="C4015" s="1" t="s">
        <v>185</v>
      </c>
      <c r="BC4015" s="1" t="s">
        <v>51</v>
      </c>
      <c r="BD4015" s="1" t="s">
        <v>52</v>
      </c>
      <c r="GD4015" s="1" t="s">
        <v>849</v>
      </c>
      <c r="GE4015" s="1" t="s">
        <v>5667</v>
      </c>
    </row>
    <row r="4016" spans="1:187" ht="11.25" customHeight="1">
      <c r="A4016" s="1" t="s">
        <v>5668</v>
      </c>
      <c r="B4016" s="1" t="str">
        <f ca="1">IFERROR(__xludf.DUMMYFUNCTION("GOOGLETRANSLATE(A4016, ""en"", ""fr"")"),"Clôture n ° 2")</f>
        <v>Clôture n ° 2</v>
      </c>
      <c r="C4016" s="1" t="s">
        <v>185</v>
      </c>
      <c r="J4016" s="1" t="s">
        <v>6</v>
      </c>
      <c r="N4016" s="1" t="s">
        <v>10</v>
      </c>
      <c r="DA4016" s="1" t="s">
        <v>101</v>
      </c>
      <c r="DN4016" s="1" t="s">
        <v>114</v>
      </c>
      <c r="GD4016" s="1" t="s">
        <v>189</v>
      </c>
      <c r="GE4016" s="1" t="s">
        <v>5669</v>
      </c>
    </row>
    <row r="4017" spans="1:187" ht="11.25" customHeight="1">
      <c r="A4017" s="1" t="s">
        <v>5670</v>
      </c>
      <c r="B4017" s="1" t="str">
        <f ca="1">IFERROR(__xludf.DUMMYFUNCTION("GOOGLETRANSLATE(A4017, ""en"", ""fr"")"),"Clôture n ° 3")</f>
        <v>Clôture n ° 3</v>
      </c>
      <c r="C4017" s="1" t="s">
        <v>185</v>
      </c>
      <c r="N4017" s="1" t="s">
        <v>10</v>
      </c>
      <c r="AD4017" s="1" t="s">
        <v>26</v>
      </c>
      <c r="AM4017" s="1" t="s">
        <v>35</v>
      </c>
      <c r="GD4017" s="1" t="s">
        <v>193</v>
      </c>
      <c r="GE4017" s="1" t="s">
        <v>5671</v>
      </c>
    </row>
    <row r="4018" spans="1:187" ht="11.25" customHeight="1">
      <c r="A4018" s="1" t="s">
        <v>5672</v>
      </c>
      <c r="B4018" s="1" t="str">
        <f ca="1">IFERROR(__xludf.DUMMYFUNCTION("GOOGLETRANSLATE(A4018, ""en"", ""fr"")"),"FÉROCE")</f>
        <v>FÉROCE</v>
      </c>
      <c r="C4018" s="1" t="s">
        <v>192</v>
      </c>
      <c r="E4018" s="1" t="s">
        <v>16613</v>
      </c>
      <c r="I4018" s="1" t="s">
        <v>5</v>
      </c>
      <c r="T4018" s="1" t="s">
        <v>16</v>
      </c>
      <c r="DR4018" s="1" t="s">
        <v>118</v>
      </c>
      <c r="GD4018" s="1" t="s">
        <v>202</v>
      </c>
      <c r="GE4018" s="1" t="s">
        <v>190</v>
      </c>
    </row>
    <row r="4019" spans="1:187" ht="11.25" customHeight="1">
      <c r="A4019" s="1" t="s">
        <v>5673</v>
      </c>
      <c r="B4019" s="1" t="str">
        <f ca="1">IFERROR(__xludf.DUMMYFUNCTION("GOOGLETRANSLATE(A4019, ""en"", ""fr"")"),"FÉROCITÉ")</f>
        <v>FÉROCITÉ</v>
      </c>
      <c r="C4019" s="1" t="s">
        <v>192</v>
      </c>
      <c r="E4019" s="1" t="s">
        <v>16613</v>
      </c>
      <c r="I4019" s="1" t="s">
        <v>5</v>
      </c>
      <c r="GD4019" s="1" t="s">
        <v>193</v>
      </c>
      <c r="GE4019" s="1" t="s">
        <v>190</v>
      </c>
    </row>
    <row r="4020" spans="1:187" ht="11.25" customHeight="1">
      <c r="A4020" s="1" t="s">
        <v>5674</v>
      </c>
      <c r="B4020" s="1" t="str">
        <f ca="1">IFERROR(__xludf.DUMMYFUNCTION("GOOGLETRANSLATE(A4020, ""en"", ""fr"")"),"FERTILE")</f>
        <v>FERTILE</v>
      </c>
      <c r="C4020" s="1" t="s">
        <v>192</v>
      </c>
      <c r="D4020" s="1" t="s">
        <v>16612</v>
      </c>
      <c r="CI4020" s="1" t="s">
        <v>83</v>
      </c>
      <c r="DR4020" s="1" t="s">
        <v>118</v>
      </c>
      <c r="GD4020" s="1" t="s">
        <v>202</v>
      </c>
      <c r="GE4020" s="1" t="s">
        <v>190</v>
      </c>
    </row>
    <row r="4021" spans="1:187" ht="11.25" customHeight="1">
      <c r="A4021" s="1" t="s">
        <v>5675</v>
      </c>
      <c r="B4021" s="1" t="str">
        <f ca="1">IFERROR(__xludf.DUMMYFUNCTION("GOOGLETRANSLATE(A4021, ""en"", ""fr"")"),"Engrais n ° 1")</f>
        <v>Engrais n ° 1</v>
      </c>
      <c r="C4021" s="1" t="s">
        <v>192</v>
      </c>
      <c r="GE4021" s="1" t="s">
        <v>190</v>
      </c>
    </row>
    <row r="4022" spans="1:187" ht="11.25" customHeight="1">
      <c r="A4022" s="1" t="s">
        <v>5676</v>
      </c>
      <c r="B4022" s="1" t="str">
        <f ca="1">IFERROR(__xludf.DUMMYFUNCTION("GOOGLETRANSLATE(A4022, ""en"", ""fr"")"),"ENGRAIS")</f>
        <v>ENGRAIS</v>
      </c>
      <c r="C4022" s="1" t="s">
        <v>185</v>
      </c>
      <c r="BC4022" s="1" t="s">
        <v>51</v>
      </c>
      <c r="BD4022" s="1" t="s">
        <v>52</v>
      </c>
      <c r="EV4022" s="1" t="s">
        <v>148</v>
      </c>
      <c r="EW4022" s="1" t="s">
        <v>149</v>
      </c>
      <c r="GD4022" s="1" t="s">
        <v>193</v>
      </c>
      <c r="GE4022" s="1" t="s">
        <v>190</v>
      </c>
    </row>
    <row r="4023" spans="1:187" ht="11.25" customHeight="1">
      <c r="A4023" s="1" t="s">
        <v>5677</v>
      </c>
      <c r="B4023" s="1" t="str">
        <f ca="1">IFERROR(__xludf.DUMMYFUNCTION("GOOGLETRANSLATE(A4023, ""en"", ""fr"")"),"FERVENT")</f>
        <v>FERVENT</v>
      </c>
      <c r="C4023" s="1" t="s">
        <v>192</v>
      </c>
      <c r="D4023" s="1" t="s">
        <v>16612</v>
      </c>
      <c r="G4023" s="1" t="s">
        <v>3</v>
      </c>
      <c r="J4023" s="1" t="s">
        <v>6</v>
      </c>
      <c r="R4023" s="1" t="s">
        <v>14</v>
      </c>
      <c r="DR4023" s="1" t="s">
        <v>118</v>
      </c>
      <c r="GD4023" s="1" t="s">
        <v>202</v>
      </c>
      <c r="GE4023" s="1" t="s">
        <v>190</v>
      </c>
    </row>
    <row r="4024" spans="1:187" ht="11.25" customHeight="1">
      <c r="A4024" s="1" t="s">
        <v>5678</v>
      </c>
      <c r="B4024" s="1" t="str">
        <f ca="1">IFERROR(__xludf.DUMMYFUNCTION("GOOGLETRANSLATE(A4024, ""en"", ""fr"")"),"Avec ferveur")</f>
        <v>Avec ferveur</v>
      </c>
      <c r="C4024" s="1" t="s">
        <v>196</v>
      </c>
      <c r="FX4024" s="1" t="s">
        <v>176</v>
      </c>
      <c r="GD4024" s="1" t="s">
        <v>2573</v>
      </c>
    </row>
    <row r="4025" spans="1:187" ht="11.25" customHeight="1">
      <c r="A4025" s="1" t="s">
        <v>5679</v>
      </c>
      <c r="B4025" s="1" t="str">
        <f ca="1">IFERROR(__xludf.DUMMYFUNCTION("GOOGLETRANSLATE(A4025, ""en"", ""fr"")"),"FERVEUR")</f>
        <v>FERVEUR</v>
      </c>
      <c r="C4025" s="1" t="s">
        <v>192</v>
      </c>
      <c r="D4025" s="1" t="s">
        <v>16612</v>
      </c>
      <c r="G4025" s="1" t="s">
        <v>3</v>
      </c>
      <c r="J4025" s="1" t="s">
        <v>6</v>
      </c>
      <c r="R4025" s="1" t="s">
        <v>14</v>
      </c>
      <c r="GD4025" s="1" t="s">
        <v>193</v>
      </c>
      <c r="GE4025" s="1" t="s">
        <v>190</v>
      </c>
    </row>
    <row r="4026" spans="1:187" ht="11.25" customHeight="1">
      <c r="A4026" s="1" t="s">
        <v>5680</v>
      </c>
      <c r="B4026" s="1" t="str">
        <f ca="1">IFERROR(__xludf.DUMMYFUNCTION("GOOGLETRANSLATE(A4026, ""en"", ""fr"")"),"FESTIVAL")</f>
        <v>FESTIVAL</v>
      </c>
      <c r="C4026" s="1" t="s">
        <v>185</v>
      </c>
      <c r="D4026" s="1" t="s">
        <v>16612</v>
      </c>
      <c r="F4026" s="1" t="s">
        <v>2</v>
      </c>
      <c r="G4026" s="1" t="s">
        <v>3</v>
      </c>
      <c r="N4026" s="1" t="s">
        <v>10</v>
      </c>
      <c r="AM4026" s="1" t="s">
        <v>35</v>
      </c>
      <c r="ER4026" s="1" t="s">
        <v>144</v>
      </c>
      <c r="ES4026" s="1" t="s">
        <v>145</v>
      </c>
      <c r="GD4026" s="1" t="s">
        <v>193</v>
      </c>
      <c r="GE4026" s="1" t="s">
        <v>190</v>
      </c>
    </row>
    <row r="4027" spans="1:187" ht="11.25" customHeight="1">
      <c r="A4027" s="1" t="s">
        <v>5681</v>
      </c>
      <c r="B4027" s="1" t="str">
        <f ca="1">IFERROR(__xludf.DUMMYFUNCTION("GOOGLETRANSLATE(A4027, ""en"", ""fr"")"),"DE FÊTE")</f>
        <v>DE FÊTE</v>
      </c>
      <c r="C4027" s="1" t="s">
        <v>192</v>
      </c>
      <c r="D4027" s="1" t="s">
        <v>16612</v>
      </c>
      <c r="AM4027" s="1" t="s">
        <v>35</v>
      </c>
      <c r="DR4027" s="1" t="s">
        <v>118</v>
      </c>
      <c r="GD4027" s="1" t="s">
        <v>202</v>
      </c>
      <c r="GE4027" s="1" t="s">
        <v>190</v>
      </c>
    </row>
    <row r="4028" spans="1:187" ht="11.25" customHeight="1">
      <c r="A4028" s="1" t="s">
        <v>5682</v>
      </c>
      <c r="B4028" s="1" t="str">
        <f ca="1">IFERROR(__xludf.DUMMYFUNCTION("GOOGLETRANSLATE(A4028, ""en"", ""fr"")"),"FESTIVITÉ")</f>
        <v>FESTIVITÉ</v>
      </c>
      <c r="C4028" s="1" t="s">
        <v>192</v>
      </c>
      <c r="D4028" s="1" t="s">
        <v>16612</v>
      </c>
      <c r="AM4028" s="1" t="s">
        <v>35</v>
      </c>
      <c r="GD4028" s="1" t="s">
        <v>193</v>
      </c>
      <c r="GE4028" s="1" t="s">
        <v>190</v>
      </c>
    </row>
    <row r="4029" spans="1:187" ht="11.25" customHeight="1">
      <c r="A4029" s="1" t="s">
        <v>5683</v>
      </c>
      <c r="B4029" s="1" t="str">
        <f ca="1">IFERROR(__xludf.DUMMYFUNCTION("GOOGLETRANSLATE(A4029, ""en"", ""fr"")"),"ALLER CHERCHER")</f>
        <v>ALLER CHERCHER</v>
      </c>
      <c r="C4029" s="1" t="s">
        <v>185</v>
      </c>
      <c r="N4029" s="1" t="s">
        <v>10</v>
      </c>
      <c r="CD4029" s="1" t="s">
        <v>78</v>
      </c>
      <c r="DN4029" s="1" t="s">
        <v>114</v>
      </c>
      <c r="GD4029" s="1" t="s">
        <v>189</v>
      </c>
      <c r="GE4029" s="1" t="s">
        <v>5684</v>
      </c>
    </row>
    <row r="4030" spans="1:187" ht="11.25" customHeight="1">
      <c r="A4030" s="1" t="s">
        <v>5685</v>
      </c>
      <c r="B4030" s="1" t="str">
        <f ca="1">IFERROR(__xludf.DUMMYFUNCTION("GOOGLETRANSLATE(A4030, ""en"", ""fr"")"),"QUERELLE")</f>
        <v>QUERELLE</v>
      </c>
      <c r="C4030" s="1" t="s">
        <v>192</v>
      </c>
      <c r="E4030" s="1" t="s">
        <v>16613</v>
      </c>
      <c r="I4030" s="1" t="s">
        <v>5</v>
      </c>
      <c r="AN4030" s="1" t="s">
        <v>36</v>
      </c>
      <c r="GD4030" s="1" t="s">
        <v>193</v>
      </c>
      <c r="GE4030" s="1" t="s">
        <v>190</v>
      </c>
    </row>
    <row r="4031" spans="1:187" ht="11.25" customHeight="1">
      <c r="A4031" s="1" t="s">
        <v>5686</v>
      </c>
      <c r="B4031" s="1" t="str">
        <f ca="1">IFERROR(__xludf.DUMMYFUNCTION("GOOGLETRANSLATE(A4031, ""en"", ""fr"")"),"FÉODAL")</f>
        <v>FÉODAL</v>
      </c>
      <c r="C4031" s="1" t="s">
        <v>192</v>
      </c>
      <c r="E4031" s="1" t="s">
        <v>16613</v>
      </c>
      <c r="Z4031" s="1" t="s">
        <v>22</v>
      </c>
      <c r="AG4031" s="1" t="s">
        <v>29</v>
      </c>
      <c r="DR4031" s="1" t="s">
        <v>118</v>
      </c>
      <c r="GD4031" s="1" t="s">
        <v>202</v>
      </c>
      <c r="GE4031" s="1" t="s">
        <v>190</v>
      </c>
    </row>
    <row r="4032" spans="1:187" ht="11.25" customHeight="1">
      <c r="A4032" s="1" t="s">
        <v>5687</v>
      </c>
      <c r="B4032" s="1" t="str">
        <f ca="1">IFERROR(__xludf.DUMMYFUNCTION("GOOGLETRANSLATE(A4032, ""en"", ""fr"")"),"FÉODALISME")</f>
        <v>FÉODALISME</v>
      </c>
      <c r="C4032" s="1" t="s">
        <v>196</v>
      </c>
      <c r="EA4032" s="1" t="s">
        <v>127</v>
      </c>
      <c r="ED4032" s="1" t="s">
        <v>130</v>
      </c>
      <c r="GD4032" s="1" t="s">
        <v>193</v>
      </c>
    </row>
    <row r="4033" spans="1:187" ht="11.25" customHeight="1">
      <c r="A4033" s="1" t="s">
        <v>5688</v>
      </c>
      <c r="B4033" s="1" t="str">
        <f ca="1">IFERROR(__xludf.DUMMYFUNCTION("GOOGLETRANSLATE(A4033, ""en"", ""fr"")"),"FIÈVRE")</f>
        <v>FIÈVRE</v>
      </c>
      <c r="C4033" s="1" t="s">
        <v>185</v>
      </c>
      <c r="E4033" s="1" t="s">
        <v>16613</v>
      </c>
      <c r="H4033" s="1" t="s">
        <v>4</v>
      </c>
      <c r="L4033" s="1" t="s">
        <v>8</v>
      </c>
      <c r="O4033" s="1" t="s">
        <v>11</v>
      </c>
      <c r="V4033" s="1" t="s">
        <v>18</v>
      </c>
      <c r="EZ4033" s="1" t="s">
        <v>152</v>
      </c>
      <c r="FC4033" s="1" t="s">
        <v>155</v>
      </c>
      <c r="GD4033" s="1" t="s">
        <v>193</v>
      </c>
      <c r="GE4033" s="1" t="s">
        <v>190</v>
      </c>
    </row>
    <row r="4034" spans="1:187" ht="11.25" customHeight="1">
      <c r="A4034" s="1" t="s">
        <v>5689</v>
      </c>
      <c r="B4034" s="1" t="str">
        <f ca="1">IFERROR(__xludf.DUMMYFUNCTION("GOOGLETRANSLATE(A4034, ""en"", ""fr"")"),"FÉBRILE")</f>
        <v>FÉBRILE</v>
      </c>
      <c r="C4034" s="1" t="s">
        <v>185</v>
      </c>
      <c r="E4034" s="1" t="s">
        <v>16613</v>
      </c>
      <c r="H4034" s="1" t="s">
        <v>4</v>
      </c>
      <c r="L4034" s="1" t="s">
        <v>8</v>
      </c>
      <c r="O4034" s="1" t="s">
        <v>11</v>
      </c>
      <c r="GD4034" s="1" t="s">
        <v>202</v>
      </c>
      <c r="GE4034" s="1" t="s">
        <v>190</v>
      </c>
    </row>
    <row r="4035" spans="1:187" ht="11.25" customHeight="1">
      <c r="A4035" s="1" t="s">
        <v>5690</v>
      </c>
      <c r="B4035" s="1" t="str">
        <f ca="1">IFERROR(__xludf.DUMMYFUNCTION("GOOGLETRANSLATE(A4035, ""en"", ""fr"")"),"Peu # 1")</f>
        <v>Peu # 1</v>
      </c>
      <c r="C4035" s="1" t="s">
        <v>185</v>
      </c>
      <c r="L4035" s="1" t="s">
        <v>8</v>
      </c>
      <c r="X4035" s="1" t="s">
        <v>20</v>
      </c>
      <c r="CS4035" s="1" t="s">
        <v>93</v>
      </c>
      <c r="GD4035" s="1" t="s">
        <v>5691</v>
      </c>
      <c r="GE4035" s="1" t="s">
        <v>5692</v>
      </c>
    </row>
    <row r="4036" spans="1:187" ht="11.25" customHeight="1">
      <c r="A4036" s="1" t="s">
        <v>5693</v>
      </c>
      <c r="B4036" s="1" t="str">
        <f ca="1">IFERROR(__xludf.DUMMYFUNCTION("GOOGLETRANSLATE(A4036, ""en"", ""fr"")"),"Peu # 2")</f>
        <v>Peu # 2</v>
      </c>
      <c r="C4036" s="1" t="s">
        <v>185</v>
      </c>
      <c r="L4036" s="1" t="s">
        <v>8</v>
      </c>
      <c r="X4036" s="1" t="s">
        <v>20</v>
      </c>
      <c r="GD4036" s="1" t="s">
        <v>884</v>
      </c>
      <c r="GE4036" s="1" t="s">
        <v>5694</v>
      </c>
    </row>
    <row r="4037" spans="1:187" ht="11.25" customHeight="1">
      <c r="A4037" s="1" t="s">
        <v>5695</v>
      </c>
      <c r="B4037" s="1" t="str">
        <f ca="1">IFERROR(__xludf.DUMMYFUNCTION("GOOGLETRANSLATE(A4037, ""en"", ""fr"")"),"Peu # 3")</f>
        <v>Peu # 3</v>
      </c>
      <c r="C4037" s="1" t="s">
        <v>185</v>
      </c>
      <c r="J4037" s="1" t="s">
        <v>6</v>
      </c>
      <c r="W4037" s="1" t="s">
        <v>19</v>
      </c>
      <c r="GD4037" s="1" t="s">
        <v>5696</v>
      </c>
      <c r="GE4037" s="1" t="s">
        <v>5697</v>
      </c>
    </row>
    <row r="4038" spans="1:187" ht="11.25" customHeight="1">
      <c r="A4038" s="1" t="s">
        <v>5698</v>
      </c>
      <c r="B4038" s="1" t="str">
        <f ca="1">IFERROR(__xludf.DUMMYFUNCTION("GOOGLETRANSLATE(A4038, ""en"", ""fr"")"),"Peu # 4")</f>
        <v>Peu # 4</v>
      </c>
      <c r="C4038" s="1" t="s">
        <v>185</v>
      </c>
      <c r="L4038" s="1" t="s">
        <v>8</v>
      </c>
      <c r="X4038" s="1" t="s">
        <v>20</v>
      </c>
      <c r="CS4038" s="1" t="s">
        <v>93</v>
      </c>
      <c r="GD4038" s="1" t="s">
        <v>2464</v>
      </c>
      <c r="GE4038" s="1" t="s">
        <v>5699</v>
      </c>
    </row>
    <row r="4039" spans="1:187" ht="11.25" customHeight="1">
      <c r="A4039" s="1" t="s">
        <v>5700</v>
      </c>
      <c r="B4039" s="1" t="str">
        <f ca="1">IFERROR(__xludf.DUMMYFUNCTION("GOOGLETRANSLATE(A4039, ""en"", ""fr"")"),"Peu # 5")</f>
        <v>Peu # 5</v>
      </c>
      <c r="C4039" s="1" t="s">
        <v>185</v>
      </c>
      <c r="L4039" s="1" t="s">
        <v>8</v>
      </c>
      <c r="X4039" s="1" t="s">
        <v>20</v>
      </c>
      <c r="CS4039" s="1" t="s">
        <v>93</v>
      </c>
      <c r="GD4039" s="1" t="s">
        <v>2464</v>
      </c>
      <c r="GE4039" s="1" t="s">
        <v>5701</v>
      </c>
    </row>
    <row r="4040" spans="1:187" ht="11.25" customHeight="1">
      <c r="A4040" s="1" t="s">
        <v>5702</v>
      </c>
      <c r="B4040" s="1" t="str">
        <f ca="1">IFERROR(__xludf.DUMMYFUNCTION("GOOGLETRANSLATE(A4040, ""en"", ""fr"")"),"FIASCO")</f>
        <v>FIASCO</v>
      </c>
      <c r="C4040" s="1" t="s">
        <v>192</v>
      </c>
      <c r="E4040" s="1" t="s">
        <v>16613</v>
      </c>
      <c r="L4040" s="1" t="s">
        <v>8</v>
      </c>
      <c r="W4040" s="1" t="s">
        <v>19</v>
      </c>
      <c r="BT4040" s="1" t="s">
        <v>68</v>
      </c>
      <c r="GD4040" s="1" t="s">
        <v>193</v>
      </c>
      <c r="GE4040" s="1" t="s">
        <v>190</v>
      </c>
    </row>
    <row r="4041" spans="1:187" ht="11.25" customHeight="1">
      <c r="A4041" s="1" t="s">
        <v>5703</v>
      </c>
      <c r="B4041" s="1" t="str">
        <f ca="1">IFERROR(__xludf.DUMMYFUNCTION("GOOGLETRANSLATE(A4041, ""en"", ""fr"")"),"FIBRE")</f>
        <v>FIBRE</v>
      </c>
      <c r="C4041" s="1" t="s">
        <v>185</v>
      </c>
      <c r="BC4041" s="1" t="s">
        <v>51</v>
      </c>
      <c r="BD4041" s="1" t="s">
        <v>52</v>
      </c>
      <c r="GD4041" s="1" t="s">
        <v>193</v>
      </c>
      <c r="GE4041" s="1" t="s">
        <v>190</v>
      </c>
    </row>
    <row r="4042" spans="1:187" ht="11.25" customHeight="1">
      <c r="A4042" s="1" t="s">
        <v>5704</v>
      </c>
      <c r="B4042" s="1" t="str">
        <f ca="1">IFERROR(__xludf.DUMMYFUNCTION("GOOGLETRANSLATE(A4042, ""en"", ""fr"")"),"Fibre de verre")</f>
        <v>Fibre de verre</v>
      </c>
      <c r="C4042" s="1" t="s">
        <v>185</v>
      </c>
      <c r="BC4042" s="1" t="s">
        <v>51</v>
      </c>
      <c r="BD4042" s="1" t="s">
        <v>52</v>
      </c>
      <c r="GD4042" s="1" t="s">
        <v>193</v>
      </c>
      <c r="GE4042" s="1" t="s">
        <v>190</v>
      </c>
    </row>
    <row r="4043" spans="1:187" ht="11.25" customHeight="1">
      <c r="A4043" s="1" t="s">
        <v>5705</v>
      </c>
      <c r="B4043" s="1" t="str">
        <f ca="1">IFERROR(__xludf.DUMMYFUNCTION("GOOGLETRANSLATE(A4043, ""en"", ""fr"")"),"Fibre # 1")</f>
        <v>Fibre # 1</v>
      </c>
      <c r="C4043" s="1" t="s">
        <v>192</v>
      </c>
      <c r="GE4043" s="1" t="s">
        <v>190</v>
      </c>
    </row>
    <row r="4044" spans="1:187" ht="11.25" customHeight="1">
      <c r="A4044" s="1" t="s">
        <v>5706</v>
      </c>
      <c r="B4044" s="1" t="str">
        <f ca="1">IFERROR(__xludf.DUMMYFUNCTION("GOOGLETRANSLATE(A4044, ""en"", ""fr"")"),"Fibre de verre n ° 1")</f>
        <v>Fibre de verre n ° 1</v>
      </c>
      <c r="C4044" s="1" t="s">
        <v>192</v>
      </c>
      <c r="GE4044" s="1" t="s">
        <v>190</v>
      </c>
    </row>
    <row r="4045" spans="1:187" ht="11.25" customHeight="1">
      <c r="A4045" s="1" t="s">
        <v>5707</v>
      </c>
      <c r="B4045" s="1" t="str">
        <f ca="1">IFERROR(__xludf.DUMMYFUNCTION("GOOGLETRANSLATE(A4045, ""en"", ""fr"")"),"INCONSTANT")</f>
        <v>INCONSTANT</v>
      </c>
      <c r="C4045" s="1" t="s">
        <v>192</v>
      </c>
      <c r="E4045" s="1" t="s">
        <v>16613</v>
      </c>
      <c r="L4045" s="1" t="s">
        <v>8</v>
      </c>
      <c r="M4045" s="1" t="s">
        <v>9</v>
      </c>
      <c r="T4045" s="1" t="s">
        <v>16</v>
      </c>
      <c r="DR4045" s="1" t="s">
        <v>118</v>
      </c>
      <c r="GD4045" s="1" t="s">
        <v>202</v>
      </c>
      <c r="GE4045" s="1" t="s">
        <v>190</v>
      </c>
    </row>
    <row r="4046" spans="1:187" ht="11.25" customHeight="1">
      <c r="A4046" s="1" t="s">
        <v>5708</v>
      </c>
      <c r="B4046" s="1" t="str">
        <f ca="1">IFERROR(__xludf.DUMMYFUNCTION("GOOGLETRANSLATE(A4046, ""en"", ""fr"")"),"FICTION")</f>
        <v>FICTION</v>
      </c>
      <c r="C4046" s="1" t="s">
        <v>185</v>
      </c>
      <c r="AD4046" s="1" t="s">
        <v>26</v>
      </c>
      <c r="BK4046" s="1" t="s">
        <v>59</v>
      </c>
      <c r="BL4046" s="1" t="s">
        <v>60</v>
      </c>
      <c r="FH4046" s="1" t="s">
        <v>160</v>
      </c>
      <c r="FI4046" s="1" t="s">
        <v>161</v>
      </c>
      <c r="GC4046" s="1" t="s">
        <v>181</v>
      </c>
      <c r="GD4046" s="1" t="s">
        <v>193</v>
      </c>
      <c r="GE4046" s="1" t="s">
        <v>190</v>
      </c>
    </row>
    <row r="4047" spans="1:187" ht="11.25" customHeight="1">
      <c r="A4047" s="1" t="s">
        <v>5709</v>
      </c>
      <c r="B4047" s="1" t="str">
        <f ca="1">IFERROR(__xludf.DUMMYFUNCTION("GOOGLETRANSLATE(A4047, ""en"", ""fr"")"),"FIDÉLITÉ")</f>
        <v>FIDÉLITÉ</v>
      </c>
      <c r="C4047" s="1" t="s">
        <v>185</v>
      </c>
      <c r="D4047" s="1" t="s">
        <v>16612</v>
      </c>
      <c r="F4047" s="1" t="s">
        <v>2</v>
      </c>
      <c r="G4047" s="1" t="s">
        <v>3</v>
      </c>
      <c r="M4047" s="1" t="s">
        <v>9</v>
      </c>
      <c r="Z4047" s="1" t="s">
        <v>22</v>
      </c>
      <c r="EC4047" s="1" t="s">
        <v>129</v>
      </c>
      <c r="ED4047" s="1" t="s">
        <v>130</v>
      </c>
      <c r="GD4047" s="1" t="s">
        <v>193</v>
      </c>
      <c r="GE4047" s="1" t="s">
        <v>190</v>
      </c>
    </row>
    <row r="4048" spans="1:187" ht="11.25" customHeight="1">
      <c r="A4048" s="1" t="s">
        <v>5710</v>
      </c>
      <c r="B4048" s="1" t="str">
        <f ca="1">IFERROR(__xludf.DUMMYFUNCTION("GOOGLETRANSLATE(A4048, ""en"", ""fr"")"),"Truquer")</f>
        <v>Truquer</v>
      </c>
      <c r="C4048" s="1" t="s">
        <v>192</v>
      </c>
      <c r="E4048" s="1" t="s">
        <v>16613</v>
      </c>
      <c r="L4048" s="1" t="s">
        <v>8</v>
      </c>
      <c r="N4048" s="1" t="s">
        <v>10</v>
      </c>
      <c r="DN4048" s="1" t="s">
        <v>114</v>
      </c>
      <c r="GD4048" s="1" t="s">
        <v>189</v>
      </c>
      <c r="GE4048" s="1" t="s">
        <v>190</v>
      </c>
    </row>
    <row r="4049" spans="1:187" ht="11.25" customHeight="1">
      <c r="A4049" s="1" t="s">
        <v>5711</v>
      </c>
      <c r="B4049" s="1" t="str">
        <f ca="1">IFERROR(__xludf.DUMMYFUNCTION("GOOGLETRANSLATE(A4049, ""en"", ""fr"")"),"Champ n ° 1")</f>
        <v>Champ n ° 1</v>
      </c>
      <c r="C4049" s="1" t="s">
        <v>185</v>
      </c>
      <c r="AV4049" s="1" t="s">
        <v>44</v>
      </c>
      <c r="BA4049" s="1" t="s">
        <v>49</v>
      </c>
      <c r="FS4049" s="1" t="s">
        <v>171</v>
      </c>
      <c r="GD4049" s="1" t="s">
        <v>849</v>
      </c>
      <c r="GE4049" s="1" t="s">
        <v>5712</v>
      </c>
    </row>
    <row r="4050" spans="1:187" ht="11.25" customHeight="1">
      <c r="A4050" s="1" t="s">
        <v>5713</v>
      </c>
      <c r="B4050" s="1" t="str">
        <f ca="1">IFERROR(__xludf.DUMMYFUNCTION("GOOGLETRANSLATE(A4050, ""en"", ""fr"")"),"Champ n ° 2")</f>
        <v>Champ n ° 2</v>
      </c>
      <c r="C4050" s="1" t="s">
        <v>185</v>
      </c>
      <c r="AD4050" s="1" t="s">
        <v>26</v>
      </c>
      <c r="AL4050" s="1" t="s">
        <v>34</v>
      </c>
      <c r="DN4050" s="1" t="s">
        <v>114</v>
      </c>
      <c r="GD4050" s="1" t="s">
        <v>189</v>
      </c>
      <c r="GE4050" s="1" t="s">
        <v>5714</v>
      </c>
    </row>
    <row r="4051" spans="1:187" ht="11.25" customHeight="1">
      <c r="A4051" s="1" t="s">
        <v>5715</v>
      </c>
      <c r="B4051" s="1" t="str">
        <f ca="1">IFERROR(__xludf.DUMMYFUNCTION("GOOGLETRANSLATE(A4051, ""en"", ""fr"")"),"DÉMON")</f>
        <v>DÉMON</v>
      </c>
      <c r="C4051" s="1" t="s">
        <v>192</v>
      </c>
      <c r="E4051" s="1" t="s">
        <v>16613</v>
      </c>
      <c r="I4051" s="1" t="s">
        <v>5</v>
      </c>
      <c r="AT4051" s="1" t="s">
        <v>42</v>
      </c>
      <c r="GD4051" s="1" t="s">
        <v>193</v>
      </c>
      <c r="GE4051" s="1" t="s">
        <v>190</v>
      </c>
    </row>
    <row r="4052" spans="1:187" ht="11.25" customHeight="1">
      <c r="A4052" s="1" t="s">
        <v>5716</v>
      </c>
      <c r="B4052" s="1" t="str">
        <f ca="1">IFERROR(__xludf.DUMMYFUNCTION("GOOGLETRANSLATE(A4052, ""en"", ""fr"")"),"FÉROCE")</f>
        <v>FÉROCE</v>
      </c>
      <c r="C4052" s="1" t="s">
        <v>185</v>
      </c>
      <c r="E4052" s="1" t="s">
        <v>16613</v>
      </c>
      <c r="I4052" s="1" t="s">
        <v>5</v>
      </c>
      <c r="T4052" s="1" t="s">
        <v>16</v>
      </c>
      <c r="DR4052" s="1" t="s">
        <v>118</v>
      </c>
      <c r="GD4052" s="1" t="s">
        <v>202</v>
      </c>
      <c r="GE4052" s="1" t="s">
        <v>190</v>
      </c>
    </row>
    <row r="4053" spans="1:187" ht="11.25" customHeight="1">
      <c r="A4053" s="1" t="s">
        <v>5717</v>
      </c>
      <c r="B4053" s="1" t="str">
        <f ca="1">IFERROR(__xludf.DUMMYFUNCTION("GOOGLETRANSLATE(A4053, ""en"", ""fr"")"),"ARDENT")</f>
        <v>ARDENT</v>
      </c>
      <c r="C4053" s="1" t="s">
        <v>192</v>
      </c>
      <c r="D4053" s="1" t="s">
        <v>16612</v>
      </c>
      <c r="J4053" s="1" t="s">
        <v>6</v>
      </c>
      <c r="R4053" s="1" t="s">
        <v>14</v>
      </c>
      <c r="DR4053" s="1" t="s">
        <v>118</v>
      </c>
      <c r="GD4053" s="1" t="s">
        <v>202</v>
      </c>
      <c r="GE4053" s="1" t="s">
        <v>190</v>
      </c>
    </row>
    <row r="4054" spans="1:187" ht="11.25" customHeight="1">
      <c r="A4054" s="1" t="s">
        <v>5718</v>
      </c>
      <c r="B4054" s="1" t="str">
        <f ca="1">IFERROR(__xludf.DUMMYFUNCTION("GOOGLETRANSLATE(A4054, ""en"", ""fr"")"),"QUINZE")</f>
        <v>QUINZE</v>
      </c>
      <c r="C4054" s="1" t="s">
        <v>185</v>
      </c>
      <c r="CS4054" s="1" t="s">
        <v>93</v>
      </c>
      <c r="CT4054" s="1" t="s">
        <v>94</v>
      </c>
      <c r="CV4054" s="1" t="s">
        <v>96</v>
      </c>
      <c r="GD4054" s="1" t="s">
        <v>1756</v>
      </c>
      <c r="GE4054" s="1" t="s">
        <v>4825</v>
      </c>
    </row>
    <row r="4055" spans="1:187" ht="11.25" customHeight="1">
      <c r="A4055" s="1" t="s">
        <v>5719</v>
      </c>
      <c r="B4055" s="1" t="str">
        <f ca="1">IFERROR(__xludf.DUMMYFUNCTION("GOOGLETRANSLATE(A4055, ""en"", ""fr"")"),"QUINZIÈME")</f>
        <v>QUINZIÈME</v>
      </c>
      <c r="C4055" s="1" t="s">
        <v>185</v>
      </c>
      <c r="CT4055" s="1" t="s">
        <v>94</v>
      </c>
      <c r="CU4055" s="1" t="s">
        <v>95</v>
      </c>
      <c r="DD4055" s="1" t="s">
        <v>104</v>
      </c>
      <c r="GD4055" s="1" t="s">
        <v>1756</v>
      </c>
      <c r="GE4055" s="1" t="s">
        <v>190</v>
      </c>
    </row>
    <row r="4056" spans="1:187" ht="11.25" customHeight="1">
      <c r="A4056" s="1" t="s">
        <v>5720</v>
      </c>
      <c r="B4056" s="1" t="str">
        <f ca="1">IFERROR(__xludf.DUMMYFUNCTION("GOOGLETRANSLATE(A4056, ""en"", ""fr"")"),"Cinquième n ° 1")</f>
        <v>Cinquième n ° 1</v>
      </c>
      <c r="C4056" s="1" t="s">
        <v>192</v>
      </c>
      <c r="GE4056" s="1" t="s">
        <v>190</v>
      </c>
    </row>
    <row r="4057" spans="1:187" ht="11.25" customHeight="1">
      <c r="A4057" s="1" t="s">
        <v>5721</v>
      </c>
      <c r="B4057" s="1" t="str">
        <f ca="1">IFERROR(__xludf.DUMMYFUNCTION("GOOGLETRANSLATE(A4057, ""en"", ""fr"")"),"Cinquantième # 1")</f>
        <v>Cinquantième # 1</v>
      </c>
      <c r="C4057" s="1" t="s">
        <v>192</v>
      </c>
      <c r="GE4057" s="1" t="s">
        <v>190</v>
      </c>
    </row>
    <row r="4058" spans="1:187" ht="11.25" customHeight="1">
      <c r="A4058" s="1" t="s">
        <v>5722</v>
      </c>
      <c r="B4058" s="1" t="str">
        <f ca="1">IFERROR(__xludf.DUMMYFUNCTION("GOOGLETRANSLATE(A4058, ""en"", ""fr"")"),"CINQUANTE")</f>
        <v>CINQUANTE</v>
      </c>
      <c r="C4058" s="1" t="s">
        <v>185</v>
      </c>
      <c r="CS4058" s="1" t="s">
        <v>93</v>
      </c>
      <c r="CT4058" s="1" t="s">
        <v>94</v>
      </c>
      <c r="CV4058" s="1" t="s">
        <v>96</v>
      </c>
      <c r="GD4058" s="1" t="s">
        <v>1756</v>
      </c>
      <c r="GE4058" s="1" t="s">
        <v>4825</v>
      </c>
    </row>
    <row r="4059" spans="1:187" ht="11.25" customHeight="1">
      <c r="A4059" s="1" t="s">
        <v>5723</v>
      </c>
      <c r="B4059" s="1" t="str">
        <f ca="1">IFERROR(__xludf.DUMMYFUNCTION("GOOGLETRANSLATE(A4059, ""en"", ""fr"")"),"FIGUE")</f>
        <v>FIGUE</v>
      </c>
      <c r="C4059" s="1" t="s">
        <v>185</v>
      </c>
      <c r="BC4059" s="1" t="s">
        <v>51</v>
      </c>
      <c r="BE4059" s="1" t="s">
        <v>53</v>
      </c>
      <c r="GD4059" s="1" t="s">
        <v>193</v>
      </c>
      <c r="GE4059" s="1" t="s">
        <v>190</v>
      </c>
    </row>
    <row r="4060" spans="1:187" ht="11.25" customHeight="1">
      <c r="A4060" s="1" t="s">
        <v>5724</v>
      </c>
      <c r="B4060" s="1" t="str">
        <f ca="1">IFERROR(__xludf.DUMMYFUNCTION("GOOGLETRANSLATE(A4060, ""en"", ""fr"")"),"Combat n ° 1")</f>
        <v>Combat n ° 1</v>
      </c>
      <c r="C4060" s="1" t="s">
        <v>185</v>
      </c>
      <c r="E4060" s="1" t="s">
        <v>16613</v>
      </c>
      <c r="H4060" s="1" t="s">
        <v>4</v>
      </c>
      <c r="I4060" s="1" t="s">
        <v>5</v>
      </c>
      <c r="J4060" s="1" t="s">
        <v>6</v>
      </c>
      <c r="N4060" s="1" t="s">
        <v>10</v>
      </c>
      <c r="AF4060" s="1" t="s">
        <v>28</v>
      </c>
      <c r="AM4060" s="1" t="s">
        <v>35</v>
      </c>
      <c r="DW4060" s="1" t="s">
        <v>123</v>
      </c>
      <c r="ED4060" s="1" t="s">
        <v>130</v>
      </c>
      <c r="GD4060" s="1" t="s">
        <v>193</v>
      </c>
      <c r="GE4060" s="1" t="s">
        <v>5725</v>
      </c>
    </row>
    <row r="4061" spans="1:187" ht="11.25" customHeight="1">
      <c r="A4061" s="1" t="s">
        <v>5726</v>
      </c>
      <c r="B4061" s="1" t="str">
        <f ca="1">IFERROR(__xludf.DUMMYFUNCTION("GOOGLETRANSLATE(A4061, ""en"", ""fr"")"),"Combat n ° 2")</f>
        <v>Combat n ° 2</v>
      </c>
      <c r="C4061" s="1" t="s">
        <v>185</v>
      </c>
      <c r="E4061" s="1" t="s">
        <v>16613</v>
      </c>
      <c r="H4061" s="1" t="s">
        <v>4</v>
      </c>
      <c r="I4061" s="1" t="s">
        <v>5</v>
      </c>
      <c r="J4061" s="1" t="s">
        <v>6</v>
      </c>
      <c r="N4061" s="1" t="s">
        <v>10</v>
      </c>
      <c r="AN4061" s="1" t="s">
        <v>36</v>
      </c>
      <c r="DO4061" s="1" t="s">
        <v>115</v>
      </c>
      <c r="DW4061" s="1" t="s">
        <v>123</v>
      </c>
      <c r="ED4061" s="1" t="s">
        <v>130</v>
      </c>
      <c r="GD4061" s="1" t="s">
        <v>189</v>
      </c>
      <c r="GE4061" s="1" t="s">
        <v>5727</v>
      </c>
    </row>
    <row r="4062" spans="1:187" ht="11.25" customHeight="1">
      <c r="A4062" s="1" t="s">
        <v>5728</v>
      </c>
      <c r="B4062" s="1" t="str">
        <f ca="1">IFERROR(__xludf.DUMMYFUNCTION("GOOGLETRANSLATE(A4062, ""en"", ""fr"")"),"Combat # 3")</f>
        <v>Combat # 3</v>
      </c>
      <c r="C4062" s="1" t="s">
        <v>185</v>
      </c>
      <c r="E4062" s="1" t="s">
        <v>16613</v>
      </c>
      <c r="H4062" s="1" t="s">
        <v>4</v>
      </c>
      <c r="I4062" s="1" t="s">
        <v>5</v>
      </c>
      <c r="J4062" s="1" t="s">
        <v>6</v>
      </c>
      <c r="N4062" s="1" t="s">
        <v>10</v>
      </c>
      <c r="V4062" s="1" t="s">
        <v>18</v>
      </c>
      <c r="DW4062" s="1" t="s">
        <v>123</v>
      </c>
      <c r="ED4062" s="1" t="s">
        <v>130</v>
      </c>
      <c r="GD4062" s="1" t="s">
        <v>202</v>
      </c>
      <c r="GE4062" s="1" t="s">
        <v>5729</v>
      </c>
    </row>
    <row r="4063" spans="1:187" ht="11.25" customHeight="1">
      <c r="A4063" s="1" t="s">
        <v>5730</v>
      </c>
      <c r="B4063" s="1" t="str">
        <f ca="1">IFERROR(__xludf.DUMMYFUNCTION("GOOGLETRANSLATE(A4063, ""en"", ""fr"")"),"Combat # 4")</f>
        <v>Combat # 4</v>
      </c>
      <c r="C4063" s="1" t="s">
        <v>185</v>
      </c>
      <c r="I4063" s="1" t="s">
        <v>5</v>
      </c>
      <c r="AN4063" s="1" t="s">
        <v>36</v>
      </c>
      <c r="GD4063" s="1" t="s">
        <v>225</v>
      </c>
      <c r="GE4063" s="1" t="s">
        <v>5731</v>
      </c>
    </row>
    <row r="4064" spans="1:187" ht="11.25" customHeight="1">
      <c r="A4064" s="1" t="s">
        <v>5732</v>
      </c>
      <c r="B4064" s="1" t="str">
        <f ca="1">IFERROR(__xludf.DUMMYFUNCTION("GOOGLETRANSLATE(A4064, ""en"", ""fr"")"),"COMBATTANT")</f>
        <v>COMBATTANT</v>
      </c>
      <c r="C4064" s="1" t="s">
        <v>185</v>
      </c>
      <c r="E4064" s="1" t="s">
        <v>16613</v>
      </c>
      <c r="H4064" s="1" t="s">
        <v>4</v>
      </c>
      <c r="I4064" s="1" t="s">
        <v>5</v>
      </c>
      <c r="J4064" s="1" t="s">
        <v>6</v>
      </c>
      <c r="N4064" s="1" t="s">
        <v>10</v>
      </c>
      <c r="AJ4064" s="1" t="s">
        <v>32</v>
      </c>
      <c r="AT4064" s="1" t="s">
        <v>42</v>
      </c>
      <c r="GD4064" s="1" t="s">
        <v>193</v>
      </c>
      <c r="GE4064" s="1" t="s">
        <v>190</v>
      </c>
    </row>
    <row r="4065" spans="1:187" ht="11.25" customHeight="1">
      <c r="A4065" s="1" t="s">
        <v>5733</v>
      </c>
      <c r="B4065" s="1" t="str">
        <f ca="1">IFERROR(__xludf.DUMMYFUNCTION("GOOGLETRANSLATE(A4065, ""en"", ""fr"")"),"FIGURE 1")</f>
        <v>FIGURE 1</v>
      </c>
      <c r="C4065" s="1" t="s">
        <v>185</v>
      </c>
      <c r="O4065" s="1" t="s">
        <v>11</v>
      </c>
      <c r="BK4065" s="1" t="s">
        <v>59</v>
      </c>
      <c r="BL4065" s="1" t="s">
        <v>60</v>
      </c>
      <c r="FH4065" s="1" t="s">
        <v>160</v>
      </c>
      <c r="FI4065" s="1" t="s">
        <v>161</v>
      </c>
      <c r="GC4065" s="1" t="s">
        <v>181</v>
      </c>
      <c r="GD4065" s="1" t="s">
        <v>193</v>
      </c>
      <c r="GE4065" s="1" t="s">
        <v>5734</v>
      </c>
    </row>
    <row r="4066" spans="1:187" ht="11.25" customHeight="1">
      <c r="A4066" s="1" t="s">
        <v>5735</v>
      </c>
      <c r="B4066" s="1" t="str">
        <f ca="1">IFERROR(__xludf.DUMMYFUNCTION("GOOGLETRANSLATE(A4066, ""en"", ""fr"")"),"FIGURE 2")</f>
        <v>FIGURE 2</v>
      </c>
      <c r="C4066" s="1" t="s">
        <v>185</v>
      </c>
      <c r="N4066" s="1" t="s">
        <v>10</v>
      </c>
      <c r="CO4066" s="1" t="s">
        <v>89</v>
      </c>
      <c r="DN4066" s="1" t="s">
        <v>114</v>
      </c>
      <c r="FH4066" s="1" t="s">
        <v>160</v>
      </c>
      <c r="FI4066" s="1" t="s">
        <v>161</v>
      </c>
      <c r="GD4066" s="1" t="s">
        <v>189</v>
      </c>
      <c r="GE4066" s="1" t="s">
        <v>5736</v>
      </c>
    </row>
    <row r="4067" spans="1:187" ht="11.25" customHeight="1">
      <c r="A4067" s="1" t="s">
        <v>5737</v>
      </c>
      <c r="B4067" s="1" t="str">
        <f ca="1">IFERROR(__xludf.DUMMYFUNCTION("GOOGLETRANSLATE(A4067, ""en"", ""fr"")"),"FIGURE 3")</f>
        <v>FIGURE 3</v>
      </c>
      <c r="C4067" s="1" t="s">
        <v>185</v>
      </c>
      <c r="N4067" s="1" t="s">
        <v>10</v>
      </c>
      <c r="CO4067" s="1" t="s">
        <v>89</v>
      </c>
      <c r="DN4067" s="1" t="s">
        <v>114</v>
      </c>
      <c r="FH4067" s="1" t="s">
        <v>160</v>
      </c>
      <c r="FI4067" s="1" t="s">
        <v>161</v>
      </c>
      <c r="GD4067" s="1" t="s">
        <v>189</v>
      </c>
      <c r="GE4067" s="1" t="s">
        <v>5738</v>
      </c>
    </row>
    <row r="4068" spans="1:187" ht="11.25" customHeight="1">
      <c r="A4068" s="1" t="s">
        <v>5739</v>
      </c>
      <c r="B4068" s="1" t="str">
        <f ca="1">IFERROR(__xludf.DUMMYFUNCTION("GOOGLETRANSLATE(A4068, ""en"", ""fr"")"),"Figure n ° 4")</f>
        <v>Figure n ° 4</v>
      </c>
      <c r="C4068" s="1" t="s">
        <v>185</v>
      </c>
      <c r="AD4068" s="1" t="s">
        <v>26</v>
      </c>
      <c r="BK4068" s="1" t="s">
        <v>59</v>
      </c>
      <c r="BL4068" s="1" t="s">
        <v>60</v>
      </c>
      <c r="FA4068" s="1" t="s">
        <v>153</v>
      </c>
      <c r="FC4068" s="1" t="s">
        <v>155</v>
      </c>
      <c r="GC4068" s="1" t="s">
        <v>181</v>
      </c>
      <c r="GD4068" s="1" t="s">
        <v>193</v>
      </c>
      <c r="GE4068" s="1" t="s">
        <v>5740</v>
      </c>
    </row>
    <row r="4069" spans="1:187" ht="11.25" customHeight="1">
      <c r="A4069" s="1" t="s">
        <v>5741</v>
      </c>
      <c r="B4069" s="1" t="str">
        <f ca="1">IFERROR(__xludf.DUMMYFUNCTION("GOOGLETRANSLATE(A4069, ""en"", ""fr"")"),"Figure n ° 5")</f>
        <v>Figure n ° 5</v>
      </c>
      <c r="C4069" s="1" t="s">
        <v>185</v>
      </c>
      <c r="GD4069" s="1" t="s">
        <v>225</v>
      </c>
      <c r="GE4069" s="1" t="s">
        <v>5742</v>
      </c>
    </row>
    <row r="4070" spans="1:187" ht="11.25" customHeight="1">
      <c r="A4070" s="1" t="s">
        <v>5743</v>
      </c>
      <c r="B4070" s="1" t="str">
        <f ca="1">IFERROR(__xludf.DUMMYFUNCTION("GOOGLETRANSLATE(A4070, ""en"", ""fr"")"),"Fichier n ° 1")</f>
        <v>Fichier n ° 1</v>
      </c>
      <c r="C4070" s="1" t="s">
        <v>185</v>
      </c>
      <c r="BC4070" s="1" t="s">
        <v>51</v>
      </c>
      <c r="BD4070" s="1" t="s">
        <v>52</v>
      </c>
      <c r="GD4070" s="1" t="s">
        <v>193</v>
      </c>
      <c r="GE4070" s="1" t="s">
        <v>190</v>
      </c>
    </row>
    <row r="4071" spans="1:187" ht="11.25" customHeight="1">
      <c r="A4071" s="1" t="s">
        <v>5744</v>
      </c>
      <c r="B4071" s="1" t="str">
        <f ca="1">IFERROR(__xludf.DUMMYFUNCTION("GOOGLETRANSLATE(A4071, ""en"", ""fr"")"),"Fichier n ° 2")</f>
        <v>Fichier n ° 2</v>
      </c>
      <c r="C4071" s="1" t="s">
        <v>185</v>
      </c>
      <c r="AL4071" s="1" t="s">
        <v>34</v>
      </c>
      <c r="DN4071" s="1" t="s">
        <v>114</v>
      </c>
      <c r="GD4071" s="1" t="s">
        <v>189</v>
      </c>
      <c r="GE4071" s="1" t="s">
        <v>190</v>
      </c>
    </row>
    <row r="4072" spans="1:187" ht="11.25" customHeight="1">
      <c r="A4072" s="1" t="s">
        <v>5745</v>
      </c>
      <c r="B4072" s="1" t="str">
        <f ca="1">IFERROR(__xludf.DUMMYFUNCTION("GOOGLETRANSLATE(A4072, ""en"", ""fr"")"),"FILIAL")</f>
        <v>FILIAL</v>
      </c>
      <c r="C4072" s="1" t="s">
        <v>192</v>
      </c>
      <c r="D4072" s="1" t="s">
        <v>16612</v>
      </c>
      <c r="G4072" s="1" t="s">
        <v>3</v>
      </c>
      <c r="Z4072" s="1" t="s">
        <v>22</v>
      </c>
      <c r="AN4072" s="1" t="s">
        <v>36</v>
      </c>
      <c r="DQ4072" s="1" t="s">
        <v>117</v>
      </c>
      <c r="GD4072" s="1" t="s">
        <v>202</v>
      </c>
      <c r="GE4072" s="1" t="s">
        <v>190</v>
      </c>
    </row>
    <row r="4073" spans="1:187" ht="11.25" customHeight="1">
      <c r="A4073" s="1" t="s">
        <v>5746</v>
      </c>
      <c r="B4073" s="1" t="str">
        <f ca="1">IFERROR(__xludf.DUMMYFUNCTION("GOOGLETRANSLATE(A4073, ""en"", ""fr"")"),"Remplissez # 1")</f>
        <v>Remplissez # 1</v>
      </c>
      <c r="C4073" s="1" t="s">
        <v>185</v>
      </c>
      <c r="J4073" s="1" t="s">
        <v>6</v>
      </c>
      <c r="AL4073" s="1" t="s">
        <v>34</v>
      </c>
      <c r="DO4073" s="1" t="s">
        <v>115</v>
      </c>
      <c r="GD4073" s="1" t="s">
        <v>189</v>
      </c>
      <c r="GE4073" s="1" t="s">
        <v>5747</v>
      </c>
    </row>
    <row r="4074" spans="1:187" ht="11.25" customHeight="1">
      <c r="A4074" s="1" t="s">
        <v>5748</v>
      </c>
      <c r="B4074" s="1" t="str">
        <f ca="1">IFERROR(__xludf.DUMMYFUNCTION("GOOGLETRANSLATE(A4074, ""en"", ""fr"")"),"Remplir # 2")</f>
        <v>Remplir # 2</v>
      </c>
      <c r="C4074" s="1" t="s">
        <v>185</v>
      </c>
      <c r="J4074" s="1" t="s">
        <v>6</v>
      </c>
      <c r="N4074" s="1" t="s">
        <v>10</v>
      </c>
      <c r="AL4074" s="1" t="s">
        <v>34</v>
      </c>
      <c r="DN4074" s="1" t="s">
        <v>114</v>
      </c>
      <c r="FN4074" s="1" t="s">
        <v>166</v>
      </c>
      <c r="GD4074" s="1" t="s">
        <v>189</v>
      </c>
      <c r="GE4074" s="1" t="s">
        <v>5749</v>
      </c>
    </row>
    <row r="4075" spans="1:187" ht="11.25" customHeight="1">
      <c r="A4075" s="1" t="s">
        <v>5750</v>
      </c>
      <c r="B4075" s="1" t="str">
        <f ca="1">IFERROR(__xludf.DUMMYFUNCTION("GOOGLETRANSLATE(A4075, ""en"", ""fr"")"),"Remplir # 3")</f>
        <v>Remplir # 3</v>
      </c>
      <c r="C4075" s="1" t="s">
        <v>185</v>
      </c>
      <c r="N4075" s="1" t="s">
        <v>10</v>
      </c>
      <c r="BS4075" s="1" t="s">
        <v>67</v>
      </c>
      <c r="DN4075" s="1" t="s">
        <v>114</v>
      </c>
      <c r="GD4075" s="1" t="s">
        <v>189</v>
      </c>
      <c r="GE4075" s="1" t="s">
        <v>5751</v>
      </c>
    </row>
    <row r="4076" spans="1:187" ht="11.25" customHeight="1">
      <c r="A4076" s="1" t="s">
        <v>5752</v>
      </c>
      <c r="B4076" s="1" t="str">
        <f ca="1">IFERROR(__xludf.DUMMYFUNCTION("GOOGLETRANSLATE(A4076, ""en"", ""fr"")"),"Remplir # 4")</f>
        <v>Remplir # 4</v>
      </c>
      <c r="C4076" s="1" t="s">
        <v>185</v>
      </c>
      <c r="D4076" s="1" t="s">
        <v>16612</v>
      </c>
      <c r="F4076" s="1" t="s">
        <v>2</v>
      </c>
      <c r="BO4076" s="1" t="s">
        <v>63</v>
      </c>
      <c r="FR4076" s="1" t="s">
        <v>170</v>
      </c>
      <c r="GD4076" s="1" t="s">
        <v>193</v>
      </c>
      <c r="GE4076" s="1" t="s">
        <v>5753</v>
      </c>
    </row>
    <row r="4077" spans="1:187" ht="11.25" customHeight="1">
      <c r="A4077" s="1" t="s">
        <v>5754</v>
      </c>
      <c r="B4077" s="1" t="str">
        <f ca="1">IFERROR(__xludf.DUMMYFUNCTION("GOOGLETRANSLATE(A4077, ""en"", ""fr"")"),"Remplir # 5")</f>
        <v>Remplir # 5</v>
      </c>
      <c r="C4077" s="1" t="s">
        <v>185</v>
      </c>
      <c r="BC4077" s="1" t="s">
        <v>51</v>
      </c>
      <c r="BD4077" s="1" t="s">
        <v>52</v>
      </c>
      <c r="GD4077" s="1" t="s">
        <v>193</v>
      </c>
      <c r="GE4077" s="1" t="s">
        <v>5755</v>
      </c>
    </row>
    <row r="4078" spans="1:187" ht="11.25" customHeight="1">
      <c r="A4078" s="1" t="s">
        <v>5756</v>
      </c>
      <c r="B4078" s="1" t="str">
        <f ca="1">IFERROR(__xludf.DUMMYFUNCTION("GOOGLETRANSLATE(A4078, ""en"", ""fr"")"),"Remplir # 6")</f>
        <v>Remplir # 6</v>
      </c>
      <c r="C4078" s="1" t="s">
        <v>185</v>
      </c>
      <c r="AA4078" s="1" t="s">
        <v>23</v>
      </c>
      <c r="AV4078" s="1" t="s">
        <v>44</v>
      </c>
      <c r="AW4078" s="1" t="s">
        <v>45</v>
      </c>
      <c r="GD4078" s="1" t="s">
        <v>193</v>
      </c>
      <c r="GE4078" s="1" t="s">
        <v>5757</v>
      </c>
    </row>
    <row r="4079" spans="1:187" ht="11.25" customHeight="1">
      <c r="A4079" s="1" t="s">
        <v>5758</v>
      </c>
      <c r="B4079" s="1" t="str">
        <f ca="1">IFERROR(__xludf.DUMMYFUNCTION("GOOGLETRANSLATE(A4079, ""en"", ""fr"")"),"Pouliche")</f>
        <v>Pouliche</v>
      </c>
      <c r="C4079" s="1" t="s">
        <v>185</v>
      </c>
      <c r="AU4079" s="1" t="s">
        <v>43</v>
      </c>
      <c r="GD4079" s="1" t="s">
        <v>193</v>
      </c>
      <c r="GE4079" s="1" t="s">
        <v>190</v>
      </c>
    </row>
    <row r="4080" spans="1:187" ht="11.25" customHeight="1">
      <c r="A4080" s="1" t="s">
        <v>5759</v>
      </c>
      <c r="B4080" s="1" t="str">
        <f ca="1">IFERROR(__xludf.DUMMYFUNCTION("GOOGLETRANSLATE(A4080, ""en"", ""fr"")"),"Film n ° 1")</f>
        <v>Film n ° 1</v>
      </c>
      <c r="C4080" s="1" t="s">
        <v>185</v>
      </c>
      <c r="BC4080" s="1" t="s">
        <v>51</v>
      </c>
      <c r="BH4080" s="1" t="s">
        <v>56</v>
      </c>
      <c r="BL4080" s="1" t="s">
        <v>60</v>
      </c>
      <c r="GD4080" s="1" t="s">
        <v>193</v>
      </c>
      <c r="GE4080" s="1" t="s">
        <v>5760</v>
      </c>
    </row>
    <row r="4081" spans="1:187" ht="11.25" customHeight="1">
      <c r="A4081" s="1" t="s">
        <v>5761</v>
      </c>
      <c r="B4081" s="1" t="str">
        <f ca="1">IFERROR(__xludf.DUMMYFUNCTION("GOOGLETRANSLATE(A4081, ""en"", ""fr"")"),"Film n ° 2")</f>
        <v>Film n ° 2</v>
      </c>
      <c r="C4081" s="1" t="s">
        <v>185</v>
      </c>
      <c r="N4081" s="1" t="s">
        <v>10</v>
      </c>
      <c r="AL4081" s="1" t="s">
        <v>34</v>
      </c>
      <c r="DN4081" s="1" t="s">
        <v>114</v>
      </c>
      <c r="GD4081" s="1" t="s">
        <v>189</v>
      </c>
      <c r="GE4081" s="1" t="s">
        <v>5762</v>
      </c>
    </row>
    <row r="4082" spans="1:187" ht="11.25" customHeight="1">
      <c r="A4082" s="1" t="s">
        <v>5763</v>
      </c>
      <c r="B4082" s="1" t="str">
        <f ca="1">IFERROR(__xludf.DUMMYFUNCTION("GOOGLETRANSLATE(A4082, ""en"", ""fr"")"),"SALETÉ")</f>
        <v>SALETÉ</v>
      </c>
      <c r="C4082" s="1" t="s">
        <v>192</v>
      </c>
      <c r="E4082" s="1" t="s">
        <v>16613</v>
      </c>
      <c r="V4082" s="1" t="s">
        <v>18</v>
      </c>
      <c r="GD4082" s="1" t="s">
        <v>193</v>
      </c>
      <c r="GE4082" s="1" t="s">
        <v>190</v>
      </c>
    </row>
    <row r="4083" spans="1:187" ht="11.25" customHeight="1">
      <c r="A4083" s="1" t="s">
        <v>5764</v>
      </c>
      <c r="B4083" s="1" t="str">
        <f ca="1">IFERROR(__xludf.DUMMYFUNCTION("GOOGLETRANSLATE(A4083, ""en"", ""fr"")"),"SALE")</f>
        <v>SALE</v>
      </c>
      <c r="C4083" s="1" t="s">
        <v>192</v>
      </c>
      <c r="E4083" s="1" t="s">
        <v>16613</v>
      </c>
      <c r="V4083" s="1" t="s">
        <v>18</v>
      </c>
      <c r="DR4083" s="1" t="s">
        <v>118</v>
      </c>
      <c r="GD4083" s="1" t="s">
        <v>202</v>
      </c>
      <c r="GE4083" s="1" t="s">
        <v>190</v>
      </c>
    </row>
    <row r="4084" spans="1:187" ht="11.25" customHeight="1">
      <c r="A4084" s="1" t="s">
        <v>5765</v>
      </c>
      <c r="B4084" s="1" t="str">
        <f ca="1">IFERROR(__xludf.DUMMYFUNCTION("GOOGLETRANSLATE(A4084, ""en"", ""fr"")"),"Finale n ° 1")</f>
        <v>Finale n ° 1</v>
      </c>
      <c r="C4084" s="1" t="s">
        <v>185</v>
      </c>
      <c r="J4084" s="1" t="s">
        <v>6</v>
      </c>
      <c r="W4084" s="1" t="s">
        <v>19</v>
      </c>
      <c r="CT4084" s="1" t="s">
        <v>94</v>
      </c>
      <c r="CU4084" s="1" t="s">
        <v>95</v>
      </c>
      <c r="CY4084" s="1" t="s">
        <v>99</v>
      </c>
      <c r="DB4084" s="1" t="s">
        <v>102</v>
      </c>
      <c r="GB4084" s="1" t="s">
        <v>180</v>
      </c>
      <c r="GD4084" s="1" t="s">
        <v>5766</v>
      </c>
      <c r="GE4084" s="1" t="s">
        <v>5767</v>
      </c>
    </row>
    <row r="4085" spans="1:187" ht="11.25" customHeight="1">
      <c r="A4085" s="1" t="s">
        <v>5768</v>
      </c>
      <c r="B4085" s="1" t="str">
        <f ca="1">IFERROR(__xludf.DUMMYFUNCTION("GOOGLETRANSLATE(A4085, ""en"", ""fr"")"),"Finale n ° 2")</f>
        <v>Finale n ° 2</v>
      </c>
      <c r="C4085" s="1" t="s">
        <v>185</v>
      </c>
      <c r="J4085" s="1" t="s">
        <v>6</v>
      </c>
      <c r="W4085" s="1" t="s">
        <v>19</v>
      </c>
      <c r="CY4085" s="1" t="s">
        <v>99</v>
      </c>
      <c r="GB4085" s="1" t="s">
        <v>180</v>
      </c>
      <c r="GD4085" s="1" t="s">
        <v>236</v>
      </c>
      <c r="GE4085" s="1" t="s">
        <v>5769</v>
      </c>
    </row>
    <row r="4086" spans="1:187" ht="11.25" customHeight="1">
      <c r="A4086" s="1" t="s">
        <v>5770</v>
      </c>
      <c r="B4086" s="1" t="str">
        <f ca="1">IFERROR(__xludf.DUMMYFUNCTION("GOOGLETRANSLATE(A4086, ""en"", ""fr"")"),"Finance # 1")</f>
        <v>Finance # 1</v>
      </c>
      <c r="C4086" s="1" t="s">
        <v>185</v>
      </c>
      <c r="J4086" s="1" t="s">
        <v>6</v>
      </c>
      <c r="Z4086" s="1" t="s">
        <v>22</v>
      </c>
      <c r="AA4086" s="1" t="s">
        <v>23</v>
      </c>
      <c r="AC4086" s="1" t="s">
        <v>25</v>
      </c>
      <c r="EV4086" s="1" t="s">
        <v>148</v>
      </c>
      <c r="EW4086" s="1" t="s">
        <v>149</v>
      </c>
      <c r="GD4086" s="1" t="s">
        <v>193</v>
      </c>
      <c r="GE4086" s="1" t="s">
        <v>190</v>
      </c>
    </row>
    <row r="4087" spans="1:187" ht="11.25" customHeight="1">
      <c r="A4087" s="1" t="s">
        <v>5771</v>
      </c>
      <c r="B4087" s="1" t="str">
        <f ca="1">IFERROR(__xludf.DUMMYFUNCTION("GOOGLETRANSLATE(A4087, ""en"", ""fr"")"),"Finance n ° 2")</f>
        <v>Finance n ° 2</v>
      </c>
      <c r="C4087" s="1" t="s">
        <v>185</v>
      </c>
      <c r="J4087" s="1" t="s">
        <v>6</v>
      </c>
      <c r="AA4087" s="1" t="s">
        <v>23</v>
      </c>
      <c r="AB4087" s="1" t="s">
        <v>24</v>
      </c>
      <c r="DN4087" s="1" t="s">
        <v>114</v>
      </c>
      <c r="EU4087" s="1" t="s">
        <v>147</v>
      </c>
      <c r="EW4087" s="1" t="s">
        <v>149</v>
      </c>
      <c r="GD4087" s="1" t="s">
        <v>189</v>
      </c>
      <c r="GE4087" s="1" t="s">
        <v>190</v>
      </c>
    </row>
    <row r="4088" spans="1:187" ht="11.25" customHeight="1">
      <c r="A4088" s="1" t="s">
        <v>5772</v>
      </c>
      <c r="B4088" s="1" t="str">
        <f ca="1">IFERROR(__xludf.DUMMYFUNCTION("GOOGLETRANSLATE(A4088, ""en"", ""fr"")"),"FINANCIER")</f>
        <v>FINANCIER</v>
      </c>
      <c r="C4088" s="1" t="s">
        <v>185</v>
      </c>
      <c r="Z4088" s="1" t="s">
        <v>22</v>
      </c>
      <c r="AA4088" s="1" t="s">
        <v>23</v>
      </c>
      <c r="AC4088" s="1" t="s">
        <v>25</v>
      </c>
      <c r="EV4088" s="1" t="s">
        <v>148</v>
      </c>
      <c r="EW4088" s="1" t="s">
        <v>149</v>
      </c>
      <c r="GD4088" s="1" t="s">
        <v>202</v>
      </c>
      <c r="GE4088" s="1" t="s">
        <v>5773</v>
      </c>
    </row>
    <row r="4089" spans="1:187" ht="11.25" customHeight="1">
      <c r="A4089" s="1" t="s">
        <v>5774</v>
      </c>
      <c r="B4089" s="1" t="str">
        <f ca="1">IFERROR(__xludf.DUMMYFUNCTION("GOOGLETRANSLATE(A4089, ""en"", ""fr"")"),"Trouver n ° 1")</f>
        <v>Trouver n ° 1</v>
      </c>
      <c r="C4089" s="1" t="s">
        <v>185</v>
      </c>
      <c r="N4089" s="1" t="s">
        <v>10</v>
      </c>
      <c r="CO4089" s="1" t="s">
        <v>89</v>
      </c>
      <c r="DN4089" s="1" t="s">
        <v>114</v>
      </c>
      <c r="FF4089" s="1" t="s">
        <v>158</v>
      </c>
      <c r="FI4089" s="1" t="s">
        <v>161</v>
      </c>
      <c r="GD4089" s="1" t="s">
        <v>189</v>
      </c>
      <c r="GE4089" s="1" t="s">
        <v>5775</v>
      </c>
    </row>
    <row r="4090" spans="1:187" ht="11.25" customHeight="1">
      <c r="A4090" s="1" t="s">
        <v>5776</v>
      </c>
      <c r="B4090" s="1" t="str">
        <f ca="1">IFERROR(__xludf.DUMMYFUNCTION("GOOGLETRANSLATE(A4090, ""en"", ""fr"")"),"Trouver # 2")</f>
        <v>Trouver # 2</v>
      </c>
      <c r="C4090" s="1" t="s">
        <v>185</v>
      </c>
      <c r="O4090" s="1" t="s">
        <v>11</v>
      </c>
      <c r="BO4090" s="1" t="s">
        <v>63</v>
      </c>
      <c r="FH4090" s="1" t="s">
        <v>160</v>
      </c>
      <c r="FI4090" s="1" t="s">
        <v>161</v>
      </c>
      <c r="GD4090" s="1" t="s">
        <v>193</v>
      </c>
      <c r="GE4090" s="1" t="s">
        <v>5777</v>
      </c>
    </row>
    <row r="4091" spans="1:187" ht="11.25" customHeight="1">
      <c r="A4091" s="1" t="s">
        <v>5778</v>
      </c>
      <c r="B4091" s="1" t="str">
        <f ca="1">IFERROR(__xludf.DUMMYFUNCTION("GOOGLETRANSLATE(A4091, ""en"", ""fr"")"),"Fine # 1")</f>
        <v>Fine # 1</v>
      </c>
      <c r="C4091" s="1" t="s">
        <v>185</v>
      </c>
      <c r="D4091" s="1" t="s">
        <v>16612</v>
      </c>
      <c r="F4091" s="1" t="s">
        <v>2</v>
      </c>
      <c r="CN4091" s="1" t="s">
        <v>88</v>
      </c>
      <c r="CR4091" s="1" t="s">
        <v>92</v>
      </c>
      <c r="GD4091" s="1" t="s">
        <v>202</v>
      </c>
      <c r="GE4091" s="1" t="s">
        <v>5779</v>
      </c>
    </row>
    <row r="4092" spans="1:187" ht="11.25" customHeight="1">
      <c r="A4092" s="1" t="s">
        <v>5780</v>
      </c>
      <c r="B4092" s="1" t="str">
        <f ca="1">IFERROR(__xludf.DUMMYFUNCTION("GOOGLETRANSLATE(A4092, ""en"", ""fr"")"),"Fine # 2")</f>
        <v>Fine # 2</v>
      </c>
      <c r="C4092" s="1" t="s">
        <v>185</v>
      </c>
      <c r="D4092" s="1" t="s">
        <v>16612</v>
      </c>
      <c r="F4092" s="1" t="s">
        <v>2</v>
      </c>
      <c r="CR4092" s="1" t="s">
        <v>92</v>
      </c>
      <c r="GD4092" s="1" t="s">
        <v>236</v>
      </c>
      <c r="GE4092" s="1" t="s">
        <v>5781</v>
      </c>
    </row>
    <row r="4093" spans="1:187" ht="11.25" customHeight="1">
      <c r="A4093" s="1" t="s">
        <v>5782</v>
      </c>
      <c r="B4093" s="1" t="str">
        <f ca="1">IFERROR(__xludf.DUMMYFUNCTION("GOOGLETRANSLATE(A4093, ""en"", ""fr"")"),"Fine # 3")</f>
        <v>Fine # 3</v>
      </c>
      <c r="C4093" s="1" t="s">
        <v>185</v>
      </c>
      <c r="D4093" s="1" t="s">
        <v>16612</v>
      </c>
      <c r="F4093" s="1" t="s">
        <v>2</v>
      </c>
      <c r="U4093" s="1" t="s">
        <v>17</v>
      </c>
      <c r="FY4093" s="1" t="s">
        <v>177</v>
      </c>
      <c r="GD4093" s="1" t="s">
        <v>202</v>
      </c>
      <c r="GE4093" s="1" t="s">
        <v>5783</v>
      </c>
    </row>
    <row r="4094" spans="1:187" ht="11.25" customHeight="1">
      <c r="A4094" s="1" t="s">
        <v>5784</v>
      </c>
      <c r="B4094" s="1" t="str">
        <f ca="1">IFERROR(__xludf.DUMMYFUNCTION("GOOGLETRANSLATE(A4094, ""en"", ""fr"")"),"Fine # 4")</f>
        <v>Fine # 4</v>
      </c>
      <c r="C4094" s="1" t="s">
        <v>185</v>
      </c>
      <c r="D4094" s="1" t="s">
        <v>16612</v>
      </c>
      <c r="F4094" s="1" t="s">
        <v>2</v>
      </c>
      <c r="U4094" s="1" t="s">
        <v>17</v>
      </c>
      <c r="CN4094" s="1" t="s">
        <v>88</v>
      </c>
      <c r="GD4094" s="1" t="s">
        <v>202</v>
      </c>
      <c r="GE4094" s="1" t="s">
        <v>5785</v>
      </c>
    </row>
    <row r="4095" spans="1:187" ht="11.25" customHeight="1">
      <c r="A4095" s="1" t="s">
        <v>5786</v>
      </c>
      <c r="B4095" s="1" t="str">
        <f ca="1">IFERROR(__xludf.DUMMYFUNCTION("GOOGLETRANSLATE(A4095, ""en"", ""fr"")"),"Fine # 5")</f>
        <v>Fine # 5</v>
      </c>
      <c r="C4095" s="1" t="s">
        <v>185</v>
      </c>
      <c r="D4095" s="1" t="s">
        <v>16612</v>
      </c>
      <c r="F4095" s="1" t="s">
        <v>2</v>
      </c>
      <c r="U4095" s="1" t="s">
        <v>17</v>
      </c>
      <c r="CN4095" s="1" t="s">
        <v>88</v>
      </c>
      <c r="GD4095" s="1" t="s">
        <v>202</v>
      </c>
      <c r="GE4095" s="1" t="s">
        <v>5787</v>
      </c>
    </row>
    <row r="4096" spans="1:187" ht="11.25" customHeight="1">
      <c r="A4096" s="1" t="s">
        <v>5788</v>
      </c>
      <c r="B4096" s="1" t="str">
        <f ca="1">IFERROR(__xludf.DUMMYFUNCTION("GOOGLETRANSLATE(A4096, ""en"", ""fr"")"),"Fine # 6")</f>
        <v>Fine # 6</v>
      </c>
      <c r="C4096" s="1" t="s">
        <v>185</v>
      </c>
      <c r="E4096" s="1" t="s">
        <v>16613</v>
      </c>
      <c r="H4096" s="1" t="s">
        <v>4</v>
      </c>
      <c r="AA4096" s="1" t="s">
        <v>23</v>
      </c>
      <c r="AC4096" s="1" t="s">
        <v>25</v>
      </c>
      <c r="AE4096" s="1" t="s">
        <v>27</v>
      </c>
      <c r="BK4096" s="1" t="s">
        <v>59</v>
      </c>
      <c r="BL4096" s="1" t="s">
        <v>60</v>
      </c>
      <c r="EE4096" s="1" t="s">
        <v>131</v>
      </c>
      <c r="EJ4096" s="1" t="s">
        <v>136</v>
      </c>
      <c r="GC4096" s="1" t="s">
        <v>181</v>
      </c>
      <c r="GD4096" s="1" t="s">
        <v>193</v>
      </c>
      <c r="GE4096" s="1" t="s">
        <v>5789</v>
      </c>
    </row>
    <row r="4097" spans="1:187" ht="11.25" customHeight="1">
      <c r="A4097" s="1" t="s">
        <v>5790</v>
      </c>
      <c r="B4097" s="1" t="str">
        <f ca="1">IFERROR(__xludf.DUMMYFUNCTION("GOOGLETRANSLATE(A4097, ""en"", ""fr"")"),"Fine # 7")</f>
        <v>Fine # 7</v>
      </c>
      <c r="C4097" s="1" t="s">
        <v>185</v>
      </c>
      <c r="E4097" s="1" t="s">
        <v>16613</v>
      </c>
      <c r="H4097" s="1" t="s">
        <v>4</v>
      </c>
      <c r="I4097" s="1" t="s">
        <v>5</v>
      </c>
      <c r="J4097" s="1" t="s">
        <v>6</v>
      </c>
      <c r="N4097" s="1" t="s">
        <v>10</v>
      </c>
      <c r="AA4097" s="1" t="s">
        <v>23</v>
      </c>
      <c r="AB4097" s="1" t="s">
        <v>24</v>
      </c>
      <c r="AE4097" s="1" t="s">
        <v>27</v>
      </c>
      <c r="DN4097" s="1" t="s">
        <v>114</v>
      </c>
      <c r="EE4097" s="1" t="s">
        <v>131</v>
      </c>
      <c r="EJ4097" s="1" t="s">
        <v>136</v>
      </c>
      <c r="GD4097" s="1" t="s">
        <v>189</v>
      </c>
      <c r="GE4097" s="1" t="s">
        <v>5791</v>
      </c>
    </row>
    <row r="4098" spans="1:187" ht="11.25" customHeight="1">
      <c r="A4098" s="1" t="s">
        <v>5792</v>
      </c>
      <c r="B4098" s="1" t="str">
        <f ca="1">IFERROR(__xludf.DUMMYFUNCTION("GOOGLETRANSLATE(A4098, ""en"", ""fr"")"),"Doigt # 1")</f>
        <v>Doigt # 1</v>
      </c>
      <c r="C4098" s="1" t="s">
        <v>185</v>
      </c>
      <c r="BJ4098" s="1" t="s">
        <v>58</v>
      </c>
      <c r="GD4098" s="1" t="s">
        <v>193</v>
      </c>
      <c r="GE4098" s="1" t="s">
        <v>190</v>
      </c>
    </row>
    <row r="4099" spans="1:187" ht="11.25" customHeight="1">
      <c r="A4099" s="1" t="s">
        <v>5793</v>
      </c>
      <c r="B4099" s="1" t="str">
        <f ca="1">IFERROR(__xludf.DUMMYFUNCTION("GOOGLETRANSLATE(A4099, ""en"", ""fr"")"),"Doigt # 2")</f>
        <v>Doigt # 2</v>
      </c>
      <c r="C4099" s="1" t="s">
        <v>185</v>
      </c>
      <c r="I4099" s="1" t="s">
        <v>5</v>
      </c>
      <c r="BK4099" s="1" t="s">
        <v>59</v>
      </c>
      <c r="DN4099" s="1" t="s">
        <v>114</v>
      </c>
      <c r="FP4099" s="1" t="s">
        <v>168</v>
      </c>
      <c r="GD4099" s="1" t="s">
        <v>189</v>
      </c>
      <c r="GE4099" s="1" t="s">
        <v>190</v>
      </c>
    </row>
    <row r="4100" spans="1:187" ht="11.25" customHeight="1">
      <c r="A4100" s="1" t="s">
        <v>5794</v>
      </c>
      <c r="B4100" s="1" t="str">
        <f ca="1">IFERROR(__xludf.DUMMYFUNCTION("GOOGLETRANSLATE(A4100, ""en"", ""fr"")"),"Terminer n ° 1")</f>
        <v>Terminer n ° 1</v>
      </c>
      <c r="C4100" s="1" t="s">
        <v>185</v>
      </c>
      <c r="N4100" s="1" t="s">
        <v>10</v>
      </c>
      <c r="BZ4100" s="1" t="s">
        <v>74</v>
      </c>
      <c r="DO4100" s="1" t="s">
        <v>115</v>
      </c>
      <c r="GD4100" s="1" t="s">
        <v>400</v>
      </c>
      <c r="GE4100" s="1" t="s">
        <v>5795</v>
      </c>
    </row>
    <row r="4101" spans="1:187" ht="11.25" customHeight="1">
      <c r="A4101" s="1" t="s">
        <v>5796</v>
      </c>
      <c r="B4101" s="1" t="str">
        <f ca="1">IFERROR(__xludf.DUMMYFUNCTION("GOOGLETRANSLATE(A4101, ""en"", ""fr"")"),"Finition n ° 2")</f>
        <v>Finition n ° 2</v>
      </c>
      <c r="C4101" s="1" t="s">
        <v>185</v>
      </c>
      <c r="BZ4101" s="1" t="s">
        <v>74</v>
      </c>
      <c r="GD4101" s="1" t="s">
        <v>193</v>
      </c>
      <c r="GE4101" s="1" t="s">
        <v>5797</v>
      </c>
    </row>
    <row r="4102" spans="1:187" ht="11.25" customHeight="1">
      <c r="A4102" s="1" t="s">
        <v>5798</v>
      </c>
      <c r="B4102" s="1" t="str">
        <f ca="1">IFERROR(__xludf.DUMMYFUNCTION("GOOGLETRANSLATE(A4102, ""en"", ""fr"")"),"Terminer # 3")</f>
        <v>Terminer # 3</v>
      </c>
      <c r="C4102" s="1" t="s">
        <v>185</v>
      </c>
      <c r="BZ4102" s="1" t="s">
        <v>74</v>
      </c>
      <c r="GD4102" s="1" t="s">
        <v>202</v>
      </c>
      <c r="GE4102" s="1" t="s">
        <v>5799</v>
      </c>
    </row>
    <row r="4103" spans="1:187" ht="11.25" customHeight="1">
      <c r="A4103" s="1" t="s">
        <v>5800</v>
      </c>
      <c r="B4103" s="1" t="str">
        <f ca="1">IFERROR(__xludf.DUMMYFUNCTION("GOOGLETRANSLATE(A4103, ""en"", ""fr"")"),"Terminer # 4")</f>
        <v>Terminer # 4</v>
      </c>
      <c r="C4103" s="1" t="s">
        <v>185</v>
      </c>
      <c r="BZ4103" s="1" t="s">
        <v>74</v>
      </c>
      <c r="GD4103" s="1" t="s">
        <v>202</v>
      </c>
      <c r="GE4103" s="1" t="s">
        <v>5801</v>
      </c>
    </row>
    <row r="4104" spans="1:187" ht="11.25" customHeight="1">
      <c r="A4104" s="1" t="s">
        <v>5802</v>
      </c>
      <c r="B4104" s="1" t="str">
        <f ca="1">IFERROR(__xludf.DUMMYFUNCTION("GOOGLETRANSLATE(A4104, ""en"", ""fr"")"),"FEU 1")</f>
        <v>FEU 1</v>
      </c>
      <c r="C4104" s="1" t="s">
        <v>185</v>
      </c>
      <c r="E4104" s="1" t="s">
        <v>16613</v>
      </c>
      <c r="H4104" s="1" t="s">
        <v>4</v>
      </c>
      <c r="I4104" s="1" t="s">
        <v>5</v>
      </c>
      <c r="J4104" s="1" t="s">
        <v>6</v>
      </c>
      <c r="N4104" s="1" t="s">
        <v>10</v>
      </c>
      <c r="AL4104" s="1" t="s">
        <v>34</v>
      </c>
      <c r="DO4104" s="1" t="s">
        <v>115</v>
      </c>
      <c r="DW4104" s="1" t="s">
        <v>123</v>
      </c>
      <c r="ED4104" s="1" t="s">
        <v>130</v>
      </c>
      <c r="GD4104" s="1" t="s">
        <v>189</v>
      </c>
      <c r="GE4104" s="1" t="s">
        <v>5803</v>
      </c>
    </row>
    <row r="4105" spans="1:187" ht="11.25" customHeight="1">
      <c r="A4105" s="1" t="s">
        <v>5804</v>
      </c>
      <c r="B4105" s="1" t="str">
        <f ca="1">IFERROR(__xludf.DUMMYFUNCTION("GOOGLETRANSLATE(A4105, ""en"", ""fr"")"),"Feu # 2")</f>
        <v>Feu # 2</v>
      </c>
      <c r="C4105" s="1" t="s">
        <v>185</v>
      </c>
      <c r="E4105" s="1" t="s">
        <v>16613</v>
      </c>
      <c r="H4105" s="1" t="s">
        <v>4</v>
      </c>
      <c r="I4105" s="1" t="s">
        <v>5</v>
      </c>
      <c r="J4105" s="1" t="s">
        <v>6</v>
      </c>
      <c r="N4105" s="1" t="s">
        <v>10</v>
      </c>
      <c r="AA4105" s="1" t="s">
        <v>23</v>
      </c>
      <c r="AB4105" s="1" t="s">
        <v>24</v>
      </c>
      <c r="DO4105" s="1" t="s">
        <v>115</v>
      </c>
      <c r="FO4105" s="1" t="s">
        <v>167</v>
      </c>
      <c r="GD4105" s="1" t="s">
        <v>189</v>
      </c>
      <c r="GE4105" s="1" t="s">
        <v>5805</v>
      </c>
    </row>
    <row r="4106" spans="1:187" ht="11.25" customHeight="1">
      <c r="A4106" s="1" t="s">
        <v>5806</v>
      </c>
      <c r="B4106" s="1" t="str">
        <f ca="1">IFERROR(__xludf.DUMMYFUNCTION("GOOGLETRANSLATE(A4106, ""en"", ""fr"")"),"Feu # 3")</f>
        <v>Feu # 3</v>
      </c>
      <c r="C4106" s="1" t="s">
        <v>185</v>
      </c>
      <c r="E4106" s="1" t="s">
        <v>16613</v>
      </c>
      <c r="H4106" s="1" t="s">
        <v>4</v>
      </c>
      <c r="I4106" s="1" t="s">
        <v>5</v>
      </c>
      <c r="N4106" s="1" t="s">
        <v>10</v>
      </c>
      <c r="CC4106" s="1" t="s">
        <v>77</v>
      </c>
      <c r="DW4106" s="1" t="s">
        <v>123</v>
      </c>
      <c r="ED4106" s="1" t="s">
        <v>130</v>
      </c>
      <c r="GD4106" s="1" t="s">
        <v>193</v>
      </c>
      <c r="GE4106" s="1" t="s">
        <v>5807</v>
      </c>
    </row>
    <row r="4107" spans="1:187" ht="11.25" customHeight="1">
      <c r="A4107" s="1" t="s">
        <v>5808</v>
      </c>
      <c r="B4107" s="1" t="str">
        <f ca="1">IFERROR(__xludf.DUMMYFUNCTION("GOOGLETRANSLATE(A4107, ""en"", ""fr"")"),"Feu # 4")</f>
        <v>Feu # 4</v>
      </c>
      <c r="C4107" s="1" t="s">
        <v>185</v>
      </c>
      <c r="BU4107" s="1" t="s">
        <v>69</v>
      </c>
      <c r="GD4107" s="1" t="s">
        <v>193</v>
      </c>
      <c r="GE4107" s="1" t="s">
        <v>5809</v>
      </c>
    </row>
    <row r="4108" spans="1:187" ht="11.25" customHeight="1">
      <c r="A4108" s="1" t="s">
        <v>5810</v>
      </c>
      <c r="B4108" s="1" t="str">
        <f ca="1">IFERROR(__xludf.DUMMYFUNCTION("GOOGLETRANSLATE(A4108, ""en"", ""fr"")"),"Feu # 5")</f>
        <v>Feu # 5</v>
      </c>
      <c r="C4108" s="1" t="s">
        <v>185</v>
      </c>
      <c r="AL4108" s="1" t="s">
        <v>34</v>
      </c>
      <c r="DN4108" s="1" t="s">
        <v>114</v>
      </c>
      <c r="GD4108" s="1" t="s">
        <v>189</v>
      </c>
      <c r="GE4108" s="1" t="s">
        <v>5811</v>
      </c>
    </row>
    <row r="4109" spans="1:187" ht="11.25" customHeight="1">
      <c r="A4109" s="1" t="s">
        <v>5812</v>
      </c>
      <c r="B4109" s="1" t="str">
        <f ca="1">IFERROR(__xludf.DUMMYFUNCTION("GOOGLETRANSLATE(A4109, ""en"", ""fr"")"),"Feu # 6")</f>
        <v>Feu # 6</v>
      </c>
      <c r="C4109" s="1" t="s">
        <v>185</v>
      </c>
      <c r="BU4109" s="1" t="s">
        <v>69</v>
      </c>
      <c r="GD4109" s="1" t="s">
        <v>202</v>
      </c>
      <c r="GE4109" s="1" t="s">
        <v>5813</v>
      </c>
    </row>
    <row r="4110" spans="1:187" ht="11.25" customHeight="1">
      <c r="A4110" s="1" t="s">
        <v>5814</v>
      </c>
      <c r="B4110" s="1" t="str">
        <f ca="1">IFERROR(__xludf.DUMMYFUNCTION("GOOGLETRANSLATE(A4110, ""en"", ""fr"")"),"Feu # 7")</f>
        <v>Feu # 7</v>
      </c>
      <c r="C4110" s="1" t="s">
        <v>185</v>
      </c>
      <c r="GD4110" s="1" t="s">
        <v>225</v>
      </c>
      <c r="GE4110" s="1" t="s">
        <v>5815</v>
      </c>
    </row>
    <row r="4111" spans="1:187" ht="11.25" customHeight="1">
      <c r="A4111" s="1" t="s">
        <v>5816</v>
      </c>
      <c r="B4111" s="1" t="str">
        <f ca="1">IFERROR(__xludf.DUMMYFUNCTION("GOOGLETRANSLATE(A4111, ""en"", ""fr"")"),"Entreprise n ° 1")</f>
        <v>Entreprise n ° 1</v>
      </c>
      <c r="C4111" s="1" t="s">
        <v>185</v>
      </c>
      <c r="AA4111" s="1" t="s">
        <v>23</v>
      </c>
      <c r="AC4111" s="1" t="s">
        <v>25</v>
      </c>
      <c r="AK4111" s="1" t="s">
        <v>33</v>
      </c>
      <c r="AT4111" s="1" t="s">
        <v>42</v>
      </c>
      <c r="ET4111" s="1" t="s">
        <v>146</v>
      </c>
      <c r="EW4111" s="1" t="s">
        <v>149</v>
      </c>
      <c r="GD4111" s="1" t="s">
        <v>193</v>
      </c>
      <c r="GE4111" s="1" t="s">
        <v>5817</v>
      </c>
    </row>
    <row r="4112" spans="1:187" ht="11.25" customHeight="1">
      <c r="A4112" s="1" t="s">
        <v>5818</v>
      </c>
      <c r="B4112" s="1" t="str">
        <f ca="1">IFERROR(__xludf.DUMMYFUNCTION("GOOGLETRANSLATE(A4112, ""en"", ""fr"")"),"Entreprise n ° 2")</f>
        <v>Entreprise n ° 2</v>
      </c>
      <c r="C4112" s="1" t="s">
        <v>185</v>
      </c>
      <c r="J4112" s="1" t="s">
        <v>6</v>
      </c>
      <c r="CR4112" s="1" t="s">
        <v>92</v>
      </c>
      <c r="GD4112" s="1" t="s">
        <v>202</v>
      </c>
      <c r="GE4112" s="1" t="s">
        <v>5819</v>
      </c>
    </row>
    <row r="4113" spans="1:187" ht="11.25" customHeight="1">
      <c r="A4113" s="1" t="s">
        <v>5820</v>
      </c>
      <c r="B4113" s="1" t="str">
        <f ca="1">IFERROR(__xludf.DUMMYFUNCTION("GOOGLETRANSLATE(A4113, ""en"", ""fr"")"),"Entreprise n ° 3")</f>
        <v>Entreprise n ° 3</v>
      </c>
      <c r="C4113" s="1" t="s">
        <v>185</v>
      </c>
      <c r="J4113" s="1" t="s">
        <v>6</v>
      </c>
      <c r="CR4113" s="1" t="s">
        <v>92</v>
      </c>
      <c r="GD4113" s="1" t="s">
        <v>236</v>
      </c>
      <c r="GE4113" s="1" t="s">
        <v>5821</v>
      </c>
    </row>
    <row r="4114" spans="1:187" ht="11.25" customHeight="1">
      <c r="A4114" s="1" t="s">
        <v>5822</v>
      </c>
      <c r="B4114" s="1" t="str">
        <f ca="1">IFERROR(__xludf.DUMMYFUNCTION("GOOGLETRANSLATE(A4114, ""en"", ""fr"")"),"Entreprise n ° 4")</f>
        <v>Entreprise n ° 4</v>
      </c>
      <c r="C4114" s="1" t="s">
        <v>185</v>
      </c>
      <c r="J4114" s="1" t="s">
        <v>6</v>
      </c>
      <c r="CR4114" s="1" t="s">
        <v>92</v>
      </c>
      <c r="GD4114" s="1" t="s">
        <v>202</v>
      </c>
      <c r="GE4114" s="1" t="s">
        <v>5823</v>
      </c>
    </row>
    <row r="4115" spans="1:187" ht="11.25" customHeight="1">
      <c r="A4115" s="1" t="s">
        <v>5824</v>
      </c>
      <c r="B4115" s="1" t="str">
        <f ca="1">IFERROR(__xludf.DUMMYFUNCTION("GOOGLETRANSLATE(A4115, ""en"", ""fr"")"),"Entreprise n ° 5")</f>
        <v>Entreprise n ° 5</v>
      </c>
      <c r="C4115" s="1" t="s">
        <v>185</v>
      </c>
      <c r="J4115" s="1" t="s">
        <v>6</v>
      </c>
      <c r="CR4115" s="1" t="s">
        <v>92</v>
      </c>
      <c r="GD4115" s="1" t="s">
        <v>202</v>
      </c>
      <c r="GE4115" s="1" t="s">
        <v>5825</v>
      </c>
    </row>
    <row r="4116" spans="1:187" ht="11.25" customHeight="1">
      <c r="A4116" s="1" t="s">
        <v>5826</v>
      </c>
      <c r="B4116" s="1" t="str">
        <f ca="1">IFERROR(__xludf.DUMMYFUNCTION("GOOGLETRANSLATE(A4116, ""en"", ""fr"")"),"FERMETÉ")</f>
        <v>FERMETÉ</v>
      </c>
      <c r="C4116" s="1" t="s">
        <v>185</v>
      </c>
      <c r="D4116" s="1" t="s">
        <v>16612</v>
      </c>
      <c r="F4116" s="1" t="s">
        <v>2</v>
      </c>
      <c r="J4116" s="1" t="s">
        <v>6</v>
      </c>
      <c r="CR4116" s="1" t="s">
        <v>92</v>
      </c>
      <c r="GD4116" s="1" t="s">
        <v>193</v>
      </c>
      <c r="GE4116" s="1" t="s">
        <v>190</v>
      </c>
    </row>
    <row r="4117" spans="1:187" ht="11.25" customHeight="1">
      <c r="A4117" s="1" t="s">
        <v>5827</v>
      </c>
      <c r="B4117" s="1" t="str">
        <f ca="1">IFERROR(__xludf.DUMMYFUNCTION("GOOGLETRANSLATE(A4117, ""en"", ""fr"")"),"Premier # 1")</f>
        <v>Premier # 1</v>
      </c>
      <c r="C4117" s="1" t="s">
        <v>185</v>
      </c>
      <c r="CT4117" s="1" t="s">
        <v>94</v>
      </c>
      <c r="CU4117" s="1" t="s">
        <v>95</v>
      </c>
      <c r="DB4117" s="1" t="s">
        <v>102</v>
      </c>
      <c r="DD4117" s="1" t="s">
        <v>104</v>
      </c>
      <c r="GB4117" s="1" t="s">
        <v>180</v>
      </c>
      <c r="GD4117" s="1" t="s">
        <v>5766</v>
      </c>
      <c r="GE4117" s="1" t="s">
        <v>5828</v>
      </c>
    </row>
    <row r="4118" spans="1:187" ht="11.25" customHeight="1">
      <c r="A4118" s="1" t="s">
        <v>5829</v>
      </c>
      <c r="B4118" s="1" t="str">
        <f ca="1">IFERROR(__xludf.DUMMYFUNCTION("GOOGLETRANSLATE(A4118, ""en"", ""fr"")"),"Premier # 2")</f>
        <v>Premier # 2</v>
      </c>
      <c r="C4118" s="1" t="s">
        <v>185</v>
      </c>
      <c r="DD4118" s="1" t="s">
        <v>104</v>
      </c>
      <c r="GB4118" s="1" t="s">
        <v>180</v>
      </c>
      <c r="GD4118" s="1" t="s">
        <v>236</v>
      </c>
      <c r="GE4118" s="1" t="s">
        <v>5830</v>
      </c>
    </row>
    <row r="4119" spans="1:187" ht="11.25" customHeight="1">
      <c r="A4119" s="1" t="s">
        <v>5831</v>
      </c>
      <c r="B4119" s="1" t="str">
        <f ca="1">IFERROR(__xludf.DUMMYFUNCTION("GOOGLETRANSLATE(A4119, ""en"", ""fr"")"),"Premier # 3")</f>
        <v>Premier # 3</v>
      </c>
      <c r="C4119" s="1" t="s">
        <v>185</v>
      </c>
      <c r="DD4119" s="1" t="s">
        <v>104</v>
      </c>
      <c r="FY4119" s="1" t="s">
        <v>177</v>
      </c>
      <c r="GD4119" s="1" t="s">
        <v>1957</v>
      </c>
      <c r="GE4119" s="1" t="s">
        <v>5832</v>
      </c>
    </row>
    <row r="4120" spans="1:187" ht="11.25" customHeight="1">
      <c r="A4120" s="1" t="s">
        <v>5833</v>
      </c>
      <c r="B4120" s="1" t="str">
        <f ca="1">IFERROR(__xludf.DUMMYFUNCTION("GOOGLETRANSLATE(A4120, ""en"", ""fr"")"),"Premier # 4")</f>
        <v>Premier # 4</v>
      </c>
      <c r="C4120" s="1" t="s">
        <v>185</v>
      </c>
      <c r="DD4120" s="1" t="s">
        <v>104</v>
      </c>
      <c r="GB4120" s="1" t="s">
        <v>180</v>
      </c>
      <c r="GD4120" s="1" t="s">
        <v>236</v>
      </c>
      <c r="GE4120" s="1" t="s">
        <v>5834</v>
      </c>
    </row>
    <row r="4121" spans="1:187" ht="11.25" customHeight="1">
      <c r="A4121" s="1" t="s">
        <v>5835</v>
      </c>
      <c r="B4121" s="1" t="str">
        <f ca="1">IFERROR(__xludf.DUMMYFUNCTION("GOOGLETRANSLATE(A4121, ""en"", ""fr"")"),"Premier # 5")</f>
        <v>Premier # 5</v>
      </c>
      <c r="C4121" s="1" t="s">
        <v>185</v>
      </c>
      <c r="BV4121" s="1" t="s">
        <v>70</v>
      </c>
      <c r="GB4121" s="1" t="s">
        <v>180</v>
      </c>
      <c r="GD4121" s="1" t="s">
        <v>5432</v>
      </c>
      <c r="GE4121" s="1" t="s">
        <v>5836</v>
      </c>
    </row>
    <row r="4122" spans="1:187" ht="11.25" customHeight="1">
      <c r="A4122" s="1" t="s">
        <v>5837</v>
      </c>
      <c r="B4122" s="1" t="str">
        <f ca="1">IFERROR(__xludf.DUMMYFUNCTION("GOOGLETRANSLATE(A4122, ""en"", ""fr"")"),"Premier # 6")</f>
        <v>Premier # 6</v>
      </c>
      <c r="C4122" s="1" t="s">
        <v>185</v>
      </c>
      <c r="BV4122" s="1" t="s">
        <v>70</v>
      </c>
      <c r="GB4122" s="1" t="s">
        <v>180</v>
      </c>
      <c r="GD4122" s="1" t="s">
        <v>236</v>
      </c>
      <c r="GE4122" s="1" t="s">
        <v>5838</v>
      </c>
    </row>
    <row r="4123" spans="1:187" ht="11.25" customHeight="1">
      <c r="A4123" s="1" t="s">
        <v>5839</v>
      </c>
      <c r="B4123" s="1" t="str">
        <f ca="1">IFERROR(__xludf.DUMMYFUNCTION("GOOGLETRANSLATE(A4123, ""en"", ""fr"")"),"FISCAL")</f>
        <v>FISCAL</v>
      </c>
      <c r="C4123" s="1" t="s">
        <v>185</v>
      </c>
      <c r="Z4123" s="1" t="s">
        <v>22</v>
      </c>
      <c r="AA4123" s="1" t="s">
        <v>23</v>
      </c>
      <c r="AC4123" s="1" t="s">
        <v>25</v>
      </c>
      <c r="AH4123" s="1" t="s">
        <v>30</v>
      </c>
      <c r="EV4123" s="1" t="s">
        <v>148</v>
      </c>
      <c r="EW4123" s="1" t="s">
        <v>149</v>
      </c>
      <c r="GD4123" s="1" t="s">
        <v>202</v>
      </c>
      <c r="GE4123" s="1" t="s">
        <v>190</v>
      </c>
    </row>
    <row r="4124" spans="1:187" ht="11.25" customHeight="1">
      <c r="A4124" s="1" t="s">
        <v>5840</v>
      </c>
      <c r="B4124" s="1" t="str">
        <f ca="1">IFERROR(__xludf.DUMMYFUNCTION("GOOGLETRANSLATE(A4124, ""en"", ""fr"")"),"Poisson n ° 1")</f>
        <v>Poisson n ° 1</v>
      </c>
      <c r="C4124" s="1" t="s">
        <v>185</v>
      </c>
      <c r="AL4124" s="1" t="s">
        <v>34</v>
      </c>
      <c r="DO4124" s="1" t="s">
        <v>115</v>
      </c>
      <c r="GD4124" s="1" t="s">
        <v>189</v>
      </c>
      <c r="GE4124" s="1" t="s">
        <v>5841</v>
      </c>
    </row>
    <row r="4125" spans="1:187" ht="11.25" customHeight="1">
      <c r="A4125" s="1" t="s">
        <v>5842</v>
      </c>
      <c r="B4125" s="1" t="str">
        <f ca="1">IFERROR(__xludf.DUMMYFUNCTION("GOOGLETRANSLATE(A4125, ""en"", ""fr"")"),"Poisson # 2")</f>
        <v>Poisson # 2</v>
      </c>
      <c r="C4125" s="1" t="s">
        <v>185</v>
      </c>
      <c r="AU4125" s="1" t="s">
        <v>43</v>
      </c>
      <c r="GD4125" s="1" t="s">
        <v>193</v>
      </c>
      <c r="GE4125" s="1" t="s">
        <v>5843</v>
      </c>
    </row>
    <row r="4126" spans="1:187" ht="11.25" customHeight="1">
      <c r="A4126" s="1" t="s">
        <v>5844</v>
      </c>
      <c r="B4126" s="1" t="str">
        <f ca="1">IFERROR(__xludf.DUMMYFUNCTION("GOOGLETRANSLATE(A4126, ""en"", ""fr"")"),"Poisson # 3")</f>
        <v>Poisson # 3</v>
      </c>
      <c r="C4126" s="1" t="s">
        <v>185</v>
      </c>
      <c r="AA4126" s="1" t="s">
        <v>23</v>
      </c>
      <c r="AC4126" s="1" t="s">
        <v>25</v>
      </c>
      <c r="AL4126" s="1" t="s">
        <v>34</v>
      </c>
      <c r="GD4126" s="1" t="s">
        <v>202</v>
      </c>
      <c r="GE4126" s="1" t="s">
        <v>5845</v>
      </c>
    </row>
    <row r="4127" spans="1:187" ht="11.25" customHeight="1">
      <c r="A4127" s="1" t="s">
        <v>5846</v>
      </c>
      <c r="B4127" s="1" t="str">
        <f ca="1">IFERROR(__xludf.DUMMYFUNCTION("GOOGLETRANSLATE(A4127, ""en"", ""fr"")"),"FISSION")</f>
        <v>FISSION</v>
      </c>
      <c r="C4127" s="1" t="s">
        <v>185</v>
      </c>
      <c r="BU4127" s="1" t="s">
        <v>69</v>
      </c>
      <c r="GD4127" s="1" t="s">
        <v>193</v>
      </c>
      <c r="GE4127" s="1" t="s">
        <v>190</v>
      </c>
    </row>
    <row r="4128" spans="1:187" ht="11.25" customHeight="1">
      <c r="A4128" s="1" t="s">
        <v>5847</v>
      </c>
      <c r="B4128" s="1" t="str">
        <f ca="1">IFERROR(__xludf.DUMMYFUNCTION("GOOGLETRANSLATE(A4128, ""en"", ""fr"")"),"POING")</f>
        <v>POING</v>
      </c>
      <c r="C4128" s="1" t="s">
        <v>185</v>
      </c>
      <c r="E4128" s="1" t="s">
        <v>16613</v>
      </c>
      <c r="H4128" s="1" t="s">
        <v>4</v>
      </c>
      <c r="I4128" s="1" t="s">
        <v>5</v>
      </c>
      <c r="J4128" s="1" t="s">
        <v>6</v>
      </c>
      <c r="BJ4128" s="1" t="s">
        <v>58</v>
      </c>
      <c r="GD4128" s="1" t="s">
        <v>193</v>
      </c>
      <c r="GE4128" s="1" t="s">
        <v>190</v>
      </c>
    </row>
    <row r="4129" spans="1:187" ht="11.25" customHeight="1">
      <c r="A4129" s="1" t="s">
        <v>5848</v>
      </c>
      <c r="B4129" s="1" t="str">
        <f ca="1">IFERROR(__xludf.DUMMYFUNCTION("GOOGLETRANSLATE(A4129, ""en"", ""fr"")"),"Ajustement n ° 1")</f>
        <v>Ajustement n ° 1</v>
      </c>
      <c r="C4129" s="1" t="s">
        <v>185</v>
      </c>
      <c r="DD4129" s="1" t="s">
        <v>104</v>
      </c>
      <c r="DN4129" s="1" t="s">
        <v>114</v>
      </c>
      <c r="GD4129" s="1" t="s">
        <v>189</v>
      </c>
      <c r="GE4129" s="1" t="s">
        <v>5849</v>
      </c>
    </row>
    <row r="4130" spans="1:187" ht="11.25" customHeight="1">
      <c r="A4130" s="1" t="s">
        <v>5850</v>
      </c>
      <c r="B4130" s="1" t="str">
        <f ca="1">IFERROR(__xludf.DUMMYFUNCTION("GOOGLETRANSLATE(A4130, ""en"", ""fr"")"),"Ajustement n ° 2")</f>
        <v>Ajustement n ° 2</v>
      </c>
      <c r="C4130" s="1" t="s">
        <v>185</v>
      </c>
      <c r="D4130" s="1" t="s">
        <v>16612</v>
      </c>
      <c r="F4130" s="1" t="s">
        <v>2</v>
      </c>
      <c r="U4130" s="1" t="s">
        <v>17</v>
      </c>
      <c r="GD4130" s="1" t="s">
        <v>202</v>
      </c>
      <c r="GE4130" s="1" t="s">
        <v>5851</v>
      </c>
    </row>
    <row r="4131" spans="1:187" ht="11.25" customHeight="1">
      <c r="A4131" s="1" t="s">
        <v>5852</v>
      </c>
      <c r="B4131" s="1" t="str">
        <f ca="1">IFERROR(__xludf.DUMMYFUNCTION("GOOGLETRANSLATE(A4131, ""en"", ""fr"")"),"Ajustement n ° 3")</f>
        <v>Ajustement n ° 3</v>
      </c>
      <c r="C4131" s="1" t="s">
        <v>185</v>
      </c>
      <c r="CC4131" s="1" t="s">
        <v>77</v>
      </c>
      <c r="EY4131" s="1" t="s">
        <v>151</v>
      </c>
      <c r="FC4131" s="1" t="s">
        <v>155</v>
      </c>
      <c r="GD4131" s="1" t="s">
        <v>193</v>
      </c>
      <c r="GE4131" s="1" t="s">
        <v>5853</v>
      </c>
    </row>
    <row r="4132" spans="1:187" ht="11.25" customHeight="1">
      <c r="A4132" s="1" t="s">
        <v>5854</v>
      </c>
      <c r="B4132" s="1" t="str">
        <f ca="1">IFERROR(__xludf.DUMMYFUNCTION("GOOGLETRANSLATE(A4132, ""en"", ""fr"")"),"Ajustement n ° 4")</f>
        <v>Ajustement n ° 4</v>
      </c>
      <c r="C4132" s="1" t="s">
        <v>185</v>
      </c>
      <c r="AL4132" s="1" t="s">
        <v>34</v>
      </c>
      <c r="DN4132" s="1" t="s">
        <v>114</v>
      </c>
      <c r="GD4132" s="1" t="s">
        <v>189</v>
      </c>
      <c r="GE4132" s="1" t="s">
        <v>5855</v>
      </c>
    </row>
    <row r="4133" spans="1:187" ht="11.25" customHeight="1">
      <c r="A4133" s="1" t="s">
        <v>5856</v>
      </c>
      <c r="B4133" s="1" t="str">
        <f ca="1">IFERROR(__xludf.DUMMYFUNCTION("GOOGLETRANSLATE(A4133, ""en"", ""fr"")"),"Ajustement n ° 5")</f>
        <v>Ajustement n ° 5</v>
      </c>
      <c r="C4133" s="1" t="s">
        <v>185</v>
      </c>
      <c r="D4133" s="1" t="s">
        <v>16612</v>
      </c>
      <c r="F4133" s="1" t="s">
        <v>2</v>
      </c>
      <c r="U4133" s="1" t="s">
        <v>17</v>
      </c>
      <c r="GD4133" s="1" t="s">
        <v>202</v>
      </c>
      <c r="GE4133" s="1" t="s">
        <v>5857</v>
      </c>
    </row>
    <row r="4134" spans="1:187" ht="11.25" customHeight="1">
      <c r="A4134" s="1" t="s">
        <v>5858</v>
      </c>
      <c r="B4134" s="1" t="str">
        <f ca="1">IFERROR(__xludf.DUMMYFUNCTION("GOOGLETRANSLATE(A4134, ""en"", ""fr"")"),"Ajustement n ° 6")</f>
        <v>Ajustement n ° 6</v>
      </c>
      <c r="C4134" s="1" t="s">
        <v>185</v>
      </c>
      <c r="U4134" s="1" t="s">
        <v>17</v>
      </c>
      <c r="GD4134" s="1" t="s">
        <v>236</v>
      </c>
      <c r="GE4134" s="1" t="s">
        <v>5859</v>
      </c>
    </row>
    <row r="4135" spans="1:187" ht="11.25" customHeight="1">
      <c r="A4135" s="1" t="s">
        <v>5860</v>
      </c>
      <c r="B4135" s="1" t="str">
        <f ca="1">IFERROR(__xludf.DUMMYFUNCTION("GOOGLETRANSLATE(A4135, ""en"", ""fr"")"),"APTITUDE")</f>
        <v>APTITUDE</v>
      </c>
      <c r="C4135" s="1" t="s">
        <v>192</v>
      </c>
      <c r="D4135" s="1" t="s">
        <v>16612</v>
      </c>
      <c r="J4135" s="1" t="s">
        <v>6</v>
      </c>
      <c r="BU4135" s="1" t="s">
        <v>69</v>
      </c>
      <c r="GD4135" s="1" t="s">
        <v>193</v>
      </c>
      <c r="GE4135" s="1" t="s">
        <v>190</v>
      </c>
    </row>
    <row r="4136" spans="1:187" ht="11.25" customHeight="1">
      <c r="A4136" s="1" t="s">
        <v>5861</v>
      </c>
      <c r="B4136" s="1" t="str">
        <f ca="1">IFERROR(__xludf.DUMMYFUNCTION("GOOGLETRANSLATE(A4136, ""en"", ""fr"")"),"CINQ")</f>
        <v>CINQ</v>
      </c>
      <c r="C4136" s="1" t="s">
        <v>185</v>
      </c>
      <c r="CS4136" s="1" t="s">
        <v>93</v>
      </c>
      <c r="CT4136" s="1" t="s">
        <v>94</v>
      </c>
      <c r="CV4136" s="1" t="s">
        <v>96</v>
      </c>
      <c r="GD4136" s="1" t="s">
        <v>1756</v>
      </c>
      <c r="GE4136" s="1" t="s">
        <v>5862</v>
      </c>
    </row>
    <row r="4137" spans="1:187" ht="11.25" customHeight="1">
      <c r="A4137" s="1" t="s">
        <v>5863</v>
      </c>
      <c r="B4137" s="1" t="str">
        <f ca="1">IFERROR(__xludf.DUMMYFUNCTION("GOOGLETRANSLATE(A4137, ""en"", ""fr"")"),"Correction n ° 1")</f>
        <v>Correction n ° 1</v>
      </c>
      <c r="C4137" s="1" t="s">
        <v>185</v>
      </c>
      <c r="J4137" s="1" t="s">
        <v>6</v>
      </c>
      <c r="N4137" s="1" t="s">
        <v>10</v>
      </c>
      <c r="AL4137" s="1" t="s">
        <v>34</v>
      </c>
      <c r="DN4137" s="1" t="s">
        <v>114</v>
      </c>
      <c r="GD4137" s="1" t="s">
        <v>189</v>
      </c>
      <c r="GE4137" s="1" t="s">
        <v>5864</v>
      </c>
    </row>
    <row r="4138" spans="1:187" ht="11.25" customHeight="1">
      <c r="A4138" s="1" t="s">
        <v>5865</v>
      </c>
      <c r="B4138" s="1" t="str">
        <f ca="1">IFERROR(__xludf.DUMMYFUNCTION("GOOGLETRANSLATE(A4138, ""en"", ""fr"")"),"Correction n ° 2")</f>
        <v>Correction n ° 2</v>
      </c>
      <c r="C4138" s="1" t="s">
        <v>185</v>
      </c>
      <c r="N4138" s="1" t="s">
        <v>10</v>
      </c>
      <c r="BP4138" s="1" t="s">
        <v>64</v>
      </c>
      <c r="DN4138" s="1" t="s">
        <v>114</v>
      </c>
      <c r="FP4138" s="1" t="s">
        <v>168</v>
      </c>
      <c r="GD4138" s="1" t="s">
        <v>189</v>
      </c>
      <c r="GE4138" s="1" t="s">
        <v>5866</v>
      </c>
    </row>
    <row r="4139" spans="1:187" ht="11.25" customHeight="1">
      <c r="A4139" s="1" t="s">
        <v>5867</v>
      </c>
      <c r="B4139" s="1" t="str">
        <f ca="1">IFERROR(__xludf.DUMMYFUNCTION("GOOGLETRANSLATE(A4139, ""en"", ""fr"")"),"Fix # 3")</f>
        <v>Fix # 3</v>
      </c>
      <c r="C4139" s="1" t="s">
        <v>185</v>
      </c>
      <c r="DD4139" s="1" t="s">
        <v>104</v>
      </c>
      <c r="DN4139" s="1" t="s">
        <v>114</v>
      </c>
      <c r="FP4139" s="1" t="s">
        <v>168</v>
      </c>
      <c r="GD4139" s="1" t="s">
        <v>189</v>
      </c>
      <c r="GE4139" s="1" t="s">
        <v>5868</v>
      </c>
    </row>
    <row r="4140" spans="1:187" ht="11.25" customHeight="1">
      <c r="A4140" s="1" t="s">
        <v>5869</v>
      </c>
      <c r="B4140" s="1" t="str">
        <f ca="1">IFERROR(__xludf.DUMMYFUNCTION("GOOGLETRANSLATE(A4140, ""en"", ""fr"")"),"Fix # 4")</f>
        <v>Fix # 4</v>
      </c>
      <c r="C4140" s="1" t="s">
        <v>185</v>
      </c>
      <c r="BS4140" s="1" t="s">
        <v>67</v>
      </c>
      <c r="DN4140" s="1" t="s">
        <v>114</v>
      </c>
      <c r="FP4140" s="1" t="s">
        <v>168</v>
      </c>
      <c r="GD4140" s="1" t="s">
        <v>189</v>
      </c>
      <c r="GE4140" s="1" t="s">
        <v>5870</v>
      </c>
    </row>
    <row r="4141" spans="1:187" ht="11.25" customHeight="1">
      <c r="A4141" s="1" t="s">
        <v>5871</v>
      </c>
      <c r="B4141" s="1" t="str">
        <f ca="1">IFERROR(__xludf.DUMMYFUNCTION("GOOGLETRANSLATE(A4141, ""en"", ""fr"")"),"Fix # 5")</f>
        <v>Fix # 5</v>
      </c>
      <c r="C4141" s="1" t="s">
        <v>185</v>
      </c>
      <c r="E4141" s="1" t="s">
        <v>16613</v>
      </c>
      <c r="H4141" s="1" t="s">
        <v>4</v>
      </c>
      <c r="V4141" s="1" t="s">
        <v>18</v>
      </c>
      <c r="EY4141" s="1" t="s">
        <v>151</v>
      </c>
      <c r="FC4141" s="1" t="s">
        <v>155</v>
      </c>
      <c r="GD4141" s="1" t="s">
        <v>193</v>
      </c>
      <c r="GE4141" s="1" t="s">
        <v>5872</v>
      </c>
    </row>
    <row r="4142" spans="1:187" ht="11.25" customHeight="1">
      <c r="A4142" s="1" t="s">
        <v>5873</v>
      </c>
      <c r="B4142" s="1" t="str">
        <f ca="1">IFERROR(__xludf.DUMMYFUNCTION("GOOGLETRANSLATE(A4142, ""en"", ""fr"")"),"Fix # 6")</f>
        <v>Fix # 6</v>
      </c>
      <c r="C4142" s="1" t="s">
        <v>185</v>
      </c>
      <c r="CR4142" s="1" t="s">
        <v>92</v>
      </c>
      <c r="GD4142" s="1" t="s">
        <v>202</v>
      </c>
      <c r="GE4142" s="1" t="s">
        <v>5874</v>
      </c>
    </row>
    <row r="4143" spans="1:187" ht="11.25" customHeight="1">
      <c r="A4143" s="1" t="s">
        <v>5875</v>
      </c>
      <c r="B4143" s="1" t="str">
        <f ca="1">IFERROR(__xludf.DUMMYFUNCTION("GOOGLETRANSLATE(A4143, ""en"", ""fr"")"),"Fix # 7")</f>
        <v>Fix # 7</v>
      </c>
      <c r="C4143" s="1" t="s">
        <v>185</v>
      </c>
      <c r="GD4143" s="1" t="s">
        <v>225</v>
      </c>
      <c r="GE4143" s="1" t="s">
        <v>5876</v>
      </c>
    </row>
    <row r="4144" spans="1:187" ht="11.25" customHeight="1">
      <c r="A4144" s="1" t="s">
        <v>5877</v>
      </c>
      <c r="B4144" s="1" t="str">
        <f ca="1">IFERROR(__xludf.DUMMYFUNCTION("GOOGLETRANSLATE(A4144, ""en"", ""fr"")"),"Fixer")</f>
        <v>Fixer</v>
      </c>
      <c r="C4144" s="1" t="s">
        <v>196</v>
      </c>
      <c r="GD4144" s="1" t="s">
        <v>189</v>
      </c>
    </row>
    <row r="4145" spans="1:187" ht="11.25" customHeight="1">
      <c r="A4145" s="1" t="s">
        <v>5878</v>
      </c>
      <c r="B4145" s="1" t="str">
        <f ca="1">IFERROR(__xludf.DUMMYFUNCTION("GOOGLETRANSLATE(A4145, ""en"", ""fr"")"),"DRAPEAU")</f>
        <v>DRAPEAU</v>
      </c>
      <c r="C4145" s="1" t="s">
        <v>185</v>
      </c>
      <c r="AG4145" s="1" t="s">
        <v>29</v>
      </c>
      <c r="AH4145" s="1" t="s">
        <v>30</v>
      </c>
      <c r="BC4145" s="1" t="s">
        <v>51</v>
      </c>
      <c r="BH4145" s="1" t="s">
        <v>56</v>
      </c>
      <c r="BL4145" s="1" t="s">
        <v>60</v>
      </c>
      <c r="EM4145" s="1" t="s">
        <v>139</v>
      </c>
      <c r="EN4145" s="1" t="s">
        <v>140</v>
      </c>
      <c r="GD4145" s="1" t="s">
        <v>193</v>
      </c>
      <c r="GE4145" s="1" t="s">
        <v>190</v>
      </c>
    </row>
    <row r="4146" spans="1:187" ht="11.25" customHeight="1">
      <c r="A4146" s="1" t="s">
        <v>5879</v>
      </c>
      <c r="B4146" s="1" t="str">
        <f ca="1">IFERROR(__xludf.DUMMYFUNCTION("GOOGLETRANSLATE(A4146, ""en"", ""fr"")"),"FLAGRANT")</f>
        <v>FLAGRANT</v>
      </c>
      <c r="C4146" s="1" t="s">
        <v>192</v>
      </c>
      <c r="E4146" s="1" t="s">
        <v>16613</v>
      </c>
      <c r="W4146" s="1" t="s">
        <v>19</v>
      </c>
      <c r="CM4146" s="1" t="s">
        <v>87</v>
      </c>
      <c r="CR4146" s="1" t="s">
        <v>92</v>
      </c>
      <c r="DR4146" s="1" t="s">
        <v>118</v>
      </c>
      <c r="GD4146" s="1" t="s">
        <v>202</v>
      </c>
      <c r="GE4146" s="1" t="s">
        <v>190</v>
      </c>
    </row>
    <row r="4147" spans="1:187" ht="11.25" customHeight="1">
      <c r="A4147" s="1" t="s">
        <v>5880</v>
      </c>
      <c r="B4147" s="1" t="str">
        <f ca="1">IFERROR(__xludf.DUMMYFUNCTION("GOOGLETRANSLATE(A4147, ""en"", ""fr"")"),"FLAIR")</f>
        <v>FLAIR</v>
      </c>
      <c r="C4147" s="1" t="s">
        <v>192</v>
      </c>
      <c r="D4147" s="1" t="s">
        <v>16612</v>
      </c>
      <c r="J4147" s="1" t="s">
        <v>6</v>
      </c>
      <c r="U4147" s="1" t="s">
        <v>17</v>
      </c>
      <c r="GD4147" s="1" t="s">
        <v>193</v>
      </c>
      <c r="GE4147" s="1" t="s">
        <v>190</v>
      </c>
    </row>
    <row r="4148" spans="1:187" ht="11.25" customHeight="1">
      <c r="A4148" s="1" t="s">
        <v>5881</v>
      </c>
      <c r="B4148" s="1" t="str">
        <f ca="1">IFERROR(__xludf.DUMMYFUNCTION("GOOGLETRANSLATE(A4148, ""en"", ""fr"")"),"FLAMME")</f>
        <v>FLAMME</v>
      </c>
      <c r="C4148" s="1" t="s">
        <v>185</v>
      </c>
      <c r="BU4148" s="1" t="s">
        <v>69</v>
      </c>
      <c r="GD4148" s="1" t="s">
        <v>193</v>
      </c>
      <c r="GE4148" s="1" t="s">
        <v>190</v>
      </c>
    </row>
    <row r="4149" spans="1:187" ht="11.25" customHeight="1">
      <c r="A4149" s="1" t="s">
        <v>5882</v>
      </c>
      <c r="B4149" s="1" t="str">
        <f ca="1">IFERROR(__xludf.DUMMYFUNCTION("GOOGLETRANSLATE(A4149, ""en"", ""fr"")"),"Flash # 1")</f>
        <v>Flash # 1</v>
      </c>
      <c r="C4149" s="1" t="s">
        <v>185</v>
      </c>
      <c r="N4149" s="1" t="s">
        <v>10</v>
      </c>
      <c r="BU4149" s="1" t="s">
        <v>69</v>
      </c>
      <c r="GD4149" s="1" t="s">
        <v>193</v>
      </c>
      <c r="GE4149" s="1" t="s">
        <v>190</v>
      </c>
    </row>
    <row r="4150" spans="1:187" ht="11.25" customHeight="1">
      <c r="A4150" s="1" t="s">
        <v>5883</v>
      </c>
      <c r="B4150" s="1" t="str">
        <f ca="1">IFERROR(__xludf.DUMMYFUNCTION("GOOGLETRANSLATE(A4150, ""en"", ""fr"")"),"Flash # 2")</f>
        <v>Flash # 2</v>
      </c>
      <c r="C4150" s="1" t="s">
        <v>185</v>
      </c>
      <c r="N4150" s="1" t="s">
        <v>10</v>
      </c>
      <c r="BW4150" s="1" t="s">
        <v>71</v>
      </c>
      <c r="DN4150" s="1" t="s">
        <v>114</v>
      </c>
      <c r="GD4150" s="1" t="s">
        <v>189</v>
      </c>
      <c r="GE4150" s="1" t="s">
        <v>190</v>
      </c>
    </row>
    <row r="4151" spans="1:187" ht="11.25" customHeight="1">
      <c r="A4151" s="1" t="s">
        <v>5884</v>
      </c>
      <c r="B4151" s="1" t="str">
        <f ca="1">IFERROR(__xludf.DUMMYFUNCTION("GOOGLETRANSLATE(A4151, ""en"", ""fr"")"),"LAMPE DE POCHE")</f>
        <v>LAMPE DE POCHE</v>
      </c>
      <c r="C4151" s="1" t="s">
        <v>185</v>
      </c>
      <c r="BC4151" s="1" t="s">
        <v>51</v>
      </c>
      <c r="BD4151" s="1" t="s">
        <v>52</v>
      </c>
      <c r="GD4151" s="1" t="s">
        <v>193</v>
      </c>
      <c r="GE4151" s="1" t="s">
        <v>190</v>
      </c>
    </row>
    <row r="4152" spans="1:187" ht="11.25" customHeight="1">
      <c r="A4152" s="1" t="s">
        <v>5885</v>
      </c>
      <c r="B4152" s="1" t="str">
        <f ca="1">IFERROR(__xludf.DUMMYFUNCTION("GOOGLETRANSLATE(A4152, ""en"", ""fr"")"),"TAPE À L'OEIL")</f>
        <v>TAPE À L'OEIL</v>
      </c>
      <c r="C4152" s="1" t="s">
        <v>192</v>
      </c>
      <c r="D4152" s="1" t="s">
        <v>16612</v>
      </c>
      <c r="W4152" s="1" t="s">
        <v>19</v>
      </c>
      <c r="CM4152" s="1" t="s">
        <v>87</v>
      </c>
      <c r="CR4152" s="1" t="s">
        <v>92</v>
      </c>
      <c r="DR4152" s="1" t="s">
        <v>118</v>
      </c>
      <c r="GD4152" s="1" t="s">
        <v>202</v>
      </c>
      <c r="GE4152" s="1" t="s">
        <v>190</v>
      </c>
    </row>
    <row r="4153" spans="1:187" ht="11.25" customHeight="1">
      <c r="A4153" s="1" t="s">
        <v>5886</v>
      </c>
      <c r="B4153" s="1" t="str">
        <f ca="1">IFERROR(__xludf.DUMMYFUNCTION("GOOGLETRANSLATE(A4153, ""en"", ""fr"")"),"PLAT")</f>
        <v>PLAT</v>
      </c>
      <c r="C4153" s="1" t="s">
        <v>185</v>
      </c>
      <c r="DA4153" s="1" t="s">
        <v>101</v>
      </c>
      <c r="GD4153" s="1" t="s">
        <v>202</v>
      </c>
      <c r="GE4153" s="1" t="s">
        <v>190</v>
      </c>
    </row>
    <row r="4154" spans="1:187" ht="11.25" customHeight="1">
      <c r="A4154" s="1" t="s">
        <v>5887</v>
      </c>
      <c r="B4154" s="1" t="str">
        <f ca="1">IFERROR(__xludf.DUMMYFUNCTION("GOOGLETRANSLATE(A4154, ""en"", ""fr"")"),"PLATITUDE")</f>
        <v>PLATITUDE</v>
      </c>
      <c r="C4154" s="1" t="s">
        <v>185</v>
      </c>
      <c r="DA4154" s="1" t="s">
        <v>101</v>
      </c>
      <c r="GD4154" s="1" t="s">
        <v>193</v>
      </c>
      <c r="GE4154" s="1" t="s">
        <v>190</v>
      </c>
    </row>
    <row r="4155" spans="1:187" ht="11.25" customHeight="1">
      <c r="A4155" s="1" t="s">
        <v>5888</v>
      </c>
      <c r="B4155" s="1" t="str">
        <f ca="1">IFERROR(__xludf.DUMMYFUNCTION("GOOGLETRANSLATE(A4155, ""en"", ""fr"")"),"FLATTER")</f>
        <v>FLATTER</v>
      </c>
      <c r="C4155" s="1" t="s">
        <v>185</v>
      </c>
      <c r="D4155" s="1" t="s">
        <v>16612</v>
      </c>
      <c r="G4155" s="1" t="s">
        <v>3</v>
      </c>
      <c r="L4155" s="1" t="s">
        <v>8</v>
      </c>
      <c r="M4155" s="1" t="s">
        <v>9</v>
      </c>
      <c r="O4155" s="1" t="s">
        <v>11</v>
      </c>
      <c r="AN4155" s="1" t="s">
        <v>36</v>
      </c>
      <c r="BK4155" s="1" t="s">
        <v>59</v>
      </c>
      <c r="DN4155" s="1" t="s">
        <v>114</v>
      </c>
      <c r="GD4155" s="1" t="s">
        <v>189</v>
      </c>
      <c r="GE4155" s="1" t="s">
        <v>190</v>
      </c>
    </row>
    <row r="4156" spans="1:187" ht="11.25" customHeight="1">
      <c r="A4156" s="1" t="s">
        <v>5889</v>
      </c>
      <c r="B4156" s="1" t="str">
        <f ca="1">IFERROR(__xludf.DUMMYFUNCTION("GOOGLETRANSLATE(A4156, ""en"", ""fr"")"),"FLATTERIE")</f>
        <v>FLATTERIE</v>
      </c>
      <c r="C4156" s="1" t="s">
        <v>192</v>
      </c>
      <c r="D4156" s="1" t="s">
        <v>16612</v>
      </c>
      <c r="G4156" s="1" t="s">
        <v>3</v>
      </c>
      <c r="L4156" s="1" t="s">
        <v>8</v>
      </c>
      <c r="M4156" s="1" t="s">
        <v>9</v>
      </c>
      <c r="O4156" s="1" t="s">
        <v>11</v>
      </c>
      <c r="AN4156" s="1" t="s">
        <v>36</v>
      </c>
      <c r="BK4156" s="1" t="s">
        <v>59</v>
      </c>
      <c r="GD4156" s="1" t="s">
        <v>193</v>
      </c>
      <c r="GE4156" s="1" t="s">
        <v>190</v>
      </c>
    </row>
    <row r="4157" spans="1:187" ht="11.25" customHeight="1">
      <c r="A4157" s="1" t="s">
        <v>5890</v>
      </c>
      <c r="B4157" s="1" t="str">
        <f ca="1">IFERROR(__xludf.DUMMYFUNCTION("GOOGLETRANSLATE(A4157, ""en"", ""fr"")"),"FAIRE ÉTALAGE")</f>
        <v>FAIRE ÉTALAGE</v>
      </c>
      <c r="C4157" s="1" t="s">
        <v>192</v>
      </c>
      <c r="D4157" s="1" t="s">
        <v>16612</v>
      </c>
      <c r="N4157" s="1" t="s">
        <v>10</v>
      </c>
      <c r="W4157" s="1" t="s">
        <v>19</v>
      </c>
      <c r="DN4157" s="1" t="s">
        <v>114</v>
      </c>
      <c r="GD4157" s="1" t="s">
        <v>189</v>
      </c>
      <c r="GE4157" s="1" t="s">
        <v>190</v>
      </c>
    </row>
    <row r="4158" spans="1:187" ht="11.25" customHeight="1">
      <c r="A4158" s="1" t="s">
        <v>5891</v>
      </c>
      <c r="B4158" s="1" t="str">
        <f ca="1">IFERROR(__xludf.DUMMYFUNCTION("GOOGLETRANSLATE(A4158, ""en"", ""fr"")"),"Saveur n ° 1")</f>
        <v>Saveur n ° 1</v>
      </c>
      <c r="C4158" s="1" t="s">
        <v>185</v>
      </c>
      <c r="CR4158" s="1" t="s">
        <v>92</v>
      </c>
      <c r="GD4158" s="1" t="s">
        <v>202</v>
      </c>
      <c r="GE4158" s="1" t="s">
        <v>190</v>
      </c>
    </row>
    <row r="4159" spans="1:187" ht="11.25" customHeight="1">
      <c r="A4159" s="1" t="s">
        <v>5892</v>
      </c>
      <c r="B4159" s="1" t="str">
        <f ca="1">IFERROR(__xludf.DUMMYFUNCTION("GOOGLETRANSLATE(A4159, ""en"", ""fr"")"),"Saveur n ° 2")</f>
        <v>Saveur n ° 2</v>
      </c>
      <c r="C4159" s="1" t="s">
        <v>185</v>
      </c>
      <c r="O4159" s="1" t="s">
        <v>11</v>
      </c>
      <c r="CK4159" s="1" t="s">
        <v>85</v>
      </c>
      <c r="DN4159" s="1" t="s">
        <v>114</v>
      </c>
      <c r="GD4159" s="1" t="s">
        <v>189</v>
      </c>
      <c r="GE4159" s="1" t="s">
        <v>190</v>
      </c>
    </row>
    <row r="4160" spans="1:187" ht="11.25" customHeight="1">
      <c r="A4160" s="1" t="s">
        <v>5893</v>
      </c>
      <c r="B4160" s="1" t="str">
        <f ca="1">IFERROR(__xludf.DUMMYFUNCTION("GOOGLETRANSLATE(A4160, ""en"", ""fr"")"),"Saveur n ° 1")</f>
        <v>Saveur n ° 1</v>
      </c>
      <c r="C4160" s="1" t="s">
        <v>192</v>
      </c>
      <c r="GE4160" s="1" t="s">
        <v>190</v>
      </c>
    </row>
    <row r="4161" spans="1:187" ht="11.25" customHeight="1">
      <c r="A4161" s="1" t="s">
        <v>5894</v>
      </c>
      <c r="B4161" s="1" t="str">
        <f ca="1">IFERROR(__xludf.DUMMYFUNCTION("GOOGLETRANSLATE(A4161, ""en"", ""fr"")"),"DÉFAUT")</f>
        <v>DÉFAUT</v>
      </c>
      <c r="C4161" s="1" t="s">
        <v>192</v>
      </c>
      <c r="E4161" s="1" t="s">
        <v>16613</v>
      </c>
      <c r="L4161" s="1" t="s">
        <v>8</v>
      </c>
      <c r="BT4161" s="1" t="s">
        <v>68</v>
      </c>
      <c r="GD4161" s="1" t="s">
        <v>193</v>
      </c>
      <c r="GE4161" s="1" t="s">
        <v>190</v>
      </c>
    </row>
    <row r="4162" spans="1:187" ht="11.25" customHeight="1">
      <c r="A4162" s="1" t="s">
        <v>5895</v>
      </c>
      <c r="B4162" s="1" t="str">
        <f ca="1">IFERROR(__xludf.DUMMYFUNCTION("GOOGLETRANSLATE(A4162, ""en"", ""fr"")"),"IMPECCABLE")</f>
        <v>IMPECCABLE</v>
      </c>
      <c r="C4162" s="1" t="s">
        <v>192</v>
      </c>
      <c r="D4162" s="1" t="s">
        <v>16612</v>
      </c>
      <c r="U4162" s="1" t="s">
        <v>17</v>
      </c>
      <c r="DR4162" s="1" t="s">
        <v>118</v>
      </c>
      <c r="GD4162" s="1" t="s">
        <v>202</v>
      </c>
      <c r="GE4162" s="1" t="s">
        <v>190</v>
      </c>
    </row>
    <row r="4163" spans="1:187" ht="11.25" customHeight="1">
      <c r="A4163" s="1" t="s">
        <v>5896</v>
      </c>
      <c r="B4163" s="1" t="str">
        <f ca="1">IFERROR(__xludf.DUMMYFUNCTION("GOOGLETRANSLATE(A4163, ""en"", ""fr"")"),"FUITE")</f>
        <v>FUITE</v>
      </c>
      <c r="C4163" s="1" t="s">
        <v>185</v>
      </c>
      <c r="E4163" s="1" t="s">
        <v>16613</v>
      </c>
      <c r="H4163" s="1" t="s">
        <v>4</v>
      </c>
      <c r="I4163" s="1" t="s">
        <v>5</v>
      </c>
      <c r="L4163" s="1" t="s">
        <v>8</v>
      </c>
      <c r="N4163" s="1" t="s">
        <v>10</v>
      </c>
      <c r="CE4163" s="1" t="s">
        <v>79</v>
      </c>
      <c r="DN4163" s="1" t="s">
        <v>114</v>
      </c>
      <c r="GD4163" s="1" t="s">
        <v>1076</v>
      </c>
      <c r="GE4163" s="1" t="s">
        <v>5897</v>
      </c>
    </row>
    <row r="4164" spans="1:187" ht="11.25" customHeight="1">
      <c r="A4164" s="1" t="s">
        <v>5898</v>
      </c>
      <c r="B4164" s="1" t="str">
        <f ca="1">IFERROR(__xludf.DUMMYFUNCTION("GOOGLETRANSLATE(A4164, ""en"", ""fr"")"),"FUIR")</f>
        <v>FUIR</v>
      </c>
      <c r="C4164" s="1" t="s">
        <v>192</v>
      </c>
      <c r="E4164" s="1" t="s">
        <v>16613</v>
      </c>
      <c r="L4164" s="1" t="s">
        <v>8</v>
      </c>
      <c r="N4164" s="1" t="s">
        <v>10</v>
      </c>
      <c r="CE4164" s="1" t="s">
        <v>79</v>
      </c>
      <c r="DN4164" s="1" t="s">
        <v>114</v>
      </c>
      <c r="GD4164" s="1" t="s">
        <v>189</v>
      </c>
      <c r="GE4164" s="1" t="s">
        <v>190</v>
      </c>
    </row>
    <row r="4165" spans="1:187" ht="11.25" customHeight="1">
      <c r="A4165" s="1" t="s">
        <v>5899</v>
      </c>
      <c r="B4165" s="1" t="str">
        <f ca="1">IFERROR(__xludf.DUMMYFUNCTION("GOOGLETRANSLATE(A4165, ""en"", ""fr"")"),"FLOTTE")</f>
        <v>FLOTTE</v>
      </c>
      <c r="C4165" s="1" t="s">
        <v>185</v>
      </c>
      <c r="J4165" s="1" t="s">
        <v>6</v>
      </c>
      <c r="AF4165" s="1" t="s">
        <v>28</v>
      </c>
      <c r="AH4165" s="1" t="s">
        <v>30</v>
      </c>
      <c r="AK4165" s="1" t="s">
        <v>33</v>
      </c>
      <c r="AT4165" s="1" t="s">
        <v>42</v>
      </c>
      <c r="DY4165" s="1" t="s">
        <v>125</v>
      </c>
      <c r="ED4165" s="1" t="s">
        <v>130</v>
      </c>
      <c r="GD4165" s="1" t="s">
        <v>193</v>
      </c>
      <c r="GE4165" s="1" t="s">
        <v>190</v>
      </c>
    </row>
    <row r="4166" spans="1:187" ht="11.25" customHeight="1">
      <c r="A4166" s="1" t="s">
        <v>5900</v>
      </c>
      <c r="B4166" s="1" t="str">
        <f ca="1">IFERROR(__xludf.DUMMYFUNCTION("GOOGLETRANSLATE(A4166, ""en"", ""fr"")"),"FUGACE")</f>
        <v>FUGACE</v>
      </c>
      <c r="C4166" s="1" t="s">
        <v>192</v>
      </c>
      <c r="E4166" s="1" t="s">
        <v>16613</v>
      </c>
      <c r="CE4166" s="1" t="s">
        <v>79</v>
      </c>
      <c r="CY4166" s="1" t="s">
        <v>99</v>
      </c>
      <c r="DR4166" s="1" t="s">
        <v>118</v>
      </c>
      <c r="GD4166" s="1" t="s">
        <v>202</v>
      </c>
      <c r="GE4166" s="1" t="s">
        <v>190</v>
      </c>
    </row>
    <row r="4167" spans="1:187" ht="11.25" customHeight="1">
      <c r="A4167" s="1" t="s">
        <v>5901</v>
      </c>
      <c r="B4167" s="1" t="str">
        <f ca="1">IFERROR(__xludf.DUMMYFUNCTION("GOOGLETRANSLATE(A4167, ""en"", ""fr"")"),"CHAIR")</f>
        <v>CHAIR</v>
      </c>
      <c r="C4167" s="1" t="s">
        <v>185</v>
      </c>
      <c r="BJ4167" s="1" t="s">
        <v>58</v>
      </c>
      <c r="EZ4167" s="1" t="s">
        <v>152</v>
      </c>
      <c r="FC4167" s="1" t="s">
        <v>155</v>
      </c>
      <c r="GD4167" s="1" t="s">
        <v>193</v>
      </c>
      <c r="GE4167" s="1" t="s">
        <v>190</v>
      </c>
    </row>
    <row r="4168" spans="1:187" ht="11.25" customHeight="1">
      <c r="A4168" s="1" t="s">
        <v>5902</v>
      </c>
      <c r="B4168" s="1" t="str">
        <f ca="1">IFERROR(__xludf.DUMMYFUNCTION("GOOGLETRANSLATE(A4168, ""en"", ""fr"")"),"A VOLÉ")</f>
        <v>A VOLÉ</v>
      </c>
      <c r="C4168" s="1" t="s">
        <v>185</v>
      </c>
      <c r="J4168" s="1" t="s">
        <v>6</v>
      </c>
      <c r="N4168" s="1" t="s">
        <v>10</v>
      </c>
      <c r="CB4168" s="1" t="s">
        <v>76</v>
      </c>
      <c r="DN4168" s="1" t="s">
        <v>114</v>
      </c>
      <c r="GD4168" s="1" t="s">
        <v>1076</v>
      </c>
      <c r="GE4168" s="1" t="s">
        <v>5903</v>
      </c>
    </row>
    <row r="4169" spans="1:187" ht="11.25" customHeight="1">
      <c r="A4169" s="1" t="s">
        <v>5904</v>
      </c>
      <c r="B4169" s="1" t="str">
        <f ca="1">IFERROR(__xludf.DUMMYFUNCTION("GOOGLETRANSLATE(A4169, ""en"", ""fr"")"),"FLEXIBLE")</f>
        <v>FLEXIBLE</v>
      </c>
      <c r="C4169" s="1" t="s">
        <v>185</v>
      </c>
      <c r="D4169" s="1" t="s">
        <v>16612</v>
      </c>
      <c r="F4169" s="1" t="s">
        <v>2</v>
      </c>
      <c r="CR4169" s="1" t="s">
        <v>92</v>
      </c>
      <c r="GD4169" s="1" t="s">
        <v>202</v>
      </c>
      <c r="GE4169" s="1" t="s">
        <v>190</v>
      </c>
    </row>
    <row r="4170" spans="1:187" ht="11.25" customHeight="1">
      <c r="A4170" s="1" t="s">
        <v>5905</v>
      </c>
      <c r="B4170" s="1" t="str">
        <f ca="1">IFERROR(__xludf.DUMMYFUNCTION("GOOGLETRANSLATE(A4170, ""en"", ""fr"")"),"VOL")</f>
        <v>VOL</v>
      </c>
      <c r="C4170" s="1" t="s">
        <v>185</v>
      </c>
      <c r="CE4170" s="1" t="s">
        <v>79</v>
      </c>
      <c r="GD4170" s="1" t="s">
        <v>193</v>
      </c>
      <c r="GE4170" s="1" t="s">
        <v>190</v>
      </c>
    </row>
    <row r="4171" spans="1:187" ht="11.25" customHeight="1">
      <c r="A4171" s="1" t="s">
        <v>5906</v>
      </c>
      <c r="B4171" s="1" t="str">
        <f ca="1">IFERROR(__xludf.DUMMYFUNCTION("GOOGLETRANSLATE(A4171, ""en"", ""fr"")"),"FRAGILE")</f>
        <v>FRAGILE</v>
      </c>
      <c r="C4171" s="1" t="s">
        <v>192</v>
      </c>
      <c r="E4171" s="1" t="s">
        <v>16613</v>
      </c>
      <c r="L4171" s="1" t="s">
        <v>8</v>
      </c>
      <c r="DR4171" s="1" t="s">
        <v>118</v>
      </c>
      <c r="GD4171" s="1" t="s">
        <v>202</v>
      </c>
      <c r="GE4171" s="1" t="s">
        <v>190</v>
      </c>
    </row>
    <row r="4172" spans="1:187" ht="11.25" customHeight="1">
      <c r="A4172" s="1" t="s">
        <v>5907</v>
      </c>
      <c r="B4172" s="1" t="str">
        <f ca="1">IFERROR(__xludf.DUMMYFUNCTION("GOOGLETRANSLATE(A4172, ""en"", ""fr"")"),"SILEX")</f>
        <v>SILEX</v>
      </c>
      <c r="C4172" s="1" t="s">
        <v>185</v>
      </c>
      <c r="BC4172" s="1" t="s">
        <v>51</v>
      </c>
      <c r="BI4172" s="1" t="s">
        <v>57</v>
      </c>
      <c r="GD4172" s="1" t="s">
        <v>193</v>
      </c>
      <c r="GE4172" s="1" t="s">
        <v>190</v>
      </c>
    </row>
    <row r="4173" spans="1:187" ht="11.25" customHeight="1">
      <c r="A4173" s="1" t="s">
        <v>5908</v>
      </c>
      <c r="B4173" s="1" t="str">
        <f ca="1">IFERROR(__xludf.DUMMYFUNCTION("GOOGLETRANSLATE(A4173, ""en"", ""fr"")"),"FLIRTER")</f>
        <v>FLIRTER</v>
      </c>
      <c r="C4173" s="1" t="s">
        <v>192</v>
      </c>
      <c r="D4173" s="1" t="s">
        <v>16612</v>
      </c>
      <c r="N4173" s="1" t="s">
        <v>10</v>
      </c>
      <c r="P4173" s="1" t="s">
        <v>12</v>
      </c>
      <c r="T4173" s="1" t="s">
        <v>16</v>
      </c>
      <c r="DN4173" s="1" t="s">
        <v>114</v>
      </c>
      <c r="GD4173" s="1" t="s">
        <v>670</v>
      </c>
      <c r="GE4173" s="1" t="s">
        <v>190</v>
      </c>
    </row>
    <row r="4174" spans="1:187" ht="11.25" customHeight="1">
      <c r="A4174" s="1" t="s">
        <v>5909</v>
      </c>
      <c r="B4174" s="1" t="str">
        <f ca="1">IFERROR(__xludf.DUMMYFUNCTION("GOOGLETRANSLATE(A4174, ""en"", ""fr"")"),"FLOTTER")</f>
        <v>FLOTTER</v>
      </c>
      <c r="C4174" s="1" t="s">
        <v>185</v>
      </c>
      <c r="O4174" s="1" t="s">
        <v>11</v>
      </c>
      <c r="CB4174" s="1" t="s">
        <v>76</v>
      </c>
      <c r="DO4174" s="1" t="s">
        <v>115</v>
      </c>
      <c r="GD4174" s="1" t="s">
        <v>189</v>
      </c>
      <c r="GE4174" s="1" t="s">
        <v>190</v>
      </c>
    </row>
    <row r="4175" spans="1:187" ht="11.25" customHeight="1">
      <c r="A4175" s="1" t="s">
        <v>5910</v>
      </c>
      <c r="B4175" s="1" t="str">
        <f ca="1">IFERROR(__xludf.DUMMYFUNCTION("GOOGLETRANSLATE(A4175, ""en"", ""fr"")"),"Inondation n ° 1")</f>
        <v>Inondation n ° 1</v>
      </c>
      <c r="C4175" s="1" t="s">
        <v>185</v>
      </c>
      <c r="J4175" s="1" t="s">
        <v>6</v>
      </c>
      <c r="AV4175" s="1" t="s">
        <v>44</v>
      </c>
      <c r="AZ4175" s="1" t="s">
        <v>48</v>
      </c>
      <c r="GD4175" s="1" t="s">
        <v>193</v>
      </c>
      <c r="GE4175" s="1" t="s">
        <v>190</v>
      </c>
    </row>
    <row r="4176" spans="1:187" ht="11.25" customHeight="1">
      <c r="A4176" s="1" t="s">
        <v>5911</v>
      </c>
      <c r="B4176" s="1" t="str">
        <f ca="1">IFERROR(__xludf.DUMMYFUNCTION("GOOGLETRANSLATE(A4176, ""en"", ""fr"")"),"Inondation n ° 2")</f>
        <v>Inondation n ° 2</v>
      </c>
      <c r="C4176" s="1" t="s">
        <v>185</v>
      </c>
      <c r="J4176" s="1" t="s">
        <v>6</v>
      </c>
      <c r="CB4176" s="1" t="s">
        <v>76</v>
      </c>
      <c r="DN4176" s="1" t="s">
        <v>114</v>
      </c>
      <c r="FP4176" s="1" t="s">
        <v>168</v>
      </c>
      <c r="GD4176" s="1" t="s">
        <v>189</v>
      </c>
      <c r="GE4176" s="1" t="s">
        <v>190</v>
      </c>
    </row>
    <row r="4177" spans="1:187" ht="11.25" customHeight="1">
      <c r="A4177" s="1" t="s">
        <v>5912</v>
      </c>
      <c r="B4177" s="1" t="str">
        <f ca="1">IFERROR(__xludf.DUMMYFUNCTION("GOOGLETRANSLATE(A4177, ""en"", ""fr"")"),"1ER ÉTAGE")</f>
        <v>1ER ÉTAGE</v>
      </c>
      <c r="C4177" s="1" t="s">
        <v>185</v>
      </c>
      <c r="BC4177" s="1" t="s">
        <v>51</v>
      </c>
      <c r="BG4177" s="1" t="s">
        <v>55</v>
      </c>
      <c r="GD4177" s="1" t="s">
        <v>193</v>
      </c>
      <c r="GE4177" s="1" t="s">
        <v>5913</v>
      </c>
    </row>
    <row r="4178" spans="1:187" ht="11.25" customHeight="1">
      <c r="A4178" s="1" t="s">
        <v>5914</v>
      </c>
      <c r="B4178" s="1" t="str">
        <f ca="1">IFERROR(__xludf.DUMMYFUNCTION("GOOGLETRANSLATE(A4178, ""en"", ""fr"")"),"Étage n ° 2")</f>
        <v>Étage n ° 2</v>
      </c>
      <c r="C4178" s="1" t="s">
        <v>185</v>
      </c>
      <c r="BC4178" s="1" t="s">
        <v>51</v>
      </c>
      <c r="BG4178" s="1" t="s">
        <v>55</v>
      </c>
      <c r="GD4178" s="1" t="s">
        <v>193</v>
      </c>
      <c r="GE4178" s="1" t="s">
        <v>5915</v>
      </c>
    </row>
    <row r="4179" spans="1:187" ht="11.25" customHeight="1">
      <c r="A4179" s="1" t="s">
        <v>5916</v>
      </c>
      <c r="B4179" s="1" t="str">
        <f ca="1">IFERROR(__xludf.DUMMYFUNCTION("GOOGLETRANSLATE(A4179, ""en"", ""fr"")"),"Étage n ° 3")</f>
        <v>Étage n ° 3</v>
      </c>
      <c r="C4179" s="1" t="s">
        <v>185</v>
      </c>
      <c r="J4179" s="1" t="s">
        <v>6</v>
      </c>
      <c r="K4179" s="1" t="s">
        <v>7</v>
      </c>
      <c r="AM4179" s="1" t="s">
        <v>35</v>
      </c>
      <c r="EK4179" s="1" t="s">
        <v>137</v>
      </c>
      <c r="EN4179" s="1" t="s">
        <v>140</v>
      </c>
      <c r="GD4179" s="1" t="s">
        <v>193</v>
      </c>
      <c r="GE4179" s="1" t="s">
        <v>5917</v>
      </c>
    </row>
    <row r="4180" spans="1:187" ht="11.25" customHeight="1">
      <c r="A4180" s="1" t="s">
        <v>5918</v>
      </c>
      <c r="B4180" s="1" t="str">
        <f ca="1">IFERROR(__xludf.DUMMYFUNCTION("GOOGLETRANSLATE(A4180, ""en"", ""fr"")"),"Étage n ° 4")</f>
        <v>Étage n ° 4</v>
      </c>
      <c r="C4180" s="1" t="s">
        <v>185</v>
      </c>
      <c r="BC4180" s="1" t="s">
        <v>51</v>
      </c>
      <c r="BD4180" s="1" t="s">
        <v>52</v>
      </c>
      <c r="GD4180" s="1" t="s">
        <v>193</v>
      </c>
      <c r="GE4180" s="1" t="s">
        <v>5919</v>
      </c>
    </row>
    <row r="4181" spans="1:187" ht="11.25" customHeight="1">
      <c r="A4181" s="1" t="s">
        <v>5920</v>
      </c>
      <c r="B4181" s="1" t="str">
        <f ca="1">IFERROR(__xludf.DUMMYFUNCTION("GOOGLETRANSLATE(A4181, ""en"", ""fr"")"),"Étage n ° 5")</f>
        <v>Étage n ° 5</v>
      </c>
      <c r="C4181" s="1" t="s">
        <v>185</v>
      </c>
      <c r="E4181" s="1" t="s">
        <v>16613</v>
      </c>
      <c r="H4181" s="1" t="s">
        <v>4</v>
      </c>
      <c r="I4181" s="1" t="s">
        <v>5</v>
      </c>
      <c r="J4181" s="1" t="s">
        <v>6</v>
      </c>
      <c r="N4181" s="1" t="s">
        <v>10</v>
      </c>
      <c r="AN4181" s="1" t="s">
        <v>36</v>
      </c>
      <c r="DN4181" s="1" t="s">
        <v>114</v>
      </c>
      <c r="GD4181" s="1" t="s">
        <v>189</v>
      </c>
      <c r="GE4181" s="1" t="s">
        <v>5921</v>
      </c>
    </row>
    <row r="4182" spans="1:187" ht="11.25" customHeight="1">
      <c r="A4182" s="1" t="s">
        <v>5922</v>
      </c>
      <c r="B4182" s="1" t="str">
        <f ca="1">IFERROR(__xludf.DUMMYFUNCTION("GOOGLETRANSLATE(A4182, ""en"", ""fr"")"),"FLORIDE")</f>
        <v>FLORIDE</v>
      </c>
      <c r="C4182" s="1" t="s">
        <v>196</v>
      </c>
      <c r="GD4182" s="1" t="s">
        <v>653</v>
      </c>
    </row>
    <row r="4183" spans="1:187" ht="11.25" customHeight="1">
      <c r="A4183" s="1" t="s">
        <v>5923</v>
      </c>
      <c r="B4183" s="1" t="str">
        <f ca="1">IFERROR(__xludf.DUMMYFUNCTION("GOOGLETRANSLATE(A4183, ""en"", ""fr"")"),"PATAUGER")</f>
        <v>PATAUGER</v>
      </c>
      <c r="C4183" s="1" t="s">
        <v>192</v>
      </c>
      <c r="E4183" s="1" t="s">
        <v>16613</v>
      </c>
      <c r="L4183" s="1" t="s">
        <v>8</v>
      </c>
      <c r="O4183" s="1" t="s">
        <v>11</v>
      </c>
      <c r="BT4183" s="1" t="s">
        <v>68</v>
      </c>
      <c r="DN4183" s="1" t="s">
        <v>114</v>
      </c>
      <c r="GD4183" s="1" t="s">
        <v>189</v>
      </c>
      <c r="GE4183" s="1" t="s">
        <v>190</v>
      </c>
    </row>
    <row r="4184" spans="1:187" ht="11.25" customHeight="1">
      <c r="A4184" s="1" t="s">
        <v>5924</v>
      </c>
      <c r="B4184" s="1" t="str">
        <f ca="1">IFERROR(__xludf.DUMMYFUNCTION("GOOGLETRANSLATE(A4184, ""en"", ""fr"")"),"FLEURIR")</f>
        <v>FLEURIR</v>
      </c>
      <c r="C4184" s="1" t="s">
        <v>185</v>
      </c>
      <c r="D4184" s="1" t="s">
        <v>16612</v>
      </c>
      <c r="F4184" s="1" t="s">
        <v>2</v>
      </c>
      <c r="J4184" s="1" t="s">
        <v>6</v>
      </c>
      <c r="K4184" s="1" t="s">
        <v>7</v>
      </c>
      <c r="BX4184" s="1" t="s">
        <v>72</v>
      </c>
      <c r="EZ4184" s="1" t="s">
        <v>152</v>
      </c>
      <c r="FC4184" s="1" t="s">
        <v>155</v>
      </c>
      <c r="GD4184" s="1" t="s">
        <v>202</v>
      </c>
      <c r="GE4184" s="1" t="s">
        <v>190</v>
      </c>
    </row>
    <row r="4185" spans="1:187" ht="11.25" customHeight="1">
      <c r="A4185" s="1" t="s">
        <v>5925</v>
      </c>
      <c r="B4185" s="1" t="str">
        <f ca="1">IFERROR(__xludf.DUMMYFUNCTION("GOOGLETRANSLATE(A4185, ""en"", ""fr"")"),"Flux n ° 1")</f>
        <v>Flux n ° 1</v>
      </c>
      <c r="C4185" s="1" t="s">
        <v>185</v>
      </c>
      <c r="N4185" s="1" t="s">
        <v>10</v>
      </c>
      <c r="CE4185" s="1" t="s">
        <v>79</v>
      </c>
      <c r="GD4185" s="1" t="s">
        <v>193</v>
      </c>
      <c r="GE4185" s="1" t="s">
        <v>5926</v>
      </c>
    </row>
    <row r="4186" spans="1:187" ht="11.25" customHeight="1">
      <c r="A4186" s="1" t="s">
        <v>5927</v>
      </c>
      <c r="B4186" s="1" t="str">
        <f ca="1">IFERROR(__xludf.DUMMYFUNCTION("GOOGLETRANSLATE(A4186, ""en"", ""fr"")"),"Flux n ° 2")</f>
        <v>Flux n ° 2</v>
      </c>
      <c r="C4186" s="1" t="s">
        <v>185</v>
      </c>
      <c r="N4186" s="1" t="s">
        <v>10</v>
      </c>
      <c r="CE4186" s="1" t="s">
        <v>79</v>
      </c>
      <c r="DN4186" s="1" t="s">
        <v>114</v>
      </c>
      <c r="GD4186" s="1" t="s">
        <v>189</v>
      </c>
      <c r="GE4186" s="1" t="s">
        <v>5928</v>
      </c>
    </row>
    <row r="4187" spans="1:187" ht="11.25" customHeight="1">
      <c r="A4187" s="1" t="s">
        <v>5929</v>
      </c>
      <c r="B4187" s="1" t="str">
        <f ca="1">IFERROR(__xludf.DUMMYFUNCTION("GOOGLETRANSLATE(A4187, ""en"", ""fr"")"),"Flux n ° 3")</f>
        <v>Flux n ° 3</v>
      </c>
      <c r="C4187" s="1" t="s">
        <v>185</v>
      </c>
      <c r="N4187" s="1" t="s">
        <v>10</v>
      </c>
      <c r="CE4187" s="1" t="s">
        <v>79</v>
      </c>
      <c r="GD4187" s="1" t="s">
        <v>202</v>
      </c>
      <c r="GE4187" s="1" t="s">
        <v>5930</v>
      </c>
    </row>
    <row r="4188" spans="1:187" ht="11.25" customHeight="1">
      <c r="A4188" s="1" t="s">
        <v>5931</v>
      </c>
      <c r="B4188" s="1" t="str">
        <f ca="1">IFERROR(__xludf.DUMMYFUNCTION("GOOGLETRANSLATE(A4188, ""en"", ""fr"")"),"Fleur n ° 1")</f>
        <v>Fleur n ° 1</v>
      </c>
      <c r="C4188" s="1" t="s">
        <v>185</v>
      </c>
      <c r="BC4188" s="1" t="s">
        <v>51</v>
      </c>
      <c r="BI4188" s="1" t="s">
        <v>57</v>
      </c>
      <c r="GD4188" s="1" t="s">
        <v>193</v>
      </c>
      <c r="GE4188" s="1" t="s">
        <v>5932</v>
      </c>
    </row>
    <row r="4189" spans="1:187" ht="11.25" customHeight="1">
      <c r="A4189" s="1" t="s">
        <v>5933</v>
      </c>
      <c r="B4189" s="1" t="str">
        <f ca="1">IFERROR(__xludf.DUMMYFUNCTION("GOOGLETRANSLATE(A4189, ""en"", ""fr"")"),"Fleur n ° 2")</f>
        <v>Fleur n ° 2</v>
      </c>
      <c r="C4189" s="1" t="s">
        <v>185</v>
      </c>
      <c r="BU4189" s="1" t="s">
        <v>69</v>
      </c>
      <c r="DN4189" s="1" t="s">
        <v>114</v>
      </c>
      <c r="GD4189" s="1" t="s">
        <v>189</v>
      </c>
      <c r="GE4189" s="1" t="s">
        <v>5934</v>
      </c>
    </row>
    <row r="4190" spans="1:187" ht="11.25" customHeight="1">
      <c r="A4190" s="1" t="s">
        <v>5935</v>
      </c>
      <c r="B4190" s="1" t="str">
        <f ca="1">IFERROR(__xludf.DUMMYFUNCTION("GOOGLETRANSLATE(A4190, ""en"", ""fr"")"),"Fleur n ° 3")</f>
        <v>Fleur n ° 3</v>
      </c>
      <c r="C4190" s="1" t="s">
        <v>185</v>
      </c>
      <c r="CR4190" s="1" t="s">
        <v>92</v>
      </c>
      <c r="GD4190" s="1" t="s">
        <v>202</v>
      </c>
      <c r="GE4190" s="1" t="s">
        <v>5936</v>
      </c>
    </row>
    <row r="4191" spans="1:187" ht="11.25" customHeight="1">
      <c r="A4191" s="1" t="s">
        <v>5937</v>
      </c>
      <c r="B4191" s="1" t="str">
        <f ca="1">IFERROR(__xludf.DUMMYFUNCTION("GOOGLETRANSLATE(A4191, ""en"", ""fr"")"),"Fleur n ° 4")</f>
        <v>Fleur n ° 4</v>
      </c>
      <c r="C4191" s="1" t="s">
        <v>185</v>
      </c>
      <c r="BU4191" s="1" t="s">
        <v>69</v>
      </c>
      <c r="GD4191" s="1" t="s">
        <v>202</v>
      </c>
      <c r="GE4191" s="1" t="s">
        <v>5938</v>
      </c>
    </row>
    <row r="4192" spans="1:187" ht="11.25" customHeight="1">
      <c r="A4192" s="1" t="s">
        <v>5939</v>
      </c>
      <c r="B4192" s="1" t="str">
        <f ca="1">IFERROR(__xludf.DUMMYFUNCTION("GOOGLETRANSLATE(A4192, ""en"", ""fr"")"),"Avalé")</f>
        <v>Avalé</v>
      </c>
      <c r="C4192" s="1" t="s">
        <v>185</v>
      </c>
      <c r="N4192" s="1" t="s">
        <v>10</v>
      </c>
      <c r="CE4192" s="1" t="s">
        <v>79</v>
      </c>
      <c r="DN4192" s="1" t="s">
        <v>114</v>
      </c>
      <c r="GD4192" s="1" t="s">
        <v>1076</v>
      </c>
      <c r="GE4192" s="1" t="s">
        <v>190</v>
      </c>
    </row>
    <row r="4193" spans="1:187" ht="11.25" customHeight="1">
      <c r="A4193" s="1" t="s">
        <v>5940</v>
      </c>
      <c r="B4193" s="1" t="str">
        <f ca="1">IFERROR(__xludf.DUMMYFUNCTION("GOOGLETRANSLATE(A4193, ""en"", ""fr"")"),"GRIPPE")</f>
        <v>GRIPPE</v>
      </c>
      <c r="C4193" s="1" t="s">
        <v>185</v>
      </c>
      <c r="V4193" s="1" t="s">
        <v>18</v>
      </c>
      <c r="EZ4193" s="1" t="s">
        <v>152</v>
      </c>
      <c r="FC4193" s="1" t="s">
        <v>155</v>
      </c>
      <c r="GD4193" s="1" t="s">
        <v>193</v>
      </c>
      <c r="GE4193" s="1" t="s">
        <v>190</v>
      </c>
    </row>
    <row r="4194" spans="1:187" ht="11.25" customHeight="1">
      <c r="A4194" s="1" t="s">
        <v>5941</v>
      </c>
      <c r="B4194" s="1" t="str">
        <f ca="1">IFERROR(__xludf.DUMMYFUNCTION("GOOGLETRANSLATE(A4194, ""en"", ""fr"")"),"FLUCTUER")</f>
        <v>FLUCTUER</v>
      </c>
      <c r="C4194" s="1" t="s">
        <v>196</v>
      </c>
      <c r="GD4194" s="1" t="s">
        <v>189</v>
      </c>
    </row>
    <row r="4195" spans="1:187" ht="11.25" customHeight="1">
      <c r="A4195" s="1" t="s">
        <v>5942</v>
      </c>
      <c r="B4195" s="1" t="str">
        <f ca="1">IFERROR(__xludf.DUMMYFUNCTION("GOOGLETRANSLATE(A4195, ""en"", ""fr"")"),"COURANT")</f>
        <v>COURANT</v>
      </c>
      <c r="C4195" s="1" t="s">
        <v>192</v>
      </c>
      <c r="D4195" s="1" t="s">
        <v>16612</v>
      </c>
      <c r="U4195" s="1" t="s">
        <v>17</v>
      </c>
      <c r="BK4195" s="1" t="s">
        <v>59</v>
      </c>
      <c r="DR4195" s="1" t="s">
        <v>118</v>
      </c>
      <c r="GD4195" s="1" t="s">
        <v>202</v>
      </c>
      <c r="GE4195" s="1" t="s">
        <v>190</v>
      </c>
    </row>
    <row r="4196" spans="1:187" ht="11.25" customHeight="1">
      <c r="A4196" s="1" t="s">
        <v>5943</v>
      </c>
      <c r="B4196" s="1" t="str">
        <f ca="1">IFERROR(__xludf.DUMMYFUNCTION("GOOGLETRANSLATE(A4196, ""en"", ""fr"")"),"FLUIDE")</f>
        <v>FLUIDE</v>
      </c>
      <c r="C4196" s="1" t="s">
        <v>185</v>
      </c>
      <c r="BU4196" s="1" t="s">
        <v>69</v>
      </c>
      <c r="GD4196" s="1" t="s">
        <v>193</v>
      </c>
      <c r="GE4196" s="1" t="s">
        <v>190</v>
      </c>
    </row>
    <row r="4197" spans="1:187" ht="11.25" customHeight="1">
      <c r="A4197" s="1" t="s">
        <v>5944</v>
      </c>
      <c r="B4197" s="1" t="str">
        <f ca="1">IFERROR(__xludf.DUMMYFUNCTION("GOOGLETRANSLATE(A4197, ""en"", ""fr"")"),"Couler")</f>
        <v>Couler</v>
      </c>
      <c r="C4197" s="1" t="s">
        <v>185</v>
      </c>
      <c r="N4197" s="1" t="s">
        <v>10</v>
      </c>
      <c r="CC4197" s="1" t="s">
        <v>77</v>
      </c>
      <c r="DN4197" s="1" t="s">
        <v>114</v>
      </c>
      <c r="GD4197" s="1" t="s">
        <v>1076</v>
      </c>
      <c r="GE4197" s="1" t="s">
        <v>190</v>
      </c>
    </row>
    <row r="4198" spans="1:187" ht="11.25" customHeight="1">
      <c r="A4198" s="1" t="s">
        <v>5945</v>
      </c>
      <c r="B4198" s="1" t="str">
        <f ca="1">IFERROR(__xludf.DUMMYFUNCTION("GOOGLETRANSLATE(A4198, ""en"", ""fr"")"),"FLUX")</f>
        <v>FLUX</v>
      </c>
      <c r="C4198" s="1" t="s">
        <v>185</v>
      </c>
      <c r="O4198" s="1" t="s">
        <v>11</v>
      </c>
      <c r="BW4198" s="1" t="s">
        <v>71</v>
      </c>
      <c r="CP4198" s="1" t="s">
        <v>90</v>
      </c>
      <c r="CQ4198" s="1" t="s">
        <v>91</v>
      </c>
      <c r="GD4198" s="1" t="s">
        <v>193</v>
      </c>
      <c r="GE4198" s="1" t="s">
        <v>190</v>
      </c>
    </row>
    <row r="4199" spans="1:187" ht="11.25" customHeight="1">
      <c r="A4199" s="1" t="s">
        <v>5946</v>
      </c>
      <c r="B4199" s="1" t="str">
        <f ca="1">IFERROR(__xludf.DUMMYFUNCTION("GOOGLETRANSLATE(A4199, ""en"", ""fr"")"),"Vole n ° 1")</f>
        <v>Vole n ° 1</v>
      </c>
      <c r="C4199" s="1" t="s">
        <v>185</v>
      </c>
      <c r="AU4199" s="1" t="s">
        <v>43</v>
      </c>
      <c r="GD4199" s="1" t="s">
        <v>193</v>
      </c>
      <c r="GE4199" s="1" t="s">
        <v>5947</v>
      </c>
    </row>
    <row r="4200" spans="1:187" ht="11.25" customHeight="1">
      <c r="A4200" s="1" t="s">
        <v>5948</v>
      </c>
      <c r="B4200" s="1" t="str">
        <f ca="1">IFERROR(__xludf.DUMMYFUNCTION("GOOGLETRANSLATE(A4200, ""en"", ""fr"")"),"Vole n ° 2")</f>
        <v>Vole n ° 2</v>
      </c>
      <c r="C4200" s="1" t="s">
        <v>185</v>
      </c>
      <c r="J4200" s="1" t="s">
        <v>6</v>
      </c>
      <c r="N4200" s="1" t="s">
        <v>10</v>
      </c>
      <c r="CB4200" s="1" t="s">
        <v>76</v>
      </c>
      <c r="DN4200" s="1" t="s">
        <v>114</v>
      </c>
      <c r="GD4200" s="1" t="s">
        <v>189</v>
      </c>
      <c r="GE4200" s="1" t="s">
        <v>5949</v>
      </c>
    </row>
    <row r="4201" spans="1:187" ht="11.25" customHeight="1">
      <c r="A4201" s="1" t="s">
        <v>5950</v>
      </c>
      <c r="B4201" s="1" t="str">
        <f ca="1">IFERROR(__xludf.DUMMYFUNCTION("GOOGLETRANSLATE(A4201, ""en"", ""fr"")"),"Fly # 3")</f>
        <v>Fly # 3</v>
      </c>
      <c r="C4201" s="1" t="s">
        <v>185</v>
      </c>
      <c r="BC4201" s="1" t="s">
        <v>51</v>
      </c>
      <c r="BD4201" s="1" t="s">
        <v>52</v>
      </c>
      <c r="GD4201" s="1" t="s">
        <v>193</v>
      </c>
      <c r="GE4201" s="1" t="s">
        <v>5951</v>
      </c>
    </row>
    <row r="4202" spans="1:187" ht="11.25" customHeight="1">
      <c r="A4202" s="1" t="s">
        <v>5952</v>
      </c>
      <c r="B4202" s="1" t="str">
        <f ca="1">IFERROR(__xludf.DUMMYFUNCTION("GOOGLETRANSLATE(A4202, ""en"", ""fr"")"),"Fly # 4")</f>
        <v>Fly # 4</v>
      </c>
      <c r="C4202" s="1" t="s">
        <v>185</v>
      </c>
      <c r="J4202" s="1" t="s">
        <v>6</v>
      </c>
      <c r="N4202" s="1" t="s">
        <v>10</v>
      </c>
      <c r="CE4202" s="1" t="s">
        <v>79</v>
      </c>
      <c r="GD4202" s="1" t="s">
        <v>202</v>
      </c>
      <c r="GE4202" s="1" t="s">
        <v>5953</v>
      </c>
    </row>
    <row r="4203" spans="1:187" ht="11.25" customHeight="1">
      <c r="A4203" s="1" t="s">
        <v>5954</v>
      </c>
      <c r="B4203" s="1" t="str">
        <f ca="1">IFERROR(__xludf.DUMMYFUNCTION("GOOGLETRANSLATE(A4203, ""en"", ""fr"")"),"PROSPECTUS")</f>
        <v>PROSPECTUS</v>
      </c>
      <c r="C4203" s="1" t="s">
        <v>185</v>
      </c>
      <c r="AA4203" s="1" t="s">
        <v>23</v>
      </c>
      <c r="AJ4203" s="1" t="s">
        <v>32</v>
      </c>
      <c r="AT4203" s="1" t="s">
        <v>42</v>
      </c>
      <c r="DY4203" s="1" t="s">
        <v>125</v>
      </c>
      <c r="ED4203" s="1" t="s">
        <v>130</v>
      </c>
      <c r="GD4203" s="1" t="s">
        <v>193</v>
      </c>
      <c r="GE4203" s="1" t="s">
        <v>190</v>
      </c>
    </row>
    <row r="4204" spans="1:187" ht="11.25" customHeight="1">
      <c r="A4204" s="1" t="s">
        <v>5955</v>
      </c>
      <c r="B4204" s="1" t="str">
        <f ca="1">IFERROR(__xludf.DUMMYFUNCTION("GOOGLETRANSLATE(A4204, ""en"", ""fr"")"),"Mousse n ° 1")</f>
        <v>Mousse n ° 1</v>
      </c>
      <c r="C4204" s="1" t="s">
        <v>185</v>
      </c>
      <c r="AV4204" s="1" t="s">
        <v>44</v>
      </c>
      <c r="AZ4204" s="1" t="s">
        <v>48</v>
      </c>
      <c r="GD4204" s="1" t="s">
        <v>193</v>
      </c>
      <c r="GE4204" s="1" t="s">
        <v>190</v>
      </c>
    </row>
    <row r="4205" spans="1:187" ht="11.25" customHeight="1">
      <c r="A4205" s="1" t="s">
        <v>5956</v>
      </c>
      <c r="B4205" s="1" t="str">
        <f ca="1">IFERROR(__xludf.DUMMYFUNCTION("GOOGLETRANSLATE(A4205, ""en"", ""fr"")"),"Mousse n ° 2")</f>
        <v>Mousse n ° 2</v>
      </c>
      <c r="C4205" s="1" t="s">
        <v>185</v>
      </c>
      <c r="BW4205" s="1" t="s">
        <v>71</v>
      </c>
      <c r="DN4205" s="1" t="s">
        <v>114</v>
      </c>
      <c r="GD4205" s="1" t="s">
        <v>189</v>
      </c>
      <c r="GE4205" s="1" t="s">
        <v>190</v>
      </c>
    </row>
    <row r="4206" spans="1:187" ht="11.25" customHeight="1">
      <c r="A4206" s="1" t="s">
        <v>5957</v>
      </c>
      <c r="B4206" s="1" t="str">
        <f ca="1">IFERROR(__xludf.DUMMYFUNCTION("GOOGLETRANSLATE(A4206, ""en"", ""fr"")"),"FOCAL")</f>
        <v>FOCAL</v>
      </c>
      <c r="C4206" s="1" t="s">
        <v>185</v>
      </c>
      <c r="J4206" s="1" t="s">
        <v>6</v>
      </c>
      <c r="W4206" s="1" t="s">
        <v>19</v>
      </c>
      <c r="DA4206" s="1" t="s">
        <v>101</v>
      </c>
      <c r="GD4206" s="1" t="s">
        <v>202</v>
      </c>
      <c r="GE4206" s="1" t="s">
        <v>190</v>
      </c>
    </row>
    <row r="4207" spans="1:187" ht="11.25" customHeight="1">
      <c r="A4207" s="1" t="s">
        <v>5958</v>
      </c>
      <c r="B4207" s="1" t="str">
        <f ca="1">IFERROR(__xludf.DUMMYFUNCTION("GOOGLETRANSLATE(A4207, ""en"", ""fr"")"),"Focus n ° 1")</f>
        <v>Focus n ° 1</v>
      </c>
      <c r="C4207" s="1" t="s">
        <v>185</v>
      </c>
      <c r="CK4207" s="1" t="s">
        <v>85</v>
      </c>
      <c r="FH4207" s="1" t="s">
        <v>160</v>
      </c>
      <c r="FI4207" s="1" t="s">
        <v>161</v>
      </c>
      <c r="GD4207" s="1" t="s">
        <v>193</v>
      </c>
      <c r="GE4207" s="1" t="s">
        <v>190</v>
      </c>
    </row>
    <row r="4208" spans="1:187" ht="11.25" customHeight="1">
      <c r="A4208" s="1" t="s">
        <v>5959</v>
      </c>
      <c r="B4208" s="1" t="str">
        <f ca="1">IFERROR(__xludf.DUMMYFUNCTION("GOOGLETRANSLATE(A4208, ""en"", ""fr"")"),"Focus # 2")</f>
        <v>Focus # 2</v>
      </c>
      <c r="C4208" s="1" t="s">
        <v>185</v>
      </c>
      <c r="CK4208" s="1" t="s">
        <v>85</v>
      </c>
      <c r="DN4208" s="1" t="s">
        <v>114</v>
      </c>
      <c r="FH4208" s="1" t="s">
        <v>160</v>
      </c>
      <c r="FI4208" s="1" t="s">
        <v>161</v>
      </c>
      <c r="GD4208" s="1" t="s">
        <v>189</v>
      </c>
      <c r="GE4208" s="1" t="s">
        <v>190</v>
      </c>
    </row>
    <row r="4209" spans="1:187" ht="11.25" customHeight="1">
      <c r="A4209" s="1" t="s">
        <v>5960</v>
      </c>
      <c r="B4209" s="1" t="str">
        <f ca="1">IFERROR(__xludf.DUMMYFUNCTION("GOOGLETRANSLATE(A4209, ""en"", ""fr"")"),"ENNEMI")</f>
        <v>ENNEMI</v>
      </c>
      <c r="C4209" s="1" t="s">
        <v>185</v>
      </c>
      <c r="E4209" s="1" t="s">
        <v>16613</v>
      </c>
      <c r="I4209" s="1" t="s">
        <v>5</v>
      </c>
      <c r="AT4209" s="1" t="s">
        <v>42</v>
      </c>
      <c r="DW4209" s="1" t="s">
        <v>123</v>
      </c>
      <c r="ED4209" s="1" t="s">
        <v>130</v>
      </c>
      <c r="GD4209" s="1" t="s">
        <v>193</v>
      </c>
      <c r="GE4209" s="1" t="s">
        <v>190</v>
      </c>
    </row>
    <row r="4210" spans="1:187" ht="11.25" customHeight="1">
      <c r="A4210" s="1" t="s">
        <v>5961</v>
      </c>
      <c r="B4210" s="1" t="str">
        <f ca="1">IFERROR(__xludf.DUMMYFUNCTION("GOOGLETRANSLATE(A4210, ""en"", ""fr"")"),"BROUILLARD")</f>
        <v>BROUILLARD</v>
      </c>
      <c r="C4210" s="1" t="s">
        <v>185</v>
      </c>
      <c r="AV4210" s="1" t="s">
        <v>44</v>
      </c>
      <c r="BB4210" s="1" t="s">
        <v>50</v>
      </c>
      <c r="GD4210" s="1" t="s">
        <v>193</v>
      </c>
      <c r="GE4210" s="1" t="s">
        <v>190</v>
      </c>
    </row>
    <row r="4211" spans="1:187" ht="11.25" customHeight="1">
      <c r="A4211" s="1" t="s">
        <v>5962</v>
      </c>
      <c r="B4211" s="1" t="str">
        <f ca="1">IFERROR(__xludf.DUMMYFUNCTION("GOOGLETRANSLATE(A4211, ""en"", ""fr"")"),"BRUMEUX")</f>
        <v>BRUMEUX</v>
      </c>
      <c r="C4211" s="1" t="s">
        <v>185</v>
      </c>
      <c r="CR4211" s="1" t="s">
        <v>92</v>
      </c>
      <c r="GD4211" s="1" t="s">
        <v>202</v>
      </c>
      <c r="GE4211" s="1" t="s">
        <v>190</v>
      </c>
    </row>
    <row r="4212" spans="1:187" ht="11.25" customHeight="1">
      <c r="A4212" s="1" t="s">
        <v>5963</v>
      </c>
      <c r="B4212" s="1" t="str">
        <f ca="1">IFERROR(__xludf.DUMMYFUNCTION("GOOGLETRANSLATE(A4212, ""en"", ""fr"")"),"Noix")</f>
        <v>Noix</v>
      </c>
      <c r="C4212" s="1" t="s">
        <v>192</v>
      </c>
      <c r="E4212" s="1" t="s">
        <v>16613</v>
      </c>
      <c r="L4212" s="1" t="s">
        <v>8</v>
      </c>
      <c r="BT4212" s="1" t="s">
        <v>68</v>
      </c>
      <c r="GD4212" s="1" t="s">
        <v>193</v>
      </c>
      <c r="GE4212" s="1" t="s">
        <v>190</v>
      </c>
    </row>
    <row r="4213" spans="1:187" ht="11.25" customHeight="1">
      <c r="A4213" s="1" t="s">
        <v>5964</v>
      </c>
      <c r="B4213" s="1" t="str">
        <f ca="1">IFERROR(__xludf.DUMMYFUNCTION("GOOGLETRANSLATE(A4213, ""en"", ""fr"")"),"PLI")</f>
        <v>PLI</v>
      </c>
      <c r="C4213" s="1" t="s">
        <v>185</v>
      </c>
      <c r="AL4213" s="1" t="s">
        <v>34</v>
      </c>
      <c r="DN4213" s="1" t="s">
        <v>114</v>
      </c>
      <c r="GD4213" s="1" t="s">
        <v>189</v>
      </c>
      <c r="GE4213" s="1" t="s">
        <v>190</v>
      </c>
    </row>
    <row r="4214" spans="1:187" ht="11.25" customHeight="1">
      <c r="A4214" s="1" t="s">
        <v>5965</v>
      </c>
      <c r="B4214" s="1" t="str">
        <f ca="1">IFERROR(__xludf.DUMMYFUNCTION("GOOGLETRANSLATE(A4214, ""en"", ""fr"")"),"DOSSIER")</f>
        <v>DOSSIER</v>
      </c>
      <c r="C4214" s="1" t="s">
        <v>185</v>
      </c>
      <c r="BC4214" s="1" t="s">
        <v>51</v>
      </c>
      <c r="BH4214" s="1" t="s">
        <v>56</v>
      </c>
      <c r="BL4214" s="1" t="s">
        <v>60</v>
      </c>
      <c r="FS4214" s="1" t="s">
        <v>171</v>
      </c>
      <c r="GD4214" s="1" t="s">
        <v>193</v>
      </c>
      <c r="GE4214" s="1" t="s">
        <v>190</v>
      </c>
    </row>
    <row r="4215" spans="1:187" ht="11.25" customHeight="1">
      <c r="A4215" s="1" t="s">
        <v>5966</v>
      </c>
      <c r="B4215" s="1" t="str">
        <f ca="1">IFERROR(__xludf.DUMMYFUNCTION("GOOGLETRANSLATE(A4215, ""en"", ""fr"")"),"Folk # 1")</f>
        <v>Folk # 1</v>
      </c>
      <c r="C4215" s="1" t="s">
        <v>185</v>
      </c>
      <c r="AK4215" s="1" t="s">
        <v>33</v>
      </c>
      <c r="AP4215" s="1" t="s">
        <v>38</v>
      </c>
      <c r="AT4215" s="1" t="s">
        <v>42</v>
      </c>
      <c r="FS4215" s="1" t="s">
        <v>171</v>
      </c>
      <c r="GD4215" s="1" t="s">
        <v>193</v>
      </c>
      <c r="GE4215" s="1" t="s">
        <v>5967</v>
      </c>
    </row>
    <row r="4216" spans="1:187" ht="11.25" customHeight="1">
      <c r="A4216" s="1" t="s">
        <v>5968</v>
      </c>
      <c r="B4216" s="1" t="str">
        <f ca="1">IFERROR(__xludf.DUMMYFUNCTION("GOOGLETRANSLATE(A4216, ""en"", ""fr"")"),"Folk # 2")</f>
        <v>Folk # 2</v>
      </c>
      <c r="C4216" s="1" t="s">
        <v>185</v>
      </c>
      <c r="AK4216" s="1" t="s">
        <v>33</v>
      </c>
      <c r="AT4216" s="1" t="s">
        <v>42</v>
      </c>
      <c r="GD4216" s="1" t="s">
        <v>202</v>
      </c>
      <c r="GE4216" s="1" t="s">
        <v>5969</v>
      </c>
    </row>
    <row r="4217" spans="1:187" ht="11.25" customHeight="1">
      <c r="A4217" s="1" t="s">
        <v>5970</v>
      </c>
      <c r="B4217" s="1" t="str">
        <f ca="1">IFERROR(__xludf.DUMMYFUNCTION("GOOGLETRANSLATE(A4217, ""en"", ""fr"")"),"Folk # 3")</f>
        <v>Folk # 3</v>
      </c>
      <c r="C4217" s="1" t="s">
        <v>185</v>
      </c>
      <c r="AJ4217" s="1" t="s">
        <v>32</v>
      </c>
      <c r="AP4217" s="1" t="s">
        <v>38</v>
      </c>
      <c r="AT4217" s="1" t="s">
        <v>42</v>
      </c>
      <c r="EQ4217" s="1" t="s">
        <v>143</v>
      </c>
      <c r="ES4217" s="1" t="s">
        <v>145</v>
      </c>
      <c r="GD4217" s="1" t="s">
        <v>837</v>
      </c>
      <c r="GE4217" s="1" t="s">
        <v>5971</v>
      </c>
    </row>
    <row r="4218" spans="1:187" ht="11.25" customHeight="1">
      <c r="A4218" s="1" t="s">
        <v>5972</v>
      </c>
      <c r="B4218" s="1" t="str">
        <f ca="1">IFERROR(__xludf.DUMMYFUNCTION("GOOGLETRANSLATE(A4218, ""en"", ""fr"")"),"FOLKLORE")</f>
        <v>FOLKLORE</v>
      </c>
      <c r="C4218" s="1" t="s">
        <v>185</v>
      </c>
      <c r="BK4218" s="1" t="s">
        <v>59</v>
      </c>
      <c r="BL4218" s="1" t="s">
        <v>60</v>
      </c>
      <c r="GC4218" s="1" t="s">
        <v>181</v>
      </c>
      <c r="GD4218" s="1" t="s">
        <v>193</v>
      </c>
      <c r="GE4218" s="1" t="s">
        <v>190</v>
      </c>
    </row>
    <row r="4219" spans="1:187" ht="11.25" customHeight="1">
      <c r="A4219" s="1" t="s">
        <v>5973</v>
      </c>
      <c r="B4219" s="1" t="str">
        <f ca="1">IFERROR(__xludf.DUMMYFUNCTION("GOOGLETRANSLATE(A4219, ""en"", ""fr"")"),"Folklorique")</f>
        <v>Folklorique</v>
      </c>
      <c r="C4219" s="1" t="s">
        <v>185</v>
      </c>
      <c r="U4219" s="1" t="s">
        <v>17</v>
      </c>
      <c r="GD4219" s="1" t="s">
        <v>202</v>
      </c>
      <c r="GE4219" s="1" t="s">
        <v>190</v>
      </c>
    </row>
    <row r="4220" spans="1:187" ht="11.25" customHeight="1">
      <c r="A4220" s="1" t="s">
        <v>5974</v>
      </c>
      <c r="B4220" s="1" t="str">
        <f ca="1">IFERROR(__xludf.DUMMYFUNCTION("GOOGLETRANSLATE(A4220, ""en"", ""fr"")"),"CONTES POPULAIRES")</f>
        <v>CONTES POPULAIRES</v>
      </c>
      <c r="C4220" s="1" t="s">
        <v>185</v>
      </c>
      <c r="BK4220" s="1" t="s">
        <v>59</v>
      </c>
      <c r="BL4220" s="1" t="s">
        <v>60</v>
      </c>
      <c r="GC4220" s="1" t="s">
        <v>181</v>
      </c>
      <c r="GD4220" s="1" t="s">
        <v>193</v>
      </c>
      <c r="GE4220" s="1" t="s">
        <v>190</v>
      </c>
    </row>
    <row r="4221" spans="1:187" ht="11.25" customHeight="1">
      <c r="A4221" s="1" t="s">
        <v>5975</v>
      </c>
      <c r="B4221" s="1" t="str">
        <f ca="1">IFERROR(__xludf.DUMMYFUNCTION("GOOGLETRANSLATE(A4221, ""en"", ""fr"")"),"Suivez n ° 1")</f>
        <v>Suivez n ° 1</v>
      </c>
      <c r="C4221" s="1" t="s">
        <v>185</v>
      </c>
      <c r="L4221" s="1" t="s">
        <v>8</v>
      </c>
      <c r="M4221" s="1" t="s">
        <v>9</v>
      </c>
      <c r="O4221" s="1" t="s">
        <v>11</v>
      </c>
      <c r="AN4221" s="1" t="s">
        <v>36</v>
      </c>
      <c r="DN4221" s="1" t="s">
        <v>114</v>
      </c>
      <c r="DS4221" s="1" t="s">
        <v>119</v>
      </c>
      <c r="ED4221" s="1" t="s">
        <v>130</v>
      </c>
      <c r="GD4221" s="1" t="s">
        <v>189</v>
      </c>
      <c r="GE4221" s="1" t="s">
        <v>5976</v>
      </c>
    </row>
    <row r="4222" spans="1:187" ht="11.25" customHeight="1">
      <c r="A4222" s="1" t="s">
        <v>5977</v>
      </c>
      <c r="B4222" s="1" t="str">
        <f ca="1">IFERROR(__xludf.DUMMYFUNCTION("GOOGLETRANSLATE(A4222, ""en"", ""fr"")"),"Suivez # 2")</f>
        <v>Suivez # 2</v>
      </c>
      <c r="C4222" s="1" t="s">
        <v>185</v>
      </c>
      <c r="CE4222" s="1" t="s">
        <v>79</v>
      </c>
      <c r="DO4222" s="1" t="s">
        <v>115</v>
      </c>
      <c r="GB4222" s="1" t="s">
        <v>180</v>
      </c>
      <c r="GD4222" s="1" t="s">
        <v>189</v>
      </c>
      <c r="GE4222" s="1" t="s">
        <v>5978</v>
      </c>
    </row>
    <row r="4223" spans="1:187" ht="11.25" customHeight="1">
      <c r="A4223" s="1" t="s">
        <v>5979</v>
      </c>
      <c r="B4223" s="1" t="str">
        <f ca="1">IFERROR(__xludf.DUMMYFUNCTION("GOOGLETRANSLATE(A4223, ""en"", ""fr"")"),"Suivez # 3")</f>
        <v>Suivez # 3</v>
      </c>
      <c r="C4223" s="1" t="s">
        <v>185</v>
      </c>
      <c r="CT4223" s="1" t="s">
        <v>94</v>
      </c>
      <c r="CU4223" s="1" t="s">
        <v>95</v>
      </c>
      <c r="DB4223" s="1" t="s">
        <v>102</v>
      </c>
      <c r="GB4223" s="1" t="s">
        <v>180</v>
      </c>
      <c r="GD4223" s="1" t="s">
        <v>1756</v>
      </c>
      <c r="GE4223" s="1" t="s">
        <v>5980</v>
      </c>
    </row>
    <row r="4224" spans="1:187" ht="11.25" customHeight="1">
      <c r="A4224" s="1" t="s">
        <v>5981</v>
      </c>
      <c r="B4224" s="1" t="str">
        <f ca="1">IFERROR(__xludf.DUMMYFUNCTION("GOOGLETRANSLATE(A4224, ""en"", ""fr"")"),"Suivez # 4")</f>
        <v>Suivez # 4</v>
      </c>
      <c r="C4224" s="1" t="s">
        <v>192</v>
      </c>
      <c r="N4224" s="1" t="s">
        <v>10</v>
      </c>
      <c r="BP4224" s="1" t="s">
        <v>64</v>
      </c>
      <c r="DN4224" s="1" t="s">
        <v>114</v>
      </c>
      <c r="GD4224" s="1" t="s">
        <v>189</v>
      </c>
      <c r="GE4224" s="1" t="s">
        <v>5982</v>
      </c>
    </row>
    <row r="4225" spans="1:187" ht="11.25" customHeight="1">
      <c r="A4225" s="1" t="s">
        <v>5983</v>
      </c>
      <c r="B4225" s="1" t="str">
        <f ca="1">IFERROR(__xludf.DUMMYFUNCTION("GOOGLETRANSLATE(A4225, ""en"", ""fr"")"),"Suivez # 5")</f>
        <v>Suivez # 5</v>
      </c>
      <c r="C4225" s="1" t="s">
        <v>192</v>
      </c>
      <c r="CO4225" s="1" t="s">
        <v>89</v>
      </c>
      <c r="DN4225" s="1" t="s">
        <v>114</v>
      </c>
      <c r="GD4225" s="1" t="s">
        <v>189</v>
      </c>
      <c r="GE4225" s="1" t="s">
        <v>5984</v>
      </c>
    </row>
    <row r="4226" spans="1:187" ht="11.25" customHeight="1">
      <c r="A4226" s="1" t="s">
        <v>5985</v>
      </c>
      <c r="B4226" s="1" t="str">
        <f ca="1">IFERROR(__xludf.DUMMYFUNCTION("GOOGLETRANSLATE(A4226, ""en"", ""fr"")"),"Suivez # 6")</f>
        <v>Suivez # 6</v>
      </c>
      <c r="C4226" s="1" t="s">
        <v>192</v>
      </c>
      <c r="O4226" s="1" t="s">
        <v>11</v>
      </c>
      <c r="AK4226" s="1" t="s">
        <v>33</v>
      </c>
      <c r="AT4226" s="1" t="s">
        <v>42</v>
      </c>
      <c r="GD4226" s="1" t="s">
        <v>193</v>
      </c>
      <c r="GE4226" s="1" t="s">
        <v>5986</v>
      </c>
    </row>
    <row r="4227" spans="1:187" ht="11.25" customHeight="1">
      <c r="A4227" s="1" t="s">
        <v>5987</v>
      </c>
      <c r="B4227" s="1" t="str">
        <f ca="1">IFERROR(__xludf.DUMMYFUNCTION("GOOGLETRANSLATE(A4227, ""en"", ""fr"")"),"Suivez # 7")</f>
        <v>Suivez # 7</v>
      </c>
      <c r="C4227" s="1" t="s">
        <v>192</v>
      </c>
      <c r="N4227" s="1" t="s">
        <v>10</v>
      </c>
      <c r="CE4227" s="1" t="s">
        <v>79</v>
      </c>
      <c r="DN4227" s="1" t="s">
        <v>114</v>
      </c>
      <c r="GD4227" s="1" t="s">
        <v>189</v>
      </c>
      <c r="GE4227" s="1" t="s">
        <v>5988</v>
      </c>
    </row>
    <row r="4228" spans="1:187" ht="11.25" customHeight="1">
      <c r="A4228" s="1" t="s">
        <v>5989</v>
      </c>
      <c r="B4228" s="1" t="str">
        <f ca="1">IFERROR(__xludf.DUMMYFUNCTION("GOOGLETRANSLATE(A4228, ""en"", ""fr"")"),"DISCIPLE")</f>
        <v>DISCIPLE</v>
      </c>
      <c r="C4228" s="1" t="s">
        <v>185</v>
      </c>
      <c r="M4228" s="1" t="s">
        <v>9</v>
      </c>
      <c r="O4228" s="1" t="s">
        <v>11</v>
      </c>
      <c r="AJ4228" s="1" t="s">
        <v>32</v>
      </c>
      <c r="AT4228" s="1" t="s">
        <v>42</v>
      </c>
      <c r="DZ4228" s="1" t="s">
        <v>126</v>
      </c>
      <c r="ED4228" s="1" t="s">
        <v>130</v>
      </c>
      <c r="GD4228" s="1" t="s">
        <v>193</v>
      </c>
      <c r="GE4228" s="1" t="s">
        <v>190</v>
      </c>
    </row>
    <row r="4229" spans="1:187" ht="11.25" customHeight="1">
      <c r="A4229" s="1" t="s">
        <v>5990</v>
      </c>
      <c r="B4229" s="1" t="str">
        <f ca="1">IFERROR(__xludf.DUMMYFUNCTION("GOOGLETRANSLATE(A4229, ""en"", ""fr"")"),"Affectueux # 1")</f>
        <v>Affectueux # 1</v>
      </c>
      <c r="C4229" s="1" t="s">
        <v>185</v>
      </c>
      <c r="D4229" s="1" t="s">
        <v>16612</v>
      </c>
      <c r="F4229" s="1" t="s">
        <v>2</v>
      </c>
      <c r="G4229" s="1" t="s">
        <v>3</v>
      </c>
      <c r="S4229" s="1" t="s">
        <v>15</v>
      </c>
      <c r="ER4229" s="1" t="s">
        <v>144</v>
      </c>
      <c r="ES4229" s="1" t="s">
        <v>145</v>
      </c>
      <c r="GD4229" s="1" t="s">
        <v>202</v>
      </c>
      <c r="GE4229" s="1" t="s">
        <v>5991</v>
      </c>
    </row>
    <row r="4230" spans="1:187" ht="11.25" customHeight="1">
      <c r="A4230" s="1" t="s">
        <v>5992</v>
      </c>
      <c r="B4230" s="1" t="str">
        <f ca="1">IFERROR(__xludf.DUMMYFUNCTION("GOOGLETRANSLATE(A4230, ""en"", ""fr"")"),"Affectueux # 2")</f>
        <v>Affectueux # 2</v>
      </c>
      <c r="C4230" s="1" t="s">
        <v>185</v>
      </c>
      <c r="D4230" s="1" t="s">
        <v>16612</v>
      </c>
      <c r="F4230" s="1" t="s">
        <v>2</v>
      </c>
      <c r="G4230" s="1" t="s">
        <v>3</v>
      </c>
      <c r="U4230" s="1" t="s">
        <v>17</v>
      </c>
      <c r="ER4230" s="1" t="s">
        <v>144</v>
      </c>
      <c r="ES4230" s="1" t="s">
        <v>145</v>
      </c>
      <c r="GD4230" s="1" t="s">
        <v>421</v>
      </c>
      <c r="GE4230" s="1" t="s">
        <v>5993</v>
      </c>
    </row>
    <row r="4231" spans="1:187" ht="11.25" customHeight="1">
      <c r="A4231" s="1" t="s">
        <v>5994</v>
      </c>
      <c r="B4231" s="1" t="str">
        <f ca="1">IFERROR(__xludf.DUMMYFUNCTION("GOOGLETRANSLATE(A4231, ""en"", ""fr"")"),"Affectueux # 3")</f>
        <v>Affectueux # 3</v>
      </c>
      <c r="C4231" s="1" t="s">
        <v>185</v>
      </c>
      <c r="D4231" s="1" t="s">
        <v>16612</v>
      </c>
      <c r="F4231" s="1" t="s">
        <v>2</v>
      </c>
      <c r="G4231" s="1" t="s">
        <v>3</v>
      </c>
      <c r="S4231" s="1" t="s">
        <v>15</v>
      </c>
      <c r="ER4231" s="1" t="s">
        <v>144</v>
      </c>
      <c r="ES4231" s="1" t="s">
        <v>145</v>
      </c>
      <c r="GD4231" s="1" t="s">
        <v>236</v>
      </c>
      <c r="GE4231" s="1" t="s">
        <v>5995</v>
      </c>
    </row>
    <row r="4232" spans="1:187" ht="11.25" customHeight="1">
      <c r="A4232" s="1" t="s">
        <v>5996</v>
      </c>
      <c r="B4232" s="1" t="str">
        <f ca="1">IFERROR(__xludf.DUMMYFUNCTION("GOOGLETRANSLATE(A4232, ""en"", ""fr"")"),"Affectueux # 4")</f>
        <v>Affectueux # 4</v>
      </c>
      <c r="C4232" s="1" t="s">
        <v>185</v>
      </c>
      <c r="D4232" s="1" t="s">
        <v>16612</v>
      </c>
      <c r="F4232" s="1" t="s">
        <v>2</v>
      </c>
      <c r="G4232" s="1" t="s">
        <v>3</v>
      </c>
      <c r="S4232" s="1" t="s">
        <v>15</v>
      </c>
      <c r="ER4232" s="1" t="s">
        <v>144</v>
      </c>
      <c r="ES4232" s="1" t="s">
        <v>145</v>
      </c>
      <c r="GD4232" s="1" t="s">
        <v>202</v>
      </c>
      <c r="GE4232" s="1" t="s">
        <v>5997</v>
      </c>
    </row>
    <row r="4233" spans="1:187" ht="11.25" customHeight="1">
      <c r="A4233" s="1" t="s">
        <v>5998</v>
      </c>
      <c r="B4233" s="1" t="str">
        <f ca="1">IFERROR(__xludf.DUMMYFUNCTION("GOOGLETRANSLATE(A4233, ""en"", ""fr"")"),"Affectueux # 5")</f>
        <v>Affectueux # 5</v>
      </c>
      <c r="C4233" s="1" t="s">
        <v>185</v>
      </c>
      <c r="D4233" s="1" t="s">
        <v>16612</v>
      </c>
      <c r="F4233" s="1" t="s">
        <v>2</v>
      </c>
      <c r="G4233" s="1" t="s">
        <v>3</v>
      </c>
      <c r="U4233" s="1" t="s">
        <v>17</v>
      </c>
      <c r="ER4233" s="1" t="s">
        <v>144</v>
      </c>
      <c r="ES4233" s="1" t="s">
        <v>145</v>
      </c>
      <c r="GD4233" s="1" t="s">
        <v>202</v>
      </c>
      <c r="GE4233" s="1" t="s">
        <v>5999</v>
      </c>
    </row>
    <row r="4234" spans="1:187" ht="11.25" customHeight="1">
      <c r="A4234" s="1" t="s">
        <v>6000</v>
      </c>
      <c r="B4234" s="1" t="str">
        <f ca="1">IFERROR(__xludf.DUMMYFUNCTION("GOOGLETRANSLATE(A4234, ""en"", ""fr"")"),"Affectueux # 6")</f>
        <v>Affectueux # 6</v>
      </c>
      <c r="C4234" s="1" t="s">
        <v>185</v>
      </c>
      <c r="D4234" s="1" t="s">
        <v>16612</v>
      </c>
      <c r="F4234" s="1" t="s">
        <v>2</v>
      </c>
      <c r="G4234" s="1" t="s">
        <v>3</v>
      </c>
      <c r="S4234" s="1" t="s">
        <v>15</v>
      </c>
      <c r="ER4234" s="1" t="s">
        <v>144</v>
      </c>
      <c r="ES4234" s="1" t="s">
        <v>145</v>
      </c>
      <c r="GD4234" s="1" t="s">
        <v>202</v>
      </c>
      <c r="GE4234" s="1" t="s">
        <v>6001</v>
      </c>
    </row>
    <row r="4235" spans="1:187" ht="11.25" customHeight="1">
      <c r="A4235" s="1" t="s">
        <v>6002</v>
      </c>
      <c r="B4235" s="1" t="str">
        <f ca="1">IFERROR(__xludf.DUMMYFUNCTION("GOOGLETRANSLATE(A4235, ""en"", ""fr"")"),"Affectueux # 7")</f>
        <v>Affectueux # 7</v>
      </c>
      <c r="C4235" s="1" t="s">
        <v>185</v>
      </c>
      <c r="D4235" s="1" t="s">
        <v>16612</v>
      </c>
      <c r="F4235" s="1" t="s">
        <v>2</v>
      </c>
      <c r="G4235" s="1" t="s">
        <v>3</v>
      </c>
      <c r="U4235" s="1" t="s">
        <v>17</v>
      </c>
      <c r="ER4235" s="1" t="s">
        <v>144</v>
      </c>
      <c r="ES4235" s="1" t="s">
        <v>145</v>
      </c>
      <c r="GD4235" s="1" t="s">
        <v>202</v>
      </c>
      <c r="GE4235" s="1" t="s">
        <v>6003</v>
      </c>
    </row>
    <row r="4236" spans="1:187" ht="11.25" customHeight="1">
      <c r="A4236" s="1" t="s">
        <v>6004</v>
      </c>
      <c r="B4236" s="1" t="str">
        <f ca="1">IFERROR(__xludf.DUMMYFUNCTION("GOOGLETRANSLATE(A4236, ""en"", ""fr"")"),"PENCHANT")</f>
        <v>PENCHANT</v>
      </c>
      <c r="C4236" s="1" t="s">
        <v>192</v>
      </c>
      <c r="D4236" s="1" t="s">
        <v>16612</v>
      </c>
      <c r="P4236" s="1" t="s">
        <v>12</v>
      </c>
      <c r="T4236" s="1" t="s">
        <v>16</v>
      </c>
      <c r="GD4236" s="1" t="s">
        <v>1177</v>
      </c>
      <c r="GE4236" s="1" t="s">
        <v>190</v>
      </c>
    </row>
    <row r="4237" spans="1:187" ht="11.25" customHeight="1">
      <c r="A4237" s="1" t="s">
        <v>6005</v>
      </c>
      <c r="B4237" s="1" t="str">
        <f ca="1">IFERROR(__xludf.DUMMYFUNCTION("GOOGLETRANSLATE(A4237, ""en"", ""fr"")"),"NOURRITURE")</f>
        <v>NOURRITURE</v>
      </c>
      <c r="C4237" s="1" t="s">
        <v>185</v>
      </c>
      <c r="BC4237" s="1" t="s">
        <v>51</v>
      </c>
      <c r="BE4237" s="1" t="s">
        <v>53</v>
      </c>
      <c r="EZ4237" s="1" t="s">
        <v>152</v>
      </c>
      <c r="FC4237" s="1" t="s">
        <v>155</v>
      </c>
      <c r="GD4237" s="1" t="s">
        <v>193</v>
      </c>
      <c r="GE4237" s="1" t="s">
        <v>6006</v>
      </c>
    </row>
    <row r="4238" spans="1:187" ht="11.25" customHeight="1">
      <c r="A4238" s="1" t="s">
        <v>6007</v>
      </c>
      <c r="B4238" s="1" t="str">
        <f ca="1">IFERROR(__xludf.DUMMYFUNCTION("GOOGLETRANSLATE(A4238, ""en"", ""fr"")"),"Idiot # 1")</f>
        <v>Idiot # 1</v>
      </c>
      <c r="C4238" s="1" t="s">
        <v>185</v>
      </c>
      <c r="E4238" s="1" t="s">
        <v>16613</v>
      </c>
      <c r="H4238" s="1" t="s">
        <v>4</v>
      </c>
      <c r="L4238" s="1" t="s">
        <v>8</v>
      </c>
      <c r="AJ4238" s="1" t="s">
        <v>32</v>
      </c>
      <c r="AT4238" s="1" t="s">
        <v>42</v>
      </c>
      <c r="EM4238" s="1" t="s">
        <v>139</v>
      </c>
      <c r="EN4238" s="1" t="s">
        <v>140</v>
      </c>
      <c r="GD4238" s="1" t="s">
        <v>193</v>
      </c>
      <c r="GE4238" s="1" t="s">
        <v>6008</v>
      </c>
    </row>
    <row r="4239" spans="1:187" ht="11.25" customHeight="1">
      <c r="A4239" s="1" t="s">
        <v>6009</v>
      </c>
      <c r="B4239" s="1" t="str">
        <f ca="1">IFERROR(__xludf.DUMMYFUNCTION("GOOGLETRANSLATE(A4239, ""en"", ""fr"")"),"Idiot # 2")</f>
        <v>Idiot # 2</v>
      </c>
      <c r="C4239" s="1" t="s">
        <v>185</v>
      </c>
      <c r="E4239" s="1" t="s">
        <v>16613</v>
      </c>
      <c r="H4239" s="1" t="s">
        <v>4</v>
      </c>
      <c r="I4239" s="1" t="s">
        <v>5</v>
      </c>
      <c r="AN4239" s="1" t="s">
        <v>36</v>
      </c>
      <c r="DN4239" s="1" t="s">
        <v>114</v>
      </c>
      <c r="GD4239" s="1" t="s">
        <v>189</v>
      </c>
      <c r="GE4239" s="1" t="s">
        <v>6010</v>
      </c>
    </row>
    <row r="4240" spans="1:187" ht="11.25" customHeight="1">
      <c r="A4240" s="1" t="s">
        <v>6011</v>
      </c>
      <c r="B4240" s="1" t="str">
        <f ca="1">IFERROR(__xludf.DUMMYFUNCTION("GOOGLETRANSLATE(A4240, ""en"", ""fr"")"),"Idiot # 3")</f>
        <v>Idiot # 3</v>
      </c>
      <c r="C4240" s="1" t="s">
        <v>185</v>
      </c>
      <c r="I4240" s="1" t="s">
        <v>5</v>
      </c>
      <c r="N4240" s="1" t="s">
        <v>10</v>
      </c>
      <c r="AN4240" s="1" t="s">
        <v>36</v>
      </c>
      <c r="DN4240" s="1" t="s">
        <v>114</v>
      </c>
      <c r="GD4240" s="1" t="s">
        <v>189</v>
      </c>
      <c r="GE4240" s="1" t="s">
        <v>6012</v>
      </c>
    </row>
    <row r="4241" spans="1:187" ht="11.25" customHeight="1">
      <c r="A4241" s="1" t="s">
        <v>6013</v>
      </c>
      <c r="B4241" s="1" t="str">
        <f ca="1">IFERROR(__xludf.DUMMYFUNCTION("GOOGLETRANSLATE(A4241, ""en"", ""fr"")"),"IDIOT")</f>
        <v>IDIOT</v>
      </c>
      <c r="C4241" s="1" t="s">
        <v>185</v>
      </c>
      <c r="E4241" s="1" t="s">
        <v>16613</v>
      </c>
      <c r="H4241" s="1" t="s">
        <v>4</v>
      </c>
      <c r="L4241" s="1" t="s">
        <v>8</v>
      </c>
      <c r="V4241" s="1" t="s">
        <v>18</v>
      </c>
      <c r="CN4241" s="1" t="s">
        <v>88</v>
      </c>
      <c r="FL4241" s="1" t="s">
        <v>164</v>
      </c>
      <c r="FM4241" s="1" t="s">
        <v>418</v>
      </c>
      <c r="GD4241" s="1" t="s">
        <v>202</v>
      </c>
      <c r="GE4241" s="1" t="s">
        <v>6014</v>
      </c>
    </row>
    <row r="4242" spans="1:187" ht="11.25" customHeight="1">
      <c r="A4242" s="1" t="s">
        <v>6015</v>
      </c>
      <c r="B4242" s="1" t="str">
        <f ca="1">IFERROR(__xludf.DUMMYFUNCTION("GOOGLETRANSLATE(A4242, ""en"", ""fr"")"),"LA BÊTISE")</f>
        <v>LA BÊTISE</v>
      </c>
      <c r="C4242" s="1" t="s">
        <v>192</v>
      </c>
      <c r="E4242" s="1" t="s">
        <v>16613</v>
      </c>
      <c r="L4242" s="1" t="s">
        <v>8</v>
      </c>
      <c r="V4242" s="1" t="s">
        <v>18</v>
      </c>
      <c r="GD4242" s="1" t="s">
        <v>193</v>
      </c>
      <c r="GE4242" s="1" t="s">
        <v>190</v>
      </c>
    </row>
    <row r="4243" spans="1:187" ht="11.25" customHeight="1">
      <c r="A4243" s="1" t="s">
        <v>6016</v>
      </c>
      <c r="B4243" s="1" t="str">
        <f ca="1">IFERROR(__xludf.DUMMYFUNCTION("GOOGLETRANSLATE(A4243, ""en"", ""fr"")"),"Pied # 1")</f>
        <v>Pied # 1</v>
      </c>
      <c r="C4243" s="1" t="s">
        <v>185</v>
      </c>
      <c r="BJ4243" s="1" t="s">
        <v>58</v>
      </c>
      <c r="GD4243" s="1" t="s">
        <v>193</v>
      </c>
      <c r="GE4243" s="1" t="s">
        <v>6017</v>
      </c>
    </row>
    <row r="4244" spans="1:187" ht="11.25" customHeight="1">
      <c r="A4244" s="1" t="s">
        <v>6018</v>
      </c>
      <c r="B4244" s="1" t="str">
        <f ca="1">IFERROR(__xludf.DUMMYFUNCTION("GOOGLETRANSLATE(A4244, ""en"", ""fr"")"),"Pied # 2")</f>
        <v>Pied # 2</v>
      </c>
      <c r="C4244" s="1" t="s">
        <v>185</v>
      </c>
      <c r="CQ4244" s="1" t="s">
        <v>91</v>
      </c>
      <c r="CX4244" s="1" t="s">
        <v>98</v>
      </c>
      <c r="DA4244" s="1" t="s">
        <v>101</v>
      </c>
      <c r="GB4244" s="1" t="s">
        <v>180</v>
      </c>
      <c r="GD4244" s="1" t="s">
        <v>193</v>
      </c>
      <c r="GE4244" s="1" t="s">
        <v>6019</v>
      </c>
    </row>
    <row r="4245" spans="1:187" ht="11.25" customHeight="1">
      <c r="A4245" s="1" t="s">
        <v>6020</v>
      </c>
      <c r="B4245" s="1" t="str">
        <f ca="1">IFERROR(__xludf.DUMMYFUNCTION("GOOGLETRANSLATE(A4245, ""en"", ""fr"")"),"Pied # 3")</f>
        <v>Pied # 3</v>
      </c>
      <c r="C4245" s="1" t="s">
        <v>185</v>
      </c>
      <c r="DA4245" s="1" t="s">
        <v>101</v>
      </c>
      <c r="GD4245" s="1" t="s">
        <v>193</v>
      </c>
      <c r="GE4245" s="1" t="s">
        <v>6021</v>
      </c>
    </row>
    <row r="4246" spans="1:187" ht="11.25" customHeight="1">
      <c r="A4246" s="1" t="s">
        <v>6022</v>
      </c>
      <c r="B4246" s="1" t="str">
        <f ca="1">IFERROR(__xludf.DUMMYFUNCTION("GOOGLETRANSLATE(A4246, ""en"", ""fr"")"),"Pied # 4")</f>
        <v>Pied # 4</v>
      </c>
      <c r="C4246" s="1" t="s">
        <v>185</v>
      </c>
      <c r="CE4246" s="1" t="s">
        <v>79</v>
      </c>
      <c r="GD4246" s="1" t="s">
        <v>236</v>
      </c>
      <c r="GE4246" s="1" t="s">
        <v>6023</v>
      </c>
    </row>
    <row r="4247" spans="1:187" ht="11.25" customHeight="1">
      <c r="A4247" s="1" t="s">
        <v>6024</v>
      </c>
      <c r="B4247" s="1" t="str">
        <f ca="1">IFERROR(__xludf.DUMMYFUNCTION("GOOGLETRANSLATE(A4247, ""en"", ""fr"")"),"Pied # 5")</f>
        <v>Pied # 5</v>
      </c>
      <c r="C4247" s="1" t="s">
        <v>185</v>
      </c>
      <c r="BQ4247" s="1" t="s">
        <v>65</v>
      </c>
      <c r="GD4247" s="1" t="s">
        <v>193</v>
      </c>
      <c r="GE4247" s="1" t="s">
        <v>6025</v>
      </c>
    </row>
    <row r="4248" spans="1:187" ht="11.25" customHeight="1">
      <c r="A4248" s="1" t="s">
        <v>6026</v>
      </c>
      <c r="B4248" s="1" t="str">
        <f ca="1">IFERROR(__xludf.DUMMYFUNCTION("GOOGLETRANSLATE(A4248, ""en"", ""fr"")"),"FOOTBALL")</f>
        <v>FOOTBALL</v>
      </c>
      <c r="C4248" s="1" t="s">
        <v>185</v>
      </c>
      <c r="AC4248" s="1" t="s">
        <v>25</v>
      </c>
      <c r="AD4248" s="1" t="s">
        <v>26</v>
      </c>
      <c r="AM4248" s="1" t="s">
        <v>35</v>
      </c>
      <c r="GD4248" s="1" t="s">
        <v>193</v>
      </c>
      <c r="GE4248" s="1" t="s">
        <v>190</v>
      </c>
    </row>
    <row r="4249" spans="1:187" ht="11.25" customHeight="1">
      <c r="A4249" s="1" t="s">
        <v>6027</v>
      </c>
      <c r="B4249" s="1" t="str">
        <f ca="1">IFERROR(__xludf.DUMMYFUNCTION("GOOGLETRANSLATE(A4249, ""en"", ""fr"")"),"POUR")</f>
        <v>POUR</v>
      </c>
      <c r="C4249" s="1" t="s">
        <v>185</v>
      </c>
      <c r="GD4249" s="1" t="s">
        <v>1628</v>
      </c>
      <c r="GE4249" s="1" t="s">
        <v>6028</v>
      </c>
    </row>
    <row r="4250" spans="1:187" ht="11.25" customHeight="1">
      <c r="A4250" s="1" t="s">
        <v>6029</v>
      </c>
      <c r="B4250" s="1" t="str">
        <f ca="1">IFERROR(__xludf.DUMMYFUNCTION("GOOGLETRANSLATE(A4250, ""en"", ""fr"")"),"INTERDIRE")</f>
        <v>INTERDIRE</v>
      </c>
      <c r="C4250" s="1" t="s">
        <v>185</v>
      </c>
      <c r="E4250" s="1" t="s">
        <v>16613</v>
      </c>
      <c r="H4250" s="1" t="s">
        <v>4</v>
      </c>
      <c r="J4250" s="1" t="s">
        <v>6</v>
      </c>
      <c r="K4250" s="1" t="s">
        <v>7</v>
      </c>
      <c r="BK4250" s="1" t="s">
        <v>59</v>
      </c>
      <c r="DT4250" s="1" t="s">
        <v>120</v>
      </c>
      <c r="ED4250" s="1" t="s">
        <v>130</v>
      </c>
      <c r="GC4250" s="1" t="s">
        <v>181</v>
      </c>
      <c r="GD4250" s="1" t="s">
        <v>202</v>
      </c>
      <c r="GE4250" s="1" t="s">
        <v>190</v>
      </c>
    </row>
    <row r="4251" spans="1:187" ht="11.25" customHeight="1">
      <c r="A4251" s="1" t="s">
        <v>6030</v>
      </c>
      <c r="B4251" s="1" t="str">
        <f ca="1">IFERROR(__xludf.DUMMYFUNCTION("GOOGLETRANSLATE(A4251, ""en"", ""fr"")"),"INTERDIT")</f>
        <v>INTERDIT</v>
      </c>
      <c r="C4251" s="1" t="s">
        <v>185</v>
      </c>
      <c r="E4251" s="1" t="s">
        <v>16613</v>
      </c>
      <c r="H4251" s="1" t="s">
        <v>4</v>
      </c>
      <c r="K4251" s="1" t="s">
        <v>7</v>
      </c>
      <c r="BK4251" s="1" t="s">
        <v>59</v>
      </c>
      <c r="DT4251" s="1" t="s">
        <v>120</v>
      </c>
      <c r="ED4251" s="1" t="s">
        <v>130</v>
      </c>
      <c r="GC4251" s="1" t="s">
        <v>181</v>
      </c>
      <c r="GD4251" s="1" t="s">
        <v>202</v>
      </c>
      <c r="GE4251" s="1" t="s">
        <v>190</v>
      </c>
    </row>
    <row r="4252" spans="1:187" ht="11.25" customHeight="1">
      <c r="A4252" s="1" t="s">
        <v>6031</v>
      </c>
      <c r="B4252" s="1" t="str">
        <f ca="1">IFERROR(__xludf.DUMMYFUNCTION("GOOGLETRANSLATE(A4252, ""en"", ""fr"")"),"Force n ° 1")</f>
        <v>Force n ° 1</v>
      </c>
      <c r="C4252" s="1" t="s">
        <v>185</v>
      </c>
      <c r="J4252" s="1" t="s">
        <v>6</v>
      </c>
      <c r="K4252" s="1" t="s">
        <v>7</v>
      </c>
      <c r="BU4252" s="1" t="s">
        <v>69</v>
      </c>
      <c r="EC4252" s="1" t="s">
        <v>129</v>
      </c>
      <c r="ED4252" s="1" t="s">
        <v>130</v>
      </c>
      <c r="GD4252" s="1" t="s">
        <v>193</v>
      </c>
      <c r="GE4252" s="1" t="s">
        <v>6032</v>
      </c>
    </row>
    <row r="4253" spans="1:187" ht="11.25" customHeight="1">
      <c r="A4253" s="1" t="s">
        <v>6033</v>
      </c>
      <c r="B4253" s="1" t="str">
        <f ca="1">IFERROR(__xludf.DUMMYFUNCTION("GOOGLETRANSLATE(A4253, ""en"", ""fr"")"),"Force n ° 2")</f>
        <v>Force n ° 2</v>
      </c>
      <c r="C4253" s="1" t="s">
        <v>185</v>
      </c>
      <c r="J4253" s="1" t="s">
        <v>6</v>
      </c>
      <c r="AF4253" s="1" t="s">
        <v>28</v>
      </c>
      <c r="AH4253" s="1" t="s">
        <v>30</v>
      </c>
      <c r="AK4253" s="1" t="s">
        <v>33</v>
      </c>
      <c r="AT4253" s="1" t="s">
        <v>42</v>
      </c>
      <c r="DW4253" s="1" t="s">
        <v>123</v>
      </c>
      <c r="ED4253" s="1" t="s">
        <v>130</v>
      </c>
      <c r="GD4253" s="1" t="s">
        <v>193</v>
      </c>
      <c r="GE4253" s="1" t="s">
        <v>6034</v>
      </c>
    </row>
    <row r="4254" spans="1:187" ht="11.25" customHeight="1">
      <c r="A4254" s="1" t="s">
        <v>6035</v>
      </c>
      <c r="B4254" s="1" t="str">
        <f ca="1">IFERROR(__xludf.DUMMYFUNCTION("GOOGLETRANSLATE(A4254, ""en"", ""fr"")"),"Force # 3")</f>
        <v>Force # 3</v>
      </c>
      <c r="C4254" s="1" t="s">
        <v>185</v>
      </c>
      <c r="E4254" s="1" t="s">
        <v>16613</v>
      </c>
      <c r="H4254" s="1" t="s">
        <v>4</v>
      </c>
      <c r="J4254" s="1" t="s">
        <v>6</v>
      </c>
      <c r="K4254" s="1" t="s">
        <v>7</v>
      </c>
      <c r="N4254" s="1" t="s">
        <v>10</v>
      </c>
      <c r="AN4254" s="1" t="s">
        <v>36</v>
      </c>
      <c r="DN4254" s="1" t="s">
        <v>114</v>
      </c>
      <c r="DW4254" s="1" t="s">
        <v>123</v>
      </c>
      <c r="ED4254" s="1" t="s">
        <v>130</v>
      </c>
      <c r="GD4254" s="1" t="s">
        <v>189</v>
      </c>
      <c r="GE4254" s="1" t="s">
        <v>6036</v>
      </c>
    </row>
    <row r="4255" spans="1:187" ht="11.25" customHeight="1">
      <c r="A4255" s="1" t="s">
        <v>6037</v>
      </c>
      <c r="B4255" s="1" t="str">
        <f ca="1">IFERROR(__xludf.DUMMYFUNCTION("GOOGLETRANSLATE(A4255, ""en"", ""fr"")"),"Force # 4")</f>
        <v>Force # 4</v>
      </c>
      <c r="C4255" s="1" t="s">
        <v>185</v>
      </c>
      <c r="J4255" s="1" t="s">
        <v>6</v>
      </c>
      <c r="CR4255" s="1" t="s">
        <v>92</v>
      </c>
      <c r="DW4255" s="1" t="s">
        <v>123</v>
      </c>
      <c r="ED4255" s="1" t="s">
        <v>130</v>
      </c>
      <c r="GD4255" s="1" t="s">
        <v>236</v>
      </c>
      <c r="GE4255" s="1" t="s">
        <v>6038</v>
      </c>
    </row>
    <row r="4256" spans="1:187" ht="11.25" customHeight="1">
      <c r="A4256" s="1" t="s">
        <v>6039</v>
      </c>
      <c r="B4256" s="1" t="str">
        <f ca="1">IFERROR(__xludf.DUMMYFUNCTION("GOOGLETRANSLATE(A4256, ""en"", ""fr"")"),"Force n ° 5")</f>
        <v>Force n ° 5</v>
      </c>
      <c r="C4256" s="1" t="s">
        <v>185</v>
      </c>
      <c r="E4256" s="1" t="s">
        <v>16613</v>
      </c>
      <c r="H4256" s="1" t="s">
        <v>4</v>
      </c>
      <c r="I4256" s="1" t="s">
        <v>5</v>
      </c>
      <c r="J4256" s="1" t="s">
        <v>6</v>
      </c>
      <c r="K4256" s="1" t="s">
        <v>7</v>
      </c>
      <c r="N4256" s="1" t="s">
        <v>10</v>
      </c>
      <c r="CC4256" s="1" t="s">
        <v>77</v>
      </c>
      <c r="DW4256" s="1" t="s">
        <v>123</v>
      </c>
      <c r="ED4256" s="1" t="s">
        <v>130</v>
      </c>
      <c r="GD4256" s="1" t="s">
        <v>202</v>
      </c>
      <c r="GE4256" s="1" t="s">
        <v>6040</v>
      </c>
    </row>
    <row r="4257" spans="1:187" ht="11.25" customHeight="1">
      <c r="A4257" s="1" t="s">
        <v>6041</v>
      </c>
      <c r="B4257" s="1" t="str">
        <f ca="1">IFERROR(__xludf.DUMMYFUNCTION("GOOGLETRANSLATE(A4257, ""en"", ""fr"")"),"Force # 6")</f>
        <v>Force # 6</v>
      </c>
      <c r="C4257" s="1" t="s">
        <v>185</v>
      </c>
      <c r="E4257" s="1" t="s">
        <v>16613</v>
      </c>
      <c r="H4257" s="1" t="s">
        <v>4</v>
      </c>
      <c r="I4257" s="1" t="s">
        <v>5</v>
      </c>
      <c r="K4257" s="1" t="s">
        <v>7</v>
      </c>
      <c r="O4257" s="1" t="s">
        <v>11</v>
      </c>
      <c r="V4257" s="1" t="s">
        <v>18</v>
      </c>
      <c r="EC4257" s="1" t="s">
        <v>129</v>
      </c>
      <c r="ED4257" s="1" t="s">
        <v>130</v>
      </c>
      <c r="GD4257" s="1" t="s">
        <v>202</v>
      </c>
      <c r="GE4257" s="1" t="s">
        <v>6042</v>
      </c>
    </row>
    <row r="4258" spans="1:187" ht="11.25" customHeight="1">
      <c r="A4258" s="1" t="s">
        <v>6043</v>
      </c>
      <c r="B4258" s="1" t="str">
        <f ca="1">IFERROR(__xludf.DUMMYFUNCTION("GOOGLETRANSLATE(A4258, ""en"", ""fr"")"),"ÉNERGIQUE")</f>
        <v>ÉNERGIQUE</v>
      </c>
      <c r="C4258" s="1" t="s">
        <v>196</v>
      </c>
      <c r="DW4258" s="1" t="s">
        <v>123</v>
      </c>
      <c r="ED4258" s="1" t="s">
        <v>130</v>
      </c>
      <c r="GD4258" s="1" t="s">
        <v>202</v>
      </c>
    </row>
    <row r="4259" spans="1:187" ht="11.25" customHeight="1">
      <c r="A4259" s="1" t="s">
        <v>6044</v>
      </c>
      <c r="B4259" s="1" t="str">
        <f ca="1">IFERROR(__xludf.DUMMYFUNCTION("GOOGLETRANSLATE(A4259, ""en"", ""fr"")"),"PRESSENTIMENT")</f>
        <v>PRESSENTIMENT</v>
      </c>
      <c r="C4259" s="1" t="s">
        <v>192</v>
      </c>
      <c r="E4259" s="1" t="s">
        <v>16613</v>
      </c>
      <c r="I4259" s="1" t="s">
        <v>5</v>
      </c>
      <c r="CK4259" s="1" t="s">
        <v>85</v>
      </c>
      <c r="DR4259" s="1" t="s">
        <v>118</v>
      </c>
      <c r="GD4259" s="1" t="s">
        <v>202</v>
      </c>
      <c r="GE4259" s="1" t="s">
        <v>190</v>
      </c>
    </row>
    <row r="4260" spans="1:187" ht="11.25" customHeight="1">
      <c r="A4260" s="1" t="s">
        <v>6045</v>
      </c>
      <c r="B4260" s="1" t="str">
        <f ca="1">IFERROR(__xludf.DUMMYFUNCTION("GOOGLETRANSLATE(A4260, ""en"", ""fr"")"),"Prévisions n ° 1")</f>
        <v>Prévisions n ° 1</v>
      </c>
      <c r="C4260" s="1" t="s">
        <v>185</v>
      </c>
      <c r="BK4260" s="1" t="s">
        <v>59</v>
      </c>
      <c r="BL4260" s="1" t="s">
        <v>60</v>
      </c>
      <c r="FH4260" s="1" t="s">
        <v>160</v>
      </c>
      <c r="FI4260" s="1" t="s">
        <v>161</v>
      </c>
      <c r="GC4260" s="1" t="s">
        <v>181</v>
      </c>
      <c r="GD4260" s="1" t="s">
        <v>193</v>
      </c>
      <c r="GE4260" s="1" t="s">
        <v>190</v>
      </c>
    </row>
    <row r="4261" spans="1:187" ht="11.25" customHeight="1">
      <c r="A4261" s="1" t="s">
        <v>6046</v>
      </c>
      <c r="B4261" s="1" t="str">
        <f ca="1">IFERROR(__xludf.DUMMYFUNCTION("GOOGLETRANSLATE(A4261, ""en"", ""fr"")"),"Prévisions n ° 2")</f>
        <v>Prévisions n ° 2</v>
      </c>
      <c r="C4261" s="1" t="s">
        <v>185</v>
      </c>
      <c r="CO4261" s="1" t="s">
        <v>89</v>
      </c>
      <c r="DN4261" s="1" t="s">
        <v>114</v>
      </c>
      <c r="FH4261" s="1" t="s">
        <v>160</v>
      </c>
      <c r="FI4261" s="1" t="s">
        <v>161</v>
      </c>
      <c r="GD4261" s="1" t="s">
        <v>189</v>
      </c>
      <c r="GE4261" s="1" t="s">
        <v>190</v>
      </c>
    </row>
    <row r="4262" spans="1:187" ht="11.25" customHeight="1">
      <c r="A4262" s="1" t="s">
        <v>6047</v>
      </c>
      <c r="B4262" s="1" t="str">
        <f ca="1">IFERROR(__xludf.DUMMYFUNCTION("GOOGLETRANSLATE(A4262, ""en"", ""fr"")"),"PRÉCÉDENT")</f>
        <v>PRÉCÉDENT</v>
      </c>
      <c r="C4262" s="1" t="s">
        <v>185</v>
      </c>
      <c r="CY4262" s="1" t="s">
        <v>99</v>
      </c>
      <c r="GD4262" s="1" t="s">
        <v>202</v>
      </c>
      <c r="GE4262" s="1" t="s">
        <v>190</v>
      </c>
    </row>
    <row r="4263" spans="1:187" ht="11.25" customHeight="1">
      <c r="A4263" s="1" t="s">
        <v>6048</v>
      </c>
      <c r="B4263" s="1" t="str">
        <f ca="1">IFERROR(__xludf.DUMMYFUNCTION("GOOGLETRANSLATE(A4263, ""en"", ""fr"")"),"FRONT")</f>
        <v>FRONT</v>
      </c>
      <c r="C4263" s="1" t="s">
        <v>185</v>
      </c>
      <c r="BJ4263" s="1" t="s">
        <v>58</v>
      </c>
      <c r="GD4263" s="1" t="s">
        <v>193</v>
      </c>
      <c r="GE4263" s="1" t="s">
        <v>190</v>
      </c>
    </row>
    <row r="4264" spans="1:187" ht="11.25" customHeight="1">
      <c r="A4264" s="1" t="s">
        <v>6049</v>
      </c>
      <c r="B4264" s="1" t="str">
        <f ca="1">IFERROR(__xludf.DUMMYFUNCTION("GOOGLETRANSLATE(A4264, ""en"", ""fr"")"),"Étranger n ° 1")</f>
        <v>Étranger n ° 1</v>
      </c>
      <c r="C4264" s="1" t="s">
        <v>185</v>
      </c>
      <c r="AC4264" s="1" t="s">
        <v>25</v>
      </c>
      <c r="AH4264" s="1" t="s">
        <v>30</v>
      </c>
      <c r="AV4264" s="1" t="s">
        <v>44</v>
      </c>
      <c r="AX4264" s="1" t="s">
        <v>46</v>
      </c>
      <c r="EC4264" s="1" t="s">
        <v>129</v>
      </c>
      <c r="ED4264" s="1" t="s">
        <v>130</v>
      </c>
      <c r="GD4264" s="1" t="s">
        <v>421</v>
      </c>
      <c r="GE4264" s="1" t="s">
        <v>6050</v>
      </c>
    </row>
    <row r="4265" spans="1:187" ht="11.25" customHeight="1">
      <c r="A4265" s="1" t="s">
        <v>6051</v>
      </c>
      <c r="B4265" s="1" t="str">
        <f ca="1">IFERROR(__xludf.DUMMYFUNCTION("GOOGLETRANSLATE(A4265, ""en"", ""fr"")"),"Étranger # 2")</f>
        <v>Étranger # 2</v>
      </c>
      <c r="C4265" s="1" t="s">
        <v>185</v>
      </c>
      <c r="E4265" s="1" t="s">
        <v>16613</v>
      </c>
      <c r="H4265" s="1" t="s">
        <v>4</v>
      </c>
      <c r="V4265" s="1" t="s">
        <v>18</v>
      </c>
      <c r="CN4265" s="1" t="s">
        <v>88</v>
      </c>
      <c r="FW4265" s="1" t="s">
        <v>175</v>
      </c>
      <c r="GD4265" s="1" t="s">
        <v>202</v>
      </c>
      <c r="GE4265" s="1" t="s">
        <v>6052</v>
      </c>
    </row>
    <row r="4266" spans="1:187" ht="11.25" customHeight="1">
      <c r="A4266" s="1" t="s">
        <v>6053</v>
      </c>
      <c r="B4266" s="1" t="str">
        <f ca="1">IFERROR(__xludf.DUMMYFUNCTION("GOOGLETRANSLATE(A4266, ""en"", ""fr"")"),"AVANT TOUTE CHOSE")</f>
        <v>AVANT TOUTE CHOSE</v>
      </c>
      <c r="C4266" s="1" t="s">
        <v>185</v>
      </c>
      <c r="D4266" s="1" t="s">
        <v>16612</v>
      </c>
      <c r="F4266" s="1" t="s">
        <v>2</v>
      </c>
      <c r="J4266" s="1" t="s">
        <v>6</v>
      </c>
      <c r="U4266" s="1" t="s">
        <v>17</v>
      </c>
      <c r="W4266" s="1" t="s">
        <v>19</v>
      </c>
      <c r="EM4266" s="1" t="s">
        <v>139</v>
      </c>
      <c r="EN4266" s="1" t="s">
        <v>140</v>
      </c>
      <c r="GD4266" s="1" t="s">
        <v>202</v>
      </c>
      <c r="GE4266" s="1" t="s">
        <v>190</v>
      </c>
    </row>
    <row r="4267" spans="1:187" ht="11.25" customHeight="1">
      <c r="A4267" s="1" t="s">
        <v>6054</v>
      </c>
      <c r="B4267" s="1" t="str">
        <f ca="1">IFERROR(__xludf.DUMMYFUNCTION("GOOGLETRANSLATE(A4267, ""en"", ""fr"")"),"PRÉCURSEUR")</f>
        <v>PRÉCURSEUR</v>
      </c>
      <c r="C4267" s="1" t="s">
        <v>185</v>
      </c>
      <c r="AJ4267" s="1" t="s">
        <v>32</v>
      </c>
      <c r="AT4267" s="1" t="s">
        <v>42</v>
      </c>
      <c r="GD4267" s="1" t="s">
        <v>193</v>
      </c>
      <c r="GE4267" s="1" t="s">
        <v>190</v>
      </c>
    </row>
    <row r="4268" spans="1:187" ht="11.25" customHeight="1">
      <c r="A4268" s="1" t="s">
        <v>6055</v>
      </c>
      <c r="B4268" s="1" t="str">
        <f ca="1">IFERROR(__xludf.DUMMYFUNCTION("GOOGLETRANSLATE(A4268, ""en"", ""fr"")"),"PRÉVOIR")</f>
        <v>PRÉVOIR</v>
      </c>
      <c r="C4268" s="1" t="s">
        <v>185</v>
      </c>
      <c r="O4268" s="1" t="s">
        <v>11</v>
      </c>
      <c r="CK4268" s="1" t="s">
        <v>85</v>
      </c>
      <c r="DN4268" s="1" t="s">
        <v>114</v>
      </c>
      <c r="FH4268" s="1" t="s">
        <v>160</v>
      </c>
      <c r="FI4268" s="1" t="s">
        <v>161</v>
      </c>
      <c r="GD4268" s="1" t="s">
        <v>189</v>
      </c>
      <c r="GE4268" s="1" t="s">
        <v>190</v>
      </c>
    </row>
    <row r="4269" spans="1:187" ht="11.25" customHeight="1">
      <c r="A4269" s="1" t="s">
        <v>6056</v>
      </c>
      <c r="B4269" s="1" t="str">
        <f ca="1">IFERROR(__xludf.DUMMYFUNCTION("GOOGLETRANSLATE(A4269, ""en"", ""fr"")"),"PRÉVISIBLE")</f>
        <v>PRÉVISIBLE</v>
      </c>
      <c r="C4269" s="1" t="s">
        <v>196</v>
      </c>
      <c r="FH4269" s="1" t="s">
        <v>160</v>
      </c>
      <c r="FI4269" s="1" t="s">
        <v>161</v>
      </c>
      <c r="GD4269" s="1" t="s">
        <v>202</v>
      </c>
    </row>
    <row r="4270" spans="1:187" ht="11.25" customHeight="1">
      <c r="A4270" s="1" t="s">
        <v>6057</v>
      </c>
      <c r="B4270" s="1" t="str">
        <f ca="1">IFERROR(__xludf.DUMMYFUNCTION("GOOGLETRANSLATE(A4270, ""en"", ""fr"")"),"PRÉVOYANCE")</f>
        <v>PRÉVOYANCE</v>
      </c>
      <c r="C4270" s="1" t="s">
        <v>185</v>
      </c>
      <c r="D4270" s="1" t="s">
        <v>16612</v>
      </c>
      <c r="J4270" s="1" t="s">
        <v>6</v>
      </c>
      <c r="U4270" s="1" t="s">
        <v>17</v>
      </c>
      <c r="CG4270" s="1" t="s">
        <v>81</v>
      </c>
      <c r="CK4270" s="1" t="s">
        <v>85</v>
      </c>
      <c r="FH4270" s="1" t="s">
        <v>160</v>
      </c>
      <c r="FI4270" s="1" t="s">
        <v>161</v>
      </c>
      <c r="GD4270" s="1" t="s">
        <v>193</v>
      </c>
      <c r="GE4270" s="1" t="s">
        <v>190</v>
      </c>
    </row>
    <row r="4271" spans="1:187" ht="11.25" customHeight="1">
      <c r="A4271" s="1" t="s">
        <v>6058</v>
      </c>
      <c r="B4271" s="1" t="str">
        <f ca="1">IFERROR(__xludf.DUMMYFUNCTION("GOOGLETRANSLATE(A4271, ""en"", ""fr"")"),"FORÊT")</f>
        <v>FORÊT</v>
      </c>
      <c r="C4271" s="1" t="s">
        <v>185</v>
      </c>
      <c r="AC4271" s="1" t="s">
        <v>25</v>
      </c>
      <c r="AV4271" s="1" t="s">
        <v>44</v>
      </c>
      <c r="BA4271" s="1" t="s">
        <v>49</v>
      </c>
      <c r="EV4271" s="1" t="s">
        <v>148</v>
      </c>
      <c r="EW4271" s="1" t="s">
        <v>149</v>
      </c>
      <c r="GD4271" s="1" t="s">
        <v>193</v>
      </c>
      <c r="GE4271" s="1" t="s">
        <v>6059</v>
      </c>
    </row>
    <row r="4272" spans="1:187" ht="11.25" customHeight="1">
      <c r="A4272" s="1" t="s">
        <v>6060</v>
      </c>
      <c r="B4272" s="1" t="str">
        <f ca="1">IFERROR(__xludf.DUMMYFUNCTION("GOOGLETRANSLATE(A4272, ""en"", ""fr"")"),"SYLVICULTURE")</f>
        <v>SYLVICULTURE</v>
      </c>
      <c r="C4272" s="1" t="s">
        <v>196</v>
      </c>
      <c r="EV4272" s="1" t="s">
        <v>148</v>
      </c>
      <c r="EW4272" s="1" t="s">
        <v>149</v>
      </c>
      <c r="GD4272" s="1" t="s">
        <v>193</v>
      </c>
    </row>
    <row r="4273" spans="1:187" ht="11.25" customHeight="1">
      <c r="A4273" s="1" t="s">
        <v>6061</v>
      </c>
      <c r="B4273" s="1" t="str">
        <f ca="1">IFERROR(__xludf.DUMMYFUNCTION("GOOGLETRANSLATE(A4273, ""en"", ""fr"")"),"POUR TOUJOURS")</f>
        <v>POUR TOUJOURS</v>
      </c>
      <c r="C4273" s="1" t="s">
        <v>185</v>
      </c>
      <c r="J4273" s="1" t="s">
        <v>6</v>
      </c>
      <c r="W4273" s="1" t="s">
        <v>19</v>
      </c>
      <c r="BR4273" s="1" t="s">
        <v>66</v>
      </c>
      <c r="GB4273" s="1" t="s">
        <v>180</v>
      </c>
      <c r="GD4273" s="1" t="s">
        <v>236</v>
      </c>
      <c r="GE4273" s="1" t="s">
        <v>190</v>
      </c>
    </row>
    <row r="4274" spans="1:187" ht="11.25" customHeight="1">
      <c r="A4274" s="1" t="s">
        <v>6062</v>
      </c>
      <c r="B4274" s="1" t="str">
        <f ca="1">IFERROR(__xludf.DUMMYFUNCTION("GOOGLETRANSLATE(A4274, ""en"", ""fr"")"),"DÉCLARER FORFAIT")</f>
        <v>DÉCLARER FORFAIT</v>
      </c>
      <c r="C4274" s="1" t="s">
        <v>185</v>
      </c>
      <c r="E4274" s="1" t="s">
        <v>16613</v>
      </c>
      <c r="H4274" s="1" t="s">
        <v>4</v>
      </c>
      <c r="L4274" s="1" t="s">
        <v>8</v>
      </c>
      <c r="O4274" s="1" t="s">
        <v>11</v>
      </c>
      <c r="BT4274" s="1" t="s">
        <v>68</v>
      </c>
      <c r="DN4274" s="1" t="s">
        <v>114</v>
      </c>
      <c r="FO4274" s="1" t="s">
        <v>167</v>
      </c>
      <c r="GD4274" s="1" t="s">
        <v>189</v>
      </c>
      <c r="GE4274" s="1" t="s">
        <v>190</v>
      </c>
    </row>
    <row r="4275" spans="1:187" ht="11.25" customHeight="1">
      <c r="A4275" s="1" t="s">
        <v>6063</v>
      </c>
      <c r="B4275" s="1" t="str">
        <f ca="1">IFERROR(__xludf.DUMMYFUNCTION("GOOGLETRANSLATE(A4275, ""en"", ""fr"")"),"Tolérer")</f>
        <v>Tolérer</v>
      </c>
      <c r="C4275" s="1" t="s">
        <v>185</v>
      </c>
      <c r="D4275" s="1" t="s">
        <v>16612</v>
      </c>
      <c r="F4275" s="1" t="s">
        <v>2</v>
      </c>
      <c r="G4275" s="1" t="s">
        <v>3</v>
      </c>
      <c r="AN4275" s="1" t="s">
        <v>36</v>
      </c>
      <c r="DN4275" s="1" t="s">
        <v>114</v>
      </c>
      <c r="EG4275" s="1" t="s">
        <v>133</v>
      </c>
      <c r="EJ4275" s="1" t="s">
        <v>136</v>
      </c>
      <c r="GD4275" s="1" t="s">
        <v>1076</v>
      </c>
      <c r="GE4275" s="1" t="s">
        <v>190</v>
      </c>
    </row>
    <row r="4276" spans="1:187" ht="11.25" customHeight="1">
      <c r="A4276" s="1" t="s">
        <v>6064</v>
      </c>
      <c r="B4276" s="1" t="str">
        <f ca="1">IFERROR(__xludf.DUMMYFUNCTION("GOOGLETRANSLATE(A4276, ""en"", ""fr"")"),"OUBLIER")</f>
        <v>OUBLIER</v>
      </c>
      <c r="C4276" s="1" t="s">
        <v>185</v>
      </c>
      <c r="L4276" s="1" t="s">
        <v>8</v>
      </c>
      <c r="O4276" s="1" t="s">
        <v>11</v>
      </c>
      <c r="CO4276" s="1" t="s">
        <v>89</v>
      </c>
      <c r="DN4276" s="1" t="s">
        <v>114</v>
      </c>
      <c r="FH4276" s="1" t="s">
        <v>160</v>
      </c>
      <c r="FI4276" s="1" t="s">
        <v>161</v>
      </c>
      <c r="GD4276" s="1" t="s">
        <v>189</v>
      </c>
      <c r="GE4276" s="1" t="s">
        <v>6065</v>
      </c>
    </row>
    <row r="4277" spans="1:187" ht="11.25" customHeight="1">
      <c r="A4277" s="1" t="s">
        <v>6066</v>
      </c>
      <c r="B4277" s="1" t="str">
        <f ca="1">IFERROR(__xludf.DUMMYFUNCTION("GOOGLETRANSLATE(A4277, ""en"", ""fr"")"),"Oubli")</f>
        <v>Oubli</v>
      </c>
      <c r="C4277" s="1" t="s">
        <v>192</v>
      </c>
      <c r="E4277" s="1" t="s">
        <v>16613</v>
      </c>
      <c r="V4277" s="1" t="s">
        <v>18</v>
      </c>
      <c r="CG4277" s="1" t="s">
        <v>81</v>
      </c>
      <c r="GD4277" s="1" t="s">
        <v>193</v>
      </c>
      <c r="GE4277" s="1" t="s">
        <v>190</v>
      </c>
    </row>
    <row r="4278" spans="1:187" ht="11.25" customHeight="1">
      <c r="A4278" s="1" t="s">
        <v>6067</v>
      </c>
      <c r="B4278" s="1" t="str">
        <f ca="1">IFERROR(__xludf.DUMMYFUNCTION("GOOGLETRANSLATE(A4278, ""en"", ""fr"")"),"PARDONNER")</f>
        <v>PARDONNER</v>
      </c>
      <c r="C4278" s="1" t="s">
        <v>185</v>
      </c>
      <c r="D4278" s="1" t="s">
        <v>16612</v>
      </c>
      <c r="F4278" s="1" t="s">
        <v>2</v>
      </c>
      <c r="G4278" s="1" t="s">
        <v>3</v>
      </c>
      <c r="AN4278" s="1" t="s">
        <v>36</v>
      </c>
      <c r="DN4278" s="1" t="s">
        <v>114</v>
      </c>
      <c r="EG4278" s="1" t="s">
        <v>133</v>
      </c>
      <c r="EJ4278" s="1" t="s">
        <v>136</v>
      </c>
      <c r="GD4278" s="1" t="s">
        <v>189</v>
      </c>
      <c r="GE4278" s="1" t="s">
        <v>190</v>
      </c>
    </row>
    <row r="4279" spans="1:187" ht="11.25" customHeight="1">
      <c r="A4279" s="1" t="s">
        <v>6068</v>
      </c>
      <c r="B4279" s="1" t="str">
        <f ca="1">IFERROR(__xludf.DUMMYFUNCTION("GOOGLETRANSLATE(A4279, ""en"", ""fr"")"),"PARDONNÉ")</f>
        <v>PARDONNÉ</v>
      </c>
      <c r="C4279" s="1" t="s">
        <v>185</v>
      </c>
      <c r="D4279" s="1" t="s">
        <v>16612</v>
      </c>
      <c r="F4279" s="1" t="s">
        <v>2</v>
      </c>
      <c r="G4279" s="1" t="s">
        <v>3</v>
      </c>
      <c r="O4279" s="1" t="s">
        <v>11</v>
      </c>
      <c r="EE4279" s="1" t="s">
        <v>131</v>
      </c>
      <c r="EJ4279" s="1" t="s">
        <v>136</v>
      </c>
      <c r="GD4279" s="1" t="s">
        <v>202</v>
      </c>
      <c r="GE4279" s="1" t="s">
        <v>190</v>
      </c>
    </row>
    <row r="4280" spans="1:187" ht="11.25" customHeight="1">
      <c r="A4280" s="1" t="s">
        <v>6069</v>
      </c>
      <c r="B4280" s="1" t="str">
        <f ca="1">IFERROR(__xludf.DUMMYFUNCTION("GOOGLETRANSLATE(A4280, ""en"", ""fr"")"),"LE PARDON")</f>
        <v>LE PARDON</v>
      </c>
      <c r="C4280" s="1" t="s">
        <v>185</v>
      </c>
      <c r="D4280" s="1" t="s">
        <v>16612</v>
      </c>
      <c r="U4280" s="1" t="s">
        <v>17</v>
      </c>
      <c r="AN4280" s="1" t="s">
        <v>36</v>
      </c>
      <c r="BK4280" s="1" t="s">
        <v>59</v>
      </c>
      <c r="EI4280" s="1" t="s">
        <v>135</v>
      </c>
      <c r="EJ4280" s="1" t="s">
        <v>136</v>
      </c>
      <c r="GD4280" s="1" t="s">
        <v>193</v>
      </c>
      <c r="GE4280" s="1" t="s">
        <v>190</v>
      </c>
    </row>
    <row r="4281" spans="1:187" ht="11.25" customHeight="1">
      <c r="A4281" s="1" t="s">
        <v>6070</v>
      </c>
      <c r="B4281" s="1" t="str">
        <f ca="1">IFERROR(__xludf.DUMMYFUNCTION("GOOGLETRANSLATE(A4281, ""en"", ""fr"")"),"OUBLIÉ")</f>
        <v>OUBLIÉ</v>
      </c>
      <c r="C4281" s="1" t="s">
        <v>185</v>
      </c>
      <c r="L4281" s="1" t="s">
        <v>8</v>
      </c>
      <c r="O4281" s="1" t="s">
        <v>11</v>
      </c>
      <c r="CO4281" s="1" t="s">
        <v>89</v>
      </c>
      <c r="DN4281" s="1" t="s">
        <v>114</v>
      </c>
      <c r="FH4281" s="1" t="s">
        <v>160</v>
      </c>
      <c r="FI4281" s="1" t="s">
        <v>161</v>
      </c>
      <c r="GD4281" s="1" t="s">
        <v>1076</v>
      </c>
      <c r="GE4281" s="1" t="s">
        <v>190</v>
      </c>
    </row>
    <row r="4282" spans="1:187" ht="11.25" customHeight="1">
      <c r="A4282" s="1" t="s">
        <v>6071</v>
      </c>
      <c r="B4282" s="1" t="str">
        <f ca="1">IFERROR(__xludf.DUMMYFUNCTION("GOOGLETRANSLATE(A4282, ""en"", ""fr"")"),"Oublié # 1")</f>
        <v>Oublié # 1</v>
      </c>
      <c r="C4282" s="1" t="s">
        <v>185</v>
      </c>
      <c r="L4282" s="1" t="s">
        <v>8</v>
      </c>
      <c r="O4282" s="1" t="s">
        <v>11</v>
      </c>
      <c r="CH4282" s="1" t="s">
        <v>82</v>
      </c>
      <c r="FH4282" s="1" t="s">
        <v>160</v>
      </c>
      <c r="FI4282" s="1" t="s">
        <v>161</v>
      </c>
      <c r="GD4282" s="1" t="s">
        <v>202</v>
      </c>
      <c r="GE4282" s="1" t="s">
        <v>190</v>
      </c>
    </row>
    <row r="4283" spans="1:187" ht="11.25" customHeight="1">
      <c r="A4283" s="1" t="s">
        <v>6072</v>
      </c>
      <c r="B4283" s="1" t="str">
        <f ca="1">IFERROR(__xludf.DUMMYFUNCTION("GOOGLETRANSLATE(A4283, ""en"", ""fr"")"),"Oublié # 2")</f>
        <v>Oublié # 2</v>
      </c>
      <c r="C4283" s="1" t="s">
        <v>185</v>
      </c>
      <c r="L4283" s="1" t="s">
        <v>8</v>
      </c>
      <c r="O4283" s="1" t="s">
        <v>11</v>
      </c>
      <c r="CO4283" s="1" t="s">
        <v>89</v>
      </c>
      <c r="DN4283" s="1" t="s">
        <v>114</v>
      </c>
      <c r="FH4283" s="1" t="s">
        <v>160</v>
      </c>
      <c r="FI4283" s="1" t="s">
        <v>161</v>
      </c>
      <c r="GD4283" s="1" t="s">
        <v>1076</v>
      </c>
      <c r="GE4283" s="1" t="s">
        <v>190</v>
      </c>
    </row>
    <row r="4284" spans="1:187" ht="11.25" customHeight="1">
      <c r="A4284" s="1" t="s">
        <v>6073</v>
      </c>
      <c r="B4284" s="1" t="str">
        <f ca="1">IFERROR(__xludf.DUMMYFUNCTION("GOOGLETRANSLATE(A4284, ""en"", ""fr"")"),"FOURCHETTE")</f>
        <v>FOURCHETTE</v>
      </c>
      <c r="C4284" s="1" t="s">
        <v>185</v>
      </c>
      <c r="BC4284" s="1" t="s">
        <v>51</v>
      </c>
      <c r="BD4284" s="1" t="s">
        <v>52</v>
      </c>
      <c r="GD4284" s="1" t="s">
        <v>193</v>
      </c>
      <c r="GE4284" s="1" t="s">
        <v>190</v>
      </c>
    </row>
    <row r="4285" spans="1:187" ht="11.25" customHeight="1">
      <c r="A4285" s="1" t="s">
        <v>6074</v>
      </c>
      <c r="B4285" s="1" t="str">
        <f ca="1">IFERROR(__xludf.DUMMYFUNCTION("GOOGLETRANSLATE(A4285, ""en"", ""fr"")"),"DÉSESPÉRÉ")</f>
        <v>DÉSESPÉRÉ</v>
      </c>
      <c r="C4285" s="1" t="s">
        <v>192</v>
      </c>
      <c r="E4285" s="1" t="s">
        <v>16613</v>
      </c>
      <c r="L4285" s="1" t="s">
        <v>8</v>
      </c>
      <c r="Q4285" s="1" t="s">
        <v>13</v>
      </c>
      <c r="T4285" s="1" t="s">
        <v>16</v>
      </c>
      <c r="DR4285" s="1" t="s">
        <v>118</v>
      </c>
      <c r="GD4285" s="1" t="s">
        <v>202</v>
      </c>
      <c r="GE4285" s="1" t="s">
        <v>190</v>
      </c>
    </row>
    <row r="4286" spans="1:187" ht="11.25" customHeight="1">
      <c r="A4286" s="1" t="s">
        <v>6075</v>
      </c>
      <c r="B4286" s="1" t="str">
        <f ca="1">IFERROR(__xludf.DUMMYFUNCTION("GOOGLETRANSLATE(A4286, ""en"", ""fr"")"),"FORMULAIRE 1")</f>
        <v>FORMULAIRE 1</v>
      </c>
      <c r="C4286" s="1" t="s">
        <v>185</v>
      </c>
      <c r="CR4286" s="1" t="s">
        <v>92</v>
      </c>
      <c r="GD4286" s="1" t="s">
        <v>193</v>
      </c>
      <c r="GE4286" s="1" t="s">
        <v>6076</v>
      </c>
    </row>
    <row r="4287" spans="1:187" ht="11.25" customHeight="1">
      <c r="A4287" s="1" t="s">
        <v>6077</v>
      </c>
      <c r="B4287" s="1" t="str">
        <f ca="1">IFERROR(__xludf.DUMMYFUNCTION("GOOGLETRANSLATE(A4287, ""en"", ""fr"")"),"Formulaire n ° 2")</f>
        <v>Formulaire n ° 2</v>
      </c>
      <c r="C4287" s="1" t="s">
        <v>185</v>
      </c>
      <c r="N4287" s="1" t="s">
        <v>10</v>
      </c>
      <c r="CO4287" s="1" t="s">
        <v>89</v>
      </c>
      <c r="DN4287" s="1" t="s">
        <v>114</v>
      </c>
      <c r="GD4287" s="1" t="s">
        <v>189</v>
      </c>
      <c r="GE4287" s="1" t="s">
        <v>6078</v>
      </c>
    </row>
    <row r="4288" spans="1:187" ht="11.25" customHeight="1">
      <c r="A4288" s="1" t="s">
        <v>6079</v>
      </c>
      <c r="B4288" s="1" t="str">
        <f ca="1">IFERROR(__xludf.DUMMYFUNCTION("GOOGLETRANSLATE(A4288, ""en"", ""fr"")"),"Formulaire n ° 3")</f>
        <v>Formulaire n ° 3</v>
      </c>
      <c r="C4288" s="1" t="s">
        <v>185</v>
      </c>
      <c r="Y4288" s="1" t="s">
        <v>21</v>
      </c>
      <c r="AK4288" s="1" t="s">
        <v>33</v>
      </c>
      <c r="AT4288" s="1" t="s">
        <v>42</v>
      </c>
      <c r="FH4288" s="1" t="s">
        <v>160</v>
      </c>
      <c r="FI4288" s="1" t="s">
        <v>161</v>
      </c>
      <c r="GD4288" s="1" t="s">
        <v>193</v>
      </c>
      <c r="GE4288" s="1" t="s">
        <v>6080</v>
      </c>
    </row>
    <row r="4289" spans="1:187" ht="11.25" customHeight="1">
      <c r="A4289" s="1" t="s">
        <v>6081</v>
      </c>
      <c r="B4289" s="1" t="str">
        <f ca="1">IFERROR(__xludf.DUMMYFUNCTION("GOOGLETRANSLATE(A4289, ""en"", ""fr"")"),"OFFICIEL")</f>
        <v>OFFICIEL</v>
      </c>
      <c r="C4289" s="1" t="s">
        <v>185</v>
      </c>
      <c r="AM4289" s="1" t="s">
        <v>35</v>
      </c>
      <c r="EM4289" s="1" t="s">
        <v>139</v>
      </c>
      <c r="EN4289" s="1" t="s">
        <v>140</v>
      </c>
      <c r="GD4289" s="1" t="s">
        <v>202</v>
      </c>
      <c r="GE4289" s="1" t="s">
        <v>190</v>
      </c>
    </row>
    <row r="4290" spans="1:187" ht="11.25" customHeight="1">
      <c r="A4290" s="1" t="s">
        <v>6082</v>
      </c>
      <c r="B4290" s="1" t="str">
        <f ca="1">IFERROR(__xludf.DUMMYFUNCTION("GOOGLETRANSLATE(A4290, ""en"", ""fr"")"),"FORMALITÉ")</f>
        <v>FORMALITÉ</v>
      </c>
      <c r="C4290" s="1" t="s">
        <v>192</v>
      </c>
      <c r="D4290" s="1" t="s">
        <v>16612</v>
      </c>
      <c r="CJ4290" s="1" t="s">
        <v>84</v>
      </c>
      <c r="GD4290" s="1" t="s">
        <v>193</v>
      </c>
      <c r="GE4290" s="1" t="s">
        <v>190</v>
      </c>
    </row>
    <row r="4291" spans="1:187" ht="11.25" customHeight="1">
      <c r="A4291" s="1" t="s">
        <v>6083</v>
      </c>
      <c r="B4291" s="1" t="str">
        <f ca="1">IFERROR(__xludf.DUMMYFUNCTION("GOOGLETRANSLATE(A4291, ""en"", ""fr"")"),"FORMATION")</f>
        <v>FORMATION</v>
      </c>
      <c r="C4291" s="1" t="s">
        <v>185</v>
      </c>
      <c r="J4291" s="1" t="s">
        <v>6</v>
      </c>
      <c r="BQ4291" s="1" t="s">
        <v>65</v>
      </c>
      <c r="GD4291" s="1" t="s">
        <v>193</v>
      </c>
      <c r="GE4291" s="1" t="s">
        <v>190</v>
      </c>
    </row>
    <row r="4292" spans="1:187" ht="11.25" customHeight="1">
      <c r="A4292" s="1" t="s">
        <v>6084</v>
      </c>
      <c r="B4292" s="1" t="str">
        <f ca="1">IFERROR(__xludf.DUMMYFUNCTION("GOOGLETRANSLATE(A4292, ""en"", ""fr"")"),"Ancien n ° 1")</f>
        <v>Ancien n ° 1</v>
      </c>
      <c r="C4292" s="1" t="s">
        <v>185</v>
      </c>
      <c r="CT4292" s="1" t="s">
        <v>94</v>
      </c>
      <c r="CU4292" s="1" t="s">
        <v>95</v>
      </c>
      <c r="CY4292" s="1" t="s">
        <v>99</v>
      </c>
      <c r="GB4292" s="1" t="s">
        <v>180</v>
      </c>
      <c r="GD4292" s="1" t="s">
        <v>679</v>
      </c>
      <c r="GE4292" s="1" t="s">
        <v>6085</v>
      </c>
    </row>
    <row r="4293" spans="1:187" ht="11.25" customHeight="1">
      <c r="A4293" s="1" t="s">
        <v>6086</v>
      </c>
      <c r="B4293" s="1" t="str">
        <f ca="1">IFERROR(__xludf.DUMMYFUNCTION("GOOGLETRANSLATE(A4293, ""en"", ""fr"")"),"Ancien n ° 2")</f>
        <v>Ancien n ° 2</v>
      </c>
      <c r="C4293" s="1" t="s">
        <v>185</v>
      </c>
      <c r="CY4293" s="1" t="s">
        <v>99</v>
      </c>
      <c r="GD4293" s="1" t="s">
        <v>1957</v>
      </c>
      <c r="GE4293" s="1" t="s">
        <v>6087</v>
      </c>
    </row>
    <row r="4294" spans="1:187" ht="11.25" customHeight="1">
      <c r="A4294" s="1" t="s">
        <v>6088</v>
      </c>
      <c r="B4294" s="1" t="str">
        <f ca="1">IFERROR(__xludf.DUMMYFUNCTION("GOOGLETRANSLATE(A4294, ""en"", ""fr"")"),"Ancien n ° 3")</f>
        <v>Ancien n ° 3</v>
      </c>
      <c r="C4294" s="1" t="s">
        <v>185</v>
      </c>
      <c r="CY4294" s="1" t="s">
        <v>99</v>
      </c>
      <c r="GB4294" s="1" t="s">
        <v>180</v>
      </c>
      <c r="GD4294" s="1" t="s">
        <v>236</v>
      </c>
      <c r="GE4294" s="1" t="s">
        <v>6089</v>
      </c>
    </row>
    <row r="4295" spans="1:187" ht="11.25" customHeight="1">
      <c r="A4295" s="1" t="s">
        <v>6090</v>
      </c>
      <c r="B4295" s="1" t="str">
        <f ca="1">IFERROR(__xludf.DUMMYFUNCTION("GOOGLETRANSLATE(A4295, ""en"", ""fr"")"),"REDOUTABLE")</f>
        <v>REDOUTABLE</v>
      </c>
      <c r="C4295" s="1" t="s">
        <v>185</v>
      </c>
      <c r="E4295" s="1" t="s">
        <v>16613</v>
      </c>
      <c r="H4295" s="1" t="s">
        <v>4</v>
      </c>
      <c r="J4295" s="1" t="s">
        <v>6</v>
      </c>
      <c r="K4295" s="1" t="s">
        <v>7</v>
      </c>
      <c r="V4295" s="1" t="s">
        <v>18</v>
      </c>
      <c r="GD4295" s="1" t="s">
        <v>202</v>
      </c>
      <c r="GE4295" s="1" t="s">
        <v>190</v>
      </c>
    </row>
    <row r="4296" spans="1:187" ht="11.25" customHeight="1">
      <c r="A4296" s="1" t="s">
        <v>6091</v>
      </c>
      <c r="B4296" s="1" t="str">
        <f ca="1">IFERROR(__xludf.DUMMYFUNCTION("GOOGLETRANSLATE(A4296, ""en"", ""fr"")"),"FORMULE")</f>
        <v>FORMULE</v>
      </c>
      <c r="C4296" s="1" t="s">
        <v>185</v>
      </c>
      <c r="CH4296" s="1" t="s">
        <v>82</v>
      </c>
      <c r="CP4296" s="1" t="s">
        <v>90</v>
      </c>
      <c r="CQ4296" s="1" t="s">
        <v>91</v>
      </c>
      <c r="GD4296" s="1" t="s">
        <v>193</v>
      </c>
      <c r="GE4296" s="1" t="s">
        <v>190</v>
      </c>
    </row>
    <row r="4297" spans="1:187" ht="11.25" customHeight="1">
      <c r="A4297" s="1" t="s">
        <v>6092</v>
      </c>
      <c r="B4297" s="1" t="str">
        <f ca="1">IFERROR(__xludf.DUMMYFUNCTION("GOOGLETRANSLATE(A4297, ""en"", ""fr"")"),"Formuler n ° 1")</f>
        <v>Formuler n ° 1</v>
      </c>
      <c r="C4297" s="1" t="s">
        <v>185</v>
      </c>
      <c r="N4297" s="1" t="s">
        <v>10</v>
      </c>
      <c r="BQ4297" s="1" t="s">
        <v>65</v>
      </c>
      <c r="FH4297" s="1" t="s">
        <v>160</v>
      </c>
      <c r="FI4297" s="1" t="s">
        <v>161</v>
      </c>
      <c r="GD4297" s="1" t="s">
        <v>202</v>
      </c>
      <c r="GE4297" s="1" t="s">
        <v>190</v>
      </c>
    </row>
    <row r="4298" spans="1:187" ht="11.25" customHeight="1">
      <c r="A4298" s="1" t="s">
        <v>6093</v>
      </c>
      <c r="B4298" s="1" t="str">
        <f ca="1">IFERROR(__xludf.DUMMYFUNCTION("GOOGLETRANSLATE(A4298, ""en"", ""fr"")"),"Formuler # 2")</f>
        <v>Formuler # 2</v>
      </c>
      <c r="C4298" s="1" t="s">
        <v>185</v>
      </c>
      <c r="N4298" s="1" t="s">
        <v>10</v>
      </c>
      <c r="CO4298" s="1" t="s">
        <v>89</v>
      </c>
      <c r="DN4298" s="1" t="s">
        <v>114</v>
      </c>
      <c r="FH4298" s="1" t="s">
        <v>160</v>
      </c>
      <c r="FI4298" s="1" t="s">
        <v>161</v>
      </c>
      <c r="GD4298" s="1" t="s">
        <v>189</v>
      </c>
      <c r="GE4298" s="1" t="s">
        <v>190</v>
      </c>
    </row>
    <row r="4299" spans="1:187" ht="11.25" customHeight="1">
      <c r="A4299" s="1" t="s">
        <v>6094</v>
      </c>
      <c r="B4299" s="1" t="str">
        <f ca="1">IFERROR(__xludf.DUMMYFUNCTION("GOOGLETRANSLATE(A4299, ""en"", ""fr"")"),"ABANDONNER")</f>
        <v>ABANDONNER</v>
      </c>
      <c r="C4299" s="1" t="s">
        <v>192</v>
      </c>
      <c r="E4299" s="1" t="s">
        <v>16613</v>
      </c>
      <c r="L4299" s="1" t="s">
        <v>8</v>
      </c>
      <c r="M4299" s="1" t="s">
        <v>9</v>
      </c>
      <c r="O4299" s="1" t="s">
        <v>11</v>
      </c>
      <c r="DN4299" s="1" t="s">
        <v>114</v>
      </c>
      <c r="GD4299" s="1" t="s">
        <v>189</v>
      </c>
      <c r="GE4299" s="1" t="s">
        <v>190</v>
      </c>
    </row>
    <row r="4300" spans="1:187" ht="11.25" customHeight="1">
      <c r="A4300" s="1" t="s">
        <v>6095</v>
      </c>
      <c r="B4300" s="1" t="str">
        <f ca="1">IFERROR(__xludf.DUMMYFUNCTION("GOOGLETRANSLATE(A4300, ""en"", ""fr"")"),"FORT")</f>
        <v>FORT</v>
      </c>
      <c r="C4300" s="1" t="s">
        <v>185</v>
      </c>
      <c r="J4300" s="1" t="s">
        <v>6</v>
      </c>
      <c r="AF4300" s="1" t="s">
        <v>28</v>
      </c>
      <c r="AH4300" s="1" t="s">
        <v>30</v>
      </c>
      <c r="AV4300" s="1" t="s">
        <v>44</v>
      </c>
      <c r="AW4300" s="1" t="s">
        <v>45</v>
      </c>
      <c r="GD4300" s="1" t="s">
        <v>193</v>
      </c>
      <c r="GE4300" s="1" t="s">
        <v>190</v>
      </c>
    </row>
    <row r="4301" spans="1:187" ht="11.25" customHeight="1">
      <c r="A4301" s="1" t="s">
        <v>6096</v>
      </c>
      <c r="B4301" s="1" t="str">
        <f ca="1">IFERROR(__xludf.DUMMYFUNCTION("GOOGLETRANSLATE(A4301, ""en"", ""fr"")"),"Forth # 1")</f>
        <v>Forth # 1</v>
      </c>
      <c r="C4301" s="1" t="s">
        <v>185</v>
      </c>
      <c r="DA4301" s="1" t="s">
        <v>101</v>
      </c>
      <c r="GD4301" s="1" t="s">
        <v>236</v>
      </c>
      <c r="GE4301" s="1" t="s">
        <v>6097</v>
      </c>
    </row>
    <row r="4302" spans="1:187" ht="11.25" customHeight="1">
      <c r="A4302" s="1" t="s">
        <v>6098</v>
      </c>
      <c r="B4302" s="1" t="str">
        <f ca="1">IFERROR(__xludf.DUMMYFUNCTION("GOOGLETRANSLATE(A4302, ""en"", ""fr"")"),"Forth # 2")</f>
        <v>Forth # 2</v>
      </c>
      <c r="C4302" s="1" t="s">
        <v>185</v>
      </c>
      <c r="BW4302" s="1" t="s">
        <v>71</v>
      </c>
      <c r="GB4302" s="1" t="s">
        <v>180</v>
      </c>
      <c r="GD4302" s="1" t="s">
        <v>236</v>
      </c>
      <c r="GE4302" s="1" t="s">
        <v>6099</v>
      </c>
    </row>
    <row r="4303" spans="1:187" ht="11.25" customHeight="1">
      <c r="A4303" s="1" t="s">
        <v>6100</v>
      </c>
      <c r="B4303" s="1" t="str">
        <f ca="1">IFERROR(__xludf.DUMMYFUNCTION("GOOGLETRANSLATE(A4303, ""en"", ""fr"")"),"Forth # 3")</f>
        <v>Forth # 3</v>
      </c>
      <c r="C4303" s="1" t="s">
        <v>185</v>
      </c>
      <c r="CH4303" s="1" t="s">
        <v>82</v>
      </c>
      <c r="GD4303" s="1" t="s">
        <v>236</v>
      </c>
      <c r="GE4303" s="1" t="s">
        <v>6101</v>
      </c>
    </row>
    <row r="4304" spans="1:187" ht="11.25" customHeight="1">
      <c r="A4304" s="1" t="s">
        <v>6102</v>
      </c>
      <c r="B4304" s="1" t="str">
        <f ca="1">IFERROR(__xludf.DUMMYFUNCTION("GOOGLETRANSLATE(A4304, ""en"", ""fr"")"),"À VENIR")</f>
        <v>À VENIR</v>
      </c>
      <c r="C4304" s="1" t="s">
        <v>185</v>
      </c>
      <c r="CY4304" s="1" t="s">
        <v>99</v>
      </c>
      <c r="GB4304" s="1" t="s">
        <v>180</v>
      </c>
      <c r="GD4304" s="1" t="s">
        <v>202</v>
      </c>
      <c r="GE4304" s="1" t="s">
        <v>190</v>
      </c>
    </row>
    <row r="4305" spans="1:187" ht="11.25" customHeight="1">
      <c r="A4305" s="1" t="s">
        <v>6103</v>
      </c>
      <c r="B4305" s="1" t="str">
        <f ca="1">IFERROR(__xludf.DUMMYFUNCTION("GOOGLETRANSLATE(A4305, ""en"", ""fr"")"),"IMMÉDIATEMENT")</f>
        <v>IMMÉDIATEMENT</v>
      </c>
      <c r="C4305" s="1" t="s">
        <v>196</v>
      </c>
      <c r="GB4305" s="1" t="s">
        <v>180</v>
      </c>
      <c r="GD4305" s="1" t="s">
        <v>193</v>
      </c>
    </row>
    <row r="4306" spans="1:187" ht="11.25" customHeight="1">
      <c r="A4306" s="1" t="s">
        <v>6104</v>
      </c>
      <c r="B4306" s="1" t="str">
        <f ca="1">IFERROR(__xludf.DUMMYFUNCTION("GOOGLETRANSLATE(A4306, ""en"", ""fr"")"),"FORTIFICATION")</f>
        <v>FORTIFICATION</v>
      </c>
      <c r="C4306" s="1" t="s">
        <v>196</v>
      </c>
      <c r="DW4306" s="1" t="s">
        <v>123</v>
      </c>
      <c r="ED4306" s="1" t="s">
        <v>130</v>
      </c>
      <c r="GD4306" s="1" t="s">
        <v>193</v>
      </c>
    </row>
    <row r="4307" spans="1:187" ht="11.25" customHeight="1">
      <c r="A4307" s="1" t="s">
        <v>6105</v>
      </c>
      <c r="B4307" s="1" t="str">
        <f ca="1">IFERROR(__xludf.DUMMYFUNCTION("GOOGLETRANSLATE(A4307, ""en"", ""fr"")"),"FORTIFIER")</f>
        <v>FORTIFIER</v>
      </c>
      <c r="C4307" s="1" t="s">
        <v>185</v>
      </c>
      <c r="D4307" s="1" t="s">
        <v>16612</v>
      </c>
      <c r="J4307" s="1" t="s">
        <v>6</v>
      </c>
      <c r="K4307" s="1" t="s">
        <v>7</v>
      </c>
      <c r="N4307" s="1" t="s">
        <v>10</v>
      </c>
      <c r="BX4307" s="1" t="s">
        <v>72</v>
      </c>
      <c r="DN4307" s="1" t="s">
        <v>114</v>
      </c>
      <c r="DS4307" s="1" t="s">
        <v>119</v>
      </c>
      <c r="ED4307" s="1" t="s">
        <v>130</v>
      </c>
      <c r="GD4307" s="1" t="s">
        <v>189</v>
      </c>
      <c r="GE4307" s="1" t="s">
        <v>190</v>
      </c>
    </row>
    <row r="4308" spans="1:187" ht="11.25" customHeight="1">
      <c r="A4308" s="1" t="s">
        <v>6106</v>
      </c>
      <c r="B4308" s="1" t="str">
        <f ca="1">IFERROR(__xludf.DUMMYFUNCTION("GOOGLETRANSLATE(A4308, ""en"", ""fr"")"),"COURAGE")</f>
        <v>COURAGE</v>
      </c>
      <c r="C4308" s="1" t="s">
        <v>185</v>
      </c>
      <c r="D4308" s="1" t="s">
        <v>16612</v>
      </c>
      <c r="J4308" s="1" t="s">
        <v>6</v>
      </c>
      <c r="U4308" s="1" t="s">
        <v>17</v>
      </c>
      <c r="EC4308" s="1" t="s">
        <v>129</v>
      </c>
      <c r="ED4308" s="1" t="s">
        <v>130</v>
      </c>
      <c r="GD4308" s="1" t="s">
        <v>193</v>
      </c>
      <c r="GE4308" s="1" t="s">
        <v>190</v>
      </c>
    </row>
    <row r="4309" spans="1:187" ht="11.25" customHeight="1">
      <c r="A4309" s="1" t="s">
        <v>6107</v>
      </c>
      <c r="B4309" s="1" t="str">
        <f ca="1">IFERROR(__xludf.DUMMYFUNCTION("GOOGLETRANSLATE(A4309, ""en"", ""fr"")"),"CHANCEUX")</f>
        <v>CHANCEUX</v>
      </c>
      <c r="C4309" s="1" t="s">
        <v>185</v>
      </c>
      <c r="D4309" s="1" t="s">
        <v>16612</v>
      </c>
      <c r="F4309" s="1" t="s">
        <v>2</v>
      </c>
      <c r="O4309" s="1" t="s">
        <v>11</v>
      </c>
      <c r="U4309" s="1" t="s">
        <v>17</v>
      </c>
      <c r="X4309" s="1" t="s">
        <v>20</v>
      </c>
      <c r="CN4309" s="1" t="s">
        <v>88</v>
      </c>
      <c r="FX4309" s="1" t="s">
        <v>176</v>
      </c>
      <c r="GD4309" s="1" t="s">
        <v>202</v>
      </c>
      <c r="GE4309" s="1" t="s">
        <v>6108</v>
      </c>
    </row>
    <row r="4310" spans="1:187" ht="11.25" customHeight="1">
      <c r="A4310" s="1" t="s">
        <v>6109</v>
      </c>
      <c r="B4310" s="1" t="str">
        <f ca="1">IFERROR(__xludf.DUMMYFUNCTION("GOOGLETRANSLATE(A4310, ""en"", ""fr"")"),"Fortune # 1")</f>
        <v>Fortune # 1</v>
      </c>
      <c r="C4310" s="1" t="s">
        <v>185</v>
      </c>
      <c r="J4310" s="1" t="s">
        <v>6</v>
      </c>
      <c r="U4310" s="1" t="s">
        <v>17</v>
      </c>
      <c r="CP4310" s="1" t="s">
        <v>90</v>
      </c>
      <c r="CQ4310" s="1" t="s">
        <v>91</v>
      </c>
      <c r="FX4310" s="1" t="s">
        <v>176</v>
      </c>
      <c r="GD4310" s="1" t="s">
        <v>193</v>
      </c>
      <c r="GE4310" s="1" t="s">
        <v>6110</v>
      </c>
    </row>
    <row r="4311" spans="1:187" ht="11.25" customHeight="1">
      <c r="A4311" s="1" t="s">
        <v>6111</v>
      </c>
      <c r="B4311" s="1" t="str">
        <f ca="1">IFERROR(__xludf.DUMMYFUNCTION("GOOGLETRANSLATE(A4311, ""en"", ""fr"")"),"Fortune n ° 2")</f>
        <v>Fortune n ° 2</v>
      </c>
      <c r="C4311" s="1" t="s">
        <v>185</v>
      </c>
      <c r="J4311" s="1" t="s">
        <v>6</v>
      </c>
      <c r="AA4311" s="1" t="s">
        <v>23</v>
      </c>
      <c r="AC4311" s="1" t="s">
        <v>25</v>
      </c>
      <c r="BC4311" s="1" t="s">
        <v>51</v>
      </c>
      <c r="BD4311" s="1" t="s">
        <v>52</v>
      </c>
      <c r="EV4311" s="1" t="s">
        <v>148</v>
      </c>
      <c r="EW4311" s="1" t="s">
        <v>149</v>
      </c>
      <c r="GD4311" s="1" t="s">
        <v>193</v>
      </c>
      <c r="GE4311" s="1" t="s">
        <v>6112</v>
      </c>
    </row>
    <row r="4312" spans="1:187" ht="11.25" customHeight="1">
      <c r="A4312" s="1" t="s">
        <v>6113</v>
      </c>
      <c r="B4312" s="1" t="str">
        <f ca="1">IFERROR(__xludf.DUMMYFUNCTION("GOOGLETRANSLATE(A4312, ""en"", ""fr"")"),"Fortune # 3")</f>
        <v>Fortune # 3</v>
      </c>
      <c r="C4312" s="1" t="s">
        <v>185</v>
      </c>
      <c r="AJ4312" s="1" t="s">
        <v>32</v>
      </c>
      <c r="AT4312" s="1" t="s">
        <v>42</v>
      </c>
      <c r="GD4312" s="1" t="s">
        <v>193</v>
      </c>
      <c r="GE4312" s="1" t="s">
        <v>6114</v>
      </c>
    </row>
    <row r="4313" spans="1:187" ht="11.25" customHeight="1">
      <c r="A4313" s="1" t="s">
        <v>6115</v>
      </c>
      <c r="B4313" s="1" t="str">
        <f ca="1">IFERROR(__xludf.DUMMYFUNCTION("GOOGLETRANSLATE(A4313, ""en"", ""fr"")"),"QUARANTE")</f>
        <v>QUARANTE</v>
      </c>
      <c r="C4313" s="1" t="s">
        <v>185</v>
      </c>
      <c r="CS4313" s="1" t="s">
        <v>93</v>
      </c>
      <c r="CT4313" s="1" t="s">
        <v>94</v>
      </c>
      <c r="CV4313" s="1" t="s">
        <v>96</v>
      </c>
      <c r="GD4313" s="1" t="s">
        <v>1756</v>
      </c>
      <c r="GE4313" s="1" t="s">
        <v>190</v>
      </c>
    </row>
    <row r="4314" spans="1:187" ht="11.25" customHeight="1">
      <c r="A4314" s="1" t="s">
        <v>6116</v>
      </c>
      <c r="B4314" s="1" t="str">
        <f ca="1">IFERROR(__xludf.DUMMYFUNCTION("GOOGLETRANSLATE(A4314, ""en"", ""fr"")"),"FORUM")</f>
        <v>FORUM</v>
      </c>
      <c r="C4314" s="1" t="s">
        <v>185</v>
      </c>
      <c r="BK4314" s="1" t="s">
        <v>59</v>
      </c>
      <c r="BL4314" s="1" t="s">
        <v>60</v>
      </c>
      <c r="FH4314" s="1" t="s">
        <v>160</v>
      </c>
      <c r="FI4314" s="1" t="s">
        <v>161</v>
      </c>
      <c r="GC4314" s="1" t="s">
        <v>181</v>
      </c>
      <c r="GD4314" s="1" t="s">
        <v>193</v>
      </c>
      <c r="GE4314" s="1" t="s">
        <v>190</v>
      </c>
    </row>
    <row r="4315" spans="1:187" ht="11.25" customHeight="1">
      <c r="A4315" s="1" t="s">
        <v>6117</v>
      </c>
      <c r="B4315" s="1" t="str">
        <f ca="1">IFERROR(__xludf.DUMMYFUNCTION("GOOGLETRANSLATE(A4315, ""en"", ""fr"")"),"Avance n ° 1")</f>
        <v>Avance n ° 1</v>
      </c>
      <c r="C4315" s="1" t="s">
        <v>185</v>
      </c>
      <c r="D4315" s="1" t="s">
        <v>16612</v>
      </c>
      <c r="F4315" s="1" t="s">
        <v>2</v>
      </c>
      <c r="CY4315" s="1" t="s">
        <v>99</v>
      </c>
      <c r="GB4315" s="1" t="s">
        <v>180</v>
      </c>
      <c r="GD4315" s="1" t="s">
        <v>236</v>
      </c>
      <c r="GE4315" s="1" t="s">
        <v>6118</v>
      </c>
    </row>
    <row r="4316" spans="1:187" ht="11.25" customHeight="1">
      <c r="A4316" s="1" t="s">
        <v>6119</v>
      </c>
      <c r="B4316" s="1" t="str">
        <f ca="1">IFERROR(__xludf.DUMMYFUNCTION("GOOGLETRANSLATE(A4316, ""en"", ""fr"")"),"Avance n ° 2")</f>
        <v>Avance n ° 2</v>
      </c>
      <c r="C4316" s="1" t="s">
        <v>185</v>
      </c>
      <c r="BN4316" s="1" t="s">
        <v>62</v>
      </c>
      <c r="DN4316" s="1" t="s">
        <v>114</v>
      </c>
      <c r="FX4316" s="1" t="s">
        <v>176</v>
      </c>
      <c r="GD4316" s="1" t="s">
        <v>4701</v>
      </c>
      <c r="GE4316" s="1" t="s">
        <v>6120</v>
      </c>
    </row>
    <row r="4317" spans="1:187" ht="11.25" customHeight="1">
      <c r="A4317" s="1" t="s">
        <v>6121</v>
      </c>
      <c r="B4317" s="1" t="str">
        <f ca="1">IFERROR(__xludf.DUMMYFUNCTION("GOOGLETRANSLATE(A4317, ""en"", ""fr"")"),"Forward n ° 3")</f>
        <v>Forward n ° 3</v>
      </c>
      <c r="C4317" s="1" t="s">
        <v>185</v>
      </c>
      <c r="CE4317" s="1" t="s">
        <v>79</v>
      </c>
      <c r="DN4317" s="1" t="s">
        <v>114</v>
      </c>
      <c r="GD4317" s="1" t="s">
        <v>189</v>
      </c>
      <c r="GE4317" s="1" t="s">
        <v>6122</v>
      </c>
    </row>
    <row r="4318" spans="1:187" ht="11.25" customHeight="1">
      <c r="A4318" s="1" t="s">
        <v>6123</v>
      </c>
      <c r="B4318" s="1" t="str">
        <f ca="1">IFERROR(__xludf.DUMMYFUNCTION("GOOGLETRANSLATE(A4318, ""en"", ""fr"")"),"PRÉCOCITÉ")</f>
        <v>PRÉCOCITÉ</v>
      </c>
      <c r="C4318" s="1" t="s">
        <v>196</v>
      </c>
      <c r="EC4318" s="1" t="s">
        <v>129</v>
      </c>
      <c r="ED4318" s="1" t="s">
        <v>130</v>
      </c>
      <c r="GD4318" s="1" t="s">
        <v>193</v>
      </c>
    </row>
    <row r="4319" spans="1:187" ht="11.25" customHeight="1">
      <c r="A4319" s="1" t="s">
        <v>6124</v>
      </c>
      <c r="B4319" s="1" t="str">
        <f ca="1">IFERROR(__xludf.DUMMYFUNCTION("GOOGLETRANSLATE(A4319, ""en"", ""fr"")"),"FOSSILISER")</f>
        <v>FOSSILISER</v>
      </c>
      <c r="C4319" s="1" t="s">
        <v>185</v>
      </c>
      <c r="O4319" s="1" t="s">
        <v>11</v>
      </c>
      <c r="BZ4319" s="1" t="s">
        <v>74</v>
      </c>
      <c r="DN4319" s="1" t="s">
        <v>114</v>
      </c>
      <c r="GD4319" s="1" t="s">
        <v>189</v>
      </c>
      <c r="GE4319" s="1" t="s">
        <v>190</v>
      </c>
    </row>
    <row r="4320" spans="1:187" ht="11.25" customHeight="1">
      <c r="A4320" s="1" t="s">
        <v>6125</v>
      </c>
      <c r="B4320" s="1" t="str">
        <f ca="1">IFERROR(__xludf.DUMMYFUNCTION("GOOGLETRANSLATE(A4320, ""en"", ""fr"")"),"FAVORISER")</f>
        <v>FAVORISER</v>
      </c>
      <c r="C4320" s="1" t="s">
        <v>185</v>
      </c>
      <c r="D4320" s="1" t="s">
        <v>16612</v>
      </c>
      <c r="G4320" s="1" t="s">
        <v>3</v>
      </c>
      <c r="N4320" s="1" t="s">
        <v>10</v>
      </c>
      <c r="BV4320" s="1" t="s">
        <v>70</v>
      </c>
      <c r="DN4320" s="1" t="s">
        <v>114</v>
      </c>
      <c r="FN4320" s="1" t="s">
        <v>166</v>
      </c>
      <c r="GD4320" s="1" t="s">
        <v>189</v>
      </c>
      <c r="GE4320" s="1" t="s">
        <v>190</v>
      </c>
    </row>
    <row r="4321" spans="1:187" ht="11.25" customHeight="1">
      <c r="A4321" s="1" t="s">
        <v>6126</v>
      </c>
      <c r="B4321" s="1" t="str">
        <f ca="1">IFERROR(__xludf.DUMMYFUNCTION("GOOGLETRANSLATE(A4321, ""en"", ""fr"")"),"COMBATTU")</f>
        <v>COMBATTU</v>
      </c>
      <c r="C4321" s="1" t="s">
        <v>185</v>
      </c>
      <c r="E4321" s="1" t="s">
        <v>16613</v>
      </c>
      <c r="H4321" s="1" t="s">
        <v>4</v>
      </c>
      <c r="I4321" s="1" t="s">
        <v>5</v>
      </c>
      <c r="J4321" s="1" t="s">
        <v>6</v>
      </c>
      <c r="N4321" s="1" t="s">
        <v>10</v>
      </c>
      <c r="AN4321" s="1" t="s">
        <v>36</v>
      </c>
      <c r="DO4321" s="1" t="s">
        <v>115</v>
      </c>
      <c r="DW4321" s="1" t="s">
        <v>123</v>
      </c>
      <c r="ED4321" s="1" t="s">
        <v>130</v>
      </c>
      <c r="GD4321" s="1" t="s">
        <v>1076</v>
      </c>
      <c r="GE4321" s="1" t="s">
        <v>6127</v>
      </c>
    </row>
    <row r="4322" spans="1:187" ht="11.25" customHeight="1">
      <c r="A4322" s="1" t="s">
        <v>6128</v>
      </c>
      <c r="B4322" s="1" t="str">
        <f ca="1">IFERROR(__xludf.DUMMYFUNCTION("GOOGLETRANSLATE(A4322, ""en"", ""fr"")"),"Trouvé n ° 1")</f>
        <v>Trouvé n ° 1</v>
      </c>
      <c r="C4322" s="1" t="s">
        <v>185</v>
      </c>
      <c r="BS4322" s="1" t="s">
        <v>67</v>
      </c>
      <c r="DN4322" s="1" t="s">
        <v>114</v>
      </c>
      <c r="FF4322" s="1" t="s">
        <v>158</v>
      </c>
      <c r="FI4322" s="1" t="s">
        <v>161</v>
      </c>
      <c r="GD4322" s="1" t="s">
        <v>2413</v>
      </c>
      <c r="GE4322" s="1" t="s">
        <v>6129</v>
      </c>
    </row>
    <row r="4323" spans="1:187" ht="11.25" customHeight="1">
      <c r="A4323" s="1" t="s">
        <v>6130</v>
      </c>
      <c r="B4323" s="1" t="str">
        <f ca="1">IFERROR(__xludf.DUMMYFUNCTION("GOOGLETRANSLATE(A4323, ""en"", ""fr"")"),"Trouvé n ° 2")</f>
        <v>Trouvé n ° 2</v>
      </c>
      <c r="C4323" s="1" t="s">
        <v>185</v>
      </c>
      <c r="J4323" s="1" t="s">
        <v>6</v>
      </c>
      <c r="K4323" s="1" t="s">
        <v>7</v>
      </c>
      <c r="N4323" s="1" t="s">
        <v>10</v>
      </c>
      <c r="BV4323" s="1" t="s">
        <v>70</v>
      </c>
      <c r="DN4323" s="1" t="s">
        <v>114</v>
      </c>
      <c r="FP4323" s="1" t="s">
        <v>168</v>
      </c>
      <c r="GD4323" s="1" t="s">
        <v>189</v>
      </c>
      <c r="GE4323" s="1" t="s">
        <v>6131</v>
      </c>
    </row>
    <row r="4324" spans="1:187" ht="11.25" customHeight="1">
      <c r="A4324" s="1" t="s">
        <v>6132</v>
      </c>
      <c r="B4324" s="1" t="str">
        <f ca="1">IFERROR(__xludf.DUMMYFUNCTION("GOOGLETRANSLATE(A4324, ""en"", ""fr"")"),"Trouvé n ° 3")</f>
        <v>Trouvé n ° 3</v>
      </c>
      <c r="C4324" s="1" t="s">
        <v>185</v>
      </c>
      <c r="J4324" s="1" t="s">
        <v>6</v>
      </c>
      <c r="N4324" s="1" t="s">
        <v>10</v>
      </c>
      <c r="AM4324" s="1" t="s">
        <v>35</v>
      </c>
      <c r="GD4324" s="1" t="s">
        <v>193</v>
      </c>
      <c r="GE4324" s="1" t="s">
        <v>6133</v>
      </c>
    </row>
    <row r="4325" spans="1:187" ht="11.25" customHeight="1">
      <c r="A4325" s="1" t="s">
        <v>6134</v>
      </c>
      <c r="B4325" s="1" t="str">
        <f ca="1">IFERROR(__xludf.DUMMYFUNCTION("GOOGLETRANSLATE(A4325, ""en"", ""fr"")"),"FONDATION")</f>
        <v>FONDATION</v>
      </c>
      <c r="C4325" s="1" t="s">
        <v>185</v>
      </c>
      <c r="J4325" s="1" t="s">
        <v>6</v>
      </c>
      <c r="Z4325" s="1" t="s">
        <v>22</v>
      </c>
      <c r="AA4325" s="1" t="s">
        <v>23</v>
      </c>
      <c r="AC4325" s="1" t="s">
        <v>25</v>
      </c>
      <c r="FQ4325" s="1" t="s">
        <v>169</v>
      </c>
      <c r="GD4325" s="1" t="s">
        <v>193</v>
      </c>
      <c r="GE4325" s="1" t="s">
        <v>190</v>
      </c>
    </row>
    <row r="4326" spans="1:187" ht="11.25" customHeight="1">
      <c r="A4326" s="1" t="s">
        <v>6135</v>
      </c>
      <c r="B4326" s="1" t="str">
        <f ca="1">IFERROR(__xludf.DUMMYFUNCTION("GOOGLETRANSLATE(A4326, ""en"", ""fr"")"),"Fondateur # 1")</f>
        <v>Fondateur # 1</v>
      </c>
      <c r="C4326" s="1" t="s">
        <v>185</v>
      </c>
      <c r="J4326" s="1" t="s">
        <v>6</v>
      </c>
      <c r="K4326" s="1" t="s">
        <v>7</v>
      </c>
      <c r="AJ4326" s="1" t="s">
        <v>32</v>
      </c>
      <c r="AT4326" s="1" t="s">
        <v>42</v>
      </c>
      <c r="FT4326" s="1" t="s">
        <v>172</v>
      </c>
      <c r="GD4326" s="1" t="s">
        <v>193</v>
      </c>
      <c r="GE4326" s="1" t="s">
        <v>190</v>
      </c>
    </row>
    <row r="4327" spans="1:187" ht="11.25" customHeight="1">
      <c r="A4327" s="1" t="s">
        <v>6136</v>
      </c>
      <c r="B4327" s="1" t="str">
        <f ca="1">IFERROR(__xludf.DUMMYFUNCTION("GOOGLETRANSLATE(A4327, ""en"", ""fr"")"),"Fondateur # 2")</f>
        <v>Fondateur # 2</v>
      </c>
      <c r="C4327" s="1" t="s">
        <v>185</v>
      </c>
      <c r="E4327" s="1" t="s">
        <v>16613</v>
      </c>
      <c r="H4327" s="1" t="s">
        <v>4</v>
      </c>
      <c r="L4327" s="1" t="s">
        <v>8</v>
      </c>
      <c r="O4327" s="1" t="s">
        <v>11</v>
      </c>
      <c r="BT4327" s="1" t="s">
        <v>68</v>
      </c>
      <c r="DN4327" s="1" t="s">
        <v>114</v>
      </c>
      <c r="FO4327" s="1" t="s">
        <v>167</v>
      </c>
      <c r="GD4327" s="1" t="s">
        <v>189</v>
      </c>
      <c r="GE4327" s="1" t="s">
        <v>190</v>
      </c>
    </row>
    <row r="4328" spans="1:187" ht="11.25" customHeight="1">
      <c r="A4328" s="1" t="s">
        <v>6137</v>
      </c>
      <c r="B4328" s="1" t="str">
        <f ca="1">IFERROR(__xludf.DUMMYFUNCTION("GOOGLETRANSLATE(A4328, ""en"", ""fr"")"),"Quatre")</f>
        <v>Quatre</v>
      </c>
      <c r="C4328" s="1" t="s">
        <v>185</v>
      </c>
      <c r="CS4328" s="1" t="s">
        <v>93</v>
      </c>
      <c r="CT4328" s="1" t="s">
        <v>94</v>
      </c>
      <c r="CV4328" s="1" t="s">
        <v>96</v>
      </c>
      <c r="GD4328" s="1" t="s">
        <v>1756</v>
      </c>
      <c r="GE4328" s="1" t="s">
        <v>5862</v>
      </c>
    </row>
    <row r="4329" spans="1:187" ht="11.25" customHeight="1">
      <c r="A4329" s="1" t="s">
        <v>6138</v>
      </c>
      <c r="B4329" s="1" t="str">
        <f ca="1">IFERROR(__xludf.DUMMYFUNCTION("GOOGLETRANSLATE(A4329, ""en"", ""fr"")"),"QUATORZE")</f>
        <v>QUATORZE</v>
      </c>
      <c r="C4329" s="1" t="s">
        <v>185</v>
      </c>
      <c r="CS4329" s="1" t="s">
        <v>93</v>
      </c>
      <c r="CT4329" s="1" t="s">
        <v>94</v>
      </c>
      <c r="CV4329" s="1" t="s">
        <v>96</v>
      </c>
      <c r="GD4329" s="1" t="s">
        <v>1756</v>
      </c>
      <c r="GE4329" s="1" t="s">
        <v>5862</v>
      </c>
    </row>
    <row r="4330" spans="1:187" ht="11.25" customHeight="1">
      <c r="A4330" s="1" t="s">
        <v>6139</v>
      </c>
      <c r="B4330" s="1" t="str">
        <f ca="1">IFERROR(__xludf.DUMMYFUNCTION("GOOGLETRANSLATE(A4330, ""en"", ""fr"")"),"Quatrième n ° 1")</f>
        <v>Quatrième n ° 1</v>
      </c>
      <c r="C4330" s="1" t="s">
        <v>192</v>
      </c>
      <c r="GE4330" s="1" t="s">
        <v>190</v>
      </c>
    </row>
    <row r="4331" spans="1:187" ht="11.25" customHeight="1">
      <c r="A4331" s="1" t="s">
        <v>6140</v>
      </c>
      <c r="B4331" s="1" t="str">
        <f ca="1">IFERROR(__xludf.DUMMYFUNCTION("GOOGLETRANSLATE(A4331, ""en"", ""fr"")"),"Fox # 1")</f>
        <v>Fox # 1</v>
      </c>
      <c r="C4331" s="1" t="s">
        <v>185</v>
      </c>
      <c r="AU4331" s="1" t="s">
        <v>43</v>
      </c>
      <c r="GD4331" s="1" t="s">
        <v>849</v>
      </c>
      <c r="GE4331" s="1" t="s">
        <v>6141</v>
      </c>
    </row>
    <row r="4332" spans="1:187" ht="11.25" customHeight="1">
      <c r="A4332" s="1" t="s">
        <v>6142</v>
      </c>
      <c r="B4332" s="1" t="str">
        <f ca="1">IFERROR(__xludf.DUMMYFUNCTION("GOOGLETRANSLATE(A4332, ""en"", ""fr"")"),"Fox # 2")</f>
        <v>Fox # 2</v>
      </c>
      <c r="C4332" s="1" t="s">
        <v>185</v>
      </c>
      <c r="AJ4332" s="1" t="s">
        <v>32</v>
      </c>
      <c r="AT4332" s="1" t="s">
        <v>42</v>
      </c>
      <c r="GD4332" s="1" t="s">
        <v>193</v>
      </c>
      <c r="GE4332" s="1" t="s">
        <v>6143</v>
      </c>
    </row>
    <row r="4333" spans="1:187" ht="11.25" customHeight="1">
      <c r="A4333" s="1" t="s">
        <v>6144</v>
      </c>
      <c r="B4333" s="1" t="str">
        <f ca="1">IFERROR(__xludf.DUMMYFUNCTION("GOOGLETRANSLATE(A4333, ""en"", ""fr"")"),"FRACTION")</f>
        <v>FRACTION</v>
      </c>
      <c r="C4333" s="1" t="s">
        <v>185</v>
      </c>
      <c r="CS4333" s="1" t="s">
        <v>93</v>
      </c>
      <c r="GD4333" s="1" t="s">
        <v>193</v>
      </c>
      <c r="GE4333" s="1" t="s">
        <v>190</v>
      </c>
    </row>
    <row r="4334" spans="1:187" ht="11.25" customHeight="1">
      <c r="A4334" s="1" t="s">
        <v>6145</v>
      </c>
      <c r="B4334" s="1" t="str">
        <f ca="1">IFERROR(__xludf.DUMMYFUNCTION("GOOGLETRANSLATE(A4334, ""en"", ""fr"")"),"FRACTURE")</f>
        <v>FRACTURE</v>
      </c>
      <c r="C4334" s="1" t="s">
        <v>192</v>
      </c>
      <c r="E4334" s="1" t="s">
        <v>16613</v>
      </c>
      <c r="L4334" s="1" t="s">
        <v>8</v>
      </c>
      <c r="O4334" s="1" t="s">
        <v>11</v>
      </c>
      <c r="V4334" s="1" t="s">
        <v>18</v>
      </c>
      <c r="DN4334" s="1" t="s">
        <v>114</v>
      </c>
      <c r="GD4334" s="1" t="s">
        <v>189</v>
      </c>
      <c r="GE4334" s="1" t="s">
        <v>190</v>
      </c>
    </row>
    <row r="4335" spans="1:187" ht="11.25" customHeight="1">
      <c r="A4335" s="1" t="s">
        <v>6146</v>
      </c>
      <c r="B4335" s="1" t="str">
        <f ca="1">IFERROR(__xludf.DUMMYFUNCTION("GOOGLETRANSLATE(A4335, ""en"", ""fr"")"),"FRAGILE")</f>
        <v>FRAGILE</v>
      </c>
      <c r="C4335" s="1" t="s">
        <v>192</v>
      </c>
      <c r="E4335" s="1" t="s">
        <v>16613</v>
      </c>
      <c r="L4335" s="1" t="s">
        <v>8</v>
      </c>
      <c r="DR4335" s="1" t="s">
        <v>118</v>
      </c>
      <c r="GD4335" s="1" t="s">
        <v>202</v>
      </c>
      <c r="GE4335" s="1" t="s">
        <v>190</v>
      </c>
    </row>
    <row r="4336" spans="1:187" ht="11.25" customHeight="1">
      <c r="A4336" s="1" t="s">
        <v>6147</v>
      </c>
      <c r="B4336" s="1" t="str">
        <f ca="1">IFERROR(__xludf.DUMMYFUNCTION("GOOGLETRANSLATE(A4336, ""en"", ""fr"")"),"PARFUMÉ")</f>
        <v>PARFUMÉ</v>
      </c>
      <c r="C4336" s="1" t="s">
        <v>192</v>
      </c>
      <c r="D4336" s="1" t="s">
        <v>16612</v>
      </c>
      <c r="CK4336" s="1" t="s">
        <v>85</v>
      </c>
      <c r="CM4336" s="1" t="s">
        <v>87</v>
      </c>
      <c r="CR4336" s="1" t="s">
        <v>92</v>
      </c>
      <c r="DR4336" s="1" t="s">
        <v>118</v>
      </c>
      <c r="GD4336" s="1" t="s">
        <v>202</v>
      </c>
      <c r="GE4336" s="1" t="s">
        <v>190</v>
      </c>
    </row>
    <row r="4337" spans="1:187" ht="11.25" customHeight="1">
      <c r="A4337" s="1" t="s">
        <v>6148</v>
      </c>
      <c r="B4337" s="1" t="str">
        <f ca="1">IFERROR(__xludf.DUMMYFUNCTION("GOOGLETRANSLATE(A4337, ""en"", ""fr"")"),"FRÊLE")</f>
        <v>FRÊLE</v>
      </c>
      <c r="C4337" s="1" t="s">
        <v>185</v>
      </c>
      <c r="L4337" s="1" t="s">
        <v>8</v>
      </c>
      <c r="V4337" s="1" t="s">
        <v>18</v>
      </c>
      <c r="GD4337" s="1" t="s">
        <v>202</v>
      </c>
      <c r="GE4337" s="1" t="s">
        <v>190</v>
      </c>
    </row>
    <row r="4338" spans="1:187" ht="11.25" customHeight="1">
      <c r="A4338" s="1" t="s">
        <v>6149</v>
      </c>
      <c r="B4338" s="1" t="str">
        <f ca="1">IFERROR(__xludf.DUMMYFUNCTION("GOOGLETRANSLATE(A4338, ""en"", ""fr"")"),"Cadre n ° 1")</f>
        <v>Cadre n ° 1</v>
      </c>
      <c r="C4338" s="1" t="s">
        <v>185</v>
      </c>
      <c r="J4338" s="1" t="s">
        <v>6</v>
      </c>
      <c r="BC4338" s="1" t="s">
        <v>51</v>
      </c>
      <c r="BD4338" s="1" t="s">
        <v>52</v>
      </c>
      <c r="GD4338" s="1" t="s">
        <v>193</v>
      </c>
      <c r="GE4338" s="1" t="s">
        <v>190</v>
      </c>
    </row>
    <row r="4339" spans="1:187" ht="11.25" customHeight="1">
      <c r="A4339" s="1" t="s">
        <v>6150</v>
      </c>
      <c r="B4339" s="1" t="str">
        <f ca="1">IFERROR(__xludf.DUMMYFUNCTION("GOOGLETRANSLATE(A4339, ""en"", ""fr"")"),"Cadre n ° 2")</f>
        <v>Cadre n ° 2</v>
      </c>
      <c r="C4339" s="1" t="s">
        <v>185</v>
      </c>
      <c r="J4339" s="1" t="s">
        <v>6</v>
      </c>
      <c r="N4339" s="1" t="s">
        <v>10</v>
      </c>
      <c r="AL4339" s="1" t="s">
        <v>34</v>
      </c>
      <c r="DN4339" s="1" t="s">
        <v>114</v>
      </c>
      <c r="FP4339" s="1" t="s">
        <v>168</v>
      </c>
      <c r="GD4339" s="1" t="s">
        <v>189</v>
      </c>
      <c r="GE4339" s="1" t="s">
        <v>190</v>
      </c>
    </row>
    <row r="4340" spans="1:187" ht="11.25" customHeight="1">
      <c r="A4340" s="1" t="s">
        <v>6151</v>
      </c>
      <c r="B4340" s="1" t="str">
        <f ca="1">IFERROR(__xludf.DUMMYFUNCTION("GOOGLETRANSLATE(A4340, ""en"", ""fr"")"),"CADRE")</f>
        <v>CADRE</v>
      </c>
      <c r="C4340" s="1" t="s">
        <v>185</v>
      </c>
      <c r="CH4340" s="1" t="s">
        <v>82</v>
      </c>
      <c r="GB4340" s="1" t="s">
        <v>180</v>
      </c>
      <c r="GD4340" s="1" t="s">
        <v>193</v>
      </c>
      <c r="GE4340" s="1" t="s">
        <v>190</v>
      </c>
    </row>
    <row r="4341" spans="1:187" ht="11.25" customHeight="1">
      <c r="A4341" s="1" t="s">
        <v>6152</v>
      </c>
      <c r="B4341" s="1" t="str">
        <f ca="1">IFERROR(__xludf.DUMMYFUNCTION("GOOGLETRANSLATE(A4341, ""en"", ""fr"")"),"FRANCE")</f>
        <v>FRANCE</v>
      </c>
      <c r="C4341" s="1" t="s">
        <v>185</v>
      </c>
      <c r="AC4341" s="1" t="s">
        <v>25</v>
      </c>
      <c r="AH4341" s="1" t="s">
        <v>30</v>
      </c>
      <c r="DI4341" s="1" t="s">
        <v>109</v>
      </c>
      <c r="FU4341" s="1" t="s">
        <v>173</v>
      </c>
      <c r="GD4341" s="1" t="s">
        <v>193</v>
      </c>
      <c r="GE4341" s="1" t="s">
        <v>190</v>
      </c>
    </row>
    <row r="4342" spans="1:187" ht="11.25" customHeight="1">
      <c r="A4342" s="1" t="s">
        <v>6153</v>
      </c>
      <c r="B4342" s="1" t="str">
        <f ca="1">IFERROR(__xludf.DUMMYFUNCTION("GOOGLETRANSLATE(A4342, ""en"", ""fr"")"),"LA FRANCHISE")</f>
        <v>LA FRANCHISE</v>
      </c>
      <c r="C4342" s="1" t="s">
        <v>196</v>
      </c>
      <c r="DS4342" s="1" t="s">
        <v>119</v>
      </c>
      <c r="ED4342" s="1" t="s">
        <v>130</v>
      </c>
      <c r="GD4342" s="1" t="s">
        <v>193</v>
      </c>
    </row>
    <row r="4343" spans="1:187" ht="11.25" customHeight="1">
      <c r="A4343" s="1" t="s">
        <v>6154</v>
      </c>
      <c r="B4343" s="1" t="str">
        <f ca="1">IFERROR(__xludf.DUMMYFUNCTION("GOOGLETRANSLATE(A4343, ""en"", ""fr"")"),"Francisco")</f>
        <v>Francisco</v>
      </c>
      <c r="C4343" s="1" t="s">
        <v>185</v>
      </c>
      <c r="AC4343" s="1" t="s">
        <v>25</v>
      </c>
      <c r="AH4343" s="1" t="s">
        <v>30</v>
      </c>
      <c r="DI4343" s="1" t="s">
        <v>109</v>
      </c>
      <c r="GD4343" s="1" t="s">
        <v>193</v>
      </c>
      <c r="GE4343" s="1" t="s">
        <v>190</v>
      </c>
    </row>
    <row r="4344" spans="1:187" ht="11.25" customHeight="1">
      <c r="A4344" s="1" t="s">
        <v>6155</v>
      </c>
      <c r="B4344" s="1" t="str">
        <f ca="1">IFERROR(__xludf.DUMMYFUNCTION("GOOGLETRANSLATE(A4344, ""en"", ""fr"")"),"FRANC")</f>
        <v>FRANC</v>
      </c>
      <c r="C4344" s="1" t="s">
        <v>185</v>
      </c>
      <c r="D4344" s="1" t="s">
        <v>16612</v>
      </c>
      <c r="F4344" s="1" t="s">
        <v>2</v>
      </c>
      <c r="U4344" s="1" t="s">
        <v>17</v>
      </c>
      <c r="CN4344" s="1" t="s">
        <v>88</v>
      </c>
      <c r="GD4344" s="1" t="s">
        <v>202</v>
      </c>
      <c r="GE4344" s="1" t="s">
        <v>190</v>
      </c>
    </row>
    <row r="4345" spans="1:187" ht="11.25" customHeight="1">
      <c r="A4345" s="1" t="s">
        <v>6156</v>
      </c>
      <c r="B4345" s="1" t="str">
        <f ca="1">IFERROR(__xludf.DUMMYFUNCTION("GOOGLETRANSLATE(A4345, ""en"", ""fr"")"),"FRÉNÉTIQUE")</f>
        <v>FRÉNÉTIQUE</v>
      </c>
      <c r="C4345" s="1" t="s">
        <v>185</v>
      </c>
      <c r="E4345" s="1" t="s">
        <v>16613</v>
      </c>
      <c r="H4345" s="1" t="s">
        <v>4</v>
      </c>
      <c r="L4345" s="1" t="s">
        <v>8</v>
      </c>
      <c r="Q4345" s="1" t="s">
        <v>13</v>
      </c>
      <c r="T4345" s="1" t="s">
        <v>16</v>
      </c>
      <c r="GD4345" s="1" t="s">
        <v>202</v>
      </c>
      <c r="GE4345" s="1" t="s">
        <v>190</v>
      </c>
    </row>
    <row r="4346" spans="1:187" ht="11.25" customHeight="1">
      <c r="A4346" s="1" t="s">
        <v>6157</v>
      </c>
      <c r="B4346" s="1" t="str">
        <f ca="1">IFERROR(__xludf.DUMMYFUNCTION("GOOGLETRANSLATE(A4346, ""en"", ""fr"")"),"Frénétiquement")</f>
        <v>Frénétiquement</v>
      </c>
      <c r="C4346" s="1" t="s">
        <v>192</v>
      </c>
      <c r="E4346" s="1" t="s">
        <v>16613</v>
      </c>
      <c r="W4346" s="1" t="s">
        <v>19</v>
      </c>
      <c r="CR4346" s="1" t="s">
        <v>92</v>
      </c>
      <c r="GD4346" s="1" t="s">
        <v>202</v>
      </c>
      <c r="GE4346" s="1" t="s">
        <v>190</v>
      </c>
    </row>
    <row r="4347" spans="1:187" ht="11.25" customHeight="1">
      <c r="A4347" s="1" t="s">
        <v>6158</v>
      </c>
      <c r="B4347" s="1" t="str">
        <f ca="1">IFERROR(__xludf.DUMMYFUNCTION("GOOGLETRANSLATE(A4347, ""en"", ""fr"")"),"FRATERNEL")</f>
        <v>FRATERNEL</v>
      </c>
      <c r="C4347" s="1" t="s">
        <v>196</v>
      </c>
      <c r="ER4347" s="1" t="s">
        <v>144</v>
      </c>
      <c r="ES4347" s="1" t="s">
        <v>145</v>
      </c>
      <c r="GD4347" s="1" t="s">
        <v>202</v>
      </c>
    </row>
    <row r="4348" spans="1:187" ht="11.25" customHeight="1">
      <c r="A4348" s="1" t="s">
        <v>6159</v>
      </c>
      <c r="B4348" s="1" t="str">
        <f ca="1">IFERROR(__xludf.DUMMYFUNCTION("GOOGLETRANSLATE(A4348, ""en"", ""fr"")"),"FRATERNITÉ")</f>
        <v>FRATERNITÉ</v>
      </c>
      <c r="C4348" s="1" t="s">
        <v>196</v>
      </c>
      <c r="ER4348" s="1" t="s">
        <v>144</v>
      </c>
      <c r="ES4348" s="1" t="s">
        <v>145</v>
      </c>
      <c r="GD4348" s="1" t="s">
        <v>193</v>
      </c>
    </row>
    <row r="4349" spans="1:187" ht="11.25" customHeight="1">
      <c r="A4349" s="1" t="s">
        <v>6160</v>
      </c>
      <c r="B4349" s="1" t="str">
        <f ca="1">IFERROR(__xludf.DUMMYFUNCTION("GOOGLETRANSLATE(A4349, ""en"", ""fr"")"),"FRAUDE")</f>
        <v>FRAUDE</v>
      </c>
      <c r="C4349" s="1" t="s">
        <v>185</v>
      </c>
      <c r="E4349" s="1" t="s">
        <v>16613</v>
      </c>
      <c r="L4349" s="1" t="s">
        <v>8</v>
      </c>
      <c r="BK4349" s="1" t="s">
        <v>59</v>
      </c>
      <c r="BT4349" s="1" t="s">
        <v>68</v>
      </c>
      <c r="EE4349" s="1" t="s">
        <v>131</v>
      </c>
      <c r="EJ4349" s="1" t="s">
        <v>136</v>
      </c>
      <c r="GD4349" s="1" t="s">
        <v>193</v>
      </c>
      <c r="GE4349" s="1" t="s">
        <v>190</v>
      </c>
    </row>
    <row r="4350" spans="1:187" ht="11.25" customHeight="1">
      <c r="A4350" s="1" t="s">
        <v>6161</v>
      </c>
      <c r="B4350" s="1" t="str">
        <f ca="1">IFERROR(__xludf.DUMMYFUNCTION("GOOGLETRANSLATE(A4350, ""en"", ""fr"")"),"FRAUDULEUX")</f>
        <v>FRAUDULEUX</v>
      </c>
      <c r="C4350" s="1" t="s">
        <v>192</v>
      </c>
      <c r="E4350" s="1" t="s">
        <v>16613</v>
      </c>
      <c r="L4350" s="1" t="s">
        <v>8</v>
      </c>
      <c r="BK4350" s="1" t="s">
        <v>59</v>
      </c>
      <c r="BT4350" s="1" t="s">
        <v>68</v>
      </c>
      <c r="DR4350" s="1" t="s">
        <v>118</v>
      </c>
      <c r="GD4350" s="1" t="s">
        <v>202</v>
      </c>
      <c r="GE4350" s="1" t="s">
        <v>190</v>
      </c>
    </row>
    <row r="4351" spans="1:187" ht="11.25" customHeight="1">
      <c r="A4351" s="1" t="s">
        <v>6162</v>
      </c>
      <c r="B4351" s="1" t="str">
        <f ca="1">IFERROR(__xludf.DUMMYFUNCTION("GOOGLETRANSLATE(A4351, ""en"", ""fr"")"),"CHARGÉ")</f>
        <v>CHARGÉ</v>
      </c>
      <c r="C4351" s="1" t="s">
        <v>192</v>
      </c>
      <c r="E4351" s="1" t="s">
        <v>16613</v>
      </c>
      <c r="W4351" s="1" t="s">
        <v>19</v>
      </c>
      <c r="CM4351" s="1" t="s">
        <v>87</v>
      </c>
      <c r="CR4351" s="1" t="s">
        <v>92</v>
      </c>
      <c r="DR4351" s="1" t="s">
        <v>118</v>
      </c>
      <c r="GD4351" s="1" t="s">
        <v>202</v>
      </c>
      <c r="GE4351" s="1" t="s">
        <v>190</v>
      </c>
    </row>
    <row r="4352" spans="1:187" ht="11.25" customHeight="1">
      <c r="A4352" s="1" t="s">
        <v>6163</v>
      </c>
      <c r="B4352" s="1" t="str">
        <f ca="1">IFERROR(__xludf.DUMMYFUNCTION("GOOGLETRANSLATE(A4352, ""en"", ""fr"")"),"MONSTRE")</f>
        <v>MONSTRE</v>
      </c>
      <c r="C4352" s="1" t="s">
        <v>192</v>
      </c>
      <c r="E4352" s="1" t="s">
        <v>16613</v>
      </c>
      <c r="AT4352" s="1" t="s">
        <v>42</v>
      </c>
      <c r="CR4352" s="1" t="s">
        <v>92</v>
      </c>
      <c r="GD4352" s="1" t="s">
        <v>193</v>
      </c>
      <c r="GE4352" s="1" t="s">
        <v>190</v>
      </c>
    </row>
    <row r="4353" spans="1:187" ht="11.25" customHeight="1">
      <c r="A4353" s="1" t="s">
        <v>6164</v>
      </c>
      <c r="B4353" s="1" t="str">
        <f ca="1">IFERROR(__xludf.DUMMYFUNCTION("GOOGLETRANSLATE(A4353, ""en"", ""fr"")"),"GRATUIT # 1")</f>
        <v>GRATUIT # 1</v>
      </c>
      <c r="C4353" s="1" t="s">
        <v>185</v>
      </c>
      <c r="D4353" s="1" t="s">
        <v>16612</v>
      </c>
      <c r="F4353" s="1" t="s">
        <v>2</v>
      </c>
      <c r="J4353" s="1" t="s">
        <v>6</v>
      </c>
      <c r="U4353" s="1" t="s">
        <v>17</v>
      </c>
      <c r="EC4353" s="1" t="s">
        <v>129</v>
      </c>
      <c r="ED4353" s="1" t="s">
        <v>130</v>
      </c>
      <c r="GD4353" s="1" t="s">
        <v>202</v>
      </c>
      <c r="GE4353" s="1" t="s">
        <v>6165</v>
      </c>
    </row>
    <row r="4354" spans="1:187" ht="11.25" customHeight="1">
      <c r="A4354" s="1" t="s">
        <v>6166</v>
      </c>
      <c r="B4354" s="1" t="str">
        <f ca="1">IFERROR(__xludf.DUMMYFUNCTION("GOOGLETRANSLATE(A4354, ""en"", ""fr"")"),"GRATUIT # 2")</f>
        <v>GRATUIT # 2</v>
      </c>
      <c r="C4354" s="1" t="s">
        <v>185</v>
      </c>
      <c r="D4354" s="1" t="s">
        <v>16612</v>
      </c>
      <c r="F4354" s="1" t="s">
        <v>2</v>
      </c>
      <c r="J4354" s="1" t="s">
        <v>6</v>
      </c>
      <c r="K4354" s="1" t="s">
        <v>7</v>
      </c>
      <c r="N4354" s="1" t="s">
        <v>10</v>
      </c>
      <c r="AN4354" s="1" t="s">
        <v>36</v>
      </c>
      <c r="DN4354" s="1" t="s">
        <v>114</v>
      </c>
      <c r="DS4354" s="1" t="s">
        <v>119</v>
      </c>
      <c r="ED4354" s="1" t="s">
        <v>130</v>
      </c>
      <c r="GD4354" s="1" t="s">
        <v>189</v>
      </c>
      <c r="GE4354" s="1" t="s">
        <v>6167</v>
      </c>
    </row>
    <row r="4355" spans="1:187" ht="11.25" customHeight="1">
      <c r="A4355" s="1" t="s">
        <v>6168</v>
      </c>
      <c r="B4355" s="1" t="str">
        <f ca="1">IFERROR(__xludf.DUMMYFUNCTION("GOOGLETRANSLATE(A4355, ""en"", ""fr"")"),"GRATUIT # 3")</f>
        <v>GRATUIT # 3</v>
      </c>
      <c r="C4355" s="1" t="s">
        <v>185</v>
      </c>
      <c r="D4355" s="1" t="s">
        <v>16612</v>
      </c>
      <c r="F4355" s="1" t="s">
        <v>2</v>
      </c>
      <c r="J4355" s="1" t="s">
        <v>6</v>
      </c>
      <c r="BQ4355" s="1" t="s">
        <v>65</v>
      </c>
      <c r="EC4355" s="1" t="s">
        <v>129</v>
      </c>
      <c r="ED4355" s="1" t="s">
        <v>130</v>
      </c>
      <c r="GD4355" s="1" t="s">
        <v>202</v>
      </c>
      <c r="GE4355" s="1" t="s">
        <v>6169</v>
      </c>
    </row>
    <row r="4356" spans="1:187" ht="11.25" customHeight="1">
      <c r="A4356" s="1" t="s">
        <v>6170</v>
      </c>
      <c r="B4356" s="1" t="str">
        <f ca="1">IFERROR(__xludf.DUMMYFUNCTION("GOOGLETRANSLATE(A4356, ""en"", ""fr"")"),"GRATUIT # 4")</f>
        <v>GRATUIT # 4</v>
      </c>
      <c r="C4356" s="1" t="s">
        <v>185</v>
      </c>
      <c r="D4356" s="1" t="s">
        <v>16612</v>
      </c>
      <c r="F4356" s="1" t="s">
        <v>2</v>
      </c>
      <c r="J4356" s="1" t="s">
        <v>6</v>
      </c>
      <c r="U4356" s="1" t="s">
        <v>17</v>
      </c>
      <c r="GD4356" s="1" t="s">
        <v>202</v>
      </c>
      <c r="GE4356" s="1" t="s">
        <v>6171</v>
      </c>
    </row>
    <row r="4357" spans="1:187" ht="11.25" customHeight="1">
      <c r="A4357" s="1" t="s">
        <v>6172</v>
      </c>
      <c r="B4357" s="1" t="str">
        <f ca="1">IFERROR(__xludf.DUMMYFUNCTION("GOOGLETRANSLATE(A4357, ""en"", ""fr"")"),"GRATUIT # 5")</f>
        <v>GRATUIT # 5</v>
      </c>
      <c r="C4357" s="1" t="s">
        <v>185</v>
      </c>
      <c r="D4357" s="1" t="s">
        <v>16612</v>
      </c>
      <c r="F4357" s="1" t="s">
        <v>2</v>
      </c>
      <c r="J4357" s="1" t="s">
        <v>6</v>
      </c>
      <c r="U4357" s="1" t="s">
        <v>17</v>
      </c>
      <c r="GD4357" s="1" t="s">
        <v>202</v>
      </c>
      <c r="GE4357" s="1" t="s">
        <v>6173</v>
      </c>
    </row>
    <row r="4358" spans="1:187" ht="11.25" customHeight="1">
      <c r="A4358" s="1" t="s">
        <v>6174</v>
      </c>
      <c r="B4358" s="1" t="str">
        <f ca="1">IFERROR(__xludf.DUMMYFUNCTION("GOOGLETRANSLATE(A4358, ""en"", ""fr"")"),"LIBERTÉ")</f>
        <v>LIBERTÉ</v>
      </c>
      <c r="C4358" s="1" t="s">
        <v>185</v>
      </c>
      <c r="D4358" s="1" t="s">
        <v>16612</v>
      </c>
      <c r="F4358" s="1" t="s">
        <v>2</v>
      </c>
      <c r="U4358" s="1" t="s">
        <v>17</v>
      </c>
      <c r="AG4358" s="1" t="s">
        <v>29</v>
      </c>
      <c r="AH4358" s="1" t="s">
        <v>30</v>
      </c>
      <c r="CP4358" s="1" t="s">
        <v>90</v>
      </c>
      <c r="CQ4358" s="1" t="s">
        <v>91</v>
      </c>
      <c r="EA4358" s="1" t="s">
        <v>127</v>
      </c>
      <c r="ED4358" s="1" t="s">
        <v>130</v>
      </c>
      <c r="GD4358" s="1" t="s">
        <v>6175</v>
      </c>
      <c r="GE4358" s="1" t="s">
        <v>6176</v>
      </c>
    </row>
    <row r="4359" spans="1:187" ht="11.25" customHeight="1">
      <c r="A4359" s="1" t="s">
        <v>6177</v>
      </c>
      <c r="B4359" s="1" t="str">
        <f ca="1">IFERROR(__xludf.DUMMYFUNCTION("GOOGLETRANSLATE(A4359, ""en"", ""fr"")"),"GELER")</f>
        <v>GELER</v>
      </c>
      <c r="C4359" s="1" t="s">
        <v>196</v>
      </c>
      <c r="GD4359" s="1" t="s">
        <v>189</v>
      </c>
    </row>
    <row r="4360" spans="1:187" ht="11.25" customHeight="1">
      <c r="A4360" s="1" t="s">
        <v>6178</v>
      </c>
      <c r="B4360" s="1" t="str">
        <f ca="1">IFERROR(__xludf.DUMMYFUNCTION("GOOGLETRANSLATE(A4360, ""en"", ""fr"")"),"FRET")</f>
        <v>FRET</v>
      </c>
      <c r="C4360" s="1" t="s">
        <v>185</v>
      </c>
      <c r="AA4360" s="1" t="s">
        <v>23</v>
      </c>
      <c r="AC4360" s="1" t="s">
        <v>25</v>
      </c>
      <c r="BC4360" s="1" t="s">
        <v>51</v>
      </c>
      <c r="BD4360" s="1" t="s">
        <v>52</v>
      </c>
      <c r="EV4360" s="1" t="s">
        <v>148</v>
      </c>
      <c r="EW4360" s="1" t="s">
        <v>149</v>
      </c>
      <c r="GD4360" s="1" t="s">
        <v>193</v>
      </c>
      <c r="GE4360" s="1" t="s">
        <v>190</v>
      </c>
    </row>
    <row r="4361" spans="1:187" ht="11.25" customHeight="1">
      <c r="A4361" s="1" t="s">
        <v>6179</v>
      </c>
      <c r="B4361" s="1" t="str">
        <f ca="1">IFERROR(__xludf.DUMMYFUNCTION("GOOGLETRANSLATE(A4361, ""en"", ""fr"")"),"FRANÇAIS")</f>
        <v>FRANÇAIS</v>
      </c>
      <c r="C4361" s="1" t="s">
        <v>185</v>
      </c>
      <c r="AC4361" s="1" t="s">
        <v>25</v>
      </c>
      <c r="AH4361" s="1" t="s">
        <v>30</v>
      </c>
      <c r="DI4361" s="1" t="s">
        <v>109</v>
      </c>
      <c r="FU4361" s="1" t="s">
        <v>173</v>
      </c>
      <c r="GD4361" s="1" t="s">
        <v>193</v>
      </c>
      <c r="GE4361" s="1" t="s">
        <v>190</v>
      </c>
    </row>
    <row r="4362" spans="1:187" ht="11.25" customHeight="1">
      <c r="A4362" s="1" t="s">
        <v>6180</v>
      </c>
      <c r="B4362" s="1" t="str">
        <f ca="1">IFERROR(__xludf.DUMMYFUNCTION("GOOGLETRANSLATE(A4362, ""en"", ""fr"")"),"FRÉQUENCE")</f>
        <v>FRÉQUENCE</v>
      </c>
      <c r="C4362" s="1" t="s">
        <v>185</v>
      </c>
      <c r="CW4362" s="1" t="s">
        <v>97</v>
      </c>
      <c r="GD4362" s="1" t="s">
        <v>193</v>
      </c>
      <c r="GE4362" s="1" t="s">
        <v>190</v>
      </c>
    </row>
    <row r="4363" spans="1:187" ht="11.25" customHeight="1">
      <c r="A4363" s="1" t="s">
        <v>6181</v>
      </c>
      <c r="B4363" s="1" t="str">
        <f ca="1">IFERROR(__xludf.DUMMYFUNCTION("GOOGLETRANSLATE(A4363, ""en"", ""fr"")"),"Fréquent n ° 1")</f>
        <v>Fréquent n ° 1</v>
      </c>
      <c r="C4363" s="1" t="s">
        <v>185</v>
      </c>
      <c r="W4363" s="1" t="s">
        <v>19</v>
      </c>
      <c r="CW4363" s="1" t="s">
        <v>97</v>
      </c>
      <c r="GB4363" s="1" t="s">
        <v>180</v>
      </c>
      <c r="GD4363" s="1" t="s">
        <v>202</v>
      </c>
      <c r="GE4363" s="1" t="s">
        <v>6182</v>
      </c>
    </row>
    <row r="4364" spans="1:187" ht="11.25" customHeight="1">
      <c r="A4364" s="1" t="s">
        <v>6183</v>
      </c>
      <c r="B4364" s="1" t="str">
        <f ca="1">IFERROR(__xludf.DUMMYFUNCTION("GOOGLETRANSLATE(A4364, ""en"", ""fr"")"),"Fréquent n ° 2")</f>
        <v>Fréquent n ° 2</v>
      </c>
      <c r="C4364" s="1" t="s">
        <v>185</v>
      </c>
      <c r="W4364" s="1" t="s">
        <v>19</v>
      </c>
      <c r="CW4364" s="1" t="s">
        <v>97</v>
      </c>
      <c r="GB4364" s="1" t="s">
        <v>180</v>
      </c>
      <c r="GD4364" s="1" t="s">
        <v>236</v>
      </c>
      <c r="GE4364" s="1" t="s">
        <v>6184</v>
      </c>
    </row>
    <row r="4365" spans="1:187" ht="11.25" customHeight="1">
      <c r="A4365" s="1" t="s">
        <v>6185</v>
      </c>
      <c r="B4365" s="1" t="str">
        <f ca="1">IFERROR(__xludf.DUMMYFUNCTION("GOOGLETRANSLATE(A4365, ""en"", ""fr"")"),"Fréquent # 3")</f>
        <v>Fréquent # 3</v>
      </c>
      <c r="C4365" s="1" t="s">
        <v>185</v>
      </c>
      <c r="CE4365" s="1" t="s">
        <v>79</v>
      </c>
      <c r="DN4365" s="1" t="s">
        <v>114</v>
      </c>
      <c r="GD4365" s="1" t="s">
        <v>189</v>
      </c>
      <c r="GE4365" s="1" t="s">
        <v>6186</v>
      </c>
    </row>
    <row r="4366" spans="1:187" ht="11.25" customHeight="1">
      <c r="A4366" s="1" t="s">
        <v>6187</v>
      </c>
      <c r="B4366" s="1" t="str">
        <f ca="1">IFERROR(__xludf.DUMMYFUNCTION("GOOGLETRANSLATE(A4366, ""en"", ""fr"")"),"FRAIS")</f>
        <v>FRAIS</v>
      </c>
      <c r="C4366" s="1" t="s">
        <v>185</v>
      </c>
      <c r="D4366" s="1" t="s">
        <v>16612</v>
      </c>
      <c r="F4366" s="1" t="s">
        <v>2</v>
      </c>
      <c r="CN4366" s="1" t="s">
        <v>88</v>
      </c>
      <c r="CY4366" s="1" t="s">
        <v>99</v>
      </c>
      <c r="GD4366" s="1" t="s">
        <v>202</v>
      </c>
      <c r="GE4366" s="1" t="s">
        <v>190</v>
      </c>
    </row>
    <row r="4367" spans="1:187" ht="11.25" customHeight="1">
      <c r="A4367" s="1" t="s">
        <v>6188</v>
      </c>
      <c r="B4367" s="1" t="str">
        <f ca="1">IFERROR(__xludf.DUMMYFUNCTION("GOOGLETRANSLATE(A4367, ""en"", ""fr"")"),"ÉTUDIANT DE PREMIÈRE ANNÉE")</f>
        <v>ÉTUDIANT DE PREMIÈRE ANNÉE</v>
      </c>
      <c r="C4367" s="1" t="s">
        <v>185</v>
      </c>
      <c r="Y4367" s="1" t="s">
        <v>21</v>
      </c>
      <c r="AJ4367" s="1" t="s">
        <v>32</v>
      </c>
      <c r="AT4367" s="1" t="s">
        <v>42</v>
      </c>
      <c r="FG4367" s="1" t="s">
        <v>159</v>
      </c>
      <c r="FI4367" s="1" t="s">
        <v>161</v>
      </c>
      <c r="GD4367" s="1" t="s">
        <v>193</v>
      </c>
      <c r="GE4367" s="1" t="s">
        <v>190</v>
      </c>
    </row>
    <row r="4368" spans="1:187" ht="11.25" customHeight="1">
      <c r="A4368" s="1" t="s">
        <v>6189</v>
      </c>
      <c r="B4368" s="1" t="str">
        <f ca="1">IFERROR(__xludf.DUMMYFUNCTION("GOOGLETRANSLATE(A4368, ""en"", ""fr"")"),"Étudiants de première année")</f>
        <v>Étudiants de première année</v>
      </c>
      <c r="C4368" s="1" t="s">
        <v>185</v>
      </c>
      <c r="Y4368" s="1" t="s">
        <v>21</v>
      </c>
      <c r="AJ4368" s="1" t="s">
        <v>32</v>
      </c>
      <c r="AT4368" s="1" t="s">
        <v>42</v>
      </c>
      <c r="FG4368" s="1" t="s">
        <v>159</v>
      </c>
      <c r="FI4368" s="1" t="s">
        <v>161</v>
      </c>
      <c r="GD4368" s="1" t="s">
        <v>576</v>
      </c>
      <c r="GE4368" s="1" t="s">
        <v>190</v>
      </c>
    </row>
    <row r="4369" spans="1:187" ht="11.25" customHeight="1">
      <c r="A4369" s="1" t="s">
        <v>6190</v>
      </c>
      <c r="B4369" s="1" t="str">
        <f ca="1">IFERROR(__xludf.DUMMYFUNCTION("GOOGLETRANSLATE(A4369, ""en"", ""fr"")"),"FRETTE")</f>
        <v>FRETTE</v>
      </c>
      <c r="C4369" s="1" t="s">
        <v>192</v>
      </c>
      <c r="E4369" s="1" t="s">
        <v>16613</v>
      </c>
      <c r="L4369" s="1" t="s">
        <v>8</v>
      </c>
      <c r="N4369" s="1" t="s">
        <v>10</v>
      </c>
      <c r="CG4369" s="1" t="s">
        <v>81</v>
      </c>
      <c r="DP4369" s="1" t="s">
        <v>116</v>
      </c>
      <c r="GD4369" s="1" t="s">
        <v>189</v>
      </c>
      <c r="GE4369" s="1" t="s">
        <v>190</v>
      </c>
    </row>
    <row r="4370" spans="1:187" ht="11.25" customHeight="1">
      <c r="A4370" s="1" t="s">
        <v>6191</v>
      </c>
      <c r="B4370" s="1" t="str">
        <f ca="1">IFERROR(__xludf.DUMMYFUNCTION("GOOGLETRANSLATE(A4370, ""en"", ""fr"")"),"AGITÉ")</f>
        <v>AGITÉ</v>
      </c>
      <c r="C4370" s="1" t="s">
        <v>192</v>
      </c>
      <c r="E4370" s="1" t="s">
        <v>16613</v>
      </c>
      <c r="L4370" s="1" t="s">
        <v>8</v>
      </c>
      <c r="CG4370" s="1" t="s">
        <v>81</v>
      </c>
      <c r="DR4370" s="1" t="s">
        <v>118</v>
      </c>
      <c r="GD4370" s="1" t="s">
        <v>202</v>
      </c>
      <c r="GE4370" s="1" t="s">
        <v>190</v>
      </c>
    </row>
    <row r="4371" spans="1:187" ht="11.25" customHeight="1">
      <c r="A4371" s="1" t="s">
        <v>6192</v>
      </c>
      <c r="B4371" s="1" t="str">
        <f ca="1">IFERROR(__xludf.DUMMYFUNCTION("GOOGLETRANSLATE(A4371, ""en"", ""fr"")"),"FRICTION")</f>
        <v>FRICTION</v>
      </c>
      <c r="C4371" s="1" t="s">
        <v>185</v>
      </c>
      <c r="BU4371" s="1" t="s">
        <v>69</v>
      </c>
      <c r="GD4371" s="1" t="s">
        <v>193</v>
      </c>
      <c r="GE4371" s="1" t="s">
        <v>190</v>
      </c>
    </row>
    <row r="4372" spans="1:187" ht="11.25" customHeight="1">
      <c r="A4372" s="1" t="s">
        <v>6193</v>
      </c>
      <c r="B4372" s="1" t="str">
        <f ca="1">IFERROR(__xludf.DUMMYFUNCTION("GOOGLETRANSLATE(A4372, ""en"", ""fr"")"),"VENDREDI")</f>
        <v>VENDREDI</v>
      </c>
      <c r="C4372" s="1" t="s">
        <v>185</v>
      </c>
      <c r="CQ4372" s="1" t="s">
        <v>91</v>
      </c>
      <c r="CY4372" s="1" t="s">
        <v>99</v>
      </c>
      <c r="CZ4372" s="1" t="s">
        <v>100</v>
      </c>
      <c r="GB4372" s="1" t="s">
        <v>180</v>
      </c>
      <c r="GD4372" s="1" t="s">
        <v>193</v>
      </c>
      <c r="GE4372" s="1" t="s">
        <v>190</v>
      </c>
    </row>
    <row r="4373" spans="1:187" ht="11.25" customHeight="1">
      <c r="A4373" s="1" t="s">
        <v>6194</v>
      </c>
      <c r="B4373" s="1" t="str">
        <f ca="1">IFERROR(__xludf.DUMMYFUNCTION("GOOGLETRANSLATE(A4373, ""en"", ""fr"")"),"Ami")</f>
        <v>Ami</v>
      </c>
      <c r="C4373" s="1" t="s">
        <v>185</v>
      </c>
      <c r="D4373" s="1" t="s">
        <v>16612</v>
      </c>
      <c r="F4373" s="1" t="s">
        <v>2</v>
      </c>
      <c r="G4373" s="1" t="s">
        <v>3</v>
      </c>
      <c r="AJ4373" s="1" t="s">
        <v>32</v>
      </c>
      <c r="AT4373" s="1" t="s">
        <v>42</v>
      </c>
      <c r="EQ4373" s="1" t="s">
        <v>143</v>
      </c>
      <c r="ES4373" s="1" t="s">
        <v>145</v>
      </c>
      <c r="GD4373" s="1" t="s">
        <v>193</v>
      </c>
      <c r="GE4373" s="1" t="s">
        <v>6195</v>
      </c>
    </row>
    <row r="4374" spans="1:187" ht="11.25" customHeight="1">
      <c r="A4374" s="1" t="s">
        <v>6196</v>
      </c>
      <c r="B4374" s="1" t="str">
        <f ca="1">IFERROR(__xludf.DUMMYFUNCTION("GOOGLETRANSLATE(A4374, ""en"", ""fr"")"),"LA CONVIVIALITÉ")</f>
        <v>LA CONVIVIALITÉ</v>
      </c>
      <c r="C4374" s="1" t="s">
        <v>196</v>
      </c>
      <c r="ER4374" s="1" t="s">
        <v>144</v>
      </c>
      <c r="ES4374" s="1" t="s">
        <v>145</v>
      </c>
      <c r="GD4374" s="1" t="s">
        <v>193</v>
      </c>
    </row>
    <row r="4375" spans="1:187" ht="11.25" customHeight="1">
      <c r="A4375" s="1" t="s">
        <v>6197</v>
      </c>
      <c r="B4375" s="1" t="str">
        <f ca="1">IFERROR(__xludf.DUMMYFUNCTION("GOOGLETRANSLATE(A4375, ""en"", ""fr"")"),"AMICAL")</f>
        <v>AMICAL</v>
      </c>
      <c r="C4375" s="1" t="s">
        <v>185</v>
      </c>
      <c r="D4375" s="1" t="s">
        <v>16612</v>
      </c>
      <c r="F4375" s="1" t="s">
        <v>2</v>
      </c>
      <c r="G4375" s="1" t="s">
        <v>3</v>
      </c>
      <c r="T4375" s="1" t="s">
        <v>16</v>
      </c>
      <c r="U4375" s="1" t="s">
        <v>17</v>
      </c>
      <c r="CN4375" s="1" t="s">
        <v>88</v>
      </c>
      <c r="ER4375" s="1" t="s">
        <v>144</v>
      </c>
      <c r="ES4375" s="1" t="s">
        <v>145</v>
      </c>
      <c r="GD4375" s="1" t="s">
        <v>202</v>
      </c>
      <c r="GE4375" s="1" t="s">
        <v>6198</v>
      </c>
    </row>
    <row r="4376" spans="1:187" ht="11.25" customHeight="1">
      <c r="A4376" s="1" t="s">
        <v>6199</v>
      </c>
      <c r="B4376" s="1" t="str">
        <f ca="1">IFERROR(__xludf.DUMMYFUNCTION("GOOGLETRANSLATE(A4376, ""en"", ""fr"")"),"AMITIÉ")</f>
        <v>AMITIÉ</v>
      </c>
      <c r="C4376" s="1" t="s">
        <v>185</v>
      </c>
      <c r="D4376" s="1" t="s">
        <v>16612</v>
      </c>
      <c r="F4376" s="1" t="s">
        <v>2</v>
      </c>
      <c r="G4376" s="1" t="s">
        <v>3</v>
      </c>
      <c r="U4376" s="1" t="s">
        <v>17</v>
      </c>
      <c r="CP4376" s="1" t="s">
        <v>90</v>
      </c>
      <c r="CQ4376" s="1" t="s">
        <v>91</v>
      </c>
      <c r="ER4376" s="1" t="s">
        <v>144</v>
      </c>
      <c r="ES4376" s="1" t="s">
        <v>145</v>
      </c>
      <c r="GD4376" s="1" t="s">
        <v>193</v>
      </c>
      <c r="GE4376" s="1" t="s">
        <v>6200</v>
      </c>
    </row>
    <row r="4377" spans="1:187" ht="11.25" customHeight="1">
      <c r="A4377" s="1" t="s">
        <v>6201</v>
      </c>
      <c r="B4377" s="1" t="str">
        <f ca="1">IFERROR(__xludf.DUMMYFUNCTION("GOOGLETRANSLATE(A4377, ""en"", ""fr"")"),"LA FRAYEUR")</f>
        <v>LA FRAYEUR</v>
      </c>
      <c r="C4377" s="1" t="s">
        <v>196</v>
      </c>
      <c r="FA4377" s="1" t="s">
        <v>153</v>
      </c>
      <c r="FC4377" s="1" t="s">
        <v>155</v>
      </c>
      <c r="GD4377" s="1" t="s">
        <v>193</v>
      </c>
    </row>
    <row r="4378" spans="1:187" ht="11.25" customHeight="1">
      <c r="A4378" s="1" t="s">
        <v>6202</v>
      </c>
      <c r="B4378" s="1" t="str">
        <f ca="1">IFERROR(__xludf.DUMMYFUNCTION("GOOGLETRANSLATE(A4378, ""en"", ""fr"")"),"Effrayer # 1")</f>
        <v>Effrayer # 1</v>
      </c>
      <c r="C4378" s="1" t="s">
        <v>185</v>
      </c>
      <c r="E4378" s="1" t="s">
        <v>16613</v>
      </c>
      <c r="H4378" s="1" t="s">
        <v>4</v>
      </c>
      <c r="I4378" s="1" t="s">
        <v>5</v>
      </c>
      <c r="N4378" s="1" t="s">
        <v>10</v>
      </c>
      <c r="Q4378" s="1" t="s">
        <v>13</v>
      </c>
      <c r="DN4378" s="1" t="s">
        <v>114</v>
      </c>
      <c r="EY4378" s="1" t="s">
        <v>151</v>
      </c>
      <c r="FC4378" s="1" t="s">
        <v>155</v>
      </c>
      <c r="GD4378" s="1" t="s">
        <v>189</v>
      </c>
      <c r="GE4378" s="1" t="s">
        <v>6203</v>
      </c>
    </row>
    <row r="4379" spans="1:187" ht="11.25" customHeight="1">
      <c r="A4379" s="1" t="s">
        <v>6204</v>
      </c>
      <c r="B4379" s="1" t="str">
        <f ca="1">IFERROR(__xludf.DUMMYFUNCTION("GOOGLETRANSLATE(A4379, ""en"", ""fr"")"),"Effrayer # 2")</f>
        <v>Effrayer # 2</v>
      </c>
      <c r="C4379" s="1" t="s">
        <v>185</v>
      </c>
      <c r="E4379" s="1" t="s">
        <v>16613</v>
      </c>
      <c r="H4379" s="1" t="s">
        <v>4</v>
      </c>
      <c r="Q4379" s="1" t="s">
        <v>13</v>
      </c>
      <c r="T4379" s="1" t="s">
        <v>16</v>
      </c>
      <c r="EY4379" s="1" t="s">
        <v>151</v>
      </c>
      <c r="FC4379" s="1" t="s">
        <v>155</v>
      </c>
      <c r="GD4379" s="1" t="s">
        <v>202</v>
      </c>
      <c r="GE4379" s="1" t="s">
        <v>6205</v>
      </c>
    </row>
    <row r="4380" spans="1:187" ht="11.25" customHeight="1">
      <c r="A4380" s="1" t="s">
        <v>6206</v>
      </c>
      <c r="B4380" s="1" t="str">
        <f ca="1">IFERROR(__xludf.DUMMYFUNCTION("GOOGLETRANSLATE(A4380, ""en"", ""fr"")"),"Effrayer # 3")</f>
        <v>Effrayer # 3</v>
      </c>
      <c r="C4380" s="1" t="s">
        <v>185</v>
      </c>
      <c r="E4380" s="1" t="s">
        <v>16613</v>
      </c>
      <c r="H4380" s="1" t="s">
        <v>4</v>
      </c>
      <c r="N4380" s="1" t="s">
        <v>10</v>
      </c>
      <c r="Q4380" s="1" t="s">
        <v>13</v>
      </c>
      <c r="CN4380" s="1" t="s">
        <v>88</v>
      </c>
      <c r="EY4380" s="1" t="s">
        <v>151</v>
      </c>
      <c r="FC4380" s="1" t="s">
        <v>155</v>
      </c>
      <c r="GD4380" s="1" t="s">
        <v>202</v>
      </c>
      <c r="GE4380" s="1" t="s">
        <v>6207</v>
      </c>
    </row>
    <row r="4381" spans="1:187" ht="11.25" customHeight="1">
      <c r="A4381" s="1" t="s">
        <v>6208</v>
      </c>
      <c r="B4381" s="1" t="str">
        <f ca="1">IFERROR(__xludf.DUMMYFUNCTION("GOOGLETRANSLATE(A4381, ""en"", ""fr"")"),"AFFREUX")</f>
        <v>AFFREUX</v>
      </c>
      <c r="C4381" s="1" t="s">
        <v>192</v>
      </c>
      <c r="E4381" s="1" t="s">
        <v>16613</v>
      </c>
      <c r="Q4381" s="1" t="s">
        <v>13</v>
      </c>
      <c r="CR4381" s="1" t="s">
        <v>92</v>
      </c>
      <c r="DR4381" s="1" t="s">
        <v>118</v>
      </c>
      <c r="GD4381" s="1" t="s">
        <v>202</v>
      </c>
      <c r="GE4381" s="1" t="s">
        <v>190</v>
      </c>
    </row>
    <row r="4382" spans="1:187" ht="11.25" customHeight="1">
      <c r="A4382" s="1" t="s">
        <v>6209</v>
      </c>
      <c r="B4382" s="1" t="str">
        <f ca="1">IFERROR(__xludf.DUMMYFUNCTION("GOOGLETRANSLATE(A4382, ""en"", ""fr"")"),"FROID")</f>
        <v>FROID</v>
      </c>
      <c r="C4382" s="1" t="s">
        <v>192</v>
      </c>
      <c r="E4382" s="1" t="s">
        <v>16613</v>
      </c>
      <c r="BU4382" s="1" t="s">
        <v>69</v>
      </c>
      <c r="DR4382" s="1" t="s">
        <v>118</v>
      </c>
      <c r="GD4382" s="1" t="s">
        <v>202</v>
      </c>
      <c r="GE4382" s="1" t="s">
        <v>190</v>
      </c>
    </row>
    <row r="4383" spans="1:187" ht="11.25" customHeight="1">
      <c r="A4383" s="1" t="s">
        <v>6210</v>
      </c>
      <c r="B4383" s="1" t="str">
        <f ca="1">IFERROR(__xludf.DUMMYFUNCTION("GOOGLETRANSLATE(A4383, ""en"", ""fr"")"),"LA FRANGE")</f>
        <v>LA FRANGE</v>
      </c>
      <c r="C4383" s="1" t="s">
        <v>185</v>
      </c>
      <c r="DA4383" s="1" t="s">
        <v>101</v>
      </c>
      <c r="GD4383" s="1" t="s">
        <v>193</v>
      </c>
      <c r="GE4383" s="1" t="s">
        <v>190</v>
      </c>
    </row>
    <row r="4384" spans="1:187" ht="11.25" customHeight="1">
      <c r="A4384" s="1" t="s">
        <v>6211</v>
      </c>
      <c r="B4384" s="1" t="str">
        <f ca="1">IFERROR(__xludf.DUMMYFUNCTION("GOOGLETRANSLATE(A4384, ""en"", ""fr"")"),"FRIVOLE")</f>
        <v>FRIVOLE</v>
      </c>
      <c r="C4384" s="1" t="s">
        <v>192</v>
      </c>
      <c r="E4384" s="1" t="s">
        <v>16613</v>
      </c>
      <c r="CM4384" s="1" t="s">
        <v>87</v>
      </c>
      <c r="CR4384" s="1" t="s">
        <v>92</v>
      </c>
      <c r="DR4384" s="1" t="s">
        <v>118</v>
      </c>
      <c r="GD4384" s="1" t="s">
        <v>202</v>
      </c>
      <c r="GE4384" s="1" t="s">
        <v>190</v>
      </c>
    </row>
    <row r="4385" spans="1:187" ht="11.25" customHeight="1">
      <c r="A4385" s="1" t="s">
        <v>6212</v>
      </c>
      <c r="B4385" s="1" t="str">
        <f ca="1">IFERROR(__xludf.DUMMYFUNCTION("GOOGLETRANSLATE(A4385, ""en"", ""fr"")"),"GRENOUILLE")</f>
        <v>GRENOUILLE</v>
      </c>
      <c r="C4385" s="1" t="s">
        <v>185</v>
      </c>
      <c r="AU4385" s="1" t="s">
        <v>43</v>
      </c>
      <c r="GD4385" s="1" t="s">
        <v>193</v>
      </c>
      <c r="GE4385" s="1" t="s">
        <v>6213</v>
      </c>
    </row>
    <row r="4386" spans="1:187" ht="11.25" customHeight="1">
      <c r="A4386" s="1" t="s">
        <v>6214</v>
      </c>
      <c r="B4386" s="1" t="str">
        <f ca="1">IFERROR(__xludf.DUMMYFUNCTION("GOOGLETRANSLATE(A4386, ""en"", ""fr"")"),"GAMBADER")</f>
        <v>GAMBADER</v>
      </c>
      <c r="C4386" s="1" t="s">
        <v>192</v>
      </c>
      <c r="D4386" s="1" t="s">
        <v>16612</v>
      </c>
      <c r="N4386" s="1" t="s">
        <v>10</v>
      </c>
      <c r="DN4386" s="1" t="s">
        <v>114</v>
      </c>
      <c r="GD4386" s="1" t="s">
        <v>189</v>
      </c>
      <c r="GE4386" s="1" t="s">
        <v>190</v>
      </c>
    </row>
    <row r="4387" spans="1:187" ht="11.25" customHeight="1">
      <c r="A4387" s="1" t="s">
        <v>6215</v>
      </c>
      <c r="B4387" s="1" t="str">
        <f ca="1">IFERROR(__xludf.DUMMYFUNCTION("GOOGLETRANSLATE(A4387, ""en"", ""fr"")"),"DEPUIS")</f>
        <v>DEPUIS</v>
      </c>
      <c r="C4387" s="1" t="s">
        <v>185</v>
      </c>
      <c r="GD4387" s="1" t="s">
        <v>215</v>
      </c>
      <c r="GE4387" s="1" t="s">
        <v>6216</v>
      </c>
    </row>
    <row r="4388" spans="1:187" ht="11.25" customHeight="1">
      <c r="A4388" s="1" t="s">
        <v>6217</v>
      </c>
      <c r="B4388" s="1" t="str">
        <f ca="1">IFERROR(__xludf.DUMMYFUNCTION("GOOGLETRANSLATE(A4388, ""en"", ""fr"")"),"Front # 1")</f>
        <v>Front # 1</v>
      </c>
      <c r="C4388" s="1" t="s">
        <v>185</v>
      </c>
      <c r="DA4388" s="1" t="s">
        <v>101</v>
      </c>
      <c r="GB4388" s="1" t="s">
        <v>180</v>
      </c>
      <c r="GD4388" s="1" t="s">
        <v>193</v>
      </c>
      <c r="GE4388" s="1" t="s">
        <v>6218</v>
      </c>
    </row>
    <row r="4389" spans="1:187" ht="11.25" customHeight="1">
      <c r="A4389" s="1" t="s">
        <v>6219</v>
      </c>
      <c r="B4389" s="1" t="str">
        <f ca="1">IFERROR(__xludf.DUMMYFUNCTION("GOOGLETRANSLATE(A4389, ""en"", ""fr"")"),"Front # 2")</f>
        <v>Front # 2</v>
      </c>
      <c r="C4389" s="1" t="s">
        <v>185</v>
      </c>
      <c r="DA4389" s="1" t="s">
        <v>101</v>
      </c>
      <c r="DB4389" s="1" t="s">
        <v>102</v>
      </c>
      <c r="GB4389" s="1" t="s">
        <v>180</v>
      </c>
      <c r="GD4389" s="1" t="s">
        <v>202</v>
      </c>
      <c r="GE4389" s="1" t="s">
        <v>6220</v>
      </c>
    </row>
    <row r="4390" spans="1:187" ht="11.25" customHeight="1">
      <c r="A4390" s="1" t="s">
        <v>6221</v>
      </c>
      <c r="B4390" s="1" t="str">
        <f ca="1">IFERROR(__xludf.DUMMYFUNCTION("GOOGLETRANSLATE(A4390, ""en"", ""fr"")"),"Front # 3")</f>
        <v>Front # 3</v>
      </c>
      <c r="C4390" s="1" t="s">
        <v>185</v>
      </c>
      <c r="E4390" s="1" t="s">
        <v>16613</v>
      </c>
      <c r="H4390" s="1" t="s">
        <v>4</v>
      </c>
      <c r="V4390" s="1" t="s">
        <v>18</v>
      </c>
      <c r="FE4390" s="1" t="s">
        <v>157</v>
      </c>
      <c r="FI4390" s="1" t="s">
        <v>161</v>
      </c>
      <c r="GD4390" s="1" t="s">
        <v>193</v>
      </c>
      <c r="GE4390" s="1" t="s">
        <v>6222</v>
      </c>
    </row>
    <row r="4391" spans="1:187" ht="11.25" customHeight="1">
      <c r="A4391" s="1" t="s">
        <v>6223</v>
      </c>
      <c r="B4391" s="1" t="str">
        <f ca="1">IFERROR(__xludf.DUMMYFUNCTION("GOOGLETRANSLATE(A4391, ""en"", ""fr"")"),"Front # 4")</f>
        <v>Front # 4</v>
      </c>
      <c r="C4391" s="1" t="s">
        <v>185</v>
      </c>
      <c r="DA4391" s="1" t="s">
        <v>101</v>
      </c>
      <c r="GB4391" s="1" t="s">
        <v>180</v>
      </c>
      <c r="GD4391" s="1" t="s">
        <v>215</v>
      </c>
      <c r="GE4391" s="1" t="s">
        <v>6224</v>
      </c>
    </row>
    <row r="4392" spans="1:187" ht="11.25" customHeight="1">
      <c r="A4392" s="1" t="s">
        <v>6225</v>
      </c>
      <c r="B4392" s="1" t="str">
        <f ca="1">IFERROR(__xludf.DUMMYFUNCTION("GOOGLETRANSLATE(A4392, ""en"", ""fr"")"),"FRONTIÈRE")</f>
        <v>FRONTIÈRE</v>
      </c>
      <c r="C4392" s="1" t="s">
        <v>185</v>
      </c>
      <c r="AG4392" s="1" t="s">
        <v>29</v>
      </c>
      <c r="AH4392" s="1" t="s">
        <v>30</v>
      </c>
      <c r="AV4392" s="1" t="s">
        <v>44</v>
      </c>
      <c r="BA4392" s="1" t="s">
        <v>49</v>
      </c>
      <c r="GD4392" s="1" t="s">
        <v>193</v>
      </c>
      <c r="GE4392" s="1" t="s">
        <v>190</v>
      </c>
    </row>
    <row r="4393" spans="1:187" ht="11.25" customHeight="1">
      <c r="A4393" s="1" t="s">
        <v>6226</v>
      </c>
      <c r="B4393" s="1" t="str">
        <f ca="1">IFERROR(__xludf.DUMMYFUNCTION("GOOGLETRANSLATE(A4393, ""en"", ""fr"")"),"Froncer les sourcils # 1")</f>
        <v>Froncer les sourcils # 1</v>
      </c>
      <c r="C4393" s="1" t="s">
        <v>185</v>
      </c>
      <c r="E4393" s="1" t="s">
        <v>16613</v>
      </c>
      <c r="H4393" s="1" t="s">
        <v>4</v>
      </c>
      <c r="I4393" s="1" t="s">
        <v>5</v>
      </c>
      <c r="O4393" s="1" t="s">
        <v>11</v>
      </c>
      <c r="BK4393" s="1" t="s">
        <v>59</v>
      </c>
      <c r="FW4393" s="1" t="s">
        <v>175</v>
      </c>
      <c r="GD4393" s="1" t="s">
        <v>193</v>
      </c>
      <c r="GE4393" s="1" t="s">
        <v>190</v>
      </c>
    </row>
    <row r="4394" spans="1:187" ht="11.25" customHeight="1">
      <c r="A4394" s="1" t="s">
        <v>6227</v>
      </c>
      <c r="B4394" s="1" t="str">
        <f ca="1">IFERROR(__xludf.DUMMYFUNCTION("GOOGLETRANSLATE(A4394, ""en"", ""fr"")"),"Froncer les sourcils # 2")</f>
        <v>Froncer les sourcils # 2</v>
      </c>
      <c r="C4394" s="1" t="s">
        <v>185</v>
      </c>
      <c r="E4394" s="1" t="s">
        <v>16613</v>
      </c>
      <c r="H4394" s="1" t="s">
        <v>4</v>
      </c>
      <c r="I4394" s="1" t="s">
        <v>5</v>
      </c>
      <c r="O4394" s="1" t="s">
        <v>11</v>
      </c>
      <c r="BK4394" s="1" t="s">
        <v>59</v>
      </c>
      <c r="DN4394" s="1" t="s">
        <v>114</v>
      </c>
      <c r="FW4394" s="1" t="s">
        <v>175</v>
      </c>
      <c r="GD4394" s="1" t="s">
        <v>189</v>
      </c>
      <c r="GE4394" s="1" t="s">
        <v>190</v>
      </c>
    </row>
    <row r="4395" spans="1:187" ht="11.25" customHeight="1">
      <c r="A4395" s="1" t="s">
        <v>6228</v>
      </c>
      <c r="B4395" s="1" t="str">
        <f ca="1">IFERROR(__xludf.DUMMYFUNCTION("GOOGLETRANSLATE(A4395, ""en"", ""fr"")"),"CONGELÉ")</f>
        <v>CONGELÉ</v>
      </c>
      <c r="C4395" s="1" t="s">
        <v>185</v>
      </c>
      <c r="CR4395" s="1" t="s">
        <v>92</v>
      </c>
      <c r="GD4395" s="1" t="s">
        <v>202</v>
      </c>
      <c r="GE4395" s="1" t="s">
        <v>190</v>
      </c>
    </row>
    <row r="4396" spans="1:187" ht="11.25" customHeight="1">
      <c r="A4396" s="1" t="s">
        <v>6229</v>
      </c>
      <c r="B4396" s="1" t="str">
        <f ca="1">IFERROR(__xludf.DUMMYFUNCTION("GOOGLETRANSLATE(A4396, ""en"", ""fr"")"),"FRUGAL")</f>
        <v>FRUGAL</v>
      </c>
      <c r="C4396" s="1" t="s">
        <v>192</v>
      </c>
      <c r="D4396" s="1" t="s">
        <v>16612</v>
      </c>
      <c r="AA4396" s="1" t="s">
        <v>23</v>
      </c>
      <c r="CR4396" s="1" t="s">
        <v>92</v>
      </c>
      <c r="DR4396" s="1" t="s">
        <v>118</v>
      </c>
      <c r="GD4396" s="1" t="s">
        <v>202</v>
      </c>
      <c r="GE4396" s="1" t="s">
        <v>190</v>
      </c>
    </row>
    <row r="4397" spans="1:187" ht="11.25" customHeight="1">
      <c r="A4397" s="1" t="s">
        <v>6230</v>
      </c>
      <c r="B4397" s="1" t="str">
        <f ca="1">IFERROR(__xludf.DUMMYFUNCTION("GOOGLETRANSLATE(A4397, ""en"", ""fr"")"),"FRUGALITÉ")</f>
        <v>FRUGALITÉ</v>
      </c>
      <c r="C4397" s="1" t="s">
        <v>196</v>
      </c>
      <c r="EV4397" s="1" t="s">
        <v>148</v>
      </c>
      <c r="EW4397" s="1" t="s">
        <v>149</v>
      </c>
      <c r="GD4397" s="1" t="s">
        <v>193</v>
      </c>
    </row>
    <row r="4398" spans="1:187" ht="11.25" customHeight="1">
      <c r="A4398" s="1" t="s">
        <v>6231</v>
      </c>
      <c r="B4398" s="1" t="str">
        <f ca="1">IFERROR(__xludf.DUMMYFUNCTION("GOOGLETRANSLATE(A4398, ""en"", ""fr"")"),"FRUIT")</f>
        <v>FRUIT</v>
      </c>
      <c r="C4398" s="1" t="s">
        <v>185</v>
      </c>
      <c r="BC4398" s="1" t="s">
        <v>51</v>
      </c>
      <c r="BE4398" s="1" t="s">
        <v>53</v>
      </c>
      <c r="GD4398" s="1" t="s">
        <v>193</v>
      </c>
      <c r="GE4398" s="1" t="s">
        <v>6232</v>
      </c>
    </row>
    <row r="4399" spans="1:187" ht="11.25" customHeight="1">
      <c r="A4399" s="1" t="s">
        <v>6233</v>
      </c>
      <c r="B4399" s="1" t="str">
        <f ca="1">IFERROR(__xludf.DUMMYFUNCTION("GOOGLETRANSLATE(A4399, ""en"", ""fr"")"),"FRUCTUEUX")</f>
        <v>FRUCTUEUX</v>
      </c>
      <c r="C4399" s="1" t="s">
        <v>185</v>
      </c>
      <c r="D4399" s="1" t="s">
        <v>16612</v>
      </c>
      <c r="F4399" s="1" t="s">
        <v>2</v>
      </c>
      <c r="J4399" s="1" t="s">
        <v>6</v>
      </c>
      <c r="U4399" s="1" t="s">
        <v>17</v>
      </c>
      <c r="CN4399" s="1" t="s">
        <v>88</v>
      </c>
      <c r="FR4399" s="1" t="s">
        <v>170</v>
      </c>
      <c r="GD4399" s="1" t="s">
        <v>202</v>
      </c>
      <c r="GE4399" s="1" t="s">
        <v>190</v>
      </c>
    </row>
    <row r="4400" spans="1:187" ht="11.25" customHeight="1">
      <c r="A4400" s="1" t="s">
        <v>6234</v>
      </c>
      <c r="B4400" s="1" t="str">
        <f ca="1">IFERROR(__xludf.DUMMYFUNCTION("GOOGLETRANSLATE(A4400, ""en"", ""fr"")"),"RÉALISATION")</f>
        <v>RÉALISATION</v>
      </c>
      <c r="C4400" s="1" t="s">
        <v>192</v>
      </c>
      <c r="D4400" s="1" t="s">
        <v>16612</v>
      </c>
      <c r="BS4400" s="1" t="s">
        <v>67</v>
      </c>
      <c r="GD4400" s="1" t="s">
        <v>193</v>
      </c>
      <c r="GE4400" s="1" t="s">
        <v>190</v>
      </c>
    </row>
    <row r="4401" spans="1:187" ht="11.25" customHeight="1">
      <c r="A4401" s="1" t="s">
        <v>6235</v>
      </c>
      <c r="B4401" s="1" t="str">
        <f ca="1">IFERROR(__xludf.DUMMYFUNCTION("GOOGLETRANSLATE(A4401, ""en"", ""fr"")"),"INFRUCTUEUX")</f>
        <v>INFRUCTUEUX</v>
      </c>
      <c r="C4401" s="1" t="s">
        <v>185</v>
      </c>
      <c r="E4401" s="1" t="s">
        <v>16613</v>
      </c>
      <c r="H4401" s="1" t="s">
        <v>4</v>
      </c>
      <c r="L4401" s="1" t="s">
        <v>8</v>
      </c>
      <c r="V4401" s="1" t="s">
        <v>18</v>
      </c>
      <c r="CN4401" s="1" t="s">
        <v>88</v>
      </c>
      <c r="GD4401" s="1" t="s">
        <v>202</v>
      </c>
      <c r="GE4401" s="1" t="s">
        <v>190</v>
      </c>
    </row>
    <row r="4402" spans="1:187" ht="11.25" customHeight="1">
      <c r="A4402" s="1" t="s">
        <v>6236</v>
      </c>
      <c r="B4402" s="1" t="str">
        <f ca="1">IFERROR(__xludf.DUMMYFUNCTION("GOOGLETRANSLATE(A4402, ""en"", ""fr"")"),"Frustrer # 1")</f>
        <v>Frustrer # 1</v>
      </c>
      <c r="C4402" s="1" t="s">
        <v>185</v>
      </c>
      <c r="E4402" s="1" t="s">
        <v>16613</v>
      </c>
      <c r="H4402" s="1" t="s">
        <v>4</v>
      </c>
      <c r="I4402" s="1" t="s">
        <v>5</v>
      </c>
      <c r="J4402" s="1" t="s">
        <v>6</v>
      </c>
      <c r="AN4402" s="1" t="s">
        <v>36</v>
      </c>
      <c r="DN4402" s="1" t="s">
        <v>114</v>
      </c>
      <c r="FO4402" s="1" t="s">
        <v>167</v>
      </c>
      <c r="GD4402" s="1" t="s">
        <v>189</v>
      </c>
      <c r="GE4402" s="1" t="s">
        <v>6237</v>
      </c>
    </row>
    <row r="4403" spans="1:187" ht="11.25" customHeight="1">
      <c r="A4403" s="1" t="s">
        <v>6238</v>
      </c>
      <c r="B4403" s="1" t="str">
        <f ca="1">IFERROR(__xludf.DUMMYFUNCTION("GOOGLETRANSLATE(A4403, ""en"", ""fr"")"),"Frustrer # 2")</f>
        <v>Frustrer # 2</v>
      </c>
      <c r="C4403" s="1" t="s">
        <v>185</v>
      </c>
      <c r="E4403" s="1" t="s">
        <v>16613</v>
      </c>
      <c r="H4403" s="1" t="s">
        <v>4</v>
      </c>
      <c r="O4403" s="1" t="s">
        <v>11</v>
      </c>
      <c r="Q4403" s="1" t="s">
        <v>13</v>
      </c>
      <c r="T4403" s="1" t="s">
        <v>16</v>
      </c>
      <c r="FO4403" s="1" t="s">
        <v>167</v>
      </c>
      <c r="GD4403" s="1" t="s">
        <v>202</v>
      </c>
      <c r="GE4403" s="1" t="s">
        <v>6239</v>
      </c>
    </row>
    <row r="4404" spans="1:187" ht="11.25" customHeight="1">
      <c r="A4404" s="1" t="s">
        <v>6240</v>
      </c>
      <c r="B4404" s="1" t="str">
        <f ca="1">IFERROR(__xludf.DUMMYFUNCTION("GOOGLETRANSLATE(A4404, ""en"", ""fr"")"),"Frustrer # 3")</f>
        <v>Frustrer # 3</v>
      </c>
      <c r="C4404" s="1" t="s">
        <v>185</v>
      </c>
      <c r="E4404" s="1" t="s">
        <v>16613</v>
      </c>
      <c r="H4404" s="1" t="s">
        <v>4</v>
      </c>
      <c r="Q4404" s="1" t="s">
        <v>13</v>
      </c>
      <c r="FO4404" s="1" t="s">
        <v>167</v>
      </c>
      <c r="GD4404" s="1" t="s">
        <v>202</v>
      </c>
      <c r="GE4404" s="1" t="s">
        <v>6241</v>
      </c>
    </row>
    <row r="4405" spans="1:187" ht="11.25" customHeight="1">
      <c r="A4405" s="1" t="s">
        <v>6242</v>
      </c>
      <c r="B4405" s="1" t="str">
        <f ca="1">IFERROR(__xludf.DUMMYFUNCTION("GOOGLETRANSLATE(A4405, ""en"", ""fr"")"),"FRUSTRATION")</f>
        <v>FRUSTRATION</v>
      </c>
      <c r="C4405" s="1" t="s">
        <v>185</v>
      </c>
      <c r="E4405" s="1" t="s">
        <v>16613</v>
      </c>
      <c r="H4405" s="1" t="s">
        <v>4</v>
      </c>
      <c r="O4405" s="1" t="s">
        <v>11</v>
      </c>
      <c r="Q4405" s="1" t="s">
        <v>13</v>
      </c>
      <c r="T4405" s="1" t="s">
        <v>16</v>
      </c>
      <c r="FO4405" s="1" t="s">
        <v>167</v>
      </c>
      <c r="GD4405" s="1" t="s">
        <v>193</v>
      </c>
      <c r="GE4405" s="1" t="s">
        <v>6243</v>
      </c>
    </row>
    <row r="4406" spans="1:187" ht="11.25" customHeight="1">
      <c r="A4406" s="1" t="s">
        <v>6244</v>
      </c>
      <c r="B4406" s="1" t="str">
        <f ca="1">IFERROR(__xludf.DUMMYFUNCTION("GOOGLETRANSLATE(A4406, ""en"", ""fr"")"),"Fry # 1")</f>
        <v>Fry # 1</v>
      </c>
      <c r="C4406" s="1" t="s">
        <v>185</v>
      </c>
      <c r="CR4406" s="1" t="s">
        <v>92</v>
      </c>
      <c r="GD4406" s="1" t="s">
        <v>202</v>
      </c>
      <c r="GE4406" s="1" t="s">
        <v>190</v>
      </c>
    </row>
    <row r="4407" spans="1:187" ht="11.25" customHeight="1">
      <c r="A4407" s="1" t="s">
        <v>6245</v>
      </c>
      <c r="B4407" s="1" t="str">
        <f ca="1">IFERROR(__xludf.DUMMYFUNCTION("GOOGLETRANSLATE(A4407, ""en"", ""fr"")"),"Fry # 2")</f>
        <v>Fry # 2</v>
      </c>
      <c r="C4407" s="1" t="s">
        <v>185</v>
      </c>
      <c r="AL4407" s="1" t="s">
        <v>34</v>
      </c>
      <c r="DN4407" s="1" t="s">
        <v>114</v>
      </c>
      <c r="GD4407" s="1" t="s">
        <v>189</v>
      </c>
      <c r="GE4407" s="1" t="s">
        <v>190</v>
      </c>
    </row>
    <row r="4408" spans="1:187" ht="11.25" customHeight="1">
      <c r="A4408" s="1" t="s">
        <v>6246</v>
      </c>
      <c r="B4408" s="1" t="str">
        <f ca="1">IFERROR(__xludf.DUMMYFUNCTION("GOOGLETRANSLATE(A4408, ""en"", ""fr"")"),"PUTAIN")</f>
        <v>PUTAIN</v>
      </c>
      <c r="C4408" s="1" t="s">
        <v>185</v>
      </c>
      <c r="J4408" s="1" t="s">
        <v>6</v>
      </c>
      <c r="N4408" s="1" t="s">
        <v>10</v>
      </c>
      <c r="BU4408" s="1" t="s">
        <v>69</v>
      </c>
      <c r="DM4408" s="1" t="s">
        <v>113</v>
      </c>
      <c r="DN4408" s="1" t="s">
        <v>114</v>
      </c>
      <c r="GD4408" s="1" t="s">
        <v>189</v>
      </c>
      <c r="GE4408" s="1" t="s">
        <v>190</v>
      </c>
    </row>
    <row r="4409" spans="1:187" ht="11.25" customHeight="1">
      <c r="A4409" s="1" t="s">
        <v>6247</v>
      </c>
      <c r="B4409" s="1" t="str">
        <f ca="1">IFERROR(__xludf.DUMMYFUNCTION("GOOGLETRANSLATE(A4409, ""en"", ""fr"")"),"CARBURANT")</f>
        <v>CARBURANT</v>
      </c>
      <c r="C4409" s="1" t="s">
        <v>185</v>
      </c>
      <c r="BC4409" s="1" t="s">
        <v>51</v>
      </c>
      <c r="BD4409" s="1" t="s">
        <v>52</v>
      </c>
      <c r="GD4409" s="1" t="s">
        <v>193</v>
      </c>
      <c r="GE4409" s="1" t="s">
        <v>190</v>
      </c>
    </row>
    <row r="4410" spans="1:187" ht="11.25" customHeight="1">
      <c r="A4410" s="1" t="s">
        <v>6248</v>
      </c>
      <c r="B4410" s="1" t="str">
        <f ca="1">IFERROR(__xludf.DUMMYFUNCTION("GOOGLETRANSLATE(A4410, ""en"", ""fr"")"),"FUGITIF")</f>
        <v>FUGITIF</v>
      </c>
      <c r="C4410" s="1" t="s">
        <v>192</v>
      </c>
      <c r="E4410" s="1" t="s">
        <v>16613</v>
      </c>
      <c r="AE4410" s="1" t="s">
        <v>27</v>
      </c>
      <c r="AT4410" s="1" t="s">
        <v>42</v>
      </c>
      <c r="CE4410" s="1" t="s">
        <v>79</v>
      </c>
      <c r="GD4410" s="1" t="s">
        <v>193</v>
      </c>
      <c r="GE4410" s="1" t="s">
        <v>190</v>
      </c>
    </row>
    <row r="4411" spans="1:187" ht="11.25" customHeight="1">
      <c r="A4411" s="1" t="s">
        <v>6249</v>
      </c>
      <c r="B4411" s="1" t="str">
        <f ca="1">IFERROR(__xludf.DUMMYFUNCTION("GOOGLETRANSLATE(A4411, ""en"", ""fr"")"),"Accomplir # 1")</f>
        <v>Accomplir # 1</v>
      </c>
      <c r="C4411" s="1" t="s">
        <v>192</v>
      </c>
      <c r="GE4411" s="1" t="s">
        <v>190</v>
      </c>
    </row>
    <row r="4412" spans="1:187" ht="11.25" customHeight="1">
      <c r="A4412" s="1" t="s">
        <v>6250</v>
      </c>
      <c r="B4412" s="1" t="str">
        <f ca="1">IFERROR(__xludf.DUMMYFUNCTION("GOOGLETRANSLATE(A4412, ""en"", ""fr"")"),"REMPLIR")</f>
        <v>REMPLIR</v>
      </c>
      <c r="C4412" s="1" t="s">
        <v>185</v>
      </c>
      <c r="D4412" s="1" t="s">
        <v>16612</v>
      </c>
      <c r="F4412" s="1" t="s">
        <v>2</v>
      </c>
      <c r="J4412" s="1" t="s">
        <v>6</v>
      </c>
      <c r="BS4412" s="1" t="s">
        <v>67</v>
      </c>
      <c r="DN4412" s="1" t="s">
        <v>114</v>
      </c>
      <c r="FN4412" s="1" t="s">
        <v>166</v>
      </c>
      <c r="GD4412" s="1" t="s">
        <v>189</v>
      </c>
      <c r="GE4412" s="1" t="s">
        <v>190</v>
      </c>
    </row>
    <row r="4413" spans="1:187" ht="11.25" customHeight="1">
      <c r="A4413" s="1" t="s">
        <v>6251</v>
      </c>
      <c r="B4413" s="1" t="str">
        <f ca="1">IFERROR(__xludf.DUMMYFUNCTION("GOOGLETRANSLATE(A4413, ""en"", ""fr"")"),"ACCOMPLISSEMENT")</f>
        <v>ACCOMPLISSEMENT</v>
      </c>
      <c r="C4413" s="1" t="s">
        <v>185</v>
      </c>
      <c r="D4413" s="1" t="s">
        <v>16612</v>
      </c>
      <c r="F4413" s="1" t="s">
        <v>2</v>
      </c>
      <c r="J4413" s="1" t="s">
        <v>6</v>
      </c>
      <c r="BO4413" s="1" t="s">
        <v>63</v>
      </c>
      <c r="FR4413" s="1" t="s">
        <v>170</v>
      </c>
      <c r="GD4413" s="1" t="s">
        <v>193</v>
      </c>
      <c r="GE4413" s="1" t="s">
        <v>190</v>
      </c>
    </row>
    <row r="4414" spans="1:187" ht="11.25" customHeight="1">
      <c r="A4414" s="1" t="s">
        <v>6252</v>
      </c>
      <c r="B4414" s="1" t="str">
        <f ca="1">IFERROR(__xludf.DUMMYFUNCTION("GOOGLETRANSLATE(A4414, ""en"", ""fr"")"),"Réalisation n ° 1")</f>
        <v>Réalisation n ° 1</v>
      </c>
      <c r="C4414" s="1" t="s">
        <v>192</v>
      </c>
      <c r="GE4414" s="1" t="s">
        <v>190</v>
      </c>
    </row>
    <row r="4415" spans="1:187" ht="11.25" customHeight="1">
      <c r="A4415" s="1" t="s">
        <v>6253</v>
      </c>
      <c r="B4415" s="1" t="str">
        <f ca="1">IFERROR(__xludf.DUMMYFUNCTION("GOOGLETRANSLATE(A4415, ""en"", ""fr"")"),"Complet # 1")</f>
        <v>Complet # 1</v>
      </c>
      <c r="C4415" s="1" t="s">
        <v>185</v>
      </c>
      <c r="J4415" s="1" t="s">
        <v>6</v>
      </c>
      <c r="W4415" s="1" t="s">
        <v>19</v>
      </c>
      <c r="CS4415" s="1" t="s">
        <v>93</v>
      </c>
      <c r="GD4415" s="1" t="s">
        <v>202</v>
      </c>
      <c r="GE4415" s="1" t="s">
        <v>6254</v>
      </c>
    </row>
    <row r="4416" spans="1:187" ht="11.25" customHeight="1">
      <c r="A4416" s="1" t="s">
        <v>6255</v>
      </c>
      <c r="B4416" s="1" t="str">
        <f ca="1">IFERROR(__xludf.DUMMYFUNCTION("GOOGLETRANSLATE(A4416, ""en"", ""fr"")"),"Complet # 2")</f>
        <v>Complet # 2</v>
      </c>
      <c r="C4416" s="1" t="s">
        <v>185</v>
      </c>
      <c r="J4416" s="1" t="s">
        <v>6</v>
      </c>
      <c r="W4416" s="1" t="s">
        <v>19</v>
      </c>
      <c r="CS4416" s="1" t="s">
        <v>93</v>
      </c>
      <c r="GD4416" s="1" t="s">
        <v>202</v>
      </c>
      <c r="GE4416" s="1" t="s">
        <v>6256</v>
      </c>
    </row>
    <row r="4417" spans="1:187" ht="11.25" customHeight="1">
      <c r="A4417" s="1" t="s">
        <v>6257</v>
      </c>
      <c r="B4417" s="1" t="str">
        <f ca="1">IFERROR(__xludf.DUMMYFUNCTION("GOOGLETRANSLATE(A4417, ""en"", ""fr"")"),"Complet # 3")</f>
        <v>Complet # 3</v>
      </c>
      <c r="C4417" s="1" t="s">
        <v>185</v>
      </c>
      <c r="J4417" s="1" t="s">
        <v>6</v>
      </c>
      <c r="W4417" s="1" t="s">
        <v>19</v>
      </c>
      <c r="CS4417" s="1" t="s">
        <v>93</v>
      </c>
      <c r="GD4417" s="1" t="s">
        <v>202</v>
      </c>
      <c r="GE4417" s="1" t="s">
        <v>6258</v>
      </c>
    </row>
    <row r="4418" spans="1:187" ht="11.25" customHeight="1">
      <c r="A4418" s="1" t="s">
        <v>6259</v>
      </c>
      <c r="B4418" s="1" t="str">
        <f ca="1">IFERROR(__xludf.DUMMYFUNCTION("GOOGLETRANSLATE(A4418, ""en"", ""fr"")"),"Complet # 4")</f>
        <v>Complet # 4</v>
      </c>
      <c r="C4418" s="1" t="s">
        <v>185</v>
      </c>
      <c r="J4418" s="1" t="s">
        <v>6</v>
      </c>
      <c r="W4418" s="1" t="s">
        <v>19</v>
      </c>
      <c r="CS4418" s="1" t="s">
        <v>93</v>
      </c>
      <c r="GD4418" s="1" t="s">
        <v>236</v>
      </c>
      <c r="GE4418" s="1" t="s">
        <v>6260</v>
      </c>
    </row>
    <row r="4419" spans="1:187" ht="11.25" customHeight="1">
      <c r="A4419" s="1" t="s">
        <v>6261</v>
      </c>
      <c r="B4419" s="1" t="str">
        <f ca="1">IFERROR(__xludf.DUMMYFUNCTION("GOOGLETRANSLATE(A4419, ""en"", ""fr"")"),"Complet # 5")</f>
        <v>Complet # 5</v>
      </c>
      <c r="C4419" s="1" t="s">
        <v>196</v>
      </c>
      <c r="GD4419" s="1" t="s">
        <v>225</v>
      </c>
    </row>
    <row r="4420" spans="1:187" ht="11.25" customHeight="1">
      <c r="A4420" s="1" t="s">
        <v>6262</v>
      </c>
      <c r="B4420" s="1" t="str">
        <f ca="1">IFERROR(__xludf.DUMMYFUNCTION("GOOGLETRANSLATE(A4420, ""en"", ""fr"")"),"À TEMPS PLEIN")</f>
        <v>À TEMPS PLEIN</v>
      </c>
      <c r="C4420" s="1" t="s">
        <v>196</v>
      </c>
      <c r="GD4420" s="1" t="s">
        <v>202</v>
      </c>
    </row>
    <row r="4421" spans="1:187" ht="11.25" customHeight="1">
      <c r="A4421" s="1" t="s">
        <v>6263</v>
      </c>
      <c r="B4421" s="1" t="str">
        <f ca="1">IFERROR(__xludf.DUMMYFUNCTION("GOOGLETRANSLATE(A4421, ""en"", ""fr"")"),"Le plus complet")</f>
        <v>Le plus complet</v>
      </c>
      <c r="C4421" s="1" t="s">
        <v>196</v>
      </c>
      <c r="GD4421" s="1" t="s">
        <v>202</v>
      </c>
    </row>
    <row r="4422" spans="1:187" ht="11.25" customHeight="1">
      <c r="A4422" s="1" t="s">
        <v>6264</v>
      </c>
      <c r="B4422" s="1" t="str">
        <f ca="1">IFERROR(__xludf.DUMMYFUNCTION("GOOGLETRANSLATE(A4422, ""en"", ""fr"")"),"PLÉNITUDE")</f>
        <v>PLÉNITUDE</v>
      </c>
      <c r="C4422" s="1" t="s">
        <v>192</v>
      </c>
      <c r="D4422" s="1" t="s">
        <v>16612</v>
      </c>
      <c r="BS4422" s="1" t="s">
        <v>67</v>
      </c>
      <c r="CS4422" s="1" t="s">
        <v>93</v>
      </c>
      <c r="GD4422" s="1" t="s">
        <v>193</v>
      </c>
      <c r="GE4422" s="1" t="s">
        <v>190</v>
      </c>
    </row>
    <row r="4423" spans="1:187" ht="11.25" customHeight="1">
      <c r="A4423" s="1" t="s">
        <v>6265</v>
      </c>
      <c r="B4423" s="1" t="str">
        <f ca="1">IFERROR(__xludf.DUMMYFUNCTION("GOOGLETRANSLATE(A4423, ""en"", ""fr"")"),"TÂTONNER")</f>
        <v>TÂTONNER</v>
      </c>
      <c r="C4423" s="1" t="s">
        <v>192</v>
      </c>
      <c r="E4423" s="1" t="s">
        <v>16613</v>
      </c>
      <c r="L4423" s="1" t="s">
        <v>8</v>
      </c>
      <c r="N4423" s="1" t="s">
        <v>10</v>
      </c>
      <c r="BT4423" s="1" t="s">
        <v>68</v>
      </c>
      <c r="DN4423" s="1" t="s">
        <v>114</v>
      </c>
      <c r="GD4423" s="1" t="s">
        <v>189</v>
      </c>
      <c r="GE4423" s="1" t="s">
        <v>190</v>
      </c>
    </row>
    <row r="4424" spans="1:187" ht="11.25" customHeight="1">
      <c r="A4424" s="1" t="s">
        <v>6266</v>
      </c>
      <c r="B4424" s="1" t="str">
        <f ca="1">IFERROR(__xludf.DUMMYFUNCTION("GOOGLETRANSLATE(A4424, ""en"", ""fr"")"),"Fumée # 1")</f>
        <v>Fumée # 1</v>
      </c>
      <c r="C4424" s="1" t="s">
        <v>185</v>
      </c>
      <c r="AV4424" s="1" t="s">
        <v>44</v>
      </c>
      <c r="BB4424" s="1" t="s">
        <v>50</v>
      </c>
      <c r="GD4424" s="1" t="s">
        <v>193</v>
      </c>
      <c r="GE4424" s="1" t="s">
        <v>190</v>
      </c>
    </row>
    <row r="4425" spans="1:187" ht="11.25" customHeight="1">
      <c r="A4425" s="1" t="s">
        <v>6267</v>
      </c>
      <c r="B4425" s="1" t="str">
        <f ca="1">IFERROR(__xludf.DUMMYFUNCTION("GOOGLETRANSLATE(A4425, ""en"", ""fr"")"),"Fumée # 2")</f>
        <v>Fumée # 2</v>
      </c>
      <c r="C4425" s="1" t="s">
        <v>185</v>
      </c>
      <c r="BU4425" s="1" t="s">
        <v>69</v>
      </c>
      <c r="DN4425" s="1" t="s">
        <v>114</v>
      </c>
      <c r="GD4425" s="1" t="s">
        <v>189</v>
      </c>
      <c r="GE4425" s="1" t="s">
        <v>190</v>
      </c>
    </row>
    <row r="4426" spans="1:187" ht="11.25" customHeight="1">
      <c r="A4426" s="1" t="s">
        <v>6268</v>
      </c>
      <c r="B4426" s="1" t="str">
        <f ca="1">IFERROR(__xludf.DUMMYFUNCTION("GOOGLETRANSLATE(A4426, ""en"", ""fr"")"),"Plaisir # 1")</f>
        <v>Plaisir # 1</v>
      </c>
      <c r="C4426" s="1" t="s">
        <v>185</v>
      </c>
      <c r="D4426" s="1" t="s">
        <v>16612</v>
      </c>
      <c r="F4426" s="1" t="s">
        <v>2</v>
      </c>
      <c r="P4426" s="1" t="s">
        <v>12</v>
      </c>
      <c r="AD4426" s="1" t="s">
        <v>26</v>
      </c>
      <c r="FA4426" s="1" t="s">
        <v>153</v>
      </c>
      <c r="FC4426" s="1" t="s">
        <v>155</v>
      </c>
      <c r="GD4426" s="1" t="s">
        <v>849</v>
      </c>
      <c r="GE4426" s="1" t="s">
        <v>6269</v>
      </c>
    </row>
    <row r="4427" spans="1:187" ht="11.25" customHeight="1">
      <c r="A4427" s="1" t="s">
        <v>6270</v>
      </c>
      <c r="B4427" s="1" t="str">
        <f ca="1">IFERROR(__xludf.DUMMYFUNCTION("GOOGLETRANSLATE(A4427, ""en"", ""fr"")"),"Fun # 2")</f>
        <v>Fun # 2</v>
      </c>
      <c r="C4427" s="1" t="s">
        <v>185</v>
      </c>
      <c r="E4427" s="1" t="s">
        <v>16613</v>
      </c>
      <c r="H4427" s="1" t="s">
        <v>4</v>
      </c>
      <c r="I4427" s="1" t="s">
        <v>5</v>
      </c>
      <c r="BK4427" s="1" t="s">
        <v>59</v>
      </c>
      <c r="DP4427" s="1" t="s">
        <v>116</v>
      </c>
      <c r="EL4427" s="1" t="s">
        <v>138</v>
      </c>
      <c r="EN4427" s="1" t="s">
        <v>140</v>
      </c>
      <c r="GD4427" s="1" t="s">
        <v>189</v>
      </c>
      <c r="GE4427" s="1" t="s">
        <v>6271</v>
      </c>
    </row>
    <row r="4428" spans="1:187" ht="11.25" customHeight="1">
      <c r="A4428" s="1" t="s">
        <v>6272</v>
      </c>
      <c r="B4428" s="1" t="str">
        <f ca="1">IFERROR(__xludf.DUMMYFUNCTION("GOOGLETRANSLATE(A4428, ""en"", ""fr"")"),"Fonction n ° 1")</f>
        <v>Fonction n ° 1</v>
      </c>
      <c r="C4428" s="1" t="s">
        <v>185</v>
      </c>
      <c r="J4428" s="1" t="s">
        <v>6</v>
      </c>
      <c r="N4428" s="1" t="s">
        <v>10</v>
      </c>
      <c r="AL4428" s="1" t="s">
        <v>34</v>
      </c>
      <c r="DN4428" s="1" t="s">
        <v>114</v>
      </c>
      <c r="GD4428" s="1" t="s">
        <v>189</v>
      </c>
      <c r="GE4428" s="1" t="s">
        <v>6273</v>
      </c>
    </row>
    <row r="4429" spans="1:187" ht="11.25" customHeight="1">
      <c r="A4429" s="1" t="s">
        <v>6274</v>
      </c>
      <c r="B4429" s="1" t="str">
        <f ca="1">IFERROR(__xludf.DUMMYFUNCTION("GOOGLETRANSLATE(A4429, ""en"", ""fr"")"),"Fonction n ° 2")</f>
        <v>Fonction n ° 2</v>
      </c>
      <c r="C4429" s="1" t="s">
        <v>185</v>
      </c>
      <c r="N4429" s="1" t="s">
        <v>10</v>
      </c>
      <c r="AL4429" s="1" t="s">
        <v>34</v>
      </c>
      <c r="GD4429" s="1" t="s">
        <v>193</v>
      </c>
      <c r="GE4429" s="1" t="s">
        <v>6275</v>
      </c>
    </row>
    <row r="4430" spans="1:187" ht="11.25" customHeight="1">
      <c r="A4430" s="1" t="s">
        <v>6276</v>
      </c>
      <c r="B4430" s="1" t="str">
        <f ca="1">IFERROR(__xludf.DUMMYFUNCTION("GOOGLETRANSLATE(A4430, ""en"", ""fr"")"),"Fonction n ° 3")</f>
        <v>Fonction n ° 3</v>
      </c>
      <c r="C4430" s="1" t="s">
        <v>185</v>
      </c>
      <c r="AM4430" s="1" t="s">
        <v>35</v>
      </c>
      <c r="ER4430" s="1" t="s">
        <v>144</v>
      </c>
      <c r="ES4430" s="1" t="s">
        <v>145</v>
      </c>
      <c r="GD4430" s="1" t="s">
        <v>193</v>
      </c>
      <c r="GE4430" s="1" t="s">
        <v>6277</v>
      </c>
    </row>
    <row r="4431" spans="1:187" ht="11.25" customHeight="1">
      <c r="A4431" s="1" t="s">
        <v>6278</v>
      </c>
      <c r="B4431" s="1" t="str">
        <f ca="1">IFERROR(__xludf.DUMMYFUNCTION("GOOGLETRANSLATE(A4431, ""en"", ""fr"")"),"Fonction n ° 4")</f>
        <v>Fonction n ° 4</v>
      </c>
      <c r="C4431" s="1" t="s">
        <v>185</v>
      </c>
      <c r="J4431" s="1" t="s">
        <v>6</v>
      </c>
      <c r="N4431" s="1" t="s">
        <v>10</v>
      </c>
      <c r="AL4431" s="1" t="s">
        <v>34</v>
      </c>
      <c r="GD4431" s="1" t="s">
        <v>202</v>
      </c>
      <c r="GE4431" s="1" t="s">
        <v>6279</v>
      </c>
    </row>
    <row r="4432" spans="1:187" ht="11.25" customHeight="1">
      <c r="A4432" s="1" t="s">
        <v>6280</v>
      </c>
      <c r="B4432" s="1" t="str">
        <f ca="1">IFERROR(__xludf.DUMMYFUNCTION("GOOGLETRANSLATE(A4432, ""en"", ""fr"")"),"FONCTIONNEL")</f>
        <v>FONCTIONNEL</v>
      </c>
      <c r="C4432" s="1" t="s">
        <v>185</v>
      </c>
      <c r="CH4432" s="1" t="s">
        <v>82</v>
      </c>
      <c r="GD4432" s="1" t="s">
        <v>202</v>
      </c>
      <c r="GE4432" s="1" t="s">
        <v>190</v>
      </c>
    </row>
    <row r="4433" spans="1:187" ht="11.25" customHeight="1">
      <c r="A4433" s="1" t="s">
        <v>6281</v>
      </c>
      <c r="B4433" s="1" t="str">
        <f ca="1">IFERROR(__xludf.DUMMYFUNCTION("GOOGLETRANSLATE(A4433, ""en"", ""fr"")"),"Fonds n ° 1")</f>
        <v>Fonds n ° 1</v>
      </c>
      <c r="C4433" s="1" t="s">
        <v>185</v>
      </c>
      <c r="AA4433" s="1" t="s">
        <v>23</v>
      </c>
      <c r="AC4433" s="1" t="s">
        <v>25</v>
      </c>
      <c r="BC4433" s="1" t="s">
        <v>51</v>
      </c>
      <c r="BD4433" s="1" t="s">
        <v>52</v>
      </c>
      <c r="EV4433" s="1" t="s">
        <v>148</v>
      </c>
      <c r="EW4433" s="1" t="s">
        <v>149</v>
      </c>
      <c r="GD4433" s="1" t="s">
        <v>193</v>
      </c>
      <c r="GE4433" s="1" t="s">
        <v>6282</v>
      </c>
    </row>
    <row r="4434" spans="1:187" ht="11.25" customHeight="1">
      <c r="A4434" s="1" t="s">
        <v>6283</v>
      </c>
      <c r="B4434" s="1" t="str">
        <f ca="1">IFERROR(__xludf.DUMMYFUNCTION("GOOGLETRANSLATE(A4434, ""en"", ""fr"")"),"Fonds n ° 2")</f>
        <v>Fonds n ° 2</v>
      </c>
      <c r="C4434" s="1" t="s">
        <v>185</v>
      </c>
      <c r="CS4434" s="1" t="s">
        <v>93</v>
      </c>
      <c r="EV4434" s="1" t="s">
        <v>148</v>
      </c>
      <c r="EW4434" s="1" t="s">
        <v>149</v>
      </c>
      <c r="GD4434" s="1" t="s">
        <v>193</v>
      </c>
      <c r="GE4434" s="1" t="s">
        <v>6284</v>
      </c>
    </row>
    <row r="4435" spans="1:187" ht="11.25" customHeight="1">
      <c r="A4435" s="1" t="s">
        <v>6285</v>
      </c>
      <c r="B4435" s="1" t="str">
        <f ca="1">IFERROR(__xludf.DUMMYFUNCTION("GOOGLETRANSLATE(A4435, ""en"", ""fr"")"),"Fonds n ° 3")</f>
        <v>Fonds n ° 3</v>
      </c>
      <c r="C4435" s="1" t="s">
        <v>185</v>
      </c>
      <c r="AA4435" s="1" t="s">
        <v>23</v>
      </c>
      <c r="BQ4435" s="1" t="s">
        <v>65</v>
      </c>
      <c r="GD4435" s="1" t="s">
        <v>225</v>
      </c>
      <c r="GE4435" s="1" t="s">
        <v>6286</v>
      </c>
    </row>
    <row r="4436" spans="1:187" ht="11.25" customHeight="1">
      <c r="A4436" s="1" t="s">
        <v>6287</v>
      </c>
      <c r="B4436" s="1" t="str">
        <f ca="1">IFERROR(__xludf.DUMMYFUNCTION("GOOGLETRANSLATE(A4436, ""en"", ""fr"")"),"FONDAMENTAL")</f>
        <v>FONDAMENTAL</v>
      </c>
      <c r="C4436" s="1" t="s">
        <v>185</v>
      </c>
      <c r="J4436" s="1" t="s">
        <v>6</v>
      </c>
      <c r="W4436" s="1" t="s">
        <v>19</v>
      </c>
      <c r="CH4436" s="1" t="s">
        <v>82</v>
      </c>
      <c r="CN4436" s="1" t="s">
        <v>88</v>
      </c>
      <c r="FY4436" s="1" t="s">
        <v>177</v>
      </c>
      <c r="GD4436" s="1" t="s">
        <v>202</v>
      </c>
      <c r="GE4436" s="1" t="s">
        <v>190</v>
      </c>
    </row>
    <row r="4437" spans="1:187" ht="11.25" customHeight="1">
      <c r="A4437" s="1" t="s">
        <v>6288</v>
      </c>
      <c r="B4437" s="1" t="str">
        <f ca="1">IFERROR(__xludf.DUMMYFUNCTION("GOOGLETRANSLATE(A4437, ""en"", ""fr"")"),"FUNÉRAILLES")</f>
        <v>FUNÉRAILLES</v>
      </c>
      <c r="C4437" s="1" t="s">
        <v>185</v>
      </c>
      <c r="G4437" s="1" t="s">
        <v>3</v>
      </c>
      <c r="AM4437" s="1" t="s">
        <v>35</v>
      </c>
      <c r="GD4437" s="1" t="s">
        <v>193</v>
      </c>
      <c r="GE4437" s="1" t="s">
        <v>190</v>
      </c>
    </row>
    <row r="4438" spans="1:187" ht="11.25" customHeight="1">
      <c r="A4438" s="1" t="s">
        <v>6289</v>
      </c>
      <c r="B4438" s="1" t="str">
        <f ca="1">IFERROR(__xludf.DUMMYFUNCTION("GOOGLETRANSLATE(A4438, ""en"", ""fr"")"),"Drôle # 1")</f>
        <v>Drôle # 1</v>
      </c>
      <c r="C4438" s="1" t="s">
        <v>185</v>
      </c>
      <c r="D4438" s="1" t="s">
        <v>16612</v>
      </c>
      <c r="F4438" s="1" t="s">
        <v>2</v>
      </c>
      <c r="U4438" s="1" t="s">
        <v>17</v>
      </c>
      <c r="CN4438" s="1" t="s">
        <v>88</v>
      </c>
      <c r="GD4438" s="1" t="s">
        <v>421</v>
      </c>
      <c r="GE4438" s="1" t="s">
        <v>6290</v>
      </c>
    </row>
    <row r="4439" spans="1:187" ht="11.25" customHeight="1">
      <c r="A4439" s="1" t="s">
        <v>6291</v>
      </c>
      <c r="B4439" s="1" t="str">
        <f ca="1">IFERROR(__xludf.DUMMYFUNCTION("GOOGLETRANSLATE(A4439, ""en"", ""fr"")"),"Drôle # 2")</f>
        <v>Drôle # 2</v>
      </c>
      <c r="C4439" s="1" t="s">
        <v>185</v>
      </c>
      <c r="D4439" s="1" t="s">
        <v>16612</v>
      </c>
      <c r="F4439" s="1" t="s">
        <v>2</v>
      </c>
      <c r="U4439" s="1" t="s">
        <v>17</v>
      </c>
      <c r="CN4439" s="1" t="s">
        <v>88</v>
      </c>
      <c r="GD4439" s="1" t="s">
        <v>202</v>
      </c>
      <c r="GE4439" s="1" t="s">
        <v>6292</v>
      </c>
    </row>
    <row r="4440" spans="1:187" ht="11.25" customHeight="1">
      <c r="A4440" s="1" t="s">
        <v>6293</v>
      </c>
      <c r="B4440" s="1" t="str">
        <f ca="1">IFERROR(__xludf.DUMMYFUNCTION("GOOGLETRANSLATE(A4440, ""en"", ""fr"")"),"Drôle # 3")</f>
        <v>Drôle # 3</v>
      </c>
      <c r="C4440" s="1" t="s">
        <v>185</v>
      </c>
      <c r="D4440" s="1" t="s">
        <v>16612</v>
      </c>
      <c r="F4440" s="1" t="s">
        <v>2</v>
      </c>
      <c r="U4440" s="1" t="s">
        <v>17</v>
      </c>
      <c r="CN4440" s="1" t="s">
        <v>88</v>
      </c>
      <c r="GD4440" s="1" t="s">
        <v>202</v>
      </c>
      <c r="GE4440" s="1" t="s">
        <v>6294</v>
      </c>
    </row>
    <row r="4441" spans="1:187" ht="11.25" customHeight="1">
      <c r="A4441" s="1" t="s">
        <v>6295</v>
      </c>
      <c r="B4441" s="1" t="str">
        <f ca="1">IFERROR(__xludf.DUMMYFUNCTION("GOOGLETRANSLATE(A4441, ""en"", ""fr"")"),"FOURRURE")</f>
        <v>FOURRURE</v>
      </c>
      <c r="C4441" s="1" t="s">
        <v>196</v>
      </c>
      <c r="EV4441" s="1" t="s">
        <v>148</v>
      </c>
      <c r="EW4441" s="1" t="s">
        <v>149</v>
      </c>
      <c r="GD4441" s="1" t="s">
        <v>193</v>
      </c>
    </row>
    <row r="4442" spans="1:187" ht="11.25" customHeight="1">
      <c r="A4442" s="1" t="s">
        <v>6296</v>
      </c>
      <c r="B4442" s="1" t="str">
        <f ca="1">IFERROR(__xludf.DUMMYFUNCTION("GOOGLETRANSLATE(A4442, ""en"", ""fr"")"),"FURIEUX")</f>
        <v>FURIEUX</v>
      </c>
      <c r="C4442" s="1" t="s">
        <v>185</v>
      </c>
      <c r="E4442" s="1" t="s">
        <v>16613</v>
      </c>
      <c r="H4442" s="1" t="s">
        <v>4</v>
      </c>
      <c r="I4442" s="1" t="s">
        <v>5</v>
      </c>
      <c r="S4442" s="1" t="s">
        <v>15</v>
      </c>
      <c r="T4442" s="1" t="s">
        <v>16</v>
      </c>
      <c r="W4442" s="1" t="s">
        <v>19</v>
      </c>
      <c r="FA4442" s="1" t="s">
        <v>153</v>
      </c>
      <c r="FC4442" s="1" t="s">
        <v>155</v>
      </c>
      <c r="GD4442" s="1" t="s">
        <v>202</v>
      </c>
      <c r="GE4442" s="1" t="s">
        <v>190</v>
      </c>
    </row>
    <row r="4443" spans="1:187" ht="11.25" customHeight="1">
      <c r="A4443" s="1" t="s">
        <v>6297</v>
      </c>
      <c r="B4443" s="1" t="str">
        <f ca="1">IFERROR(__xludf.DUMMYFUNCTION("GOOGLETRANSLATE(A4443, ""en"", ""fr"")"),"FOURNEAU")</f>
        <v>FOURNEAU</v>
      </c>
      <c r="C4443" s="1" t="s">
        <v>185</v>
      </c>
      <c r="BC4443" s="1" t="s">
        <v>51</v>
      </c>
      <c r="BD4443" s="1" t="s">
        <v>52</v>
      </c>
      <c r="GD4443" s="1" t="s">
        <v>193</v>
      </c>
      <c r="GE4443" s="1" t="s">
        <v>190</v>
      </c>
    </row>
    <row r="4444" spans="1:187" ht="11.25" customHeight="1">
      <c r="A4444" s="1" t="s">
        <v>6298</v>
      </c>
      <c r="B4444" s="1" t="str">
        <f ca="1">IFERROR(__xludf.DUMMYFUNCTION("GOOGLETRANSLATE(A4444, ""en"", ""fr"")"),"FOURNIR")</f>
        <v>FOURNIR</v>
      </c>
      <c r="C4444" s="1" t="s">
        <v>185</v>
      </c>
      <c r="N4444" s="1" t="s">
        <v>10</v>
      </c>
      <c r="AL4444" s="1" t="s">
        <v>34</v>
      </c>
      <c r="DN4444" s="1" t="s">
        <v>114</v>
      </c>
      <c r="GD4444" s="1" t="s">
        <v>189</v>
      </c>
      <c r="GE4444" s="1" t="s">
        <v>190</v>
      </c>
    </row>
    <row r="4445" spans="1:187" ht="11.25" customHeight="1">
      <c r="A4445" s="1" t="s">
        <v>6299</v>
      </c>
      <c r="B4445" s="1" t="str">
        <f ca="1">IFERROR(__xludf.DUMMYFUNCTION("GOOGLETRANSLATE(A4445, ""en"", ""fr"")"),"MEUBLES")</f>
        <v>MEUBLES</v>
      </c>
      <c r="C4445" s="1" t="s">
        <v>185</v>
      </c>
      <c r="BC4445" s="1" t="s">
        <v>51</v>
      </c>
      <c r="BD4445" s="1" t="s">
        <v>52</v>
      </c>
      <c r="GD4445" s="1" t="s">
        <v>193</v>
      </c>
      <c r="GE4445" s="1" t="s">
        <v>190</v>
      </c>
    </row>
    <row r="4446" spans="1:187" ht="11.25" customHeight="1">
      <c r="A4446" s="1" t="s">
        <v>6300</v>
      </c>
      <c r="B4446" s="1" t="str">
        <f ca="1">IFERROR(__xludf.DUMMYFUNCTION("GOOGLETRANSLATE(A4446, ""en"", ""fr"")"),"En outre n ° 1")</f>
        <v>En outre n ° 1</v>
      </c>
      <c r="C4446" s="1" t="s">
        <v>185</v>
      </c>
      <c r="J4446" s="1" t="s">
        <v>6</v>
      </c>
      <c r="CL4446" s="1" t="s">
        <v>86</v>
      </c>
      <c r="CS4446" s="1" t="s">
        <v>93</v>
      </c>
      <c r="GD4446" s="1" t="s">
        <v>5541</v>
      </c>
      <c r="GE4446" s="1" t="s">
        <v>6301</v>
      </c>
    </row>
    <row r="4447" spans="1:187" ht="11.25" customHeight="1">
      <c r="A4447" s="1" t="s">
        <v>6302</v>
      </c>
      <c r="B4447" s="1" t="str">
        <f ca="1">IFERROR(__xludf.DUMMYFUNCTION("GOOGLETRANSLATE(A4447, ""en"", ""fr"")"),"En outre n ° 2")</f>
        <v>En outre n ° 2</v>
      </c>
      <c r="C4447" s="1" t="s">
        <v>185</v>
      </c>
      <c r="CL4447" s="1" t="s">
        <v>86</v>
      </c>
      <c r="DA4447" s="1" t="s">
        <v>101</v>
      </c>
      <c r="GB4447" s="1" t="s">
        <v>180</v>
      </c>
      <c r="GD4447" s="1" t="s">
        <v>5541</v>
      </c>
      <c r="GE4447" s="1" t="s">
        <v>6303</v>
      </c>
    </row>
    <row r="4448" spans="1:187" ht="11.25" customHeight="1">
      <c r="A4448" s="1" t="s">
        <v>6304</v>
      </c>
      <c r="B4448" s="1" t="str">
        <f ca="1">IFERROR(__xludf.DUMMYFUNCTION("GOOGLETRANSLATE(A4448, ""en"", ""fr"")"),"En outre # 3")</f>
        <v>En outre # 3</v>
      </c>
      <c r="C4448" s="1" t="s">
        <v>185</v>
      </c>
      <c r="J4448" s="1" t="s">
        <v>6</v>
      </c>
      <c r="BX4448" s="1" t="s">
        <v>72</v>
      </c>
      <c r="DN4448" s="1" t="s">
        <v>114</v>
      </c>
      <c r="FN4448" s="1" t="s">
        <v>166</v>
      </c>
      <c r="GD4448" s="1" t="s">
        <v>189</v>
      </c>
      <c r="GE4448" s="1" t="s">
        <v>6305</v>
      </c>
    </row>
    <row r="4449" spans="1:187" ht="11.25" customHeight="1">
      <c r="A4449" s="1" t="s">
        <v>6306</v>
      </c>
      <c r="B4449" s="1" t="str">
        <f ca="1">IFERROR(__xludf.DUMMYFUNCTION("GOOGLETRANSLATE(A4449, ""en"", ""fr"")"),"En outre # 4")</f>
        <v>En outre # 4</v>
      </c>
      <c r="C4449" s="1" t="s">
        <v>185</v>
      </c>
      <c r="DM4449" s="1" t="s">
        <v>113</v>
      </c>
      <c r="GD4449" s="1" t="s">
        <v>236</v>
      </c>
      <c r="GE4449" s="1" t="s">
        <v>6307</v>
      </c>
    </row>
    <row r="4450" spans="1:187" ht="11.25" customHeight="1">
      <c r="A4450" s="1" t="s">
        <v>6308</v>
      </c>
      <c r="B4450" s="1" t="str">
        <f ca="1">IFERROR(__xludf.DUMMYFUNCTION("GOOGLETRANSLATE(A4450, ""en"", ""fr"")"),"EN OUTRE")</f>
        <v>EN OUTRE</v>
      </c>
      <c r="C4450" s="1" t="s">
        <v>185</v>
      </c>
      <c r="W4450" s="1" t="s">
        <v>19</v>
      </c>
      <c r="DM4450" s="1" t="s">
        <v>113</v>
      </c>
      <c r="GD4450" s="1" t="s">
        <v>236</v>
      </c>
      <c r="GE4450" s="1" t="s">
        <v>190</v>
      </c>
    </row>
    <row r="4451" spans="1:187" ht="11.25" customHeight="1">
      <c r="A4451" s="1" t="s">
        <v>6309</v>
      </c>
      <c r="B4451" s="1" t="str">
        <f ca="1">IFERROR(__xludf.DUMMYFUNCTION("GOOGLETRANSLATE(A4451, ""en"", ""fr"")"),"FUREUR")</f>
        <v>FUREUR</v>
      </c>
      <c r="C4451" s="1" t="s">
        <v>185</v>
      </c>
      <c r="E4451" s="1" t="s">
        <v>16613</v>
      </c>
      <c r="H4451" s="1" t="s">
        <v>4</v>
      </c>
      <c r="I4451" s="1" t="s">
        <v>5</v>
      </c>
      <c r="Q4451" s="1" t="s">
        <v>13</v>
      </c>
      <c r="S4451" s="1" t="s">
        <v>15</v>
      </c>
      <c r="T4451" s="1" t="s">
        <v>16</v>
      </c>
      <c r="W4451" s="1" t="s">
        <v>19</v>
      </c>
      <c r="FA4451" s="1" t="s">
        <v>153</v>
      </c>
      <c r="FC4451" s="1" t="s">
        <v>155</v>
      </c>
      <c r="GD4451" s="1" t="s">
        <v>193</v>
      </c>
      <c r="GE4451" s="1" t="s">
        <v>190</v>
      </c>
    </row>
    <row r="4452" spans="1:187" ht="11.25" customHeight="1">
      <c r="A4452" s="1" t="s">
        <v>6310</v>
      </c>
      <c r="B4452" s="1" t="str">
        <f ca="1">IFERROR(__xludf.DUMMYFUNCTION("GOOGLETRANSLATE(A4452, ""en"", ""fr"")"),"AGITATION")</f>
        <v>AGITATION</v>
      </c>
      <c r="C4452" s="1" t="s">
        <v>192</v>
      </c>
      <c r="E4452" s="1" t="s">
        <v>16613</v>
      </c>
      <c r="L4452" s="1" t="s">
        <v>8</v>
      </c>
      <c r="N4452" s="1" t="s">
        <v>10</v>
      </c>
      <c r="BK4452" s="1" t="s">
        <v>59</v>
      </c>
      <c r="DN4452" s="1" t="s">
        <v>114</v>
      </c>
      <c r="GD4452" s="1" t="s">
        <v>189</v>
      </c>
      <c r="GE4452" s="1" t="s">
        <v>190</v>
      </c>
    </row>
    <row r="4453" spans="1:187" ht="11.25" customHeight="1">
      <c r="A4453" s="1" t="s">
        <v>6311</v>
      </c>
      <c r="B4453" s="1" t="str">
        <f ca="1">IFERROR(__xludf.DUMMYFUNCTION("GOOGLETRANSLATE(A4453, ""en"", ""fr"")"),"POINTILLEUX")</f>
        <v>POINTILLEUX</v>
      </c>
      <c r="C4453" s="1" t="s">
        <v>192</v>
      </c>
      <c r="E4453" s="1" t="s">
        <v>16613</v>
      </c>
      <c r="V4453" s="1" t="s">
        <v>18</v>
      </c>
      <c r="W4453" s="1" t="s">
        <v>19</v>
      </c>
      <c r="DR4453" s="1" t="s">
        <v>118</v>
      </c>
      <c r="GD4453" s="1" t="s">
        <v>202</v>
      </c>
      <c r="GE4453" s="1" t="s">
        <v>190</v>
      </c>
    </row>
    <row r="4454" spans="1:187" ht="11.25" customHeight="1">
      <c r="A4454" s="1" t="s">
        <v>6312</v>
      </c>
      <c r="B4454" s="1" t="str">
        <f ca="1">IFERROR(__xludf.DUMMYFUNCTION("GOOGLETRANSLATE(A4454, ""en"", ""fr"")"),"FUTILE")</f>
        <v>FUTILE</v>
      </c>
      <c r="C4454" s="1" t="s">
        <v>196</v>
      </c>
      <c r="FL4454" s="1" t="s">
        <v>164</v>
      </c>
      <c r="FM4454" s="1" t="s">
        <v>418</v>
      </c>
      <c r="FV4454" s="1" t="s">
        <v>174</v>
      </c>
      <c r="GD4454" s="1" t="s">
        <v>202</v>
      </c>
    </row>
    <row r="4455" spans="1:187" ht="11.25" customHeight="1">
      <c r="A4455" s="1" t="s">
        <v>6313</v>
      </c>
      <c r="B4455" s="1" t="str">
        <f ca="1">IFERROR(__xludf.DUMMYFUNCTION("GOOGLETRANSLATE(A4455, ""en"", ""fr"")"),"FUTILITÉ")</f>
        <v>FUTILITÉ</v>
      </c>
      <c r="C4455" s="1" t="s">
        <v>185</v>
      </c>
      <c r="E4455" s="1" t="s">
        <v>16613</v>
      </c>
      <c r="L4455" s="1" t="s">
        <v>8</v>
      </c>
      <c r="M4455" s="1" t="s">
        <v>9</v>
      </c>
      <c r="V4455" s="1" t="s">
        <v>18</v>
      </c>
      <c r="FL4455" s="1" t="s">
        <v>164</v>
      </c>
      <c r="FM4455" s="1" t="s">
        <v>418</v>
      </c>
      <c r="FV4455" s="1" t="s">
        <v>174</v>
      </c>
      <c r="GD4455" s="1" t="s">
        <v>193</v>
      </c>
      <c r="GE4455" s="1" t="s">
        <v>190</v>
      </c>
    </row>
    <row r="4456" spans="1:187" ht="11.25" customHeight="1">
      <c r="A4456" s="1" t="s">
        <v>6314</v>
      </c>
      <c r="B4456" s="1" t="str">
        <f ca="1">IFERROR(__xludf.DUMMYFUNCTION("GOOGLETRANSLATE(A4456, ""en"", ""fr"")"),"AVENIR")</f>
        <v>AVENIR</v>
      </c>
      <c r="C4456" s="1" t="s">
        <v>185</v>
      </c>
      <c r="CQ4456" s="1" t="s">
        <v>91</v>
      </c>
      <c r="CY4456" s="1" t="s">
        <v>99</v>
      </c>
      <c r="CZ4456" s="1" t="s">
        <v>100</v>
      </c>
      <c r="FR4456" s="1" t="s">
        <v>170</v>
      </c>
      <c r="GD4456" s="1" t="s">
        <v>193</v>
      </c>
      <c r="GE4456" s="1" t="s">
        <v>6315</v>
      </c>
    </row>
    <row r="4457" spans="1:187" ht="11.25" customHeight="1">
      <c r="A4457" s="1" t="s">
        <v>6316</v>
      </c>
      <c r="B4457" s="1" t="str">
        <f ca="1">IFERROR(__xludf.DUMMYFUNCTION("GOOGLETRANSLATE(A4457, ""en"", ""fr"")"),"FLOU")</f>
        <v>FLOU</v>
      </c>
      <c r="C4457" s="1" t="s">
        <v>196</v>
      </c>
      <c r="FH4457" s="1" t="s">
        <v>160</v>
      </c>
      <c r="FI4457" s="1" t="s">
        <v>161</v>
      </c>
      <c r="GD4457" s="1" t="s">
        <v>202</v>
      </c>
    </row>
    <row r="4458" spans="1:187" ht="11.25" customHeight="1">
      <c r="A4458" s="1" t="s">
        <v>6317</v>
      </c>
      <c r="B4458" s="1" t="str">
        <f ca="1">IFERROR(__xludf.DUMMYFUNCTION("GOOGLETRANSLATE(A4458, ""en"", ""fr"")"),"GABON")</f>
        <v>GABON</v>
      </c>
      <c r="C4458" s="1" t="s">
        <v>196</v>
      </c>
      <c r="FU4458" s="1" t="s">
        <v>173</v>
      </c>
      <c r="GD4458" s="1" t="s">
        <v>545</v>
      </c>
    </row>
    <row r="4459" spans="1:187" ht="11.25" customHeight="1">
      <c r="A4459" s="1" t="s">
        <v>6318</v>
      </c>
      <c r="B4459" s="1" t="str">
        <f ca="1">IFERROR(__xludf.DUMMYFUNCTION("GOOGLETRANSLATE(A4459, ""en"", ""fr"")"),"GAIETÉ")</f>
        <v>GAIETÉ</v>
      </c>
      <c r="C4459" s="1" t="s">
        <v>185</v>
      </c>
      <c r="D4459" s="1" t="s">
        <v>16612</v>
      </c>
      <c r="P4459" s="1" t="s">
        <v>12</v>
      </c>
      <c r="T4459" s="1" t="s">
        <v>16</v>
      </c>
      <c r="FA4459" s="1" t="s">
        <v>153</v>
      </c>
      <c r="FC4459" s="1" t="s">
        <v>155</v>
      </c>
      <c r="GD4459" s="1" t="s">
        <v>193</v>
      </c>
      <c r="GE4459" s="1" t="s">
        <v>190</v>
      </c>
    </row>
    <row r="4460" spans="1:187" ht="11.25" customHeight="1">
      <c r="A4460" s="1" t="s">
        <v>6319</v>
      </c>
      <c r="B4460" s="1" t="str">
        <f ca="1">IFERROR(__xludf.DUMMYFUNCTION("GOOGLETRANSLATE(A4460, ""en"", ""fr"")"),"GAIEMENT")</f>
        <v>GAIEMENT</v>
      </c>
      <c r="C4460" s="1" t="s">
        <v>192</v>
      </c>
      <c r="D4460" s="1" t="s">
        <v>16612</v>
      </c>
      <c r="P4460" s="1" t="s">
        <v>12</v>
      </c>
      <c r="T4460" s="1" t="s">
        <v>16</v>
      </c>
      <c r="GD4460" s="1" t="s">
        <v>202</v>
      </c>
      <c r="GE4460" s="1" t="s">
        <v>190</v>
      </c>
    </row>
    <row r="4461" spans="1:187" ht="11.25" customHeight="1">
      <c r="A4461" s="1" t="s">
        <v>6320</v>
      </c>
      <c r="B4461" s="1" t="str">
        <f ca="1">IFERROR(__xludf.DUMMYFUNCTION("GOOGLETRANSLATE(A4461, ""en"", ""fr"")"),"Gagner # 1")</f>
        <v>Gagner # 1</v>
      </c>
      <c r="C4461" s="1" t="s">
        <v>185</v>
      </c>
      <c r="D4461" s="1" t="s">
        <v>16612</v>
      </c>
      <c r="F4461" s="1" t="s">
        <v>2</v>
      </c>
      <c r="J4461" s="1" t="s">
        <v>6</v>
      </c>
      <c r="N4461" s="1" t="s">
        <v>10</v>
      </c>
      <c r="BS4461" s="1" t="s">
        <v>67</v>
      </c>
      <c r="DN4461" s="1" t="s">
        <v>114</v>
      </c>
      <c r="FN4461" s="1" t="s">
        <v>166</v>
      </c>
      <c r="GD4461" s="1" t="s">
        <v>189</v>
      </c>
      <c r="GE4461" s="1" t="s">
        <v>6321</v>
      </c>
    </row>
    <row r="4462" spans="1:187" ht="11.25" customHeight="1">
      <c r="A4462" s="1" t="s">
        <v>6322</v>
      </c>
      <c r="B4462" s="1" t="str">
        <f ca="1">IFERROR(__xludf.DUMMYFUNCTION("GOOGLETRANSLATE(A4462, ""en"", ""fr"")"),"Gain # 2")</f>
        <v>Gain # 2</v>
      </c>
      <c r="C4462" s="1" t="s">
        <v>185</v>
      </c>
      <c r="D4462" s="1" t="s">
        <v>16612</v>
      </c>
      <c r="F4462" s="1" t="s">
        <v>2</v>
      </c>
      <c r="J4462" s="1" t="s">
        <v>6</v>
      </c>
      <c r="AA4462" s="1" t="s">
        <v>23</v>
      </c>
      <c r="AC4462" s="1" t="s">
        <v>25</v>
      </c>
      <c r="BO4462" s="1" t="s">
        <v>63</v>
      </c>
      <c r="FR4462" s="1" t="s">
        <v>170</v>
      </c>
      <c r="GD4462" s="1" t="s">
        <v>193</v>
      </c>
      <c r="GE4462" s="1" t="s">
        <v>6323</v>
      </c>
    </row>
    <row r="4463" spans="1:187" ht="11.25" customHeight="1">
      <c r="A4463" s="1" t="s">
        <v>6324</v>
      </c>
      <c r="B4463" s="1" t="str">
        <f ca="1">IFERROR(__xludf.DUMMYFUNCTION("GOOGLETRANSLATE(A4463, ""en"", ""fr"")"),"GAGNANT")</f>
        <v>GAGNANT</v>
      </c>
      <c r="C4463" s="1" t="s">
        <v>185</v>
      </c>
      <c r="AJ4463" s="1" t="s">
        <v>32</v>
      </c>
      <c r="AT4463" s="1" t="s">
        <v>42</v>
      </c>
      <c r="GD4463" s="1" t="s">
        <v>193</v>
      </c>
      <c r="GE4463" s="1" t="s">
        <v>190</v>
      </c>
    </row>
    <row r="4464" spans="1:187" ht="11.25" customHeight="1">
      <c r="A4464" s="1" t="s">
        <v>6325</v>
      </c>
      <c r="B4464" s="1" t="str">
        <f ca="1">IFERROR(__xludf.DUMMYFUNCTION("GOOGLETRANSLATE(A4464, ""en"", ""fr"")"),"DÉMARCHE")</f>
        <v>DÉMARCHE</v>
      </c>
      <c r="C4464" s="1" t="s">
        <v>185</v>
      </c>
      <c r="CR4464" s="1" t="s">
        <v>92</v>
      </c>
      <c r="GD4464" s="1" t="s">
        <v>193</v>
      </c>
      <c r="GE4464" s="1" t="s">
        <v>190</v>
      </c>
    </row>
    <row r="4465" spans="1:187" ht="11.25" customHeight="1">
      <c r="A4465" s="1" t="s">
        <v>6326</v>
      </c>
      <c r="B4465" s="1" t="str">
        <f ca="1">IFERROR(__xludf.DUMMYFUNCTION("GOOGLETRANSLATE(A4465, ""en"", ""fr"")"),"FIEL")</f>
        <v>FIEL</v>
      </c>
      <c r="C4465" s="1" t="s">
        <v>192</v>
      </c>
      <c r="E4465" s="1" t="s">
        <v>16613</v>
      </c>
      <c r="J4465" s="1" t="s">
        <v>6</v>
      </c>
      <c r="K4465" s="1" t="s">
        <v>7</v>
      </c>
      <c r="T4465" s="1" t="s">
        <v>16</v>
      </c>
      <c r="GD4465" s="1" t="s">
        <v>193</v>
      </c>
      <c r="GE4465" s="1" t="s">
        <v>190</v>
      </c>
    </row>
    <row r="4466" spans="1:187" ht="11.25" customHeight="1">
      <c r="A4466" s="1" t="s">
        <v>6327</v>
      </c>
      <c r="B4466" s="1" t="str">
        <f ca="1">IFERROR(__xludf.DUMMYFUNCTION("GOOGLETRANSLATE(A4466, ""en"", ""fr"")"),"GALANT")</f>
        <v>GALANT</v>
      </c>
      <c r="C4466" s="1" t="s">
        <v>192</v>
      </c>
      <c r="D4466" s="1" t="s">
        <v>16612</v>
      </c>
      <c r="J4466" s="1" t="s">
        <v>6</v>
      </c>
      <c r="U4466" s="1" t="s">
        <v>17</v>
      </c>
      <c r="DR4466" s="1" t="s">
        <v>118</v>
      </c>
      <c r="GD4466" s="1" t="s">
        <v>202</v>
      </c>
      <c r="GE4466" s="1" t="s">
        <v>190</v>
      </c>
    </row>
    <row r="4467" spans="1:187" ht="11.25" customHeight="1">
      <c r="A4467" s="1" t="s">
        <v>6328</v>
      </c>
      <c r="B4467" s="1" t="str">
        <f ca="1">IFERROR(__xludf.DUMMYFUNCTION("GOOGLETRANSLATE(A4467, ""en"", ""fr"")"),"GALANTERIE")</f>
        <v>GALANTERIE</v>
      </c>
      <c r="C4467" s="1" t="s">
        <v>192</v>
      </c>
      <c r="D4467" s="1" t="s">
        <v>16612</v>
      </c>
      <c r="U4467" s="1" t="s">
        <v>17</v>
      </c>
      <c r="GD4467" s="1" t="s">
        <v>193</v>
      </c>
      <c r="GE4467" s="1" t="s">
        <v>190</v>
      </c>
    </row>
    <row r="4468" spans="1:187" ht="11.25" customHeight="1">
      <c r="A4468" s="1" t="s">
        <v>6329</v>
      </c>
      <c r="B4468" s="1" t="str">
        <f ca="1">IFERROR(__xludf.DUMMYFUNCTION("GOOGLETRANSLATE(A4468, ""en"", ""fr"")"),"GALERIE")</f>
        <v>GALERIE</v>
      </c>
      <c r="C4468" s="1" t="s">
        <v>185</v>
      </c>
      <c r="AD4468" s="1" t="s">
        <v>26</v>
      </c>
      <c r="AV4468" s="1" t="s">
        <v>44</v>
      </c>
      <c r="AW4468" s="1" t="s">
        <v>45</v>
      </c>
      <c r="GD4468" s="1" t="s">
        <v>193</v>
      </c>
      <c r="GE4468" s="1" t="s">
        <v>190</v>
      </c>
    </row>
    <row r="4469" spans="1:187" ht="11.25" customHeight="1">
      <c r="A4469" s="1" t="s">
        <v>6330</v>
      </c>
      <c r="B4469" s="1" t="str">
        <f ca="1">IFERROR(__xludf.DUMMYFUNCTION("GOOGLETRANSLATE(A4469, ""en"", ""fr"")"),"GALÈRE")</f>
        <v>GALÈRE</v>
      </c>
      <c r="C4469" s="1" t="s">
        <v>185</v>
      </c>
      <c r="BC4469" s="1" t="s">
        <v>51</v>
      </c>
      <c r="BG4469" s="1" t="s">
        <v>55</v>
      </c>
      <c r="GD4469" s="1" t="s">
        <v>193</v>
      </c>
      <c r="GE4469" s="1" t="s">
        <v>190</v>
      </c>
    </row>
    <row r="4470" spans="1:187" ht="11.25" customHeight="1">
      <c r="A4470" s="1" t="s">
        <v>6331</v>
      </c>
      <c r="B4470" s="1" t="str">
        <f ca="1">IFERROR(__xludf.DUMMYFUNCTION("GOOGLETRANSLATE(A4470, ""en"", ""fr"")"),"GALLON")</f>
        <v>GALLON</v>
      </c>
      <c r="C4470" s="1" t="s">
        <v>185</v>
      </c>
      <c r="CS4470" s="1" t="s">
        <v>93</v>
      </c>
      <c r="GD4470" s="1" t="s">
        <v>193</v>
      </c>
      <c r="GE4470" s="1" t="s">
        <v>190</v>
      </c>
    </row>
    <row r="4471" spans="1:187" ht="11.25" customHeight="1">
      <c r="A4471" s="1" t="s">
        <v>6332</v>
      </c>
      <c r="B4471" s="1" t="str">
        <f ca="1">IFERROR(__xludf.DUMMYFUNCTION("GOOGLETRANSLATE(A4471, ""en"", ""fr"")"),"GAMBIE")</f>
        <v>GAMBIE</v>
      </c>
      <c r="C4471" s="1" t="s">
        <v>196</v>
      </c>
      <c r="FU4471" s="1" t="s">
        <v>173</v>
      </c>
      <c r="GD4471" s="1" t="s">
        <v>545</v>
      </c>
    </row>
    <row r="4472" spans="1:187" ht="11.25" customHeight="1">
      <c r="A4472" s="1" t="s">
        <v>6333</v>
      </c>
      <c r="B4472" s="1" t="str">
        <f ca="1">IFERROR(__xludf.DUMMYFUNCTION("GOOGLETRANSLATE(A4472, ""en"", ""fr"")"),"Jeu # 1")</f>
        <v>Jeu # 1</v>
      </c>
      <c r="C4472" s="1" t="s">
        <v>185</v>
      </c>
      <c r="E4472" s="1" t="s">
        <v>16613</v>
      </c>
      <c r="H4472" s="1" t="s">
        <v>4</v>
      </c>
      <c r="N4472" s="1" t="s">
        <v>10</v>
      </c>
      <c r="X4472" s="1" t="s">
        <v>20</v>
      </c>
      <c r="AA4472" s="1" t="s">
        <v>23</v>
      </c>
      <c r="AM4472" s="1" t="s">
        <v>35</v>
      </c>
      <c r="FZ4472" s="1" t="s">
        <v>178</v>
      </c>
      <c r="GD4472" s="1" t="s">
        <v>193</v>
      </c>
      <c r="GE4472" s="1" t="s">
        <v>190</v>
      </c>
    </row>
    <row r="4473" spans="1:187" ht="11.25" customHeight="1">
      <c r="A4473" s="1" t="s">
        <v>6334</v>
      </c>
      <c r="B4473" s="1" t="str">
        <f ca="1">IFERROR(__xludf.DUMMYFUNCTION("GOOGLETRANSLATE(A4473, ""en"", ""fr"")"),"Jeu # 2")</f>
        <v>Jeu # 2</v>
      </c>
      <c r="C4473" s="1" t="s">
        <v>185</v>
      </c>
      <c r="E4473" s="1" t="s">
        <v>16613</v>
      </c>
      <c r="H4473" s="1" t="s">
        <v>4</v>
      </c>
      <c r="N4473" s="1" t="s">
        <v>10</v>
      </c>
      <c r="X4473" s="1" t="s">
        <v>20</v>
      </c>
      <c r="AA4473" s="1" t="s">
        <v>23</v>
      </c>
      <c r="BP4473" s="1" t="s">
        <v>64</v>
      </c>
      <c r="DN4473" s="1" t="s">
        <v>114</v>
      </c>
      <c r="FZ4473" s="1" t="s">
        <v>178</v>
      </c>
      <c r="GD4473" s="1" t="s">
        <v>189</v>
      </c>
      <c r="GE4473" s="1" t="s">
        <v>190</v>
      </c>
    </row>
    <row r="4474" spans="1:187" ht="11.25" customHeight="1">
      <c r="A4474" s="1" t="s">
        <v>6335</v>
      </c>
      <c r="B4474" s="1" t="str">
        <f ca="1">IFERROR(__xludf.DUMMYFUNCTION("GOOGLETRANSLATE(A4474, ""en"", ""fr"")"),"Jeu n ° 1")</f>
        <v>Jeu n ° 1</v>
      </c>
      <c r="C4474" s="1" t="s">
        <v>185</v>
      </c>
      <c r="AD4474" s="1" t="s">
        <v>26</v>
      </c>
      <c r="AM4474" s="1" t="s">
        <v>35</v>
      </c>
      <c r="FL4474" s="1" t="s">
        <v>164</v>
      </c>
      <c r="FM4474" s="1" t="s">
        <v>418</v>
      </c>
      <c r="GD4474" s="1" t="s">
        <v>193</v>
      </c>
      <c r="GE4474" s="1" t="s">
        <v>6336</v>
      </c>
    </row>
    <row r="4475" spans="1:187" ht="11.25" customHeight="1">
      <c r="A4475" s="1" t="s">
        <v>6337</v>
      </c>
      <c r="B4475" s="1" t="str">
        <f ca="1">IFERROR(__xludf.DUMMYFUNCTION("GOOGLETRANSLATE(A4475, ""en"", ""fr"")"),"Jeu n ° 2")</f>
        <v>Jeu n ° 2</v>
      </c>
      <c r="C4475" s="1" t="s">
        <v>192</v>
      </c>
      <c r="AU4475" s="1" t="s">
        <v>43</v>
      </c>
      <c r="GD4475" s="1" t="s">
        <v>193</v>
      </c>
      <c r="GE4475" s="1" t="s">
        <v>6338</v>
      </c>
    </row>
    <row r="4476" spans="1:187" ht="11.25" customHeight="1">
      <c r="A4476" s="1" t="s">
        <v>6339</v>
      </c>
      <c r="B4476" s="1" t="str">
        <f ca="1">IFERROR(__xludf.DUMMYFUNCTION("GOOGLETRANSLATE(A4476, ""en"", ""fr"")"),"Jeu n ° 3")</f>
        <v>Jeu n ° 3</v>
      </c>
      <c r="C4476" s="1" t="s">
        <v>192</v>
      </c>
      <c r="D4476" s="1" t="s">
        <v>16612</v>
      </c>
      <c r="F4476" s="1" t="s">
        <v>2</v>
      </c>
      <c r="J4476" s="1" t="s">
        <v>6</v>
      </c>
      <c r="P4476" s="1" t="s">
        <v>12</v>
      </c>
      <c r="GD4476" s="1" t="s">
        <v>202</v>
      </c>
      <c r="GE4476" s="1" t="s">
        <v>6340</v>
      </c>
    </row>
    <row r="4477" spans="1:187" ht="11.25" customHeight="1">
      <c r="A4477" s="1" t="s">
        <v>6341</v>
      </c>
      <c r="B4477" s="1" t="str">
        <f ca="1">IFERROR(__xludf.DUMMYFUNCTION("GOOGLETRANSLATE(A4477, ""en"", ""fr"")"),"Jeu n ° 4")</f>
        <v>Jeu n ° 4</v>
      </c>
      <c r="C4477" s="1" t="s">
        <v>192</v>
      </c>
      <c r="GD4477" s="1" t="s">
        <v>225</v>
      </c>
      <c r="GE4477" s="1" t="s">
        <v>6342</v>
      </c>
    </row>
    <row r="4478" spans="1:187" ht="11.25" customHeight="1">
      <c r="A4478" s="1" t="s">
        <v>6343</v>
      </c>
      <c r="B4478" s="1" t="str">
        <f ca="1">IFERROR(__xludf.DUMMYFUNCTION("GOOGLETRANSLATE(A4478, ""en"", ""fr"")"),"GANG")</f>
        <v>GANG</v>
      </c>
      <c r="C4478" s="1" t="s">
        <v>185</v>
      </c>
      <c r="J4478" s="1" t="s">
        <v>6</v>
      </c>
      <c r="AK4478" s="1" t="s">
        <v>33</v>
      </c>
      <c r="AT4478" s="1" t="s">
        <v>42</v>
      </c>
      <c r="DZ4478" s="1" t="s">
        <v>126</v>
      </c>
      <c r="ED4478" s="1" t="s">
        <v>130</v>
      </c>
      <c r="GD4478" s="1" t="s">
        <v>193</v>
      </c>
      <c r="GE4478" s="1" t="s">
        <v>190</v>
      </c>
    </row>
    <row r="4479" spans="1:187" ht="11.25" customHeight="1">
      <c r="A4479" s="1" t="s">
        <v>6344</v>
      </c>
      <c r="B4479" s="1" t="str">
        <f ca="1">IFERROR(__xludf.DUMMYFUNCTION("GOOGLETRANSLATE(A4479, ""en"", ""fr"")"),"BÂILLER")</f>
        <v>BÂILLER</v>
      </c>
      <c r="C4479" s="1" t="s">
        <v>196</v>
      </c>
      <c r="GD4479" s="1" t="s">
        <v>189</v>
      </c>
    </row>
    <row r="4480" spans="1:187" ht="11.25" customHeight="1">
      <c r="A4480" s="1" t="s">
        <v>6345</v>
      </c>
      <c r="B4480" s="1" t="str">
        <f ca="1">IFERROR(__xludf.DUMMYFUNCTION("GOOGLETRANSLATE(A4480, ""en"", ""fr"")"),"GARAGE")</f>
        <v>GARAGE</v>
      </c>
      <c r="C4480" s="1" t="s">
        <v>185</v>
      </c>
      <c r="AV4480" s="1" t="s">
        <v>44</v>
      </c>
      <c r="AW4480" s="1" t="s">
        <v>45</v>
      </c>
      <c r="GD4480" s="1" t="s">
        <v>193</v>
      </c>
      <c r="GE4480" s="1" t="s">
        <v>190</v>
      </c>
    </row>
    <row r="4481" spans="1:187" ht="11.25" customHeight="1">
      <c r="A4481" s="1" t="s">
        <v>6346</v>
      </c>
      <c r="B4481" s="1" t="str">
        <f ca="1">IFERROR(__xludf.DUMMYFUNCTION("GOOGLETRANSLATE(A4481, ""en"", ""fr"")"),"Jardin n ° 1")</f>
        <v>Jardin n ° 1</v>
      </c>
      <c r="C4481" s="1" t="s">
        <v>185</v>
      </c>
      <c r="AV4481" s="1" t="s">
        <v>44</v>
      </c>
      <c r="AW4481" s="1" t="s">
        <v>45</v>
      </c>
      <c r="EV4481" s="1" t="s">
        <v>148</v>
      </c>
      <c r="EW4481" s="1" t="s">
        <v>149</v>
      </c>
      <c r="GD4481" s="1" t="s">
        <v>193</v>
      </c>
      <c r="GE4481" s="1" t="s">
        <v>6347</v>
      </c>
    </row>
    <row r="4482" spans="1:187" ht="11.25" customHeight="1">
      <c r="A4482" s="1" t="s">
        <v>6348</v>
      </c>
      <c r="B4482" s="1" t="str">
        <f ca="1">IFERROR(__xludf.DUMMYFUNCTION("GOOGLETRANSLATE(A4482, ""en"", ""fr"")"),"Jardin n ° 2")</f>
        <v>Jardin n ° 2</v>
      </c>
      <c r="C4482" s="1" t="s">
        <v>185</v>
      </c>
      <c r="AL4482" s="1" t="s">
        <v>34</v>
      </c>
      <c r="EV4482" s="1" t="s">
        <v>148</v>
      </c>
      <c r="EW4482" s="1" t="s">
        <v>149</v>
      </c>
      <c r="GD4482" s="1" t="s">
        <v>193</v>
      </c>
      <c r="GE4482" s="1" t="s">
        <v>6349</v>
      </c>
    </row>
    <row r="4483" spans="1:187" ht="11.25" customHeight="1">
      <c r="A4483" s="1" t="s">
        <v>6350</v>
      </c>
      <c r="B4483" s="1" t="str">
        <f ca="1">IFERROR(__xludf.DUMMYFUNCTION("GOOGLETRANSLATE(A4483, ""en"", ""fr"")"),"JARDINIER")</f>
        <v>JARDINIER</v>
      </c>
      <c r="C4483" s="1" t="s">
        <v>185</v>
      </c>
      <c r="AA4483" s="1" t="s">
        <v>23</v>
      </c>
      <c r="AJ4483" s="1" t="s">
        <v>32</v>
      </c>
      <c r="AT4483" s="1" t="s">
        <v>42</v>
      </c>
      <c r="FK4483" s="1" t="s">
        <v>163</v>
      </c>
      <c r="FM4483" s="1" t="s">
        <v>418</v>
      </c>
      <c r="GD4483" s="1" t="s">
        <v>193</v>
      </c>
      <c r="GE4483" s="1" t="s">
        <v>190</v>
      </c>
    </row>
    <row r="4484" spans="1:187" ht="11.25" customHeight="1">
      <c r="A4484" s="1" t="s">
        <v>6351</v>
      </c>
      <c r="B4484" s="1" t="str">
        <f ca="1">IFERROR(__xludf.DUMMYFUNCTION("GOOGLETRANSLATE(A4484, ""en"", ""fr"")"),"VÊTEMENT")</f>
        <v>VÊTEMENT</v>
      </c>
      <c r="C4484" s="1" t="s">
        <v>196</v>
      </c>
      <c r="EZ4484" s="1" t="s">
        <v>152</v>
      </c>
      <c r="FC4484" s="1" t="s">
        <v>155</v>
      </c>
      <c r="GD4484" s="1" t="s">
        <v>193</v>
      </c>
    </row>
    <row r="4485" spans="1:187" ht="11.25" customHeight="1">
      <c r="A4485" s="1" t="s">
        <v>6352</v>
      </c>
      <c r="B4485" s="1" t="str">
        <f ca="1">IFERROR(__xludf.DUMMYFUNCTION("GOOGLETRANSLATE(A4485, ""en"", ""fr"")"),"GARNIR")</f>
        <v>GARNIR</v>
      </c>
      <c r="C4485" s="1" t="s">
        <v>192</v>
      </c>
      <c r="D4485" s="1" t="s">
        <v>16612</v>
      </c>
      <c r="N4485" s="1" t="s">
        <v>10</v>
      </c>
      <c r="BX4485" s="1" t="s">
        <v>72</v>
      </c>
      <c r="DN4485" s="1" t="s">
        <v>114</v>
      </c>
      <c r="GD4485" s="1" t="s">
        <v>189</v>
      </c>
      <c r="GE4485" s="1" t="s">
        <v>190</v>
      </c>
    </row>
    <row r="4486" spans="1:187" ht="11.25" customHeight="1">
      <c r="A4486" s="1" t="s">
        <v>6353</v>
      </c>
      <c r="B4486" s="1" t="str">
        <f ca="1">IFERROR(__xludf.DUMMYFUNCTION("GOOGLETRANSLATE(A4486, ""en"", ""fr"")"),"GARNISON")</f>
        <v>GARNISON</v>
      </c>
      <c r="C4486" s="1" t="s">
        <v>196</v>
      </c>
      <c r="DW4486" s="1" t="s">
        <v>123</v>
      </c>
      <c r="ED4486" s="1" t="s">
        <v>130</v>
      </c>
      <c r="GD4486" s="1" t="s">
        <v>193</v>
      </c>
    </row>
    <row r="4487" spans="1:187" ht="11.25" customHeight="1">
      <c r="A4487" s="1" t="s">
        <v>6354</v>
      </c>
      <c r="B4487" s="1" t="str">
        <f ca="1">IFERROR(__xludf.DUMMYFUNCTION("GOOGLETRANSLATE(A4487, ""en"", ""fr"")"),"Gaz # 1")</f>
        <v>Gaz # 1</v>
      </c>
      <c r="C4487" s="1" t="s">
        <v>185</v>
      </c>
      <c r="BU4487" s="1" t="s">
        <v>69</v>
      </c>
      <c r="GD4487" s="1" t="s">
        <v>193</v>
      </c>
      <c r="GE4487" s="1" t="s">
        <v>190</v>
      </c>
    </row>
    <row r="4488" spans="1:187" ht="11.25" customHeight="1">
      <c r="A4488" s="1" t="s">
        <v>6355</v>
      </c>
      <c r="B4488" s="1" t="str">
        <f ca="1">IFERROR(__xludf.DUMMYFUNCTION("GOOGLETRANSLATE(A4488, ""en"", ""fr"")"),"Gaz # 2")</f>
        <v>Gaz # 2</v>
      </c>
      <c r="C4488" s="1" t="s">
        <v>185</v>
      </c>
      <c r="AL4488" s="1" t="s">
        <v>34</v>
      </c>
      <c r="DN4488" s="1" t="s">
        <v>114</v>
      </c>
      <c r="GD4488" s="1" t="s">
        <v>189</v>
      </c>
      <c r="GE4488" s="1" t="s">
        <v>190</v>
      </c>
    </row>
    <row r="4489" spans="1:187" ht="11.25" customHeight="1">
      <c r="A4489" s="1" t="s">
        <v>6356</v>
      </c>
      <c r="B4489" s="1" t="str">
        <f ca="1">IFERROR(__xludf.DUMMYFUNCTION("GOOGLETRANSLATE(A4489, ""en"", ""fr"")"),"ENTAILLE")</f>
        <v>ENTAILLE</v>
      </c>
      <c r="C4489" s="1" t="s">
        <v>192</v>
      </c>
      <c r="E4489" s="1" t="s">
        <v>16613</v>
      </c>
      <c r="Q4489" s="1" t="s">
        <v>13</v>
      </c>
      <c r="BU4489" s="1" t="s">
        <v>69</v>
      </c>
      <c r="GD4489" s="1" t="s">
        <v>193</v>
      </c>
      <c r="GE4489" s="1" t="s">
        <v>190</v>
      </c>
    </row>
    <row r="4490" spans="1:187" ht="11.25" customHeight="1">
      <c r="A4490" s="1" t="s">
        <v>6357</v>
      </c>
      <c r="B4490" s="1" t="str">
        <f ca="1">IFERROR(__xludf.DUMMYFUNCTION("GOOGLETRANSLATE(A4490, ""en"", ""fr"")"),"Joint")</f>
        <v>Joint</v>
      </c>
      <c r="C4490" s="1" t="s">
        <v>185</v>
      </c>
      <c r="BC4490" s="1" t="s">
        <v>51</v>
      </c>
      <c r="BD4490" s="1" t="s">
        <v>52</v>
      </c>
      <c r="GD4490" s="1" t="s">
        <v>193</v>
      </c>
      <c r="GE4490" s="1" t="s">
        <v>190</v>
      </c>
    </row>
    <row r="4491" spans="1:187" ht="11.25" customHeight="1">
      <c r="A4491" s="1" t="s">
        <v>6358</v>
      </c>
      <c r="B4491" s="1" t="str">
        <f ca="1">IFERROR(__xludf.DUMMYFUNCTION("GOOGLETRANSLATE(A4491, ""en"", ""fr"")"),"DE L'ESSENCE")</f>
        <v>DE L'ESSENCE</v>
      </c>
      <c r="C4491" s="1" t="s">
        <v>185</v>
      </c>
      <c r="BC4491" s="1" t="s">
        <v>51</v>
      </c>
      <c r="BD4491" s="1" t="s">
        <v>52</v>
      </c>
      <c r="GD4491" s="1" t="s">
        <v>193</v>
      </c>
      <c r="GE4491" s="1" t="s">
        <v>190</v>
      </c>
    </row>
    <row r="4492" spans="1:187" ht="11.25" customHeight="1">
      <c r="A4492" s="1" t="s">
        <v>6359</v>
      </c>
      <c r="B4492" s="1" t="str">
        <f ca="1">IFERROR(__xludf.DUMMYFUNCTION("GOOGLETRANSLATE(A4492, ""en"", ""fr"")"),"Halètement n ° 1")</f>
        <v>Halètement n ° 1</v>
      </c>
      <c r="C4492" s="1" t="s">
        <v>185</v>
      </c>
      <c r="BK4492" s="1" t="s">
        <v>59</v>
      </c>
      <c r="BL4492" s="1" t="s">
        <v>60</v>
      </c>
      <c r="GC4492" s="1" t="s">
        <v>181</v>
      </c>
      <c r="GD4492" s="1" t="s">
        <v>193</v>
      </c>
      <c r="GE4492" s="1" t="s">
        <v>190</v>
      </c>
    </row>
    <row r="4493" spans="1:187" ht="11.25" customHeight="1">
      <c r="A4493" s="1" t="s">
        <v>6360</v>
      </c>
      <c r="B4493" s="1" t="str">
        <f ca="1">IFERROR(__xludf.DUMMYFUNCTION("GOOGLETRANSLATE(A4493, ""en"", ""fr"")"),"Halètement n ° 2")</f>
        <v>Halètement n ° 2</v>
      </c>
      <c r="C4493" s="1" t="s">
        <v>185</v>
      </c>
      <c r="BU4493" s="1" t="s">
        <v>69</v>
      </c>
      <c r="DO4493" s="1" t="s">
        <v>115</v>
      </c>
      <c r="GD4493" s="1" t="s">
        <v>189</v>
      </c>
      <c r="GE4493" s="1" t="s">
        <v>190</v>
      </c>
    </row>
    <row r="4494" spans="1:187" ht="11.25" customHeight="1">
      <c r="A4494" s="1" t="s">
        <v>6361</v>
      </c>
      <c r="B4494" s="1" t="str">
        <f ca="1">IFERROR(__xludf.DUMMYFUNCTION("GOOGLETRANSLATE(A4494, ""en"", ""fr"")"),"GRILLE")</f>
        <v>GRILLE</v>
      </c>
      <c r="C4494" s="1" t="s">
        <v>185</v>
      </c>
      <c r="BC4494" s="1" t="s">
        <v>51</v>
      </c>
      <c r="BG4494" s="1" t="s">
        <v>55</v>
      </c>
      <c r="GD4494" s="1" t="s">
        <v>193</v>
      </c>
      <c r="GE4494" s="1" t="s">
        <v>190</v>
      </c>
    </row>
    <row r="4495" spans="1:187" ht="11.25" customHeight="1">
      <c r="A4495" s="1" t="s">
        <v>6362</v>
      </c>
      <c r="B4495" s="1" t="str">
        <f ca="1">IFERROR(__xludf.DUMMYFUNCTION("GOOGLETRANSLATE(A4495, ""en"", ""fr"")"),"Rassemblez # 1")</f>
        <v>Rassemblez # 1</v>
      </c>
      <c r="C4495" s="1" t="s">
        <v>185</v>
      </c>
      <c r="N4495" s="1" t="s">
        <v>10</v>
      </c>
      <c r="CD4495" s="1" t="s">
        <v>78</v>
      </c>
      <c r="DO4495" s="1" t="s">
        <v>115</v>
      </c>
      <c r="FN4495" s="1" t="s">
        <v>166</v>
      </c>
      <c r="GD4495" s="1" t="s">
        <v>400</v>
      </c>
      <c r="GE4495" s="1" t="s">
        <v>6363</v>
      </c>
    </row>
    <row r="4496" spans="1:187" ht="11.25" customHeight="1">
      <c r="A4496" s="1" t="s">
        <v>6364</v>
      </c>
      <c r="B4496" s="1" t="str">
        <f ca="1">IFERROR(__xludf.DUMMYFUNCTION("GOOGLETRANSLATE(A4496, ""en"", ""fr"")"),"Rassemblez # 2")</f>
        <v>Rassemblez # 2</v>
      </c>
      <c r="C4496" s="1" t="s">
        <v>185</v>
      </c>
      <c r="AK4496" s="1" t="s">
        <v>33</v>
      </c>
      <c r="AT4496" s="1" t="s">
        <v>42</v>
      </c>
      <c r="GD4496" s="1" t="s">
        <v>193</v>
      </c>
      <c r="GE4496" s="1" t="s">
        <v>6365</v>
      </c>
    </row>
    <row r="4497" spans="1:187" ht="11.25" customHeight="1">
      <c r="A4497" s="1" t="s">
        <v>6366</v>
      </c>
      <c r="B4497" s="1" t="str">
        <f ca="1">IFERROR(__xludf.DUMMYFUNCTION("GOOGLETRANSLATE(A4497, ""en"", ""fr"")"),"VOYANT")</f>
        <v>VOYANT</v>
      </c>
      <c r="C4497" s="1" t="s">
        <v>185</v>
      </c>
      <c r="E4497" s="1" t="s">
        <v>16613</v>
      </c>
      <c r="H4497" s="1" t="s">
        <v>4</v>
      </c>
      <c r="W4497" s="1" t="s">
        <v>19</v>
      </c>
      <c r="CR4497" s="1" t="s">
        <v>92</v>
      </c>
      <c r="GD4497" s="1" t="s">
        <v>202</v>
      </c>
      <c r="GE4497" s="1" t="s">
        <v>190</v>
      </c>
    </row>
    <row r="4498" spans="1:187" ht="11.25" customHeight="1">
      <c r="A4498" s="1" t="s">
        <v>6367</v>
      </c>
      <c r="B4498" s="1" t="str">
        <f ca="1">IFERROR(__xludf.DUMMYFUNCTION("GOOGLETRANSLATE(A4498, ""en"", ""fr"")"),"Jauge n ° 1")</f>
        <v>Jauge n ° 1</v>
      </c>
      <c r="C4498" s="1" t="s">
        <v>185</v>
      </c>
      <c r="BC4498" s="1" t="s">
        <v>51</v>
      </c>
      <c r="BD4498" s="1" t="s">
        <v>52</v>
      </c>
      <c r="FH4498" s="1" t="s">
        <v>160</v>
      </c>
      <c r="FI4498" s="1" t="s">
        <v>161</v>
      </c>
      <c r="GD4498" s="1" t="s">
        <v>193</v>
      </c>
      <c r="GE4498" s="1" t="s">
        <v>190</v>
      </c>
    </row>
    <row r="4499" spans="1:187" ht="11.25" customHeight="1">
      <c r="A4499" s="1" t="s">
        <v>6368</v>
      </c>
      <c r="B4499" s="1" t="str">
        <f ca="1">IFERROR(__xludf.DUMMYFUNCTION("GOOGLETRANSLATE(A4499, ""en"", ""fr"")"),"Gauge n ° 2")</f>
        <v>Gauge n ° 2</v>
      </c>
      <c r="C4499" s="1" t="s">
        <v>185</v>
      </c>
      <c r="N4499" s="1" t="s">
        <v>10</v>
      </c>
      <c r="CO4499" s="1" t="s">
        <v>89</v>
      </c>
      <c r="DN4499" s="1" t="s">
        <v>114</v>
      </c>
      <c r="FH4499" s="1" t="s">
        <v>160</v>
      </c>
      <c r="FI4499" s="1" t="s">
        <v>161</v>
      </c>
      <c r="GD4499" s="1" t="s">
        <v>189</v>
      </c>
      <c r="GE4499" s="1" t="s">
        <v>190</v>
      </c>
    </row>
    <row r="4500" spans="1:187" ht="11.25" customHeight="1">
      <c r="A4500" s="1" t="s">
        <v>6369</v>
      </c>
      <c r="B4500" s="1" t="str">
        <f ca="1">IFERROR(__xludf.DUMMYFUNCTION("GOOGLETRANSLATE(A4500, ""en"", ""fr"")"),"A donné le n ° 1")</f>
        <v>A donné le n ° 1</v>
      </c>
      <c r="C4500" s="1" t="s">
        <v>192</v>
      </c>
      <c r="GD4500" s="1" t="s">
        <v>1085</v>
      </c>
      <c r="GE4500" s="1" t="s">
        <v>190</v>
      </c>
    </row>
    <row r="4501" spans="1:187" ht="11.25" customHeight="1">
      <c r="A4501" s="1" t="s">
        <v>6370</v>
      </c>
      <c r="B4501" s="1" t="str">
        <f ca="1">IFERROR(__xludf.DUMMYFUNCTION("GOOGLETRANSLATE(A4501, ""en"", ""fr"")"),"Gay")</f>
        <v>Gay</v>
      </c>
      <c r="C4501" s="1" t="s">
        <v>185</v>
      </c>
      <c r="D4501" s="1" t="s">
        <v>16612</v>
      </c>
      <c r="F4501" s="1" t="s">
        <v>2</v>
      </c>
      <c r="P4501" s="1" t="s">
        <v>12</v>
      </c>
      <c r="T4501" s="1" t="s">
        <v>16</v>
      </c>
      <c r="CN4501" s="1" t="s">
        <v>88</v>
      </c>
      <c r="FA4501" s="1" t="s">
        <v>153</v>
      </c>
      <c r="FC4501" s="1" t="s">
        <v>155</v>
      </c>
      <c r="GD4501" s="1" t="s">
        <v>202</v>
      </c>
      <c r="GE4501" s="1" t="s">
        <v>190</v>
      </c>
    </row>
    <row r="4502" spans="1:187" ht="11.25" customHeight="1">
      <c r="A4502" s="1" t="s">
        <v>6371</v>
      </c>
      <c r="B4502" s="1" t="str">
        <f ca="1">IFERROR(__xludf.DUMMYFUNCTION("GOOGLETRANSLATE(A4502, ""en"", ""fr"")"),"Regard # 1")</f>
        <v>Regard # 1</v>
      </c>
      <c r="C4502" s="1" t="s">
        <v>185</v>
      </c>
      <c r="O4502" s="1" t="s">
        <v>11</v>
      </c>
      <c r="CK4502" s="1" t="s">
        <v>85</v>
      </c>
      <c r="GD4502" s="1" t="s">
        <v>193</v>
      </c>
      <c r="GE4502" s="1" t="s">
        <v>190</v>
      </c>
    </row>
    <row r="4503" spans="1:187" ht="11.25" customHeight="1">
      <c r="A4503" s="1" t="s">
        <v>6372</v>
      </c>
      <c r="B4503" s="1" t="str">
        <f ca="1">IFERROR(__xludf.DUMMYFUNCTION("GOOGLETRANSLATE(A4503, ""en"", ""fr"")"),"Regard # 2")</f>
        <v>Regard # 2</v>
      </c>
      <c r="C4503" s="1" t="s">
        <v>185</v>
      </c>
      <c r="O4503" s="1" t="s">
        <v>11</v>
      </c>
      <c r="CK4503" s="1" t="s">
        <v>85</v>
      </c>
      <c r="DN4503" s="1" t="s">
        <v>114</v>
      </c>
      <c r="GD4503" s="1" t="s">
        <v>189</v>
      </c>
      <c r="GE4503" s="1" t="s">
        <v>190</v>
      </c>
    </row>
    <row r="4504" spans="1:187" ht="11.25" customHeight="1">
      <c r="A4504" s="1" t="s">
        <v>6373</v>
      </c>
      <c r="B4504" s="1" t="str">
        <f ca="1">IFERROR(__xludf.DUMMYFUNCTION("GOOGLETRANSLATE(A4504, ""en"", ""fr"")"),"GAZETTE")</f>
        <v>GAZETTE</v>
      </c>
      <c r="C4504" s="1" t="s">
        <v>185</v>
      </c>
      <c r="BC4504" s="1" t="s">
        <v>51</v>
      </c>
      <c r="BH4504" s="1" t="s">
        <v>56</v>
      </c>
      <c r="BL4504" s="1" t="s">
        <v>60</v>
      </c>
      <c r="FH4504" s="1" t="s">
        <v>160</v>
      </c>
      <c r="FI4504" s="1" t="s">
        <v>161</v>
      </c>
      <c r="GD4504" s="1" t="s">
        <v>193</v>
      </c>
      <c r="GE4504" s="1" t="s">
        <v>190</v>
      </c>
    </row>
    <row r="4505" spans="1:187" ht="11.25" customHeight="1">
      <c r="A4505" s="1" t="s">
        <v>6374</v>
      </c>
      <c r="B4505" s="1" t="str">
        <f ca="1">IFERROR(__xludf.DUMMYFUNCTION("GOOGLETRANSLATE(A4505, ""en"", ""fr"")"),"ENGRENAGE")</f>
        <v>ENGRENAGE</v>
      </c>
      <c r="C4505" s="1" t="s">
        <v>185</v>
      </c>
      <c r="BC4505" s="1" t="s">
        <v>51</v>
      </c>
      <c r="BD4505" s="1" t="s">
        <v>52</v>
      </c>
      <c r="GD4505" s="1" t="s">
        <v>193</v>
      </c>
      <c r="GE4505" s="1" t="s">
        <v>190</v>
      </c>
    </row>
    <row r="4506" spans="1:187" ht="11.25" customHeight="1">
      <c r="A4506" s="1" t="s">
        <v>6375</v>
      </c>
      <c r="B4506" s="1" t="str">
        <f ca="1">IFERROR(__xludf.DUMMYFUNCTION("GOOGLETRANSLATE(A4506, ""en"", ""fr"")"),"Général n ° 1")</f>
        <v>Général n ° 1</v>
      </c>
      <c r="C4506" s="1" t="s">
        <v>185</v>
      </c>
      <c r="W4506" s="1" t="s">
        <v>19</v>
      </c>
      <c r="CH4506" s="1" t="s">
        <v>82</v>
      </c>
      <c r="FH4506" s="1" t="s">
        <v>160</v>
      </c>
      <c r="FI4506" s="1" t="s">
        <v>161</v>
      </c>
      <c r="GD4506" s="1" t="s">
        <v>202</v>
      </c>
      <c r="GE4506" s="1" t="s">
        <v>6376</v>
      </c>
    </row>
    <row r="4507" spans="1:187" ht="11.25" customHeight="1">
      <c r="A4507" s="1" t="s">
        <v>6377</v>
      </c>
      <c r="B4507" s="1" t="str">
        <f ca="1">IFERROR(__xludf.DUMMYFUNCTION("GOOGLETRANSLATE(A4507, ""en"", ""fr"")"),"Général n ° 2")</f>
        <v>Général n ° 2</v>
      </c>
      <c r="C4507" s="1" t="s">
        <v>185</v>
      </c>
      <c r="W4507" s="1" t="s">
        <v>19</v>
      </c>
      <c r="CW4507" s="1" t="s">
        <v>97</v>
      </c>
      <c r="GB4507" s="1" t="s">
        <v>180</v>
      </c>
      <c r="GD4507" s="1" t="s">
        <v>236</v>
      </c>
      <c r="GE4507" s="1" t="s">
        <v>6378</v>
      </c>
    </row>
    <row r="4508" spans="1:187" ht="11.25" customHeight="1">
      <c r="A4508" s="1" t="s">
        <v>6379</v>
      </c>
      <c r="B4508" s="1" t="str">
        <f ca="1">IFERROR(__xludf.DUMMYFUNCTION("GOOGLETRANSLATE(A4508, ""en"", ""fr"")"),"Général n ° 3")</f>
        <v>Général n ° 3</v>
      </c>
      <c r="C4508" s="1" t="s">
        <v>185</v>
      </c>
      <c r="J4508" s="1" t="s">
        <v>6</v>
      </c>
      <c r="K4508" s="1" t="s">
        <v>7</v>
      </c>
      <c r="AF4508" s="1" t="s">
        <v>28</v>
      </c>
      <c r="AH4508" s="1" t="s">
        <v>30</v>
      </c>
      <c r="AJ4508" s="1" t="s">
        <v>32</v>
      </c>
      <c r="AT4508" s="1" t="s">
        <v>42</v>
      </c>
      <c r="DY4508" s="1" t="s">
        <v>125</v>
      </c>
      <c r="ED4508" s="1" t="s">
        <v>130</v>
      </c>
      <c r="GD4508" s="1" t="s">
        <v>193</v>
      </c>
      <c r="GE4508" s="1" t="s">
        <v>6380</v>
      </c>
    </row>
    <row r="4509" spans="1:187" ht="11.25" customHeight="1">
      <c r="A4509" s="1" t="s">
        <v>6381</v>
      </c>
      <c r="B4509" s="1" t="str">
        <f ca="1">IFERROR(__xludf.DUMMYFUNCTION("GOOGLETRANSLATE(A4509, ""en"", ""fr"")"),"Généraliser # 1")</f>
        <v>Généraliser # 1</v>
      </c>
      <c r="C4509" s="1" t="s">
        <v>192</v>
      </c>
      <c r="GE4509" s="1" t="s">
        <v>190</v>
      </c>
    </row>
    <row r="4510" spans="1:187" ht="11.25" customHeight="1">
      <c r="A4510" s="1" t="s">
        <v>6382</v>
      </c>
      <c r="B4510" s="1" t="str">
        <f ca="1">IFERROR(__xludf.DUMMYFUNCTION("GOOGLETRANSLATE(A4510, ""en"", ""fr"")"),"GÉNÉRALITÉ")</f>
        <v>GÉNÉRALITÉ</v>
      </c>
      <c r="C4510" s="1" t="s">
        <v>185</v>
      </c>
      <c r="CH4510" s="1" t="s">
        <v>82</v>
      </c>
      <c r="FH4510" s="1" t="s">
        <v>160</v>
      </c>
      <c r="FI4510" s="1" t="s">
        <v>161</v>
      </c>
      <c r="GD4510" s="1" t="s">
        <v>202</v>
      </c>
      <c r="GE4510" s="1" t="s">
        <v>190</v>
      </c>
    </row>
    <row r="4511" spans="1:187" ht="11.25" customHeight="1">
      <c r="A4511" s="1" t="s">
        <v>6383</v>
      </c>
      <c r="B4511" s="1" t="str">
        <f ca="1">IFERROR(__xludf.DUMMYFUNCTION("GOOGLETRANSLATE(A4511, ""en"", ""fr"")"),"GÉNÉRALISATION")</f>
        <v>GÉNÉRALISATION</v>
      </c>
      <c r="C4511" s="1" t="s">
        <v>185</v>
      </c>
      <c r="CH4511" s="1" t="s">
        <v>82</v>
      </c>
      <c r="CP4511" s="1" t="s">
        <v>90</v>
      </c>
      <c r="CQ4511" s="1" t="s">
        <v>91</v>
      </c>
      <c r="FH4511" s="1" t="s">
        <v>160</v>
      </c>
      <c r="FI4511" s="1" t="s">
        <v>161</v>
      </c>
      <c r="GD4511" s="1" t="s">
        <v>193</v>
      </c>
      <c r="GE4511" s="1" t="s">
        <v>190</v>
      </c>
    </row>
    <row r="4512" spans="1:187" ht="11.25" customHeight="1">
      <c r="A4512" s="1" t="s">
        <v>6384</v>
      </c>
      <c r="B4512" s="1" t="str">
        <f ca="1">IFERROR(__xludf.DUMMYFUNCTION("GOOGLETRANSLATE(A4512, ""en"", ""fr"")"),"GÉNÉRALISER")</f>
        <v>GÉNÉRALISER</v>
      </c>
      <c r="C4512" s="1" t="s">
        <v>185</v>
      </c>
      <c r="N4512" s="1" t="s">
        <v>10</v>
      </c>
      <c r="CO4512" s="1" t="s">
        <v>89</v>
      </c>
      <c r="DN4512" s="1" t="s">
        <v>114</v>
      </c>
      <c r="FF4512" s="1" t="s">
        <v>158</v>
      </c>
      <c r="FI4512" s="1" t="s">
        <v>161</v>
      </c>
      <c r="GD4512" s="1" t="s">
        <v>189</v>
      </c>
      <c r="GE4512" s="1" t="s">
        <v>190</v>
      </c>
    </row>
    <row r="4513" spans="1:187" ht="11.25" customHeight="1">
      <c r="A4513" s="1" t="s">
        <v>6385</v>
      </c>
      <c r="B4513" s="1" t="str">
        <f ca="1">IFERROR(__xludf.DUMMYFUNCTION("GOOGLETRANSLATE(A4513, ""en"", ""fr"")"),"GÉNÉRER")</f>
        <v>GÉNÉRER</v>
      </c>
      <c r="C4513" s="1" t="s">
        <v>192</v>
      </c>
      <c r="D4513" s="1" t="s">
        <v>16612</v>
      </c>
      <c r="G4513" s="1" t="s">
        <v>3</v>
      </c>
      <c r="N4513" s="1" t="s">
        <v>10</v>
      </c>
      <c r="AL4513" s="1" t="s">
        <v>34</v>
      </c>
      <c r="BV4513" s="1" t="s">
        <v>70</v>
      </c>
      <c r="BX4513" s="1" t="s">
        <v>72</v>
      </c>
      <c r="DO4513" s="1" t="s">
        <v>115</v>
      </c>
      <c r="GD4513" s="1" t="s">
        <v>189</v>
      </c>
      <c r="GE4513" s="1" t="s">
        <v>190</v>
      </c>
    </row>
    <row r="4514" spans="1:187" ht="11.25" customHeight="1">
      <c r="A4514" s="1" t="s">
        <v>6386</v>
      </c>
      <c r="B4514" s="1" t="str">
        <f ca="1">IFERROR(__xludf.DUMMYFUNCTION("GOOGLETRANSLATE(A4514, ""en"", ""fr"")"),"GÉNÉRATION")</f>
        <v>GÉNÉRATION</v>
      </c>
      <c r="C4514" s="1" t="s">
        <v>185</v>
      </c>
      <c r="AK4514" s="1" t="s">
        <v>33</v>
      </c>
      <c r="AT4514" s="1" t="s">
        <v>42</v>
      </c>
      <c r="CZ4514" s="1" t="s">
        <v>100</v>
      </c>
      <c r="DZ4514" s="1" t="s">
        <v>126</v>
      </c>
      <c r="ED4514" s="1" t="s">
        <v>130</v>
      </c>
      <c r="GD4514" s="1" t="s">
        <v>193</v>
      </c>
      <c r="GE4514" s="1" t="s">
        <v>6387</v>
      </c>
    </row>
    <row r="4515" spans="1:187" ht="11.25" customHeight="1">
      <c r="A4515" s="1" t="s">
        <v>6388</v>
      </c>
      <c r="B4515" s="1" t="str">
        <f ca="1">IFERROR(__xludf.DUMMYFUNCTION("GOOGLETRANSLATE(A4515, ""en"", ""fr"")"),"GÉNÉROSITÉ")</f>
        <v>GÉNÉROSITÉ</v>
      </c>
      <c r="C4515" s="1" t="s">
        <v>192</v>
      </c>
      <c r="D4515" s="1" t="s">
        <v>16612</v>
      </c>
      <c r="U4515" s="1" t="s">
        <v>17</v>
      </c>
      <c r="AA4515" s="1" t="s">
        <v>23</v>
      </c>
      <c r="GD4515" s="1" t="s">
        <v>1177</v>
      </c>
      <c r="GE4515" s="1" t="s">
        <v>190</v>
      </c>
    </row>
    <row r="4516" spans="1:187" ht="11.25" customHeight="1">
      <c r="A4516" s="1" t="s">
        <v>6389</v>
      </c>
      <c r="B4516" s="1" t="str">
        <f ca="1">IFERROR(__xludf.DUMMYFUNCTION("GOOGLETRANSLATE(A4516, ""en"", ""fr"")"),"GÉNÉREUX")</f>
        <v>GÉNÉREUX</v>
      </c>
      <c r="C4516" s="1" t="s">
        <v>185</v>
      </c>
      <c r="D4516" s="1" t="s">
        <v>16612</v>
      </c>
      <c r="F4516" s="1" t="s">
        <v>2</v>
      </c>
      <c r="U4516" s="1" t="s">
        <v>17</v>
      </c>
      <c r="CN4516" s="1" t="s">
        <v>88</v>
      </c>
      <c r="EV4516" s="1" t="s">
        <v>148</v>
      </c>
      <c r="EW4516" s="1" t="s">
        <v>149</v>
      </c>
      <c r="GD4516" s="1" t="s">
        <v>202</v>
      </c>
      <c r="GE4516" s="1" t="s">
        <v>190</v>
      </c>
    </row>
    <row r="4517" spans="1:187" ht="11.25" customHeight="1">
      <c r="A4517" s="1" t="s">
        <v>6390</v>
      </c>
      <c r="B4517" s="1" t="str">
        <f ca="1">IFERROR(__xludf.DUMMYFUNCTION("GOOGLETRANSLATE(A4517, ""en"", ""fr"")"),"GÉNÉTIQUE")</f>
        <v>GÉNÉTIQUE</v>
      </c>
      <c r="C4517" s="1" t="s">
        <v>185</v>
      </c>
      <c r="AP4517" s="1" t="s">
        <v>38</v>
      </c>
      <c r="BU4517" s="1" t="s">
        <v>69</v>
      </c>
      <c r="GD4517" s="1" t="s">
        <v>202</v>
      </c>
      <c r="GE4517" s="1" t="s">
        <v>190</v>
      </c>
    </row>
    <row r="4518" spans="1:187" ht="11.25" customHeight="1">
      <c r="A4518" s="1" t="s">
        <v>6391</v>
      </c>
      <c r="B4518" s="1" t="str">
        <f ca="1">IFERROR(__xludf.DUMMYFUNCTION("GOOGLETRANSLATE(A4518, ""en"", ""fr"")"),"GENÈVE")</f>
        <v>GENÈVE</v>
      </c>
      <c r="C4518" s="1" t="s">
        <v>196</v>
      </c>
      <c r="DV4518" s="1" t="s">
        <v>122</v>
      </c>
      <c r="ED4518" s="1" t="s">
        <v>130</v>
      </c>
      <c r="GD4518" s="1" t="s">
        <v>6392</v>
      </c>
    </row>
    <row r="4519" spans="1:187" ht="11.25" customHeight="1">
      <c r="A4519" s="1" t="s">
        <v>6393</v>
      </c>
      <c r="B4519" s="1" t="str">
        <f ca="1">IFERROR(__xludf.DUMMYFUNCTION("GOOGLETRANSLATE(A4519, ""en"", ""fr"")"),"Génial")</f>
        <v>Génial</v>
      </c>
      <c r="C4519" s="1" t="s">
        <v>185</v>
      </c>
      <c r="D4519" s="1" t="s">
        <v>16612</v>
      </c>
      <c r="F4519" s="1" t="s">
        <v>2</v>
      </c>
      <c r="G4519" s="1" t="s">
        <v>3</v>
      </c>
      <c r="S4519" s="1" t="s">
        <v>15</v>
      </c>
      <c r="CN4519" s="1" t="s">
        <v>88</v>
      </c>
      <c r="FX4519" s="1" t="s">
        <v>176</v>
      </c>
      <c r="GD4519" s="1" t="s">
        <v>202</v>
      </c>
      <c r="GE4519" s="1" t="s">
        <v>190</v>
      </c>
    </row>
    <row r="4520" spans="1:187" ht="11.25" customHeight="1">
      <c r="A4520" s="1" t="s">
        <v>6394</v>
      </c>
      <c r="B4520" s="1" t="str">
        <f ca="1">IFERROR(__xludf.DUMMYFUNCTION("GOOGLETRANSLATE(A4520, ""en"", ""fr"")"),"GÉNIE")</f>
        <v>GÉNIE</v>
      </c>
      <c r="C4520" s="1" t="s">
        <v>185</v>
      </c>
      <c r="D4520" s="1" t="s">
        <v>16612</v>
      </c>
      <c r="F4520" s="1" t="s">
        <v>2</v>
      </c>
      <c r="J4520" s="1" t="s">
        <v>6</v>
      </c>
      <c r="AJ4520" s="1" t="s">
        <v>32</v>
      </c>
      <c r="AT4520" s="1" t="s">
        <v>42</v>
      </c>
      <c r="FL4520" s="1" t="s">
        <v>164</v>
      </c>
      <c r="FM4520" s="1" t="s">
        <v>418</v>
      </c>
      <c r="GD4520" s="1" t="s">
        <v>193</v>
      </c>
      <c r="GE4520" s="1" t="s">
        <v>190</v>
      </c>
    </row>
    <row r="4521" spans="1:187" ht="11.25" customHeight="1">
      <c r="A4521" s="1" t="s">
        <v>6395</v>
      </c>
      <c r="B4521" s="1" t="str">
        <f ca="1">IFERROR(__xludf.DUMMYFUNCTION("GOOGLETRANSLATE(A4521, ""en"", ""fr"")"),"DOUX")</f>
        <v>DOUX</v>
      </c>
      <c r="C4521" s="1" t="s">
        <v>185</v>
      </c>
      <c r="D4521" s="1" t="s">
        <v>16612</v>
      </c>
      <c r="F4521" s="1" t="s">
        <v>2</v>
      </c>
      <c r="G4521" s="1" t="s">
        <v>3</v>
      </c>
      <c r="L4521" s="1" t="s">
        <v>8</v>
      </c>
      <c r="O4521" s="1" t="s">
        <v>11</v>
      </c>
      <c r="U4521" s="1" t="s">
        <v>17</v>
      </c>
      <c r="CN4521" s="1" t="s">
        <v>88</v>
      </c>
      <c r="FX4521" s="1" t="s">
        <v>176</v>
      </c>
      <c r="GD4521" s="1" t="s">
        <v>202</v>
      </c>
      <c r="GE4521" s="1" t="s">
        <v>190</v>
      </c>
    </row>
    <row r="4522" spans="1:187" ht="11.25" customHeight="1">
      <c r="A4522" s="1" t="s">
        <v>6396</v>
      </c>
      <c r="B4522" s="1" t="str">
        <f ca="1">IFERROR(__xludf.DUMMYFUNCTION("GOOGLETRANSLATE(A4522, ""en"", ""fr"")"),"GENTILHOMME")</f>
        <v>GENTILHOMME</v>
      </c>
      <c r="C4522" s="1" t="s">
        <v>185</v>
      </c>
      <c r="AJ4522" s="1" t="s">
        <v>32</v>
      </c>
      <c r="AQ4522" s="1" t="s">
        <v>39</v>
      </c>
      <c r="AT4522" s="1" t="s">
        <v>42</v>
      </c>
      <c r="EM4522" s="1" t="s">
        <v>139</v>
      </c>
      <c r="EN4522" s="1" t="s">
        <v>140</v>
      </c>
      <c r="GD4522" s="1" t="s">
        <v>193</v>
      </c>
      <c r="GE4522" s="1" t="s">
        <v>6397</v>
      </c>
    </row>
    <row r="4523" spans="1:187" ht="11.25" customHeight="1">
      <c r="A4523" s="1" t="s">
        <v>6398</v>
      </c>
      <c r="B4523" s="1" t="str">
        <f ca="1">IFERROR(__xludf.DUMMYFUNCTION("GOOGLETRANSLATE(A4523, ""en"", ""fr"")"),"MESSIEURS")</f>
        <v>MESSIEURS</v>
      </c>
      <c r="C4523" s="1" t="s">
        <v>185</v>
      </c>
      <c r="AJ4523" s="1" t="s">
        <v>32</v>
      </c>
      <c r="AQ4523" s="1" t="s">
        <v>39</v>
      </c>
      <c r="AT4523" s="1" t="s">
        <v>42</v>
      </c>
      <c r="EM4523" s="1" t="s">
        <v>139</v>
      </c>
      <c r="EN4523" s="1" t="s">
        <v>140</v>
      </c>
      <c r="GD4523" s="1" t="s">
        <v>576</v>
      </c>
      <c r="GE4523" s="1" t="s">
        <v>190</v>
      </c>
    </row>
    <row r="4524" spans="1:187" ht="11.25" customHeight="1">
      <c r="A4524" s="1" t="s">
        <v>6399</v>
      </c>
      <c r="B4524" s="1" t="str">
        <f ca="1">IFERROR(__xludf.DUMMYFUNCTION("GOOGLETRANSLATE(A4524, ""en"", ""fr"")"),"AUTHENTIQUE")</f>
        <v>AUTHENTIQUE</v>
      </c>
      <c r="C4524" s="1" t="s">
        <v>185</v>
      </c>
      <c r="D4524" s="1" t="s">
        <v>16612</v>
      </c>
      <c r="F4524" s="1" t="s">
        <v>2</v>
      </c>
      <c r="U4524" s="1" t="s">
        <v>17</v>
      </c>
      <c r="W4524" s="1" t="s">
        <v>19</v>
      </c>
      <c r="CN4524" s="1" t="s">
        <v>88</v>
      </c>
      <c r="FH4524" s="1" t="s">
        <v>160</v>
      </c>
      <c r="FI4524" s="1" t="s">
        <v>161</v>
      </c>
      <c r="GD4524" s="1" t="s">
        <v>202</v>
      </c>
      <c r="GE4524" s="1" t="s">
        <v>190</v>
      </c>
    </row>
    <row r="4525" spans="1:187" ht="11.25" customHeight="1">
      <c r="A4525" s="1" t="s">
        <v>6400</v>
      </c>
      <c r="B4525" s="1" t="str">
        <f ca="1">IFERROR(__xludf.DUMMYFUNCTION("GOOGLETRANSLATE(A4525, ""en"", ""fr"")"),"Géograpghy")</f>
        <v>Géograpghy</v>
      </c>
      <c r="C4525" s="1" t="s">
        <v>196</v>
      </c>
      <c r="EC4525" s="1" t="s">
        <v>129</v>
      </c>
      <c r="ED4525" s="1" t="s">
        <v>130</v>
      </c>
      <c r="GD4525" s="1" t="s">
        <v>193</v>
      </c>
    </row>
    <row r="4526" spans="1:187" ht="11.25" customHeight="1">
      <c r="A4526" s="1" t="s">
        <v>6401</v>
      </c>
      <c r="B4526" s="1" t="str">
        <f ca="1">IFERROR(__xludf.DUMMYFUNCTION("GOOGLETRANSLATE(A4526, ""en"", ""fr"")"),"GÉOGRAPHIQUE")</f>
        <v>GÉOGRAPHIQUE</v>
      </c>
      <c r="C4526" s="1" t="s">
        <v>185</v>
      </c>
      <c r="DA4526" s="1" t="s">
        <v>101</v>
      </c>
      <c r="EC4526" s="1" t="s">
        <v>129</v>
      </c>
      <c r="ED4526" s="1" t="s">
        <v>130</v>
      </c>
      <c r="GD4526" s="1" t="s">
        <v>202</v>
      </c>
      <c r="GE4526" s="1" t="s">
        <v>190</v>
      </c>
    </row>
    <row r="4527" spans="1:187" ht="11.25" customHeight="1">
      <c r="A4527" s="1" t="s">
        <v>6402</v>
      </c>
      <c r="B4527" s="1" t="str">
        <f ca="1">IFERROR(__xludf.DUMMYFUNCTION("GOOGLETRANSLATE(A4527, ""en"", ""fr"")"),"GÉOGRAPHIQUE")</f>
        <v>GÉOGRAPHIQUE</v>
      </c>
      <c r="C4527" s="1" t="s">
        <v>185</v>
      </c>
      <c r="DA4527" s="1" t="s">
        <v>101</v>
      </c>
      <c r="GD4527" s="1" t="s">
        <v>202</v>
      </c>
      <c r="GE4527" s="1" t="s">
        <v>190</v>
      </c>
    </row>
    <row r="4528" spans="1:187" ht="11.25" customHeight="1">
      <c r="A4528" s="1" t="s">
        <v>6403</v>
      </c>
      <c r="B4528" s="1" t="str">
        <f ca="1">IFERROR(__xludf.DUMMYFUNCTION("GOOGLETRANSLATE(A4528, ""en"", ""fr"")"),"GÉOMÉTRIE")</f>
        <v>GÉOMÉTRIE</v>
      </c>
      <c r="C4528" s="1" t="s">
        <v>185</v>
      </c>
      <c r="Y4528" s="1" t="s">
        <v>21</v>
      </c>
      <c r="Z4528" s="1" t="s">
        <v>22</v>
      </c>
      <c r="CP4528" s="1" t="s">
        <v>90</v>
      </c>
      <c r="CQ4528" s="1" t="s">
        <v>91</v>
      </c>
      <c r="GD4528" s="1" t="s">
        <v>193</v>
      </c>
      <c r="GE4528" s="1" t="s">
        <v>190</v>
      </c>
    </row>
    <row r="4529" spans="1:187" ht="11.25" customHeight="1">
      <c r="A4529" s="1" t="s">
        <v>6404</v>
      </c>
      <c r="B4529" s="1" t="str">
        <f ca="1">IFERROR(__xludf.DUMMYFUNCTION("GOOGLETRANSLATE(A4529, ""en"", ""fr"")"),"GÉORGIE")</f>
        <v>GÉORGIE</v>
      </c>
      <c r="C4529" s="1" t="s">
        <v>185</v>
      </c>
      <c r="AC4529" s="1" t="s">
        <v>25</v>
      </c>
      <c r="AH4529" s="1" t="s">
        <v>30</v>
      </c>
      <c r="DI4529" s="1" t="s">
        <v>109</v>
      </c>
      <c r="GD4529" s="1" t="s">
        <v>193</v>
      </c>
      <c r="GE4529" s="1" t="s">
        <v>190</v>
      </c>
    </row>
    <row r="4530" spans="1:187" ht="11.25" customHeight="1">
      <c r="A4530" s="1" t="s">
        <v>6405</v>
      </c>
      <c r="B4530" s="1" t="str">
        <f ca="1">IFERROR(__xludf.DUMMYFUNCTION("GOOGLETRANSLATE(A4530, ""en"", ""fr"")"),"GERME")</f>
        <v>GERME</v>
      </c>
      <c r="C4530" s="1" t="s">
        <v>185</v>
      </c>
      <c r="E4530" s="1" t="s">
        <v>16613</v>
      </c>
      <c r="I4530" s="1" t="s">
        <v>5</v>
      </c>
      <c r="BC4530" s="1" t="s">
        <v>51</v>
      </c>
      <c r="EZ4530" s="1" t="s">
        <v>152</v>
      </c>
      <c r="FC4530" s="1" t="s">
        <v>155</v>
      </c>
      <c r="GD4530" s="1" t="s">
        <v>193</v>
      </c>
      <c r="GE4530" s="1" t="s">
        <v>190</v>
      </c>
    </row>
    <row r="4531" spans="1:187" ht="11.25" customHeight="1">
      <c r="A4531" s="1" t="s">
        <v>6406</v>
      </c>
      <c r="B4531" s="1" t="str">
        <f ca="1">IFERROR(__xludf.DUMMYFUNCTION("GOOGLETRANSLATE(A4531, ""en"", ""fr"")"),"ALLEMAND")</f>
        <v>ALLEMAND</v>
      </c>
      <c r="C4531" s="1" t="s">
        <v>185</v>
      </c>
      <c r="AC4531" s="1" t="s">
        <v>25</v>
      </c>
      <c r="AH4531" s="1" t="s">
        <v>30</v>
      </c>
      <c r="DI4531" s="1" t="s">
        <v>109</v>
      </c>
      <c r="FU4531" s="1" t="s">
        <v>173</v>
      </c>
      <c r="GD4531" s="1" t="s">
        <v>193</v>
      </c>
      <c r="GE4531" s="1" t="s">
        <v>190</v>
      </c>
    </row>
    <row r="4532" spans="1:187" ht="11.25" customHeight="1">
      <c r="A4532" s="1" t="s">
        <v>6407</v>
      </c>
      <c r="B4532" s="1" t="str">
        <f ca="1">IFERROR(__xludf.DUMMYFUNCTION("GOOGLETRANSLATE(A4532, ""en"", ""fr"")"),"ALLEMAGNE")</f>
        <v>ALLEMAGNE</v>
      </c>
      <c r="C4532" s="1" t="s">
        <v>185</v>
      </c>
      <c r="AC4532" s="1" t="s">
        <v>25</v>
      </c>
      <c r="AH4532" s="1" t="s">
        <v>30</v>
      </c>
      <c r="DI4532" s="1" t="s">
        <v>109</v>
      </c>
      <c r="FU4532" s="1" t="s">
        <v>173</v>
      </c>
      <c r="GD4532" s="1" t="s">
        <v>193</v>
      </c>
      <c r="GE4532" s="1" t="s">
        <v>190</v>
      </c>
    </row>
    <row r="4533" spans="1:187" ht="11.25" customHeight="1">
      <c r="A4533" s="1" t="s">
        <v>6408</v>
      </c>
      <c r="B4533" s="1" t="str">
        <f ca="1">IFERROR(__xludf.DUMMYFUNCTION("GOOGLETRANSLATE(A4533, ""en"", ""fr"")"),"Geste n ° 1")</f>
        <v>Geste n ° 1</v>
      </c>
      <c r="C4533" s="1" t="s">
        <v>185</v>
      </c>
      <c r="N4533" s="1" t="s">
        <v>10</v>
      </c>
      <c r="BK4533" s="1" t="s">
        <v>59</v>
      </c>
      <c r="BL4533" s="1" t="s">
        <v>60</v>
      </c>
      <c r="GC4533" s="1" t="s">
        <v>181</v>
      </c>
      <c r="GD4533" s="1" t="s">
        <v>193</v>
      </c>
      <c r="GE4533" s="1" t="s">
        <v>190</v>
      </c>
    </row>
    <row r="4534" spans="1:187" ht="11.25" customHeight="1">
      <c r="A4534" s="1" t="s">
        <v>6409</v>
      </c>
      <c r="B4534" s="1" t="str">
        <f ca="1">IFERROR(__xludf.DUMMYFUNCTION("GOOGLETRANSLATE(A4534, ""en"", ""fr"")"),"Geste # 2")</f>
        <v>Geste # 2</v>
      </c>
      <c r="C4534" s="1" t="s">
        <v>185</v>
      </c>
      <c r="N4534" s="1" t="s">
        <v>10</v>
      </c>
      <c r="BK4534" s="1" t="s">
        <v>59</v>
      </c>
      <c r="DN4534" s="1" t="s">
        <v>114</v>
      </c>
      <c r="GD4534" s="1" t="s">
        <v>189</v>
      </c>
      <c r="GE4534" s="1" t="s">
        <v>190</v>
      </c>
    </row>
    <row r="4535" spans="1:187" ht="11.25" customHeight="1">
      <c r="A4535" s="1" t="s">
        <v>6410</v>
      </c>
      <c r="B4535" s="1" t="str">
        <f ca="1">IFERROR(__xludf.DUMMYFUNCTION("GOOGLETRANSLATE(A4535, ""en"", ""fr"")"),"Obtenez # 1")</f>
        <v>Obtenez # 1</v>
      </c>
      <c r="C4535" s="1" t="s">
        <v>192</v>
      </c>
      <c r="N4535" s="1" t="s">
        <v>10</v>
      </c>
      <c r="CD4535" s="1" t="s">
        <v>78</v>
      </c>
      <c r="DO4535" s="1" t="s">
        <v>115</v>
      </c>
      <c r="GD4535" s="1" t="s">
        <v>189</v>
      </c>
      <c r="GE4535" s="1" t="s">
        <v>6411</v>
      </c>
    </row>
    <row r="4536" spans="1:187" ht="11.25" customHeight="1">
      <c r="A4536" s="1" t="s">
        <v>6412</v>
      </c>
      <c r="B4536" s="1" t="str">
        <f ca="1">IFERROR(__xludf.DUMMYFUNCTION("GOOGLETRANSLATE(A4536, ""en"", ""fr"")"),"Obtenez # 2")</f>
        <v>Obtenez # 2</v>
      </c>
      <c r="C4536" s="1" t="s">
        <v>192</v>
      </c>
      <c r="DN4536" s="1" t="s">
        <v>114</v>
      </c>
      <c r="GD4536" s="1" t="s">
        <v>1601</v>
      </c>
      <c r="GE4536" s="1" t="s">
        <v>6413</v>
      </c>
    </row>
    <row r="4537" spans="1:187" ht="11.25" customHeight="1">
      <c r="A4537" s="1" t="s">
        <v>6414</v>
      </c>
      <c r="B4537" s="1" t="str">
        <f ca="1">IFERROR(__xludf.DUMMYFUNCTION("GOOGLETRANSLATE(A4537, ""en"", ""fr"")"),"Obtenez # 3")</f>
        <v>Obtenez # 3</v>
      </c>
      <c r="C4537" s="1" t="s">
        <v>192</v>
      </c>
      <c r="CJ4537" s="1" t="s">
        <v>84</v>
      </c>
      <c r="DN4537" s="1" t="s">
        <v>114</v>
      </c>
      <c r="GD4537" s="1" t="s">
        <v>4701</v>
      </c>
      <c r="GE4537" s="1" t="s">
        <v>6415</v>
      </c>
    </row>
    <row r="4538" spans="1:187" ht="11.25" customHeight="1">
      <c r="A4538" s="1" t="s">
        <v>6416</v>
      </c>
      <c r="B4538" s="1" t="str">
        <f ca="1">IFERROR(__xludf.DUMMYFUNCTION("GOOGLETRANSLATE(A4538, ""en"", ""fr"")"),"Obtenez # 4")</f>
        <v>Obtenez # 4</v>
      </c>
      <c r="C4538" s="1" t="s">
        <v>192</v>
      </c>
      <c r="BS4538" s="1" t="s">
        <v>67</v>
      </c>
      <c r="DN4538" s="1" t="s">
        <v>114</v>
      </c>
      <c r="GD4538" s="1" t="s">
        <v>189</v>
      </c>
      <c r="GE4538" s="1" t="s">
        <v>6417</v>
      </c>
    </row>
    <row r="4539" spans="1:187" ht="11.25" customHeight="1">
      <c r="A4539" s="1" t="s">
        <v>6418</v>
      </c>
      <c r="B4539" s="1" t="str">
        <f ca="1">IFERROR(__xludf.DUMMYFUNCTION("GOOGLETRANSLATE(A4539, ""en"", ""fr"")"),"Obtenez # 5")</f>
        <v>Obtenez # 5</v>
      </c>
      <c r="C4539" s="1" t="s">
        <v>192</v>
      </c>
      <c r="E4539" s="1" t="s">
        <v>16613</v>
      </c>
      <c r="H4539" s="1" t="s">
        <v>4</v>
      </c>
      <c r="I4539" s="1" t="s">
        <v>5</v>
      </c>
      <c r="J4539" s="1" t="s">
        <v>6</v>
      </c>
      <c r="N4539" s="1" t="s">
        <v>10</v>
      </c>
      <c r="AN4539" s="1" t="s">
        <v>36</v>
      </c>
      <c r="DN4539" s="1" t="s">
        <v>114</v>
      </c>
      <c r="GD4539" s="1" t="s">
        <v>189</v>
      </c>
      <c r="GE4539" s="1" t="s">
        <v>6419</v>
      </c>
    </row>
    <row r="4540" spans="1:187" ht="11.25" customHeight="1">
      <c r="A4540" s="1" t="s">
        <v>6420</v>
      </c>
      <c r="B4540" s="1" t="str">
        <f ca="1">IFERROR(__xludf.DUMMYFUNCTION("GOOGLETRANSLATE(A4540, ""en"", ""fr"")"),"Obtenez # 6")</f>
        <v>Obtenez # 6</v>
      </c>
      <c r="C4540" s="1" t="s">
        <v>192</v>
      </c>
      <c r="N4540" s="1" t="s">
        <v>10</v>
      </c>
      <c r="BP4540" s="1" t="s">
        <v>64</v>
      </c>
      <c r="DN4540" s="1" t="s">
        <v>114</v>
      </c>
      <c r="GD4540" s="1" t="s">
        <v>189</v>
      </c>
      <c r="GE4540" s="1" t="s">
        <v>6421</v>
      </c>
    </row>
    <row r="4541" spans="1:187" ht="11.25" customHeight="1">
      <c r="A4541" s="1" t="s">
        <v>6422</v>
      </c>
      <c r="B4541" s="1" t="str">
        <f ca="1">IFERROR(__xludf.DUMMYFUNCTION("GOOGLETRANSLATE(A4541, ""en"", ""fr"")"),"Obtenez # 7")</f>
        <v>Obtenez # 7</v>
      </c>
      <c r="C4541" s="1" t="s">
        <v>192</v>
      </c>
      <c r="CE4541" s="1" t="s">
        <v>79</v>
      </c>
      <c r="GD4541" s="1" t="s">
        <v>225</v>
      </c>
      <c r="GE4541" s="1" t="s">
        <v>6423</v>
      </c>
    </row>
    <row r="4542" spans="1:187" ht="11.25" customHeight="1">
      <c r="A4542" s="1" t="s">
        <v>6424</v>
      </c>
      <c r="B4542" s="1" t="str">
        <f ca="1">IFERROR(__xludf.DUMMYFUNCTION("GOOGLETRANSLATE(A4542, ""en"", ""fr"")"),"Obtenez # 8")</f>
        <v>Obtenez # 8</v>
      </c>
      <c r="C4542" s="1" t="s">
        <v>192</v>
      </c>
      <c r="I4542" s="1" t="s">
        <v>5</v>
      </c>
      <c r="AN4542" s="1" t="s">
        <v>36</v>
      </c>
      <c r="GD4542" s="1" t="s">
        <v>225</v>
      </c>
      <c r="GE4542" s="1" t="s">
        <v>6425</v>
      </c>
    </row>
    <row r="4543" spans="1:187" ht="11.25" customHeight="1">
      <c r="A4543" s="1" t="s">
        <v>6426</v>
      </c>
      <c r="B4543" s="1" t="str">
        <f ca="1">IFERROR(__xludf.DUMMYFUNCTION("GOOGLETRANSLATE(A4543, ""en"", ""fr"")"),"Obtenez # 9")</f>
        <v>Obtenez # 9</v>
      </c>
      <c r="C4543" s="1" t="s">
        <v>192</v>
      </c>
      <c r="G4543" s="1" t="s">
        <v>3</v>
      </c>
      <c r="AN4543" s="1" t="s">
        <v>36</v>
      </c>
      <c r="GD4543" s="1" t="s">
        <v>225</v>
      </c>
      <c r="GE4543" s="1" t="s">
        <v>6427</v>
      </c>
    </row>
    <row r="4544" spans="1:187" ht="11.25" customHeight="1">
      <c r="A4544" s="1" t="s">
        <v>6428</v>
      </c>
      <c r="B4544" s="1" t="str">
        <f ca="1">IFERROR(__xludf.DUMMYFUNCTION("GOOGLETRANSLATE(A4544, ""en"", ""fr"")"),"Obtenez # _10")</f>
        <v>Obtenez # _10</v>
      </c>
      <c r="C4544" s="1" t="s">
        <v>192</v>
      </c>
      <c r="GD4544" s="1" t="s">
        <v>225</v>
      </c>
      <c r="GE4544" s="1" t="s">
        <v>6429</v>
      </c>
    </row>
    <row r="4545" spans="1:187" ht="11.25" customHeight="1">
      <c r="A4545" s="1" t="s">
        <v>6430</v>
      </c>
      <c r="B4545" s="1" t="str">
        <f ca="1">IFERROR(__xludf.DUMMYFUNCTION("GOOGLETRANSLATE(A4545, ""en"", ""fr"")"),"GHANA")</f>
        <v>GHANA</v>
      </c>
      <c r="C4545" s="1" t="s">
        <v>196</v>
      </c>
      <c r="FU4545" s="1" t="s">
        <v>173</v>
      </c>
      <c r="GD4545" s="1" t="s">
        <v>416</v>
      </c>
    </row>
    <row r="4546" spans="1:187" ht="11.25" customHeight="1">
      <c r="A4546" s="1" t="s">
        <v>6431</v>
      </c>
      <c r="B4546" s="1" t="str">
        <f ca="1">IFERROR(__xludf.DUMMYFUNCTION("GOOGLETRANSLATE(A4546, ""en"", ""fr"")"),"HORRIBLE")</f>
        <v>HORRIBLE</v>
      </c>
      <c r="C4546" s="1" t="s">
        <v>185</v>
      </c>
      <c r="E4546" s="1" t="s">
        <v>16613</v>
      </c>
      <c r="H4546" s="1" t="s">
        <v>4</v>
      </c>
      <c r="V4546" s="1" t="s">
        <v>18</v>
      </c>
      <c r="W4546" s="1" t="s">
        <v>19</v>
      </c>
      <c r="CN4546" s="1" t="s">
        <v>88</v>
      </c>
      <c r="FW4546" s="1" t="s">
        <v>175</v>
      </c>
      <c r="GD4546" s="1" t="s">
        <v>202</v>
      </c>
      <c r="GE4546" s="1" t="s">
        <v>190</v>
      </c>
    </row>
    <row r="4547" spans="1:187" ht="11.25" customHeight="1">
      <c r="A4547" s="1" t="s">
        <v>6432</v>
      </c>
      <c r="B4547" s="1" t="str">
        <f ca="1">IFERROR(__xludf.DUMMYFUNCTION("GOOGLETRANSLATE(A4547, ""en"", ""fr"")"),"GHETTO")</f>
        <v>GHETTO</v>
      </c>
      <c r="C4547" s="1" t="s">
        <v>185</v>
      </c>
      <c r="E4547" s="1" t="s">
        <v>16613</v>
      </c>
      <c r="H4547" s="1" t="s">
        <v>4</v>
      </c>
      <c r="AC4547" s="1" t="s">
        <v>25</v>
      </c>
      <c r="AH4547" s="1" t="s">
        <v>30</v>
      </c>
      <c r="AV4547" s="1" t="s">
        <v>44</v>
      </c>
      <c r="AX4547" s="1" t="s">
        <v>46</v>
      </c>
      <c r="DV4547" s="1" t="s">
        <v>122</v>
      </c>
      <c r="ED4547" s="1" t="s">
        <v>130</v>
      </c>
      <c r="GD4547" s="1" t="s">
        <v>193</v>
      </c>
      <c r="GE4547" s="1" t="s">
        <v>190</v>
      </c>
    </row>
    <row r="4548" spans="1:187" ht="11.25" customHeight="1">
      <c r="A4548" s="1" t="s">
        <v>6433</v>
      </c>
      <c r="B4548" s="1" t="str">
        <f ca="1">IFERROR(__xludf.DUMMYFUNCTION("GOOGLETRANSLATE(A4548, ""en"", ""fr"")"),"FANTÔME")</f>
        <v>FANTÔME</v>
      </c>
      <c r="C4548" s="1" t="s">
        <v>185</v>
      </c>
      <c r="AI4548" s="1" t="s">
        <v>31</v>
      </c>
      <c r="AJ4548" s="1" t="s">
        <v>32</v>
      </c>
      <c r="AT4548" s="1" t="s">
        <v>42</v>
      </c>
      <c r="GD4548" s="1" t="s">
        <v>193</v>
      </c>
      <c r="GE4548" s="1" t="s">
        <v>190</v>
      </c>
    </row>
    <row r="4549" spans="1:187" ht="11.25" customHeight="1">
      <c r="A4549" s="1" t="s">
        <v>6434</v>
      </c>
      <c r="B4549" s="1" t="str">
        <f ca="1">IFERROR(__xludf.DUMMYFUNCTION("GOOGLETRANSLATE(A4549, ""en"", ""fr"")"),"Géant # 1")</f>
        <v>Géant # 1</v>
      </c>
      <c r="C4549" s="1" t="s">
        <v>185</v>
      </c>
      <c r="J4549" s="1" t="s">
        <v>6</v>
      </c>
      <c r="AJ4549" s="1" t="s">
        <v>32</v>
      </c>
      <c r="AT4549" s="1" t="s">
        <v>42</v>
      </c>
      <c r="FT4549" s="1" t="s">
        <v>172</v>
      </c>
      <c r="GD4549" s="1" t="s">
        <v>849</v>
      </c>
      <c r="GE4549" s="1" t="s">
        <v>6435</v>
      </c>
    </row>
    <row r="4550" spans="1:187" ht="11.25" customHeight="1">
      <c r="A4550" s="1" t="s">
        <v>6436</v>
      </c>
      <c r="B4550" s="1" t="str">
        <f ca="1">IFERROR(__xludf.DUMMYFUNCTION("GOOGLETRANSLATE(A4550, ""en"", ""fr"")"),"Géant # 2")</f>
        <v>Géant # 2</v>
      </c>
      <c r="C4550" s="1" t="s">
        <v>185</v>
      </c>
      <c r="J4550" s="1" t="s">
        <v>6</v>
      </c>
      <c r="W4550" s="1" t="s">
        <v>19</v>
      </c>
      <c r="CS4550" s="1" t="s">
        <v>93</v>
      </c>
      <c r="DC4550" s="1" t="s">
        <v>103</v>
      </c>
      <c r="EC4550" s="1" t="s">
        <v>129</v>
      </c>
      <c r="ED4550" s="1" t="s">
        <v>130</v>
      </c>
      <c r="GD4550" s="1" t="s">
        <v>202</v>
      </c>
      <c r="GE4550" s="1" t="s">
        <v>6437</v>
      </c>
    </row>
    <row r="4551" spans="1:187" ht="11.25" customHeight="1">
      <c r="A4551" s="1" t="s">
        <v>6438</v>
      </c>
      <c r="B4551" s="1" t="str">
        <f ca="1">IFERROR(__xludf.DUMMYFUNCTION("GOOGLETRANSLATE(A4551, ""en"", ""fr"")"),"Géant # 3")</f>
        <v>Géant # 3</v>
      </c>
      <c r="C4551" s="1" t="s">
        <v>185</v>
      </c>
      <c r="AD4551" s="1" t="s">
        <v>26</v>
      </c>
      <c r="AK4551" s="1" t="s">
        <v>33</v>
      </c>
      <c r="AT4551" s="1" t="s">
        <v>42</v>
      </c>
      <c r="GD4551" s="1" t="s">
        <v>193</v>
      </c>
      <c r="GE4551" s="1" t="s">
        <v>6439</v>
      </c>
    </row>
    <row r="4552" spans="1:187" ht="11.25" customHeight="1">
      <c r="A4552" s="1" t="s">
        <v>6440</v>
      </c>
      <c r="B4552" s="1" t="str">
        <f ca="1">IFERROR(__xludf.DUMMYFUNCTION("GOOGLETRANSLATE(A4552, ""en"", ""fr"")"),"ÉTOURDI")</f>
        <v>ÉTOURDI</v>
      </c>
      <c r="C4552" s="1" t="s">
        <v>192</v>
      </c>
      <c r="D4552" s="1" t="s">
        <v>16612</v>
      </c>
      <c r="R4552" s="1" t="s">
        <v>14</v>
      </c>
      <c r="DR4552" s="1" t="s">
        <v>118</v>
      </c>
      <c r="GD4552" s="1" t="s">
        <v>202</v>
      </c>
      <c r="GE4552" s="1" t="s">
        <v>190</v>
      </c>
    </row>
    <row r="4553" spans="1:187" ht="11.25" customHeight="1">
      <c r="A4553" s="1" t="s">
        <v>6441</v>
      </c>
      <c r="B4553" s="1" t="str">
        <f ca="1">IFERROR(__xludf.DUMMYFUNCTION("GOOGLETRANSLATE(A4553, ""en"", ""fr"")"),"CADEAU")</f>
        <v>CADEAU</v>
      </c>
      <c r="C4553" s="1" t="s">
        <v>185</v>
      </c>
      <c r="D4553" s="1" t="s">
        <v>16612</v>
      </c>
      <c r="F4553" s="1" t="s">
        <v>2</v>
      </c>
      <c r="G4553" s="1" t="s">
        <v>3</v>
      </c>
      <c r="AC4553" s="1" t="s">
        <v>25</v>
      </c>
      <c r="BC4553" s="1" t="s">
        <v>51</v>
      </c>
      <c r="BH4553" s="1" t="s">
        <v>56</v>
      </c>
      <c r="BL4553" s="1" t="s">
        <v>60</v>
      </c>
      <c r="EV4553" s="1" t="s">
        <v>148</v>
      </c>
      <c r="EW4553" s="1" t="s">
        <v>149</v>
      </c>
      <c r="GD4553" s="1" t="s">
        <v>193</v>
      </c>
      <c r="GE4553" s="1" t="s">
        <v>190</v>
      </c>
    </row>
    <row r="4554" spans="1:187" ht="11.25" customHeight="1">
      <c r="A4554" s="1" t="s">
        <v>6442</v>
      </c>
      <c r="B4554" s="1" t="str">
        <f ca="1">IFERROR(__xludf.DUMMYFUNCTION("GOOGLETRANSLATE(A4554, ""en"", ""fr"")"),"DOUÉ")</f>
        <v>DOUÉ</v>
      </c>
      <c r="C4554" s="1" t="s">
        <v>185</v>
      </c>
      <c r="D4554" s="1" t="s">
        <v>16612</v>
      </c>
      <c r="F4554" s="1" t="s">
        <v>2</v>
      </c>
      <c r="J4554" s="1" t="s">
        <v>6</v>
      </c>
      <c r="U4554" s="1" t="s">
        <v>17</v>
      </c>
      <c r="CN4554" s="1" t="s">
        <v>88</v>
      </c>
      <c r="FL4554" s="1" t="s">
        <v>164</v>
      </c>
      <c r="FM4554" s="1" t="s">
        <v>418</v>
      </c>
      <c r="GD4554" s="1" t="s">
        <v>202</v>
      </c>
      <c r="GE4554" s="1" t="s">
        <v>190</v>
      </c>
    </row>
    <row r="4555" spans="1:187" ht="11.25" customHeight="1">
      <c r="A4555" s="1" t="s">
        <v>6443</v>
      </c>
      <c r="B4555" s="1" t="str">
        <f ca="1">IFERROR(__xludf.DUMMYFUNCTION("GOOGLETRANSLATE(A4555, ""en"", ""fr"")"),"GIGANTESQUE")</f>
        <v>GIGANTESQUE</v>
      </c>
      <c r="C4555" s="1" t="s">
        <v>185</v>
      </c>
      <c r="J4555" s="1" t="s">
        <v>6</v>
      </c>
      <c r="W4555" s="1" t="s">
        <v>19</v>
      </c>
      <c r="CS4555" s="1" t="s">
        <v>93</v>
      </c>
      <c r="GD4555" s="1" t="s">
        <v>202</v>
      </c>
      <c r="GE4555" s="1" t="s">
        <v>190</v>
      </c>
    </row>
    <row r="4556" spans="1:187" ht="11.25" customHeight="1">
      <c r="A4556" s="1" t="s">
        <v>6444</v>
      </c>
      <c r="B4556" s="1" t="str">
        <f ca="1">IFERROR(__xludf.DUMMYFUNCTION("GOOGLETRANSLATE(A4556, ""en"", ""fr"")"),"GIN")</f>
        <v>GIN</v>
      </c>
      <c r="C4556" s="1" t="s">
        <v>185</v>
      </c>
      <c r="BC4556" s="1" t="s">
        <v>51</v>
      </c>
      <c r="BE4556" s="1" t="s">
        <v>53</v>
      </c>
      <c r="GD4556" s="1" t="s">
        <v>193</v>
      </c>
      <c r="GE4556" s="1" t="s">
        <v>190</v>
      </c>
    </row>
    <row r="4557" spans="1:187" ht="11.25" customHeight="1">
      <c r="A4557" s="1" t="s">
        <v>6445</v>
      </c>
      <c r="B4557" s="1" t="str">
        <f ca="1">IFERROR(__xludf.DUMMYFUNCTION("GOOGLETRANSLATE(A4557, ""en"", ""fr"")"),"GINGEMBRE")</f>
        <v>GINGEMBRE</v>
      </c>
      <c r="C4557" s="1" t="s">
        <v>185</v>
      </c>
      <c r="BC4557" s="1" t="s">
        <v>51</v>
      </c>
      <c r="BE4557" s="1" t="s">
        <v>53</v>
      </c>
      <c r="GD4557" s="1" t="s">
        <v>193</v>
      </c>
      <c r="GE4557" s="1" t="s">
        <v>190</v>
      </c>
    </row>
    <row r="4558" spans="1:187" ht="11.25" customHeight="1">
      <c r="A4558" s="1" t="s">
        <v>6446</v>
      </c>
      <c r="B4558" s="1" t="str">
        <f ca="1">IFERROR(__xludf.DUMMYFUNCTION("GOOGLETRANSLATE(A4558, ""en"", ""fr"")"),"AVEC PRÉCAUTION")</f>
        <v>AVEC PRÉCAUTION</v>
      </c>
      <c r="C4558" s="1" t="s">
        <v>185</v>
      </c>
      <c r="L4558" s="1" t="s">
        <v>8</v>
      </c>
      <c r="M4558" s="1" t="s">
        <v>9</v>
      </c>
      <c r="X4558" s="1" t="s">
        <v>20</v>
      </c>
      <c r="CR4558" s="1" t="s">
        <v>92</v>
      </c>
      <c r="GD4558" s="1" t="s">
        <v>236</v>
      </c>
      <c r="GE4558" s="1" t="s">
        <v>190</v>
      </c>
    </row>
    <row r="4559" spans="1:187" ht="11.25" customHeight="1">
      <c r="A4559" s="1" t="s">
        <v>6447</v>
      </c>
      <c r="B4559" s="1" t="str">
        <f ca="1">IFERROR(__xludf.DUMMYFUNCTION("GOOGLETRANSLATE(A4559, ""en"", ""fr"")"),"FILLE")</f>
        <v>FILLE</v>
      </c>
      <c r="C4559" s="1" t="s">
        <v>185</v>
      </c>
      <c r="AJ4559" s="1" t="s">
        <v>32</v>
      </c>
      <c r="AR4559" s="1" t="s">
        <v>40</v>
      </c>
      <c r="AS4559" s="1" t="s">
        <v>41</v>
      </c>
      <c r="AT4559" s="1" t="s">
        <v>42</v>
      </c>
      <c r="FT4559" s="1" t="s">
        <v>172</v>
      </c>
      <c r="GD4559" s="1" t="s">
        <v>193</v>
      </c>
      <c r="GE4559" s="1" t="s">
        <v>6448</v>
      </c>
    </row>
    <row r="4560" spans="1:187" ht="11.25" customHeight="1">
      <c r="A4560" s="1" t="s">
        <v>6449</v>
      </c>
      <c r="B4560" s="1" t="str">
        <f ca="1">IFERROR(__xludf.DUMMYFUNCTION("GOOGLETRANSLATE(A4560, ""en"", ""fr"")"),"Donner le n ° 1")</f>
        <v>Donner le n ° 1</v>
      </c>
      <c r="C4560" s="1" t="s">
        <v>185</v>
      </c>
      <c r="D4560" s="1" t="s">
        <v>16612</v>
      </c>
      <c r="F4560" s="1" t="s">
        <v>2</v>
      </c>
      <c r="G4560" s="1" t="s">
        <v>3</v>
      </c>
      <c r="N4560" s="1" t="s">
        <v>10</v>
      </c>
      <c r="AN4560" s="1" t="s">
        <v>36</v>
      </c>
      <c r="DO4560" s="1" t="s">
        <v>115</v>
      </c>
      <c r="FN4560" s="1" t="s">
        <v>166</v>
      </c>
      <c r="GD4560" s="1" t="s">
        <v>400</v>
      </c>
      <c r="GE4560" s="1" t="s">
        <v>6450</v>
      </c>
    </row>
    <row r="4561" spans="1:187" ht="11.25" customHeight="1">
      <c r="A4561" s="1" t="s">
        <v>6451</v>
      </c>
      <c r="B4561" s="1" t="str">
        <f ca="1">IFERROR(__xludf.DUMMYFUNCTION("GOOGLETRANSLATE(A4561, ""en"", ""fr"")"),"Donner le n ° 2")</f>
        <v>Donner le n ° 2</v>
      </c>
      <c r="C4561" s="1" t="s">
        <v>185</v>
      </c>
      <c r="L4561" s="1" t="s">
        <v>8</v>
      </c>
      <c r="BT4561" s="1" t="s">
        <v>68</v>
      </c>
      <c r="DO4561" s="1" t="s">
        <v>115</v>
      </c>
      <c r="DT4561" s="1" t="s">
        <v>120</v>
      </c>
      <c r="ED4561" s="1" t="s">
        <v>130</v>
      </c>
      <c r="GD4561" s="1" t="s">
        <v>189</v>
      </c>
      <c r="GE4561" s="1" t="s">
        <v>6452</v>
      </c>
    </row>
    <row r="4562" spans="1:187" ht="11.25" customHeight="1">
      <c r="A4562" s="1" t="s">
        <v>6453</v>
      </c>
      <c r="B4562" s="1" t="str">
        <f ca="1">IFERROR(__xludf.DUMMYFUNCTION("GOOGLETRANSLATE(A4562, ""en"", ""fr"")"),"Donner le n ° 3")</f>
        <v>Donner le n ° 3</v>
      </c>
      <c r="C4562" s="1" t="s">
        <v>185</v>
      </c>
      <c r="L4562" s="1" t="s">
        <v>8</v>
      </c>
      <c r="O4562" s="1" t="s">
        <v>11</v>
      </c>
      <c r="BT4562" s="1" t="s">
        <v>68</v>
      </c>
      <c r="DO4562" s="1" t="s">
        <v>115</v>
      </c>
      <c r="EL4562" s="1" t="s">
        <v>138</v>
      </c>
      <c r="EN4562" s="1" t="s">
        <v>140</v>
      </c>
      <c r="GD4562" s="1" t="s">
        <v>189</v>
      </c>
      <c r="GE4562" s="1" t="s">
        <v>6454</v>
      </c>
    </row>
    <row r="4563" spans="1:187" ht="11.25" customHeight="1">
      <c r="A4563" s="1" t="s">
        <v>6455</v>
      </c>
      <c r="B4563" s="1" t="str">
        <f ca="1">IFERROR(__xludf.DUMMYFUNCTION("GOOGLETRANSLATE(A4563, ""en"", ""fr"")"),"Donner le n ° 4")</f>
        <v>Donner le n ° 4</v>
      </c>
      <c r="C4563" s="1" t="s">
        <v>185</v>
      </c>
      <c r="D4563" s="1" t="s">
        <v>16612</v>
      </c>
      <c r="F4563" s="1" t="s">
        <v>2</v>
      </c>
      <c r="G4563" s="1" t="s">
        <v>3</v>
      </c>
      <c r="N4563" s="1" t="s">
        <v>10</v>
      </c>
      <c r="AN4563" s="1" t="s">
        <v>36</v>
      </c>
      <c r="DO4563" s="1" t="s">
        <v>115</v>
      </c>
      <c r="FY4563" s="1" t="s">
        <v>177</v>
      </c>
      <c r="GD4563" s="1" t="s">
        <v>189</v>
      </c>
      <c r="GE4563" s="1" t="s">
        <v>6456</v>
      </c>
    </row>
    <row r="4564" spans="1:187" ht="11.25" customHeight="1">
      <c r="A4564" s="1" t="s">
        <v>6457</v>
      </c>
      <c r="B4564" s="1" t="str">
        <f ca="1">IFERROR(__xludf.DUMMYFUNCTION("GOOGLETRANSLATE(A4564, ""en"", ""fr"")"),"Donner le n ° 5")</f>
        <v>Donner le n ° 5</v>
      </c>
      <c r="C4564" s="1" t="s">
        <v>185</v>
      </c>
      <c r="G4564" s="1" t="s">
        <v>3</v>
      </c>
      <c r="AN4564" s="1" t="s">
        <v>36</v>
      </c>
      <c r="DO4564" s="1" t="s">
        <v>115</v>
      </c>
      <c r="FN4564" s="1" t="s">
        <v>166</v>
      </c>
      <c r="GD4564" s="1" t="s">
        <v>4701</v>
      </c>
      <c r="GE4564" s="1" t="s">
        <v>6458</v>
      </c>
    </row>
    <row r="4565" spans="1:187" ht="11.25" customHeight="1">
      <c r="A4565" s="1" t="s">
        <v>6459</v>
      </c>
      <c r="B4565" s="1" t="str">
        <f ca="1">IFERROR(__xludf.DUMMYFUNCTION("GOOGLETRANSLATE(A4565, ""en"", ""fr"")"),"Donner le n ° 6")</f>
        <v>Donner le n ° 6</v>
      </c>
      <c r="C4565" s="1" t="s">
        <v>185</v>
      </c>
      <c r="N4565" s="1" t="s">
        <v>10</v>
      </c>
      <c r="BV4565" s="1" t="s">
        <v>70</v>
      </c>
      <c r="FN4565" s="1" t="s">
        <v>166</v>
      </c>
      <c r="GC4565" s="1" t="s">
        <v>181</v>
      </c>
      <c r="GD4565" s="1" t="s">
        <v>193</v>
      </c>
      <c r="GE4565" s="1" t="s">
        <v>6460</v>
      </c>
    </row>
    <row r="4566" spans="1:187" ht="11.25" customHeight="1">
      <c r="A4566" s="1" t="s">
        <v>6461</v>
      </c>
      <c r="B4566" s="1" t="str">
        <f ca="1">IFERROR(__xludf.DUMMYFUNCTION("GOOGLETRANSLATE(A4566, ""en"", ""fr"")"),"Donner le n ° 7")</f>
        <v>Donner le n ° 7</v>
      </c>
      <c r="C4566" s="1" t="s">
        <v>185</v>
      </c>
      <c r="N4566" s="1" t="s">
        <v>10</v>
      </c>
      <c r="CI4566" s="1" t="s">
        <v>83</v>
      </c>
      <c r="FN4566" s="1" t="s">
        <v>166</v>
      </c>
      <c r="GD4566" s="1" t="s">
        <v>193</v>
      </c>
      <c r="GE4566" s="1" t="s">
        <v>6462</v>
      </c>
    </row>
    <row r="4567" spans="1:187" ht="11.25" customHeight="1">
      <c r="A4567" s="1" t="s">
        <v>6463</v>
      </c>
      <c r="B4567" s="1" t="str">
        <f ca="1">IFERROR(__xludf.DUMMYFUNCTION("GOOGLETRANSLATE(A4567, ""en"", ""fr"")"),"Donné n ° 1")</f>
        <v>Donné n ° 1</v>
      </c>
      <c r="C4567" s="1" t="s">
        <v>192</v>
      </c>
      <c r="GD4567" s="1" t="s">
        <v>1085</v>
      </c>
      <c r="GE4567" s="1" t="s">
        <v>190</v>
      </c>
    </row>
    <row r="4568" spans="1:187" ht="11.25" customHeight="1">
      <c r="A4568" s="1" t="s">
        <v>6464</v>
      </c>
      <c r="B4568" s="1" t="str">
        <f ca="1">IFERROR(__xludf.DUMMYFUNCTION("GOOGLETRANSLATE(A4568, ""en"", ""fr"")"),"DONNEUR")</f>
        <v>DONNEUR</v>
      </c>
      <c r="C4568" s="1" t="s">
        <v>185</v>
      </c>
      <c r="G4568" s="1" t="s">
        <v>3</v>
      </c>
      <c r="K4568" s="1" t="s">
        <v>7</v>
      </c>
      <c r="AJ4568" s="1" t="s">
        <v>32</v>
      </c>
      <c r="AT4568" s="1" t="s">
        <v>42</v>
      </c>
      <c r="FT4568" s="1" t="s">
        <v>172</v>
      </c>
      <c r="GD4568" s="1" t="s">
        <v>193</v>
      </c>
      <c r="GE4568" s="1" t="s">
        <v>190</v>
      </c>
    </row>
    <row r="4569" spans="1:187" ht="11.25" customHeight="1">
      <c r="A4569" s="1" t="s">
        <v>6465</v>
      </c>
      <c r="B4569" s="1" t="str">
        <f ca="1">IFERROR(__xludf.DUMMYFUNCTION("GOOGLETRANSLATE(A4569, ""en"", ""fr"")"),"Heureux # 1")</f>
        <v>Heureux # 1</v>
      </c>
      <c r="C4569" s="1" t="s">
        <v>185</v>
      </c>
      <c r="D4569" s="1" t="s">
        <v>16612</v>
      </c>
      <c r="F4569" s="1" t="s">
        <v>2</v>
      </c>
      <c r="O4569" s="1" t="s">
        <v>11</v>
      </c>
      <c r="P4569" s="1" t="s">
        <v>12</v>
      </c>
      <c r="T4569" s="1" t="s">
        <v>16</v>
      </c>
      <c r="FA4569" s="1" t="s">
        <v>153</v>
      </c>
      <c r="FC4569" s="1" t="s">
        <v>155</v>
      </c>
      <c r="GD4569" s="1" t="s">
        <v>421</v>
      </c>
      <c r="GE4569" s="1" t="s">
        <v>6466</v>
      </c>
    </row>
    <row r="4570" spans="1:187" ht="11.25" customHeight="1">
      <c r="A4570" s="1" t="s">
        <v>6467</v>
      </c>
      <c r="B4570" s="1" t="str">
        <f ca="1">IFERROR(__xludf.DUMMYFUNCTION("GOOGLETRANSLATE(A4570, ""en"", ""fr"")"),"Heureux # 2")</f>
        <v>Heureux # 2</v>
      </c>
      <c r="C4570" s="1" t="s">
        <v>185</v>
      </c>
      <c r="D4570" s="1" t="s">
        <v>16612</v>
      </c>
      <c r="F4570" s="1" t="s">
        <v>2</v>
      </c>
      <c r="G4570" s="1" t="s">
        <v>3</v>
      </c>
      <c r="O4570" s="1" t="s">
        <v>11</v>
      </c>
      <c r="P4570" s="1" t="s">
        <v>12</v>
      </c>
      <c r="FA4570" s="1" t="s">
        <v>153</v>
      </c>
      <c r="FC4570" s="1" t="s">
        <v>155</v>
      </c>
      <c r="GD4570" s="1" t="s">
        <v>236</v>
      </c>
      <c r="GE4570" s="1" t="s">
        <v>6468</v>
      </c>
    </row>
    <row r="4571" spans="1:187" ht="11.25" customHeight="1">
      <c r="A4571" s="1" t="s">
        <v>6469</v>
      </c>
      <c r="B4571" s="1" t="str">
        <f ca="1">IFERROR(__xludf.DUMMYFUNCTION("GOOGLETRANSLATE(A4571, ""en"", ""fr"")"),"RÉJOUIR")</f>
        <v>RÉJOUIR</v>
      </c>
      <c r="C4571" s="1" t="s">
        <v>185</v>
      </c>
      <c r="D4571" s="1" t="s">
        <v>16612</v>
      </c>
      <c r="F4571" s="1" t="s">
        <v>2</v>
      </c>
      <c r="P4571" s="1" t="s">
        <v>12</v>
      </c>
      <c r="DN4571" s="1" t="s">
        <v>114</v>
      </c>
      <c r="EX4571" s="1" t="s">
        <v>150</v>
      </c>
      <c r="FC4571" s="1" t="s">
        <v>155</v>
      </c>
      <c r="GD4571" s="1" t="s">
        <v>189</v>
      </c>
      <c r="GE4571" s="1" t="s">
        <v>190</v>
      </c>
    </row>
    <row r="4572" spans="1:187" ht="11.25" customHeight="1">
      <c r="A4572" s="1" t="s">
        <v>6470</v>
      </c>
      <c r="B4572" s="1" t="str">
        <f ca="1">IFERROR(__xludf.DUMMYFUNCTION("GOOGLETRANSLATE(A4572, ""en"", ""fr"")"),"JOIE")</f>
        <v>JOIE</v>
      </c>
      <c r="C4572" s="1" t="s">
        <v>192</v>
      </c>
      <c r="D4572" s="1" t="s">
        <v>16612</v>
      </c>
      <c r="P4572" s="1" t="s">
        <v>12</v>
      </c>
      <c r="T4572" s="1" t="s">
        <v>16</v>
      </c>
      <c r="GD4572" s="1" t="s">
        <v>193</v>
      </c>
      <c r="GE4572" s="1" t="s">
        <v>190</v>
      </c>
    </row>
    <row r="4573" spans="1:187" ht="11.25" customHeight="1">
      <c r="A4573" s="1" t="s">
        <v>6471</v>
      </c>
      <c r="B4573" s="1" t="str">
        <f ca="1">IFERROR(__xludf.DUMMYFUNCTION("GOOGLETRANSLATE(A4573, ""en"", ""fr"")"),"GLAMOUR")</f>
        <v>GLAMOUR</v>
      </c>
      <c r="C4573" s="1" t="s">
        <v>192</v>
      </c>
      <c r="D4573" s="1" t="s">
        <v>16612</v>
      </c>
      <c r="CM4573" s="1" t="s">
        <v>87</v>
      </c>
      <c r="CR4573" s="1" t="s">
        <v>92</v>
      </c>
      <c r="DR4573" s="1" t="s">
        <v>118</v>
      </c>
      <c r="GD4573" s="1" t="s">
        <v>202</v>
      </c>
      <c r="GE4573" s="1" t="s">
        <v>190</v>
      </c>
    </row>
    <row r="4574" spans="1:187" ht="11.25" customHeight="1">
      <c r="A4574" s="1" t="s">
        <v>6472</v>
      </c>
      <c r="B4574" s="1" t="str">
        <f ca="1">IFERROR(__xludf.DUMMYFUNCTION("GOOGLETRANSLATE(A4574, ""en"", ""fr"")"),"CHARME")</f>
        <v>CHARME</v>
      </c>
      <c r="C4574" s="1" t="s">
        <v>192</v>
      </c>
      <c r="D4574" s="1" t="s">
        <v>16612</v>
      </c>
      <c r="CM4574" s="1" t="s">
        <v>87</v>
      </c>
      <c r="CR4574" s="1" t="s">
        <v>92</v>
      </c>
      <c r="GD4574" s="1" t="s">
        <v>193</v>
      </c>
      <c r="GE4574" s="1" t="s">
        <v>190</v>
      </c>
    </row>
    <row r="4575" spans="1:187" ht="11.25" customHeight="1">
      <c r="A4575" s="1" t="s">
        <v>6473</v>
      </c>
      <c r="B4575" s="1" t="str">
        <f ca="1">IFERROR(__xludf.DUMMYFUNCTION("GOOGLETRANSLATE(A4575, ""en"", ""fr"")"),"Regard n ° 1")</f>
        <v>Regard n ° 1</v>
      </c>
      <c r="C4575" s="1" t="s">
        <v>185</v>
      </c>
      <c r="O4575" s="1" t="s">
        <v>11</v>
      </c>
      <c r="CK4575" s="1" t="s">
        <v>85</v>
      </c>
      <c r="GD4575" s="1" t="s">
        <v>193</v>
      </c>
      <c r="GE4575" s="1" t="s">
        <v>190</v>
      </c>
    </row>
    <row r="4576" spans="1:187" ht="11.25" customHeight="1">
      <c r="A4576" s="1" t="s">
        <v>6474</v>
      </c>
      <c r="B4576" s="1" t="str">
        <f ca="1">IFERROR(__xludf.DUMMYFUNCTION("GOOGLETRANSLATE(A4576, ""en"", ""fr"")"),"Regard n ° 2")</f>
        <v>Regard n ° 2</v>
      </c>
      <c r="C4576" s="1" t="s">
        <v>185</v>
      </c>
      <c r="O4576" s="1" t="s">
        <v>11</v>
      </c>
      <c r="CK4576" s="1" t="s">
        <v>85</v>
      </c>
      <c r="DO4576" s="1" t="s">
        <v>115</v>
      </c>
      <c r="GD4576" s="1" t="s">
        <v>189</v>
      </c>
      <c r="GE4576" s="1" t="s">
        <v>190</v>
      </c>
    </row>
    <row r="4577" spans="1:187" ht="11.25" customHeight="1">
      <c r="A4577" s="1" t="s">
        <v>6475</v>
      </c>
      <c r="B4577" s="1" t="str">
        <f ca="1">IFERROR(__xludf.DUMMYFUNCTION("GOOGLETRANSLATE(A4577, ""en"", ""fr"")"),"GLANDE")</f>
        <v>GLANDE</v>
      </c>
      <c r="C4577" s="1" t="s">
        <v>185</v>
      </c>
      <c r="BJ4577" s="1" t="s">
        <v>58</v>
      </c>
      <c r="EZ4577" s="1" t="s">
        <v>152</v>
      </c>
      <c r="FC4577" s="1" t="s">
        <v>155</v>
      </c>
      <c r="GD4577" s="1" t="s">
        <v>193</v>
      </c>
      <c r="GE4577" s="1" t="s">
        <v>190</v>
      </c>
    </row>
    <row r="4578" spans="1:187" ht="11.25" customHeight="1">
      <c r="A4578" s="1" t="s">
        <v>6476</v>
      </c>
      <c r="B4578" s="1" t="str">
        <f ca="1">IFERROR(__xludf.DUMMYFUNCTION("GOOGLETRANSLATE(A4578, ""en"", ""fr"")"),"ÉBLOUISSEMENT")</f>
        <v>ÉBLOUISSEMENT</v>
      </c>
      <c r="C4578" s="1" t="s">
        <v>192</v>
      </c>
      <c r="E4578" s="1" t="s">
        <v>16613</v>
      </c>
      <c r="J4578" s="1" t="s">
        <v>6</v>
      </c>
      <c r="CK4578" s="1" t="s">
        <v>85</v>
      </c>
      <c r="GD4578" s="1" t="s">
        <v>193</v>
      </c>
      <c r="GE4578" s="1" t="s">
        <v>190</v>
      </c>
    </row>
    <row r="4579" spans="1:187" ht="11.25" customHeight="1">
      <c r="A4579" s="1" t="s">
        <v>6477</v>
      </c>
      <c r="B4579" s="1" t="str">
        <f ca="1">IFERROR(__xludf.DUMMYFUNCTION("GOOGLETRANSLATE(A4579, ""en"", ""fr"")"),"VERRE")</f>
        <v>VERRE</v>
      </c>
      <c r="C4579" s="1" t="s">
        <v>185</v>
      </c>
      <c r="BC4579" s="1" t="s">
        <v>51</v>
      </c>
      <c r="BD4579" s="1" t="s">
        <v>52</v>
      </c>
      <c r="GD4579" s="1" t="s">
        <v>193</v>
      </c>
      <c r="GE4579" s="1" t="s">
        <v>190</v>
      </c>
    </row>
    <row r="4580" spans="1:187" ht="11.25" customHeight="1">
      <c r="A4580" s="1" t="s">
        <v>6478</v>
      </c>
      <c r="B4580" s="1" t="str">
        <f ca="1">IFERROR(__xludf.DUMMYFUNCTION("GOOGLETRANSLATE(A4580, ""en"", ""fr"")"),"Lueur n ° 1")</f>
        <v>Lueur n ° 1</v>
      </c>
      <c r="C4580" s="1" t="s">
        <v>185</v>
      </c>
      <c r="D4580" s="1" t="s">
        <v>16612</v>
      </c>
      <c r="F4580" s="1" t="s">
        <v>2</v>
      </c>
      <c r="CR4580" s="1" t="s">
        <v>92</v>
      </c>
      <c r="GD4580" s="1" t="s">
        <v>193</v>
      </c>
      <c r="GE4580" s="1" t="s">
        <v>190</v>
      </c>
    </row>
    <row r="4581" spans="1:187" ht="11.25" customHeight="1">
      <c r="A4581" s="1" t="s">
        <v>6479</v>
      </c>
      <c r="B4581" s="1" t="str">
        <f ca="1">IFERROR(__xludf.DUMMYFUNCTION("GOOGLETRANSLATE(A4581, ""en"", ""fr"")"),"Lueur n ° 2")</f>
        <v>Lueur n ° 2</v>
      </c>
      <c r="C4581" s="1" t="s">
        <v>185</v>
      </c>
      <c r="D4581" s="1" t="s">
        <v>16612</v>
      </c>
      <c r="F4581" s="1" t="s">
        <v>2</v>
      </c>
      <c r="BU4581" s="1" t="s">
        <v>69</v>
      </c>
      <c r="DN4581" s="1" t="s">
        <v>114</v>
      </c>
      <c r="GD4581" s="1" t="s">
        <v>189</v>
      </c>
      <c r="GE4581" s="1" t="s">
        <v>190</v>
      </c>
    </row>
    <row r="4582" spans="1:187" ht="11.25" customHeight="1">
      <c r="A4582" s="1" t="s">
        <v>6480</v>
      </c>
      <c r="B4582" s="1" t="str">
        <f ca="1">IFERROR(__xludf.DUMMYFUNCTION("GOOGLETRANSLATE(A4582, ""en"", ""fr"")"),"GLANER")</f>
        <v>GLANER</v>
      </c>
      <c r="C4582" s="1" t="s">
        <v>192</v>
      </c>
      <c r="D4582" s="1" t="s">
        <v>16612</v>
      </c>
      <c r="N4582" s="1" t="s">
        <v>10</v>
      </c>
      <c r="CD4582" s="1" t="s">
        <v>78</v>
      </c>
      <c r="CG4582" s="1" t="s">
        <v>81</v>
      </c>
      <c r="DN4582" s="1" t="s">
        <v>114</v>
      </c>
      <c r="GD4582" s="1" t="s">
        <v>189</v>
      </c>
      <c r="GE4582" s="1" t="s">
        <v>190</v>
      </c>
    </row>
    <row r="4583" spans="1:187" ht="11.25" customHeight="1">
      <c r="A4583" s="1" t="s">
        <v>6481</v>
      </c>
      <c r="B4583" s="1" t="str">
        <f ca="1">IFERROR(__xludf.DUMMYFUNCTION("GOOGLETRANSLATE(A4583, ""en"", ""fr"")"),"JOIE")</f>
        <v>JOIE</v>
      </c>
      <c r="C4583" s="1" t="s">
        <v>192</v>
      </c>
      <c r="D4583" s="1" t="s">
        <v>16612</v>
      </c>
      <c r="P4583" s="1" t="s">
        <v>12</v>
      </c>
      <c r="T4583" s="1" t="s">
        <v>16</v>
      </c>
      <c r="GD4583" s="1" t="s">
        <v>193</v>
      </c>
      <c r="GE4583" s="1" t="s">
        <v>190</v>
      </c>
    </row>
    <row r="4584" spans="1:187" ht="11.25" customHeight="1">
      <c r="A4584" s="1" t="s">
        <v>6482</v>
      </c>
      <c r="B4584" s="1" t="str">
        <f ca="1">IFERROR(__xludf.DUMMYFUNCTION("GOOGLETRANSLATE(A4584, ""en"", ""fr"")"),"Glen")</f>
        <v>Glen</v>
      </c>
      <c r="C4584" s="1" t="s">
        <v>185</v>
      </c>
      <c r="AV4584" s="1" t="s">
        <v>44</v>
      </c>
      <c r="BA4584" s="1" t="s">
        <v>49</v>
      </c>
      <c r="GD4584" s="1" t="s">
        <v>193</v>
      </c>
      <c r="GE4584" s="1" t="s">
        <v>190</v>
      </c>
    </row>
    <row r="4585" spans="1:187" ht="11.25" customHeight="1">
      <c r="A4585" s="1" t="s">
        <v>6483</v>
      </c>
      <c r="B4585" s="1" t="str">
        <f ca="1">IFERROR(__xludf.DUMMYFUNCTION("GOOGLETRANSLATE(A4585, ""en"", ""fr"")"),"LUEUR")</f>
        <v>LUEUR</v>
      </c>
      <c r="C4585" s="1" t="s">
        <v>192</v>
      </c>
      <c r="D4585" s="1" t="s">
        <v>16612</v>
      </c>
      <c r="J4585" s="1" t="s">
        <v>6</v>
      </c>
      <c r="O4585" s="1" t="s">
        <v>11</v>
      </c>
      <c r="DN4585" s="1" t="s">
        <v>114</v>
      </c>
      <c r="GD4585" s="1" t="s">
        <v>189</v>
      </c>
      <c r="GE4585" s="1" t="s">
        <v>190</v>
      </c>
    </row>
    <row r="4586" spans="1:187" ht="11.25" customHeight="1">
      <c r="A4586" s="1" t="s">
        <v>6484</v>
      </c>
      <c r="B4586" s="1" t="str">
        <f ca="1">IFERROR(__xludf.DUMMYFUNCTION("GOOGLETRANSLATE(A4586, ""en"", ""fr"")"),"Aperçu # 1")</f>
        <v>Aperçu # 1</v>
      </c>
      <c r="C4586" s="1" t="s">
        <v>185</v>
      </c>
      <c r="O4586" s="1" t="s">
        <v>11</v>
      </c>
      <c r="CK4586" s="1" t="s">
        <v>85</v>
      </c>
      <c r="GD4586" s="1" t="s">
        <v>193</v>
      </c>
      <c r="GE4586" s="1" t="s">
        <v>190</v>
      </c>
    </row>
    <row r="4587" spans="1:187" ht="11.25" customHeight="1">
      <c r="A4587" s="1" t="s">
        <v>6485</v>
      </c>
      <c r="B4587" s="1" t="str">
        <f ca="1">IFERROR(__xludf.DUMMYFUNCTION("GOOGLETRANSLATE(A4587, ""en"", ""fr"")"),"Aperçu # 2")</f>
        <v>Aperçu # 2</v>
      </c>
      <c r="C4587" s="1" t="s">
        <v>185</v>
      </c>
      <c r="O4587" s="1" t="s">
        <v>11</v>
      </c>
      <c r="CK4587" s="1" t="s">
        <v>85</v>
      </c>
      <c r="DO4587" s="1" t="s">
        <v>115</v>
      </c>
      <c r="GD4587" s="1" t="s">
        <v>189</v>
      </c>
      <c r="GE4587" s="1" t="s">
        <v>190</v>
      </c>
    </row>
    <row r="4588" spans="1:187" ht="11.25" customHeight="1">
      <c r="A4588" s="1" t="s">
        <v>6486</v>
      </c>
      <c r="B4588" s="1" t="str">
        <f ca="1">IFERROR(__xludf.DUMMYFUNCTION("GOOGLETRANSLATE(A4588, ""en"", ""fr"")"),"GLISTEN # 1")</f>
        <v>GLISTEN # 1</v>
      </c>
      <c r="C4588" s="1" t="s">
        <v>185</v>
      </c>
      <c r="D4588" s="1" t="s">
        <v>16612</v>
      </c>
      <c r="F4588" s="1" t="s">
        <v>2</v>
      </c>
      <c r="CR4588" s="1" t="s">
        <v>92</v>
      </c>
      <c r="GD4588" s="1" t="s">
        <v>202</v>
      </c>
      <c r="GE4588" s="1" t="s">
        <v>190</v>
      </c>
    </row>
    <row r="4589" spans="1:187" ht="11.25" customHeight="1">
      <c r="A4589" s="1" t="s">
        <v>6487</v>
      </c>
      <c r="B4589" s="1" t="str">
        <f ca="1">IFERROR(__xludf.DUMMYFUNCTION("GOOGLETRANSLATE(A4589, ""en"", ""fr"")"),"GLISTEN # 2")</f>
        <v>GLISTEN # 2</v>
      </c>
      <c r="C4589" s="1" t="s">
        <v>185</v>
      </c>
      <c r="D4589" s="1" t="s">
        <v>16612</v>
      </c>
      <c r="F4589" s="1" t="s">
        <v>2</v>
      </c>
      <c r="CK4589" s="1" t="s">
        <v>85</v>
      </c>
      <c r="DN4589" s="1" t="s">
        <v>114</v>
      </c>
      <c r="GD4589" s="1" t="s">
        <v>189</v>
      </c>
      <c r="GE4589" s="1" t="s">
        <v>190</v>
      </c>
    </row>
    <row r="4590" spans="1:187" ht="11.25" customHeight="1">
      <c r="A4590" s="1" t="s">
        <v>6488</v>
      </c>
      <c r="B4590" s="1" t="str">
        <f ca="1">IFERROR(__xludf.DUMMYFUNCTION("GOOGLETRANSLATE(A4590, ""en"", ""fr"")"),"Paillettes # 1")</f>
        <v>Paillettes # 1</v>
      </c>
      <c r="C4590" s="1" t="s">
        <v>185</v>
      </c>
      <c r="D4590" s="1" t="s">
        <v>16612</v>
      </c>
      <c r="F4590" s="1" t="s">
        <v>2</v>
      </c>
      <c r="CR4590" s="1" t="s">
        <v>92</v>
      </c>
      <c r="GD4590" s="1" t="s">
        <v>202</v>
      </c>
      <c r="GE4590" s="1" t="s">
        <v>190</v>
      </c>
    </row>
    <row r="4591" spans="1:187" ht="11.25" customHeight="1">
      <c r="A4591" s="1" t="s">
        <v>6489</v>
      </c>
      <c r="B4591" s="1" t="str">
        <f ca="1">IFERROR(__xludf.DUMMYFUNCTION("GOOGLETRANSLATE(A4591, ""en"", ""fr"")"),"Paillettes # 2")</f>
        <v>Paillettes # 2</v>
      </c>
      <c r="C4591" s="1" t="s">
        <v>185</v>
      </c>
      <c r="D4591" s="1" t="s">
        <v>16612</v>
      </c>
      <c r="F4591" s="1" t="s">
        <v>2</v>
      </c>
      <c r="CK4591" s="1" t="s">
        <v>85</v>
      </c>
      <c r="DN4591" s="1" t="s">
        <v>114</v>
      </c>
      <c r="GD4591" s="1" t="s">
        <v>189</v>
      </c>
      <c r="GE4591" s="1" t="s">
        <v>190</v>
      </c>
    </row>
    <row r="4592" spans="1:187" ht="11.25" customHeight="1">
      <c r="A4592" s="1" t="s">
        <v>6490</v>
      </c>
      <c r="B4592" s="1" t="str">
        <f ca="1">IFERROR(__xludf.DUMMYFUNCTION("GOOGLETRANSLATE(A4592, ""en"", ""fr"")"),"JUBILER")</f>
        <v>JUBILER</v>
      </c>
      <c r="C4592" s="1" t="s">
        <v>192</v>
      </c>
      <c r="E4592" s="1" t="s">
        <v>16613</v>
      </c>
      <c r="J4592" s="1" t="s">
        <v>6</v>
      </c>
      <c r="N4592" s="1" t="s">
        <v>10</v>
      </c>
      <c r="BK4592" s="1" t="s">
        <v>59</v>
      </c>
      <c r="DN4592" s="1" t="s">
        <v>114</v>
      </c>
      <c r="GD4592" s="1" t="s">
        <v>189</v>
      </c>
      <c r="GE4592" s="1" t="s">
        <v>190</v>
      </c>
    </row>
    <row r="4593" spans="1:187" ht="11.25" customHeight="1">
      <c r="A4593" s="1" t="s">
        <v>6491</v>
      </c>
      <c r="B4593" s="1" t="str">
        <f ca="1">IFERROR(__xludf.DUMMYFUNCTION("GOOGLETRANSLATE(A4593, ""en"", ""fr"")"),"MONDIAL")</f>
        <v>MONDIAL</v>
      </c>
      <c r="C4593" s="1" t="s">
        <v>196</v>
      </c>
      <c r="GD4593" s="1" t="s">
        <v>202</v>
      </c>
    </row>
    <row r="4594" spans="1:187" ht="11.25" customHeight="1">
      <c r="A4594" s="1" t="s">
        <v>6492</v>
      </c>
      <c r="B4594" s="1" t="str">
        <f ca="1">IFERROR(__xludf.DUMMYFUNCTION("GOOGLETRANSLATE(A4594, ""en"", ""fr"")"),"GLOBE")</f>
        <v>GLOBE</v>
      </c>
      <c r="C4594" s="1" t="s">
        <v>185</v>
      </c>
      <c r="AV4594" s="1" t="s">
        <v>44</v>
      </c>
      <c r="BA4594" s="1" t="s">
        <v>49</v>
      </c>
      <c r="FS4594" s="1" t="s">
        <v>171</v>
      </c>
      <c r="GD4594" s="1" t="s">
        <v>193</v>
      </c>
      <c r="GE4594" s="1" t="s">
        <v>190</v>
      </c>
    </row>
    <row r="4595" spans="1:187" ht="11.25" customHeight="1">
      <c r="A4595" s="1" t="s">
        <v>6493</v>
      </c>
      <c r="B4595" s="1" t="str">
        <f ca="1">IFERROR(__xludf.DUMMYFUNCTION("GOOGLETRANSLATE(A4595, ""en"", ""fr"")"),"OBSCURITÉ")</f>
        <v>OBSCURITÉ</v>
      </c>
      <c r="C4595" s="1" t="s">
        <v>185</v>
      </c>
      <c r="E4595" s="1" t="s">
        <v>16613</v>
      </c>
      <c r="H4595" s="1" t="s">
        <v>4</v>
      </c>
      <c r="O4595" s="1" t="s">
        <v>11</v>
      </c>
      <c r="Q4595" s="1" t="s">
        <v>13</v>
      </c>
      <c r="FV4595" s="1" t="s">
        <v>174</v>
      </c>
      <c r="GD4595" s="1" t="s">
        <v>202</v>
      </c>
      <c r="GE4595" s="1" t="s">
        <v>190</v>
      </c>
    </row>
    <row r="4596" spans="1:187" ht="11.25" customHeight="1">
      <c r="A4596" s="1" t="s">
        <v>6494</v>
      </c>
      <c r="B4596" s="1" t="str">
        <f ca="1">IFERROR(__xludf.DUMMYFUNCTION("GOOGLETRANSLATE(A4596, ""en"", ""fr"")"),"SOMBRE")</f>
        <v>SOMBRE</v>
      </c>
      <c r="C4596" s="1" t="s">
        <v>185</v>
      </c>
      <c r="E4596" s="1" t="s">
        <v>16613</v>
      </c>
      <c r="H4596" s="1" t="s">
        <v>4</v>
      </c>
      <c r="O4596" s="1" t="s">
        <v>11</v>
      </c>
      <c r="Q4596" s="1" t="s">
        <v>13</v>
      </c>
      <c r="T4596" s="1" t="s">
        <v>16</v>
      </c>
      <c r="FV4596" s="1" t="s">
        <v>174</v>
      </c>
      <c r="GD4596" s="1" t="s">
        <v>202</v>
      </c>
      <c r="GE4596" s="1" t="s">
        <v>190</v>
      </c>
    </row>
    <row r="4597" spans="1:187" ht="11.25" customHeight="1">
      <c r="A4597" s="1" t="s">
        <v>6495</v>
      </c>
      <c r="B4597" s="1" t="str">
        <f ca="1">IFERROR(__xludf.DUMMYFUNCTION("GOOGLETRANSLATE(A4597, ""en"", ""fr"")"),"GLORIFIER")</f>
        <v>GLORIFIER</v>
      </c>
      <c r="C4597" s="1" t="s">
        <v>192</v>
      </c>
      <c r="D4597" s="1" t="s">
        <v>16612</v>
      </c>
      <c r="G4597" s="1" t="s">
        <v>3</v>
      </c>
      <c r="J4597" s="1" t="s">
        <v>6</v>
      </c>
      <c r="K4597" s="1" t="s">
        <v>7</v>
      </c>
      <c r="N4597" s="1" t="s">
        <v>10</v>
      </c>
      <c r="DN4597" s="1" t="s">
        <v>114</v>
      </c>
      <c r="GD4597" s="1" t="s">
        <v>670</v>
      </c>
      <c r="GE4597" s="1" t="s">
        <v>190</v>
      </c>
    </row>
    <row r="4598" spans="1:187" ht="11.25" customHeight="1">
      <c r="A4598" s="1" t="s">
        <v>6496</v>
      </c>
      <c r="B4598" s="1" t="str">
        <f ca="1">IFERROR(__xludf.DUMMYFUNCTION("GOOGLETRANSLATE(A4598, ""en"", ""fr"")"),"GLORIEUX")</f>
        <v>GLORIEUX</v>
      </c>
      <c r="C4598" s="1" t="s">
        <v>185</v>
      </c>
      <c r="D4598" s="1" t="s">
        <v>16612</v>
      </c>
      <c r="F4598" s="1" t="s">
        <v>2</v>
      </c>
      <c r="U4598" s="1" t="s">
        <v>17</v>
      </c>
      <c r="W4598" s="1" t="s">
        <v>19</v>
      </c>
      <c r="CN4598" s="1" t="s">
        <v>88</v>
      </c>
      <c r="FX4598" s="1" t="s">
        <v>176</v>
      </c>
      <c r="GD4598" s="1" t="s">
        <v>202</v>
      </c>
      <c r="GE4598" s="1" t="s">
        <v>190</v>
      </c>
    </row>
    <row r="4599" spans="1:187" ht="11.25" customHeight="1">
      <c r="A4599" s="1" t="s">
        <v>6497</v>
      </c>
      <c r="B4599" s="1" t="str">
        <f ca="1">IFERROR(__xludf.DUMMYFUNCTION("GOOGLETRANSLATE(A4599, ""en"", ""fr"")"),"GLOIRE")</f>
        <v>GLOIRE</v>
      </c>
      <c r="C4599" s="1" t="s">
        <v>185</v>
      </c>
      <c r="D4599" s="1" t="s">
        <v>16612</v>
      </c>
      <c r="F4599" s="1" t="s">
        <v>2</v>
      </c>
      <c r="U4599" s="1" t="s">
        <v>17</v>
      </c>
      <c r="CP4599" s="1" t="s">
        <v>90</v>
      </c>
      <c r="CQ4599" s="1" t="s">
        <v>91</v>
      </c>
      <c r="FX4599" s="1" t="s">
        <v>176</v>
      </c>
      <c r="GD4599" s="1" t="s">
        <v>193</v>
      </c>
      <c r="GE4599" s="1" t="s">
        <v>190</v>
      </c>
    </row>
    <row r="4600" spans="1:187" ht="11.25" customHeight="1">
      <c r="A4600" s="1" t="s">
        <v>6498</v>
      </c>
      <c r="B4600" s="1" t="str">
        <f ca="1">IFERROR(__xludf.DUMMYFUNCTION("GOOGLETRANSLATE(A4600, ""en"", ""fr"")"),"BRILLANT")</f>
        <v>BRILLANT</v>
      </c>
      <c r="C4600" s="1" t="s">
        <v>192</v>
      </c>
      <c r="D4600" s="1" t="s">
        <v>16612</v>
      </c>
      <c r="CR4600" s="1" t="s">
        <v>92</v>
      </c>
      <c r="DR4600" s="1" t="s">
        <v>118</v>
      </c>
      <c r="GD4600" s="1" t="s">
        <v>202</v>
      </c>
      <c r="GE4600" s="1" t="s">
        <v>190</v>
      </c>
    </row>
    <row r="4601" spans="1:187" ht="11.25" customHeight="1">
      <c r="A4601" s="1" t="s">
        <v>6499</v>
      </c>
      <c r="B4601" s="1" t="str">
        <f ca="1">IFERROR(__xludf.DUMMYFUNCTION("GOOGLETRANSLATE(A4601, ""en"", ""fr"")"),"GANT")</f>
        <v>GANT</v>
      </c>
      <c r="C4601" s="1" t="s">
        <v>196</v>
      </c>
      <c r="GD4601" s="1" t="s">
        <v>193</v>
      </c>
    </row>
    <row r="4602" spans="1:187" ht="11.25" customHeight="1">
      <c r="A4602" s="1" t="s">
        <v>6500</v>
      </c>
      <c r="B4602" s="1" t="str">
        <f ca="1">IFERROR(__xludf.DUMMYFUNCTION("GOOGLETRANSLATE(A4602, ""en"", ""fr"")"),"Glow # 1")</f>
        <v>Glow # 1</v>
      </c>
      <c r="C4602" s="1" t="s">
        <v>185</v>
      </c>
      <c r="D4602" s="1" t="s">
        <v>16612</v>
      </c>
      <c r="F4602" s="1" t="s">
        <v>2</v>
      </c>
      <c r="CK4602" s="1" t="s">
        <v>85</v>
      </c>
      <c r="DN4602" s="1" t="s">
        <v>114</v>
      </c>
      <c r="GD4602" s="1" t="s">
        <v>189</v>
      </c>
      <c r="GE4602" s="1" t="s">
        <v>190</v>
      </c>
    </row>
    <row r="4603" spans="1:187" ht="11.25" customHeight="1">
      <c r="A4603" s="1" t="s">
        <v>6501</v>
      </c>
      <c r="B4603" s="1" t="str">
        <f ca="1">IFERROR(__xludf.DUMMYFUNCTION("GOOGLETRANSLATE(A4603, ""en"", ""fr"")"),"Glow # 2")</f>
        <v>Glow # 2</v>
      </c>
      <c r="C4603" s="1" t="s">
        <v>185</v>
      </c>
      <c r="D4603" s="1" t="s">
        <v>16612</v>
      </c>
      <c r="F4603" s="1" t="s">
        <v>2</v>
      </c>
      <c r="BU4603" s="1" t="s">
        <v>69</v>
      </c>
      <c r="DN4603" s="1" t="s">
        <v>114</v>
      </c>
      <c r="GD4603" s="1" t="s">
        <v>189</v>
      </c>
      <c r="GE4603" s="1" t="s">
        <v>190</v>
      </c>
    </row>
    <row r="4604" spans="1:187" ht="11.25" customHeight="1">
      <c r="A4604" s="1" t="s">
        <v>6502</v>
      </c>
      <c r="B4604" s="1" t="str">
        <f ca="1">IFERROR(__xludf.DUMMYFUNCTION("GOOGLETRANSLATE(A4604, ""en"", ""fr"")"),"COLLE")</f>
        <v>COLLE</v>
      </c>
      <c r="C4604" s="1" t="s">
        <v>185</v>
      </c>
      <c r="BC4604" s="1" t="s">
        <v>51</v>
      </c>
      <c r="BD4604" s="1" t="s">
        <v>52</v>
      </c>
      <c r="GD4604" s="1" t="s">
        <v>193</v>
      </c>
      <c r="GE4604" s="1" t="s">
        <v>190</v>
      </c>
    </row>
    <row r="4605" spans="1:187" ht="11.25" customHeight="1">
      <c r="A4605" s="1" t="s">
        <v>6503</v>
      </c>
      <c r="B4605" s="1" t="str">
        <f ca="1">IFERROR(__xludf.DUMMYFUNCTION("GOOGLETRANSLATE(A4605, ""en"", ""fr"")"),"MAUSSADE")</f>
        <v>MAUSSADE</v>
      </c>
      <c r="C4605" s="1" t="s">
        <v>192</v>
      </c>
      <c r="E4605" s="1" t="s">
        <v>16613</v>
      </c>
      <c r="Q4605" s="1" t="s">
        <v>13</v>
      </c>
      <c r="T4605" s="1" t="s">
        <v>16</v>
      </c>
      <c r="DR4605" s="1" t="s">
        <v>118</v>
      </c>
      <c r="GD4605" s="1" t="s">
        <v>202</v>
      </c>
      <c r="GE4605" s="1" t="s">
        <v>190</v>
      </c>
    </row>
    <row r="4606" spans="1:187" ht="11.25" customHeight="1">
      <c r="A4606" s="1" t="s">
        <v>6504</v>
      </c>
      <c r="B4606" s="1" t="str">
        <f ca="1">IFERROR(__xludf.DUMMYFUNCTION("GOOGLETRANSLATE(A4606, ""en"", ""fr"")"),"Aller # 1")</f>
        <v>Aller # 1</v>
      </c>
      <c r="C4606" s="1" t="s">
        <v>185</v>
      </c>
      <c r="N4606" s="1" t="s">
        <v>10</v>
      </c>
      <c r="BW4606" s="1" t="s">
        <v>71</v>
      </c>
      <c r="DO4606" s="1" t="s">
        <v>115</v>
      </c>
      <c r="GD4606" s="1" t="s">
        <v>6505</v>
      </c>
      <c r="GE4606" s="1" t="s">
        <v>6506</v>
      </c>
    </row>
    <row r="4607" spans="1:187" ht="11.25" customHeight="1">
      <c r="A4607" s="1" t="s">
        <v>6507</v>
      </c>
      <c r="B4607" s="1" t="str">
        <f ca="1">IFERROR(__xludf.DUMMYFUNCTION("GOOGLETRANSLATE(A4607, ""en"", ""fr"")"),"Go # 2")</f>
        <v>Go # 2</v>
      </c>
      <c r="C4607" s="1" t="s">
        <v>185</v>
      </c>
      <c r="J4607" s="1" t="s">
        <v>6</v>
      </c>
      <c r="N4607" s="1" t="s">
        <v>10</v>
      </c>
      <c r="BR4607" s="1" t="s">
        <v>66</v>
      </c>
      <c r="DO4607" s="1" t="s">
        <v>115</v>
      </c>
      <c r="GD4607" s="1" t="s">
        <v>6508</v>
      </c>
      <c r="GE4607" s="1" t="s">
        <v>6509</v>
      </c>
    </row>
    <row r="4608" spans="1:187" ht="11.25" customHeight="1">
      <c r="A4608" s="1" t="s">
        <v>6510</v>
      </c>
      <c r="B4608" s="1" t="str">
        <f ca="1">IFERROR(__xludf.DUMMYFUNCTION("GOOGLETRANSLATE(A4608, ""en"", ""fr"")"),"Go # 3")</f>
        <v>Go # 3</v>
      </c>
      <c r="C4608" s="1" t="s">
        <v>185</v>
      </c>
      <c r="BW4608" s="1" t="s">
        <v>71</v>
      </c>
      <c r="DN4608" s="1" t="s">
        <v>114</v>
      </c>
      <c r="GD4608" s="1" t="s">
        <v>6511</v>
      </c>
      <c r="GE4608" s="1" t="s">
        <v>6512</v>
      </c>
    </row>
    <row r="4609" spans="1:187" ht="11.25" customHeight="1">
      <c r="A4609" s="1" t="s">
        <v>6513</v>
      </c>
      <c r="B4609" s="1" t="str">
        <f ca="1">IFERROR(__xludf.DUMMYFUNCTION("GOOGLETRANSLATE(A4609, ""en"", ""fr"")"),"Go # 4")</f>
        <v>Go # 4</v>
      </c>
      <c r="C4609" s="1" t="s">
        <v>185</v>
      </c>
      <c r="BP4609" s="1" t="s">
        <v>64</v>
      </c>
      <c r="DN4609" s="1" t="s">
        <v>114</v>
      </c>
      <c r="FR4609" s="1" t="s">
        <v>170</v>
      </c>
      <c r="GD4609" s="1" t="s">
        <v>6508</v>
      </c>
      <c r="GE4609" s="1" t="s">
        <v>6514</v>
      </c>
    </row>
    <row r="4610" spans="1:187" ht="11.25" customHeight="1">
      <c r="A4610" s="1" t="s">
        <v>6515</v>
      </c>
      <c r="B4610" s="1" t="str">
        <f ca="1">IFERROR(__xludf.DUMMYFUNCTION("GOOGLETRANSLATE(A4610, ""en"", ""fr"")"),"Go # 5")</f>
        <v>Go # 5</v>
      </c>
      <c r="C4610" s="1" t="s">
        <v>185</v>
      </c>
      <c r="N4610" s="1" t="s">
        <v>10</v>
      </c>
      <c r="CE4610" s="1" t="s">
        <v>79</v>
      </c>
      <c r="GD4610" s="1" t="s">
        <v>193</v>
      </c>
      <c r="GE4610" s="1" t="s">
        <v>6516</v>
      </c>
    </row>
    <row r="4611" spans="1:187" ht="11.25" customHeight="1">
      <c r="A4611" s="1" t="s">
        <v>6517</v>
      </c>
      <c r="B4611" s="1" t="str">
        <f ca="1">IFERROR(__xludf.DUMMYFUNCTION("GOOGLETRANSLATE(A4611, ""en"", ""fr"")"),"Go # 6")</f>
        <v>Go # 6</v>
      </c>
      <c r="C4611" s="1" t="s">
        <v>185</v>
      </c>
      <c r="J4611" s="1" t="s">
        <v>6</v>
      </c>
      <c r="N4611" s="1" t="s">
        <v>10</v>
      </c>
      <c r="CE4611" s="1" t="s">
        <v>79</v>
      </c>
      <c r="DN4611" s="1" t="s">
        <v>114</v>
      </c>
      <c r="GD4611" s="1" t="s">
        <v>6508</v>
      </c>
      <c r="GE4611" s="1" t="s">
        <v>6518</v>
      </c>
    </row>
    <row r="4612" spans="1:187" ht="11.25" customHeight="1">
      <c r="A4612" s="1" t="s">
        <v>6519</v>
      </c>
      <c r="B4612" s="1" t="str">
        <f ca="1">IFERROR(__xludf.DUMMYFUNCTION("GOOGLETRANSLATE(A4612, ""en"", ""fr"")"),"Go # 7")</f>
        <v>Go # 7</v>
      </c>
      <c r="C4612" s="1" t="s">
        <v>185</v>
      </c>
      <c r="G4612" s="1" t="s">
        <v>3</v>
      </c>
      <c r="M4612" s="1" t="s">
        <v>9</v>
      </c>
      <c r="N4612" s="1" t="s">
        <v>10</v>
      </c>
      <c r="AN4612" s="1" t="s">
        <v>36</v>
      </c>
      <c r="DN4612" s="1" t="s">
        <v>114</v>
      </c>
      <c r="DX4612" s="1" t="s">
        <v>124</v>
      </c>
      <c r="ED4612" s="1" t="s">
        <v>130</v>
      </c>
      <c r="GD4612" s="1" t="s">
        <v>6508</v>
      </c>
      <c r="GE4612" s="1" t="s">
        <v>6520</v>
      </c>
    </row>
    <row r="4613" spans="1:187" ht="11.25" customHeight="1">
      <c r="A4613" s="1" t="s">
        <v>6521</v>
      </c>
      <c r="B4613" s="1" t="str">
        <f ca="1">IFERROR(__xludf.DUMMYFUNCTION("GOOGLETRANSLATE(A4613, ""en"", ""fr"")"),"Go # 8")</f>
        <v>Go # 8</v>
      </c>
      <c r="C4613" s="1" t="s">
        <v>185</v>
      </c>
      <c r="GD4613" s="1" t="s">
        <v>225</v>
      </c>
      <c r="GE4613" s="1" t="s">
        <v>6522</v>
      </c>
    </row>
    <row r="4614" spans="1:187" ht="11.25" customHeight="1">
      <c r="A4614" s="1" t="s">
        <v>6523</v>
      </c>
      <c r="B4614" s="1" t="str">
        <f ca="1">IFERROR(__xludf.DUMMYFUNCTION("GOOGLETRANSLATE(A4614, ""en"", ""fr"")"),"BUT")</f>
        <v>BUT</v>
      </c>
      <c r="C4614" s="1" t="s">
        <v>185</v>
      </c>
      <c r="BO4614" s="1" t="s">
        <v>63</v>
      </c>
      <c r="CP4614" s="1" t="s">
        <v>90</v>
      </c>
      <c r="CQ4614" s="1" t="s">
        <v>91</v>
      </c>
      <c r="FR4614" s="1" t="s">
        <v>170</v>
      </c>
      <c r="GD4614" s="1" t="s">
        <v>193</v>
      </c>
      <c r="GE4614" s="1" t="s">
        <v>6524</v>
      </c>
    </row>
    <row r="4615" spans="1:187" ht="11.25" customHeight="1">
      <c r="A4615" s="1" t="s">
        <v>6525</v>
      </c>
      <c r="B4615" s="1" t="str">
        <f ca="1">IFERROR(__xludf.DUMMYFUNCTION("GOOGLETRANSLATE(A4615, ""en"", ""fr"")"),"CHÈVRE")</f>
        <v>CHÈVRE</v>
      </c>
      <c r="C4615" s="1" t="s">
        <v>185</v>
      </c>
      <c r="AU4615" s="1" t="s">
        <v>43</v>
      </c>
      <c r="GD4615" s="1" t="s">
        <v>193</v>
      </c>
      <c r="GE4615" s="1" t="s">
        <v>6526</v>
      </c>
    </row>
    <row r="4616" spans="1:187" ht="11.25" customHeight="1">
      <c r="A4616" s="1" t="s">
        <v>6527</v>
      </c>
      <c r="B4616" s="1" t="str">
        <f ca="1">IFERROR(__xludf.DUMMYFUNCTION("GOOGLETRANSLATE(A4616, ""en"", ""fr"")"),"DIEU")</f>
        <v>DIEU</v>
      </c>
      <c r="C4616" s="1" t="s">
        <v>185</v>
      </c>
      <c r="J4616" s="1" t="s">
        <v>6</v>
      </c>
      <c r="K4616" s="1" t="s">
        <v>7</v>
      </c>
      <c r="AI4616" s="1" t="s">
        <v>31</v>
      </c>
      <c r="AJ4616" s="1" t="s">
        <v>32</v>
      </c>
      <c r="AT4616" s="1" t="s">
        <v>42</v>
      </c>
      <c r="EI4616" s="1" t="s">
        <v>135</v>
      </c>
      <c r="EJ4616" s="1" t="s">
        <v>136</v>
      </c>
      <c r="GD4616" s="1" t="s">
        <v>193</v>
      </c>
      <c r="GE4616" s="1" t="s">
        <v>6528</v>
      </c>
    </row>
    <row r="4617" spans="1:187" ht="11.25" customHeight="1">
      <c r="A4617" s="1" t="s">
        <v>6529</v>
      </c>
      <c r="B4617" s="1" t="str">
        <f ca="1">IFERROR(__xludf.DUMMYFUNCTION("GOOGLETRANSLATE(A4617, ""en"", ""fr"")"),"Putain")</f>
        <v>Putain</v>
      </c>
      <c r="C4617" s="1" t="s">
        <v>185</v>
      </c>
      <c r="E4617" s="1" t="s">
        <v>16613</v>
      </c>
      <c r="H4617" s="1" t="s">
        <v>4</v>
      </c>
      <c r="I4617" s="1" t="s">
        <v>5</v>
      </c>
      <c r="DM4617" s="1" t="s">
        <v>113</v>
      </c>
      <c r="FW4617" s="1" t="s">
        <v>175</v>
      </c>
      <c r="GD4617" s="1" t="s">
        <v>3750</v>
      </c>
      <c r="GE4617" s="1" t="s">
        <v>190</v>
      </c>
    </row>
    <row r="4618" spans="1:187" ht="11.25" customHeight="1">
      <c r="A4618" s="1" t="s">
        <v>6530</v>
      </c>
      <c r="B4618" s="1" t="str">
        <f ca="1">IFERROR(__xludf.DUMMYFUNCTION("GOOGLETRANSLATE(A4618, ""en"", ""fr"")"),"DÉESSE")</f>
        <v>DÉESSE</v>
      </c>
      <c r="C4618" s="1" t="s">
        <v>185</v>
      </c>
      <c r="J4618" s="1" t="s">
        <v>6</v>
      </c>
      <c r="K4618" s="1" t="s">
        <v>7</v>
      </c>
      <c r="AI4618" s="1" t="s">
        <v>31</v>
      </c>
      <c r="AJ4618" s="1" t="s">
        <v>32</v>
      </c>
      <c r="AR4618" s="1" t="s">
        <v>40</v>
      </c>
      <c r="AT4618" s="1" t="s">
        <v>42</v>
      </c>
      <c r="EI4618" s="1" t="s">
        <v>135</v>
      </c>
      <c r="EJ4618" s="1" t="s">
        <v>136</v>
      </c>
      <c r="GD4618" s="1" t="s">
        <v>193</v>
      </c>
      <c r="GE4618" s="1" t="s">
        <v>190</v>
      </c>
    </row>
    <row r="4619" spans="1:187" ht="11.25" customHeight="1">
      <c r="A4619" s="1" t="s">
        <v>6531</v>
      </c>
      <c r="B4619" s="1" t="str">
        <f ca="1">IFERROR(__xludf.DUMMYFUNCTION("GOOGLETRANSLATE(A4619, ""en"", ""fr"")"),"DIVIN")</f>
        <v>DIVIN</v>
      </c>
      <c r="C4619" s="1" t="s">
        <v>192</v>
      </c>
      <c r="D4619" s="1" t="s">
        <v>16612</v>
      </c>
      <c r="J4619" s="1" t="s">
        <v>6</v>
      </c>
      <c r="K4619" s="1" t="s">
        <v>7</v>
      </c>
      <c r="CR4619" s="1" t="s">
        <v>92</v>
      </c>
      <c r="DR4619" s="1" t="s">
        <v>118</v>
      </c>
      <c r="GD4619" s="1" t="s">
        <v>202</v>
      </c>
      <c r="GE4619" s="1" t="s">
        <v>190</v>
      </c>
    </row>
    <row r="4620" spans="1:187" ht="11.25" customHeight="1">
      <c r="A4620" s="1" t="s">
        <v>6532</v>
      </c>
      <c r="B4620" s="1" t="str">
        <f ca="1">IFERROR(__xludf.DUMMYFUNCTION("GOOGLETRANSLATE(A4620, ""en"", ""fr"")"),"SAINTETÉ")</f>
        <v>SAINTETÉ</v>
      </c>
      <c r="C4620" s="1" t="s">
        <v>192</v>
      </c>
      <c r="D4620" s="1" t="s">
        <v>16612</v>
      </c>
      <c r="J4620" s="1" t="s">
        <v>6</v>
      </c>
      <c r="K4620" s="1" t="s">
        <v>7</v>
      </c>
      <c r="U4620" s="1" t="s">
        <v>17</v>
      </c>
      <c r="GD4620" s="1" t="s">
        <v>193</v>
      </c>
      <c r="GE4620" s="1" t="s">
        <v>190</v>
      </c>
    </row>
    <row r="4621" spans="1:187" ht="11.25" customHeight="1">
      <c r="A4621" s="1" t="s">
        <v>6533</v>
      </c>
      <c r="B4621" s="1" t="str">
        <f ca="1">IFERROR(__xludf.DUMMYFUNCTION("GOOGLETRANSLATE(A4621, ""en"", ""fr"")"),"OR")</f>
        <v>OR</v>
      </c>
      <c r="C4621" s="1" t="s">
        <v>185</v>
      </c>
      <c r="D4621" s="1" t="s">
        <v>16612</v>
      </c>
      <c r="F4621" s="1" t="s">
        <v>2</v>
      </c>
      <c r="AA4621" s="1" t="s">
        <v>23</v>
      </c>
      <c r="AC4621" s="1" t="s">
        <v>25</v>
      </c>
      <c r="BC4621" s="1" t="s">
        <v>51</v>
      </c>
      <c r="BI4621" s="1" t="s">
        <v>57</v>
      </c>
      <c r="EV4621" s="1" t="s">
        <v>148</v>
      </c>
      <c r="EW4621" s="1" t="s">
        <v>149</v>
      </c>
      <c r="GD4621" s="1" t="s">
        <v>193</v>
      </c>
      <c r="GE4621" s="1" t="s">
        <v>190</v>
      </c>
    </row>
    <row r="4622" spans="1:187" ht="11.25" customHeight="1">
      <c r="A4622" s="1" t="s">
        <v>6534</v>
      </c>
      <c r="B4622" s="1" t="str">
        <f ca="1">IFERROR(__xludf.DUMMYFUNCTION("GOOGLETRANSLATE(A4622, ""en"", ""fr"")"),"DORÉ")</f>
        <v>DORÉ</v>
      </c>
      <c r="C4622" s="1" t="s">
        <v>185</v>
      </c>
      <c r="D4622" s="1" t="s">
        <v>16612</v>
      </c>
      <c r="F4622" s="1" t="s">
        <v>2</v>
      </c>
      <c r="DE4622" s="1" t="s">
        <v>105</v>
      </c>
      <c r="EV4622" s="1" t="s">
        <v>148</v>
      </c>
      <c r="EW4622" s="1" t="s">
        <v>149</v>
      </c>
      <c r="GD4622" s="1" t="s">
        <v>202</v>
      </c>
      <c r="GE4622" s="1" t="s">
        <v>190</v>
      </c>
    </row>
    <row r="4623" spans="1:187" ht="11.25" customHeight="1">
      <c r="A4623" s="1" t="s">
        <v>6535</v>
      </c>
      <c r="B4623" s="1" t="str">
        <f ca="1">IFERROR(__xludf.DUMMYFUNCTION("GOOGLETRANSLATE(A4623, ""en"", ""fr"")"),"Parti # 1")</f>
        <v>Parti # 1</v>
      </c>
      <c r="C4623" s="1" t="s">
        <v>185</v>
      </c>
      <c r="N4623" s="1" t="s">
        <v>10</v>
      </c>
      <c r="BW4623" s="1" t="s">
        <v>71</v>
      </c>
      <c r="DO4623" s="1" t="s">
        <v>115</v>
      </c>
      <c r="GD4623" s="1" t="s">
        <v>6536</v>
      </c>
      <c r="GE4623" s="1" t="s">
        <v>6537</v>
      </c>
    </row>
    <row r="4624" spans="1:187" ht="11.25" customHeight="1">
      <c r="A4624" s="1" t="s">
        <v>6538</v>
      </c>
      <c r="B4624" s="1" t="str">
        <f ca="1">IFERROR(__xludf.DUMMYFUNCTION("GOOGLETRANSLATE(A4624, ""en"", ""fr"")"),"Parti # 2")</f>
        <v>Parti # 2</v>
      </c>
      <c r="C4624" s="1" t="s">
        <v>185</v>
      </c>
      <c r="J4624" s="1" t="s">
        <v>6</v>
      </c>
      <c r="N4624" s="1" t="s">
        <v>10</v>
      </c>
      <c r="BR4624" s="1" t="s">
        <v>66</v>
      </c>
      <c r="DO4624" s="1" t="s">
        <v>115</v>
      </c>
      <c r="GD4624" s="1" t="s">
        <v>1076</v>
      </c>
      <c r="GE4624" s="1" t="s">
        <v>6539</v>
      </c>
    </row>
    <row r="4625" spans="1:187" ht="11.25" customHeight="1">
      <c r="A4625" s="1" t="s">
        <v>6540</v>
      </c>
      <c r="B4625" s="1" t="str">
        <f ca="1">IFERROR(__xludf.DUMMYFUNCTION("GOOGLETRANSLATE(A4625, ""en"", ""fr"")"),"Parti # 3")</f>
        <v>Parti # 3</v>
      </c>
      <c r="C4625" s="1" t="s">
        <v>185</v>
      </c>
      <c r="GD4625" s="1" t="s">
        <v>225</v>
      </c>
      <c r="GE4625" s="1" t="s">
        <v>6541</v>
      </c>
    </row>
    <row r="4626" spans="1:187" ht="11.25" customHeight="1">
      <c r="A4626" s="1" t="s">
        <v>6542</v>
      </c>
      <c r="B4626" s="1" t="str">
        <f ca="1">IFERROR(__xludf.DUMMYFUNCTION("GOOGLETRANSLATE(A4626, ""en"", ""fr"")"),"Parti # 4")</f>
        <v>Parti # 4</v>
      </c>
      <c r="C4626" s="1" t="s">
        <v>185</v>
      </c>
      <c r="GD4626" s="1" t="s">
        <v>225</v>
      </c>
      <c r="GE4626" s="1" t="s">
        <v>6541</v>
      </c>
    </row>
    <row r="4627" spans="1:187" ht="11.25" customHeight="1">
      <c r="A4627" s="1" t="s">
        <v>6543</v>
      </c>
      <c r="B4627" s="1" t="str">
        <f ca="1">IFERROR(__xludf.DUMMYFUNCTION("GOOGLETRANSLATE(A4627, ""en"", ""fr"")"),"Gone # 5")</f>
        <v>Gone # 5</v>
      </c>
      <c r="C4627" s="1" t="s">
        <v>185</v>
      </c>
      <c r="GD4627" s="1" t="s">
        <v>225</v>
      </c>
      <c r="GE4627" s="1" t="s">
        <v>6541</v>
      </c>
    </row>
    <row r="4628" spans="1:187" ht="11.25" customHeight="1">
      <c r="A4628" s="1" t="s">
        <v>6544</v>
      </c>
      <c r="B4628" s="1" t="str">
        <f ca="1">IFERROR(__xludf.DUMMYFUNCTION("GOOGLETRANSLATE(A4628, ""en"", ""fr"")"),"Parti # 6")</f>
        <v>Parti # 6</v>
      </c>
      <c r="C4628" s="1" t="s">
        <v>185</v>
      </c>
      <c r="GD4628" s="1" t="s">
        <v>225</v>
      </c>
      <c r="GE4628" s="1" t="s">
        <v>6541</v>
      </c>
    </row>
    <row r="4629" spans="1:187" ht="11.25" customHeight="1">
      <c r="A4629" s="1" t="s">
        <v>6545</v>
      </c>
      <c r="B4629" s="1" t="str">
        <f ca="1">IFERROR(__xludf.DUMMYFUNCTION("GOOGLETRANSLATE(A4629, ""en"", ""fr"")"),"Gone # 7")</f>
        <v>Gone # 7</v>
      </c>
      <c r="C4629" s="1" t="s">
        <v>185</v>
      </c>
      <c r="G4629" s="1" t="s">
        <v>3</v>
      </c>
      <c r="M4629" s="1" t="s">
        <v>9</v>
      </c>
      <c r="AN4629" s="1" t="s">
        <v>36</v>
      </c>
      <c r="GD4629" s="1" t="s">
        <v>225</v>
      </c>
      <c r="GE4629" s="1" t="s">
        <v>6546</v>
      </c>
    </row>
    <row r="4630" spans="1:187" ht="11.25" customHeight="1">
      <c r="A4630" s="1" t="s">
        <v>6547</v>
      </c>
      <c r="B4630" s="1" t="str">
        <f ca="1">IFERROR(__xludf.DUMMYFUNCTION("GOOGLETRANSLATE(A4630, ""en"", ""fr"")"),"Gone # 8")</f>
        <v>Gone # 8</v>
      </c>
      <c r="C4630" s="1" t="s">
        <v>185</v>
      </c>
      <c r="GD4630" s="1" t="s">
        <v>225</v>
      </c>
      <c r="GE4630" s="1" t="s">
        <v>6541</v>
      </c>
    </row>
    <row r="4631" spans="1:187" ht="11.25" customHeight="1">
      <c r="A4631" s="1" t="s">
        <v>6548</v>
      </c>
      <c r="B4631" s="1" t="str">
        <f ca="1">IFERROR(__xludf.DUMMYFUNCTION("GOOGLETRANSLATE(A4631, ""en"", ""fr"")"),"Parti # 9")</f>
        <v>Parti # 9</v>
      </c>
      <c r="C4631" s="1" t="s">
        <v>185</v>
      </c>
      <c r="O4631" s="1" t="s">
        <v>11</v>
      </c>
      <c r="BZ4631" s="1" t="s">
        <v>74</v>
      </c>
      <c r="GD4631" s="1" t="s">
        <v>202</v>
      </c>
      <c r="GE4631" s="1" t="s">
        <v>6549</v>
      </c>
    </row>
    <row r="4632" spans="1:187" ht="11.25" customHeight="1">
      <c r="A4632" s="1" t="s">
        <v>6550</v>
      </c>
      <c r="B4632" s="1" t="str">
        <f ca="1">IFERROR(__xludf.DUMMYFUNCTION("GOOGLETRANSLATE(A4632, ""en"", ""fr"")"),"VA")</f>
        <v>VA</v>
      </c>
      <c r="C4632" s="1" t="s">
        <v>185</v>
      </c>
      <c r="BW4632" s="1" t="s">
        <v>71</v>
      </c>
      <c r="DN4632" s="1" t="s">
        <v>114</v>
      </c>
      <c r="GD4632" s="1" t="s">
        <v>6511</v>
      </c>
      <c r="GE4632" s="1" t="s">
        <v>190</v>
      </c>
    </row>
    <row r="4633" spans="1:187" ht="11.25" customHeight="1">
      <c r="A4633" s="1" t="s">
        <v>6551</v>
      </c>
      <c r="B4633" s="1" t="str">
        <f ca="1">IFERROR(__xludf.DUMMYFUNCTION("GOOGLETRANSLATE(A4633, ""en"", ""fr"")"),"Bon # 1")</f>
        <v>Bon # 1</v>
      </c>
      <c r="C4633" s="1" t="s">
        <v>185</v>
      </c>
      <c r="D4633" s="1" t="s">
        <v>16612</v>
      </c>
      <c r="F4633" s="1" t="s">
        <v>2</v>
      </c>
      <c r="U4633" s="1" t="s">
        <v>17</v>
      </c>
      <c r="CN4633" s="1" t="s">
        <v>88</v>
      </c>
      <c r="FX4633" s="1" t="s">
        <v>176</v>
      </c>
      <c r="GD4633" s="1" t="s">
        <v>421</v>
      </c>
      <c r="GE4633" s="1" t="s">
        <v>6552</v>
      </c>
    </row>
    <row r="4634" spans="1:187" ht="11.25" customHeight="1">
      <c r="A4634" s="1" t="s">
        <v>6553</v>
      </c>
      <c r="B4634" s="1" t="str">
        <f ca="1">IFERROR(__xludf.DUMMYFUNCTION("GOOGLETRANSLATE(A4634, ""en"", ""fr"")"),"Bon # 2")</f>
        <v>Bon # 2</v>
      </c>
      <c r="C4634" s="1" t="s">
        <v>185</v>
      </c>
      <c r="W4634" s="1" t="s">
        <v>19</v>
      </c>
      <c r="CY4634" s="1" t="s">
        <v>99</v>
      </c>
      <c r="FY4634" s="1" t="s">
        <v>177</v>
      </c>
      <c r="GD4634" s="1" t="s">
        <v>5405</v>
      </c>
      <c r="GE4634" s="1" t="s">
        <v>6554</v>
      </c>
    </row>
    <row r="4635" spans="1:187" ht="11.25" customHeight="1">
      <c r="A4635" s="1" t="s">
        <v>6555</v>
      </c>
      <c r="B4635" s="1" t="str">
        <f ca="1">IFERROR(__xludf.DUMMYFUNCTION("GOOGLETRANSLATE(A4635, ""en"", ""fr"")"),"Bon # 3")</f>
        <v>Bon # 3</v>
      </c>
      <c r="C4635" s="1" t="s">
        <v>185</v>
      </c>
      <c r="GD4635" s="1" t="s">
        <v>225</v>
      </c>
      <c r="GE4635" s="1" t="s">
        <v>6556</v>
      </c>
    </row>
    <row r="4636" spans="1:187" ht="11.25" customHeight="1">
      <c r="A4636" s="1" t="s">
        <v>6557</v>
      </c>
      <c r="B4636" s="1" t="str">
        <f ca="1">IFERROR(__xludf.DUMMYFUNCTION("GOOGLETRANSLATE(A4636, ""en"", ""fr"")"),"Bon # 4")</f>
        <v>Bon # 4</v>
      </c>
      <c r="C4636" s="1" t="s">
        <v>185</v>
      </c>
      <c r="GD4636" s="1" t="s">
        <v>225</v>
      </c>
      <c r="GE4636" s="1" t="s">
        <v>6558</v>
      </c>
    </row>
    <row r="4637" spans="1:187" ht="11.25" customHeight="1">
      <c r="A4637" s="1" t="s">
        <v>6559</v>
      </c>
      <c r="B4637" s="1" t="str">
        <f ca="1">IFERROR(__xludf.DUMMYFUNCTION("GOOGLETRANSLATE(A4637, ""en"", ""fr"")"),"Au revoir")</f>
        <v>Au revoir</v>
      </c>
      <c r="C4637" s="1" t="s">
        <v>196</v>
      </c>
      <c r="ER4637" s="1" t="s">
        <v>144</v>
      </c>
      <c r="ES4637" s="1" t="s">
        <v>145</v>
      </c>
      <c r="GD4637" s="1" t="s">
        <v>3750</v>
      </c>
    </row>
    <row r="4638" spans="1:187" ht="11.25" customHeight="1">
      <c r="A4638" s="1" t="s">
        <v>6560</v>
      </c>
      <c r="B4638" s="1" t="str">
        <f ca="1">IFERROR(__xludf.DUMMYFUNCTION("GOOGLETRANSLATE(A4638, ""en"", ""fr"")"),"BONNE VOLONTÉ")</f>
        <v>BONNE VOLONTÉ</v>
      </c>
      <c r="C4638" s="1" t="s">
        <v>196</v>
      </c>
      <c r="EE4638" s="1" t="s">
        <v>131</v>
      </c>
      <c r="EJ4638" s="1" t="s">
        <v>136</v>
      </c>
      <c r="GD4638" s="1" t="s">
        <v>193</v>
      </c>
    </row>
    <row r="4639" spans="1:187" ht="11.25" customHeight="1">
      <c r="A4639" s="1" t="s">
        <v>6561</v>
      </c>
      <c r="B4639" s="1" t="str">
        <f ca="1">IFERROR(__xludf.DUMMYFUNCTION("GOOGLETRANSLATE(A4639, ""en"", ""fr"")"),"AU REVOIR")</f>
        <v>AU REVOIR</v>
      </c>
      <c r="C4639" s="1" t="s">
        <v>192</v>
      </c>
      <c r="D4639" s="1" t="s">
        <v>16612</v>
      </c>
      <c r="F4639" s="1" t="s">
        <v>2</v>
      </c>
      <c r="G4639" s="1" t="s">
        <v>3</v>
      </c>
      <c r="DM4639" s="1" t="s">
        <v>113</v>
      </c>
      <c r="GE4639" s="1" t="s">
        <v>190</v>
      </c>
    </row>
    <row r="4640" spans="1:187" ht="11.25" customHeight="1">
      <c r="A4640" s="1" t="s">
        <v>6562</v>
      </c>
      <c r="B4640" s="1" t="str">
        <f ca="1">IFERROR(__xludf.DUMMYFUNCTION("GOOGLETRANSLATE(A4640, ""en"", ""fr"")"),"BONTÉ")</f>
        <v>BONTÉ</v>
      </c>
      <c r="C4640" s="1" t="s">
        <v>185</v>
      </c>
      <c r="D4640" s="1" t="s">
        <v>16612</v>
      </c>
      <c r="F4640" s="1" t="s">
        <v>2</v>
      </c>
      <c r="U4640" s="1" t="s">
        <v>17</v>
      </c>
      <c r="EE4640" s="1" t="s">
        <v>131</v>
      </c>
      <c r="EJ4640" s="1" t="s">
        <v>136</v>
      </c>
      <c r="GD4640" s="1" t="s">
        <v>193</v>
      </c>
      <c r="GE4640" s="1" t="s">
        <v>190</v>
      </c>
    </row>
    <row r="4641" spans="1:187" ht="11.25" customHeight="1">
      <c r="A4641" s="1" t="s">
        <v>6563</v>
      </c>
      <c r="B4641" s="1" t="str">
        <f ca="1">IFERROR(__xludf.DUMMYFUNCTION("GOOGLETRANSLATE(A4641, ""en"", ""fr"")"),"MARCHANDISES")</f>
        <v>MARCHANDISES</v>
      </c>
      <c r="C4641" s="1" t="s">
        <v>185</v>
      </c>
      <c r="AA4641" s="1" t="s">
        <v>23</v>
      </c>
      <c r="AC4641" s="1" t="s">
        <v>25</v>
      </c>
      <c r="BC4641" s="1" t="s">
        <v>51</v>
      </c>
      <c r="BD4641" s="1" t="s">
        <v>52</v>
      </c>
      <c r="EV4641" s="1" t="s">
        <v>148</v>
      </c>
      <c r="EW4641" s="1" t="s">
        <v>149</v>
      </c>
      <c r="GD4641" s="1" t="s">
        <v>193</v>
      </c>
      <c r="GE4641" s="1" t="s">
        <v>6564</v>
      </c>
    </row>
    <row r="4642" spans="1:187" ht="11.25" customHeight="1">
      <c r="A4642" s="1" t="s">
        <v>6565</v>
      </c>
      <c r="B4642" s="1" t="str">
        <f ca="1">IFERROR(__xludf.DUMMYFUNCTION("GOOGLETRANSLATE(A4642, ""en"", ""fr"")"),"BONNE VOLONTÉ")</f>
        <v>BONNE VOLONTÉ</v>
      </c>
      <c r="C4642" s="1" t="s">
        <v>196</v>
      </c>
      <c r="EE4642" s="1" t="s">
        <v>131</v>
      </c>
      <c r="EJ4642" s="1" t="s">
        <v>136</v>
      </c>
      <c r="GD4642" s="1" t="s">
        <v>193</v>
      </c>
    </row>
    <row r="4643" spans="1:187" ht="11.25" customHeight="1">
      <c r="A4643" s="1" t="s">
        <v>6566</v>
      </c>
      <c r="B4643" s="1" t="str">
        <f ca="1">IFERROR(__xludf.DUMMYFUNCTION("GOOGLETRANSLATE(A4643, ""en"", ""fr"")"),"MAGNIFIQUE")</f>
        <v>MAGNIFIQUE</v>
      </c>
      <c r="C4643" s="1" t="s">
        <v>192</v>
      </c>
      <c r="D4643" s="1" t="s">
        <v>16612</v>
      </c>
      <c r="CM4643" s="1" t="s">
        <v>87</v>
      </c>
      <c r="CR4643" s="1" t="s">
        <v>92</v>
      </c>
      <c r="DR4643" s="1" t="s">
        <v>118</v>
      </c>
      <c r="GD4643" s="1" t="s">
        <v>202</v>
      </c>
      <c r="GE4643" s="1" t="s">
        <v>190</v>
      </c>
    </row>
    <row r="4644" spans="1:187" ht="11.25" customHeight="1">
      <c r="A4644" s="1" t="s">
        <v>6567</v>
      </c>
      <c r="B4644" s="1" t="str">
        <f ca="1">IFERROR(__xludf.DUMMYFUNCTION("GOOGLETRANSLATE(A4644, ""en"", ""fr"")"),"GOSPEL")</f>
        <v>GOSPEL</v>
      </c>
      <c r="C4644" s="1" t="s">
        <v>185</v>
      </c>
      <c r="AI4644" s="1" t="s">
        <v>31</v>
      </c>
      <c r="BC4644" s="1" t="s">
        <v>51</v>
      </c>
      <c r="BH4644" s="1" t="s">
        <v>56</v>
      </c>
      <c r="BL4644" s="1" t="s">
        <v>60</v>
      </c>
      <c r="EF4644" s="1" t="s">
        <v>132</v>
      </c>
      <c r="EJ4644" s="1" t="s">
        <v>136</v>
      </c>
      <c r="GD4644" s="1" t="s">
        <v>193</v>
      </c>
      <c r="GE4644" s="1" t="s">
        <v>190</v>
      </c>
    </row>
    <row r="4645" spans="1:187" ht="11.25" customHeight="1">
      <c r="A4645" s="1" t="s">
        <v>6568</v>
      </c>
      <c r="B4645" s="1" t="str">
        <f ca="1">IFERROR(__xludf.DUMMYFUNCTION("GOOGLETRANSLATE(A4645, ""en"", ""fr"")"),"Potins # 1")</f>
        <v>Potins # 1</v>
      </c>
      <c r="C4645" s="1" t="s">
        <v>185</v>
      </c>
      <c r="BK4645" s="1" t="s">
        <v>59</v>
      </c>
      <c r="BL4645" s="1" t="s">
        <v>60</v>
      </c>
      <c r="FH4645" s="1" t="s">
        <v>160</v>
      </c>
      <c r="FI4645" s="1" t="s">
        <v>161</v>
      </c>
      <c r="GC4645" s="1" t="s">
        <v>181</v>
      </c>
      <c r="GD4645" s="1" t="s">
        <v>193</v>
      </c>
      <c r="GE4645" s="1" t="s">
        <v>190</v>
      </c>
    </row>
    <row r="4646" spans="1:187" ht="11.25" customHeight="1">
      <c r="A4646" s="1" t="s">
        <v>6569</v>
      </c>
      <c r="B4646" s="1" t="str">
        <f ca="1">IFERROR(__xludf.DUMMYFUNCTION("GOOGLETRANSLATE(A4646, ""en"", ""fr"")"),"Potins n ° 2")</f>
        <v>Potins n ° 2</v>
      </c>
      <c r="C4646" s="1" t="s">
        <v>185</v>
      </c>
      <c r="G4646" s="1" t="s">
        <v>3</v>
      </c>
      <c r="BK4646" s="1" t="s">
        <v>59</v>
      </c>
      <c r="DN4646" s="1" t="s">
        <v>114</v>
      </c>
      <c r="FH4646" s="1" t="s">
        <v>160</v>
      </c>
      <c r="FI4646" s="1" t="s">
        <v>161</v>
      </c>
      <c r="GD4646" s="1" t="s">
        <v>189</v>
      </c>
      <c r="GE4646" s="1" t="s">
        <v>190</v>
      </c>
    </row>
    <row r="4647" spans="1:187" ht="11.25" customHeight="1">
      <c r="A4647" s="1" t="s">
        <v>6570</v>
      </c>
      <c r="B4647" s="1" t="str">
        <f ca="1">IFERROR(__xludf.DUMMYFUNCTION("GOOGLETRANSLATE(A4647, ""en"", ""fr"")"),"Got # 1")</f>
        <v>Got # 1</v>
      </c>
      <c r="C4647" s="1" t="s">
        <v>192</v>
      </c>
      <c r="GD4647" s="1" t="s">
        <v>1085</v>
      </c>
      <c r="GE4647" s="1" t="s">
        <v>190</v>
      </c>
    </row>
    <row r="4648" spans="1:187" ht="11.25" customHeight="1">
      <c r="A4648" s="1" t="s">
        <v>6571</v>
      </c>
      <c r="B4648" s="1" t="str">
        <f ca="1">IFERROR(__xludf.DUMMYFUNCTION("GOOGLETRANSLATE(A4648, ""en"", ""fr"")"),"Gotten # 1")</f>
        <v>Gotten # 1</v>
      </c>
      <c r="C4648" s="1" t="s">
        <v>192</v>
      </c>
      <c r="GD4648" s="1" t="s">
        <v>1085</v>
      </c>
      <c r="GE4648" s="1" t="s">
        <v>190</v>
      </c>
    </row>
    <row r="4649" spans="1:187" ht="11.25" customHeight="1">
      <c r="A4649" s="1" t="s">
        <v>6572</v>
      </c>
      <c r="B4649" s="1" t="str">
        <f ca="1">IFERROR(__xludf.DUMMYFUNCTION("GOOGLETRANSLATE(A4649, ""en"", ""fr"")"),"Gouverner n ° 1")</f>
        <v>Gouverner n ° 1</v>
      </c>
      <c r="C4649" s="1" t="s">
        <v>185</v>
      </c>
      <c r="J4649" s="1" t="s">
        <v>6</v>
      </c>
      <c r="AG4649" s="1" t="s">
        <v>29</v>
      </c>
      <c r="AK4649" s="1" t="s">
        <v>33</v>
      </c>
      <c r="AT4649" s="1" t="s">
        <v>42</v>
      </c>
      <c r="EB4649" s="1" t="s">
        <v>128</v>
      </c>
      <c r="ED4649" s="1" t="s">
        <v>130</v>
      </c>
      <c r="GD4649" s="1" t="s">
        <v>193</v>
      </c>
      <c r="GE4649" s="1" t="s">
        <v>190</v>
      </c>
    </row>
    <row r="4650" spans="1:187" ht="11.25" customHeight="1">
      <c r="A4650" s="1" t="s">
        <v>6573</v>
      </c>
      <c r="B4650" s="1" t="str">
        <f ca="1">IFERROR(__xludf.DUMMYFUNCTION("GOOGLETRANSLATE(A4650, ""en"", ""fr"")"),"Gouverner n ° 2")</f>
        <v>Gouverner n ° 2</v>
      </c>
      <c r="C4650" s="1" t="s">
        <v>185</v>
      </c>
      <c r="J4650" s="1" t="s">
        <v>6</v>
      </c>
      <c r="K4650" s="1" t="s">
        <v>7</v>
      </c>
      <c r="AG4650" s="1" t="s">
        <v>29</v>
      </c>
      <c r="AN4650" s="1" t="s">
        <v>36</v>
      </c>
      <c r="DN4650" s="1" t="s">
        <v>114</v>
      </c>
      <c r="EB4650" s="1" t="s">
        <v>128</v>
      </c>
      <c r="ED4650" s="1" t="s">
        <v>130</v>
      </c>
      <c r="GD4650" s="1" t="s">
        <v>189</v>
      </c>
      <c r="GE4650" s="1" t="s">
        <v>190</v>
      </c>
    </row>
    <row r="4651" spans="1:187" ht="11.25" customHeight="1">
      <c r="A4651" s="1" t="s">
        <v>6574</v>
      </c>
      <c r="B4651" s="1" t="str">
        <f ca="1">IFERROR(__xludf.DUMMYFUNCTION("GOOGLETRANSLATE(A4651, ""en"", ""fr"")"),"GOUVERNEMENT")</f>
        <v>GOUVERNEMENT</v>
      </c>
      <c r="C4651" s="1" t="s">
        <v>185</v>
      </c>
      <c r="J4651" s="1" t="s">
        <v>6</v>
      </c>
      <c r="K4651" s="1" t="s">
        <v>7</v>
      </c>
      <c r="AG4651" s="1" t="s">
        <v>29</v>
      </c>
      <c r="AH4651" s="1" t="s">
        <v>30</v>
      </c>
      <c r="AK4651" s="1" t="s">
        <v>33</v>
      </c>
      <c r="AT4651" s="1" t="s">
        <v>42</v>
      </c>
      <c r="DY4651" s="1" t="s">
        <v>125</v>
      </c>
      <c r="ED4651" s="1" t="s">
        <v>130</v>
      </c>
      <c r="GD4651" s="1" t="s">
        <v>193</v>
      </c>
      <c r="GE4651" s="1" t="s">
        <v>6575</v>
      </c>
    </row>
    <row r="4652" spans="1:187" ht="11.25" customHeight="1">
      <c r="A4652" s="1" t="s">
        <v>6576</v>
      </c>
      <c r="B4652" s="1" t="str">
        <f ca="1">IFERROR(__xludf.DUMMYFUNCTION("GOOGLETRANSLATE(A4652, ""en"", ""fr"")"),"GOUVERNEMENTAL")</f>
        <v>GOUVERNEMENTAL</v>
      </c>
      <c r="C4652" s="1" t="s">
        <v>185</v>
      </c>
      <c r="J4652" s="1" t="s">
        <v>6</v>
      </c>
      <c r="Z4652" s="1" t="s">
        <v>22</v>
      </c>
      <c r="AG4652" s="1" t="s">
        <v>29</v>
      </c>
      <c r="AH4652" s="1" t="s">
        <v>30</v>
      </c>
      <c r="EB4652" s="1" t="s">
        <v>128</v>
      </c>
      <c r="ED4652" s="1" t="s">
        <v>130</v>
      </c>
      <c r="GD4652" s="1" t="s">
        <v>202</v>
      </c>
      <c r="GE4652" s="1" t="s">
        <v>190</v>
      </c>
    </row>
    <row r="4653" spans="1:187" ht="11.25" customHeight="1">
      <c r="A4653" s="1" t="s">
        <v>6577</v>
      </c>
      <c r="B4653" s="1" t="str">
        <f ca="1">IFERROR(__xludf.DUMMYFUNCTION("GOOGLETRANSLATE(A4653, ""en"", ""fr"")"),"GOUVERNEUR")</f>
        <v>GOUVERNEUR</v>
      </c>
      <c r="C4653" s="1" t="s">
        <v>185</v>
      </c>
      <c r="J4653" s="1" t="s">
        <v>6</v>
      </c>
      <c r="K4653" s="1" t="s">
        <v>7</v>
      </c>
      <c r="AG4653" s="1" t="s">
        <v>29</v>
      </c>
      <c r="AH4653" s="1" t="s">
        <v>30</v>
      </c>
      <c r="AJ4653" s="1" t="s">
        <v>32</v>
      </c>
      <c r="AT4653" s="1" t="s">
        <v>42</v>
      </c>
      <c r="DY4653" s="1" t="s">
        <v>125</v>
      </c>
      <c r="ED4653" s="1" t="s">
        <v>130</v>
      </c>
      <c r="GD4653" s="1" t="s">
        <v>193</v>
      </c>
      <c r="GE4653" s="1" t="s">
        <v>190</v>
      </c>
    </row>
    <row r="4654" spans="1:187" ht="11.25" customHeight="1">
      <c r="A4654" s="1" t="s">
        <v>6578</v>
      </c>
      <c r="B4654" s="1" t="str">
        <f ca="1">IFERROR(__xludf.DUMMYFUNCTION("GOOGLETRANSLATE(A4654, ""en"", ""fr"")"),"SAISIR")</f>
        <v>SAISIR</v>
      </c>
      <c r="C4654" s="1" t="s">
        <v>185</v>
      </c>
      <c r="E4654" s="1" t="s">
        <v>16613</v>
      </c>
      <c r="H4654" s="1" t="s">
        <v>4</v>
      </c>
      <c r="I4654" s="1" t="s">
        <v>5</v>
      </c>
      <c r="N4654" s="1" t="s">
        <v>10</v>
      </c>
      <c r="CC4654" s="1" t="s">
        <v>77</v>
      </c>
      <c r="DO4654" s="1" t="s">
        <v>115</v>
      </c>
      <c r="FP4654" s="1" t="s">
        <v>168</v>
      </c>
      <c r="GD4654" s="1" t="s">
        <v>189</v>
      </c>
      <c r="GE4654" s="1" t="s">
        <v>6579</v>
      </c>
    </row>
    <row r="4655" spans="1:187" ht="11.25" customHeight="1">
      <c r="A4655" s="1" t="s">
        <v>6580</v>
      </c>
      <c r="B4655" s="1" t="str">
        <f ca="1">IFERROR(__xludf.DUMMYFUNCTION("GOOGLETRANSLATE(A4655, ""en"", ""fr"")"),"LA GRÂCE")</f>
        <v>LA GRÂCE</v>
      </c>
      <c r="C4655" s="1" t="s">
        <v>185</v>
      </c>
      <c r="D4655" s="1" t="s">
        <v>16612</v>
      </c>
      <c r="F4655" s="1" t="s">
        <v>2</v>
      </c>
      <c r="U4655" s="1" t="s">
        <v>17</v>
      </c>
      <c r="AI4655" s="1" t="s">
        <v>31</v>
      </c>
      <c r="GD4655" s="1" t="s">
        <v>193</v>
      </c>
      <c r="GE4655" s="1" t="s">
        <v>190</v>
      </c>
    </row>
    <row r="4656" spans="1:187" ht="11.25" customHeight="1">
      <c r="A4656" s="1" t="s">
        <v>6581</v>
      </c>
      <c r="B4656" s="1" t="str">
        <f ca="1">IFERROR(__xludf.DUMMYFUNCTION("GOOGLETRANSLATE(A4656, ""en"", ""fr"")"),"GRACIEUX")</f>
        <v>GRACIEUX</v>
      </c>
      <c r="C4656" s="1" t="s">
        <v>185</v>
      </c>
      <c r="D4656" s="1" t="s">
        <v>16612</v>
      </c>
      <c r="F4656" s="1" t="s">
        <v>2</v>
      </c>
      <c r="U4656" s="1" t="s">
        <v>17</v>
      </c>
      <c r="CN4656" s="1" t="s">
        <v>88</v>
      </c>
      <c r="FJ4656" s="1" t="s">
        <v>162</v>
      </c>
      <c r="FM4656" s="1" t="s">
        <v>418</v>
      </c>
      <c r="GD4656" s="1" t="s">
        <v>202</v>
      </c>
      <c r="GE4656" s="1" t="s">
        <v>190</v>
      </c>
    </row>
    <row r="4657" spans="1:187" ht="11.25" customHeight="1">
      <c r="A4657" s="1" t="s">
        <v>6582</v>
      </c>
      <c r="B4657" s="1" t="str">
        <f ca="1">IFERROR(__xludf.DUMMYFUNCTION("GOOGLETRANSLATE(A4657, ""en"", ""fr"")"),"GRACIEUX")</f>
        <v>GRACIEUX</v>
      </c>
      <c r="C4657" s="1" t="s">
        <v>185</v>
      </c>
      <c r="D4657" s="1" t="s">
        <v>16612</v>
      </c>
      <c r="F4657" s="1" t="s">
        <v>2</v>
      </c>
      <c r="G4657" s="1" t="s">
        <v>3</v>
      </c>
      <c r="K4657" s="1" t="s">
        <v>7</v>
      </c>
      <c r="U4657" s="1" t="s">
        <v>17</v>
      </c>
      <c r="CN4657" s="1" t="s">
        <v>88</v>
      </c>
      <c r="FL4657" s="1" t="s">
        <v>164</v>
      </c>
      <c r="FM4657" s="1" t="s">
        <v>418</v>
      </c>
      <c r="GD4657" s="1" t="s">
        <v>202</v>
      </c>
      <c r="GE4657" s="1" t="s">
        <v>190</v>
      </c>
    </row>
    <row r="4658" spans="1:187" ht="11.25" customHeight="1">
      <c r="A4658" s="1" t="s">
        <v>6583</v>
      </c>
      <c r="B4658" s="1" t="str">
        <f ca="1">IFERROR(__xludf.DUMMYFUNCTION("GOOGLETRANSLATE(A4658, ""en"", ""fr"")"),"Grade 1")</f>
        <v>Grade 1</v>
      </c>
      <c r="C4658" s="1" t="s">
        <v>185</v>
      </c>
      <c r="BK4658" s="1" t="s">
        <v>59</v>
      </c>
      <c r="CP4658" s="1" t="s">
        <v>90</v>
      </c>
      <c r="CQ4658" s="1" t="s">
        <v>91</v>
      </c>
      <c r="GD4658" s="1" t="s">
        <v>193</v>
      </c>
      <c r="GE4658" s="1" t="s">
        <v>6584</v>
      </c>
    </row>
    <row r="4659" spans="1:187" ht="11.25" customHeight="1">
      <c r="A4659" s="1" t="s">
        <v>6585</v>
      </c>
      <c r="B4659" s="1" t="str">
        <f ca="1">IFERROR(__xludf.DUMMYFUNCTION("GOOGLETRANSLATE(A4659, ""en"", ""fr"")"),"Grade 2")</f>
        <v>Grade 2</v>
      </c>
      <c r="C4659" s="1" t="s">
        <v>185</v>
      </c>
      <c r="Y4659" s="1" t="s">
        <v>21</v>
      </c>
      <c r="CQ4659" s="1" t="s">
        <v>91</v>
      </c>
      <c r="CY4659" s="1" t="s">
        <v>99</v>
      </c>
      <c r="CZ4659" s="1" t="s">
        <v>100</v>
      </c>
      <c r="FH4659" s="1" t="s">
        <v>160</v>
      </c>
      <c r="FI4659" s="1" t="s">
        <v>161</v>
      </c>
      <c r="GD4659" s="1" t="s">
        <v>193</v>
      </c>
      <c r="GE4659" s="1" t="s">
        <v>6586</v>
      </c>
    </row>
    <row r="4660" spans="1:187" ht="11.25" customHeight="1">
      <c r="A4660" s="1" t="s">
        <v>6587</v>
      </c>
      <c r="B4660" s="1" t="str">
        <f ca="1">IFERROR(__xludf.DUMMYFUNCTION("GOOGLETRANSLATE(A4660, ""en"", ""fr"")"),"Grade 3")</f>
        <v>Grade 3</v>
      </c>
      <c r="C4660" s="1" t="s">
        <v>185</v>
      </c>
      <c r="AL4660" s="1" t="s">
        <v>34</v>
      </c>
      <c r="DN4660" s="1" t="s">
        <v>114</v>
      </c>
      <c r="FP4660" s="1" t="s">
        <v>168</v>
      </c>
      <c r="GD4660" s="1" t="s">
        <v>189</v>
      </c>
      <c r="GE4660" s="1" t="s">
        <v>6588</v>
      </c>
    </row>
    <row r="4661" spans="1:187" ht="11.25" customHeight="1">
      <c r="A4661" s="1" t="s">
        <v>6589</v>
      </c>
      <c r="B4661" s="1" t="str">
        <f ca="1">IFERROR(__xludf.DUMMYFUNCTION("GOOGLETRANSLATE(A4661, ""en"", ""fr"")"),"GRADUEL")</f>
        <v>GRADUEL</v>
      </c>
      <c r="C4661" s="1" t="s">
        <v>185</v>
      </c>
      <c r="X4661" s="1" t="s">
        <v>20</v>
      </c>
      <c r="BR4661" s="1" t="s">
        <v>66</v>
      </c>
      <c r="GD4661" s="1" t="s">
        <v>236</v>
      </c>
      <c r="GE4661" s="1" t="s">
        <v>6590</v>
      </c>
    </row>
    <row r="4662" spans="1:187" ht="11.25" customHeight="1">
      <c r="A4662" s="1" t="s">
        <v>6591</v>
      </c>
      <c r="B4662" s="1" t="str">
        <f ca="1">IFERROR(__xludf.DUMMYFUNCTION("GOOGLETRANSLATE(A4662, ""en"", ""fr"")"),"Diplômé n ° 1")</f>
        <v>Diplômé n ° 1</v>
      </c>
      <c r="C4662" s="1" t="s">
        <v>185</v>
      </c>
      <c r="Y4662" s="1" t="s">
        <v>21</v>
      </c>
      <c r="Z4662" s="1" t="s">
        <v>22</v>
      </c>
      <c r="FH4662" s="1" t="s">
        <v>160</v>
      </c>
      <c r="FI4662" s="1" t="s">
        <v>161</v>
      </c>
      <c r="GD4662" s="1" t="s">
        <v>193</v>
      </c>
      <c r="GE4662" s="1" t="s">
        <v>6592</v>
      </c>
    </row>
    <row r="4663" spans="1:187" ht="11.25" customHeight="1">
      <c r="A4663" s="1" t="s">
        <v>6593</v>
      </c>
      <c r="B4663" s="1" t="str">
        <f ca="1">IFERROR(__xludf.DUMMYFUNCTION("GOOGLETRANSLATE(A4663, ""en"", ""fr"")"),"Diplômé n ° 2")</f>
        <v>Diplômé n ° 2</v>
      </c>
      <c r="C4663" s="1" t="s">
        <v>185</v>
      </c>
      <c r="Y4663" s="1" t="s">
        <v>21</v>
      </c>
      <c r="BS4663" s="1" t="s">
        <v>67</v>
      </c>
      <c r="DN4663" s="1" t="s">
        <v>114</v>
      </c>
      <c r="FH4663" s="1" t="s">
        <v>160</v>
      </c>
      <c r="FI4663" s="1" t="s">
        <v>161</v>
      </c>
      <c r="GD4663" s="1" t="s">
        <v>189</v>
      </c>
      <c r="GE4663" s="1" t="s">
        <v>6594</v>
      </c>
    </row>
    <row r="4664" spans="1:187" ht="11.25" customHeight="1">
      <c r="A4664" s="1" t="s">
        <v>6595</v>
      </c>
      <c r="B4664" s="1" t="str">
        <f ca="1">IFERROR(__xludf.DUMMYFUNCTION("GOOGLETRANSLATE(A4664, ""en"", ""fr"")"),"Diplômé n ° 3")</f>
        <v>Diplômé n ° 3</v>
      </c>
      <c r="C4664" s="1" t="s">
        <v>185</v>
      </c>
      <c r="Y4664" s="1" t="s">
        <v>21</v>
      </c>
      <c r="AJ4664" s="1" t="s">
        <v>32</v>
      </c>
      <c r="AT4664" s="1" t="s">
        <v>42</v>
      </c>
      <c r="FG4664" s="1" t="s">
        <v>159</v>
      </c>
      <c r="FI4664" s="1" t="s">
        <v>161</v>
      </c>
      <c r="GD4664" s="1" t="s">
        <v>193</v>
      </c>
      <c r="GE4664" s="1" t="s">
        <v>6596</v>
      </c>
    </row>
    <row r="4665" spans="1:187" ht="11.25" customHeight="1">
      <c r="A4665" s="1" t="s">
        <v>6597</v>
      </c>
      <c r="B4665" s="1" t="str">
        <f ca="1">IFERROR(__xludf.DUMMYFUNCTION("GOOGLETRANSLATE(A4665, ""en"", ""fr"")"),"Diplômé n ° 4")</f>
        <v>Diplômé n ° 4</v>
      </c>
      <c r="C4665" s="1" t="s">
        <v>185</v>
      </c>
      <c r="Y4665" s="1" t="s">
        <v>21</v>
      </c>
      <c r="BQ4665" s="1" t="s">
        <v>65</v>
      </c>
      <c r="FH4665" s="1" t="s">
        <v>160</v>
      </c>
      <c r="FI4665" s="1" t="s">
        <v>161</v>
      </c>
      <c r="GD4665" s="1" t="s">
        <v>202</v>
      </c>
      <c r="GE4665" s="1" t="s">
        <v>6598</v>
      </c>
    </row>
    <row r="4666" spans="1:187" ht="11.25" customHeight="1">
      <c r="A4666" s="1" t="s">
        <v>6599</v>
      </c>
      <c r="B4666" s="1" t="str">
        <f ca="1">IFERROR(__xludf.DUMMYFUNCTION("GOOGLETRANSLATE(A4666, ""en"", ""fr"")"),"Diplômé # 5")</f>
        <v>Diplômé # 5</v>
      </c>
      <c r="C4666" s="1" t="s">
        <v>185</v>
      </c>
      <c r="BQ4666" s="1" t="s">
        <v>65</v>
      </c>
      <c r="FH4666" s="1" t="s">
        <v>160</v>
      </c>
      <c r="FI4666" s="1" t="s">
        <v>161</v>
      </c>
      <c r="GD4666" s="1" t="s">
        <v>202</v>
      </c>
      <c r="GE4666" s="1" t="s">
        <v>6600</v>
      </c>
    </row>
    <row r="4667" spans="1:187" ht="11.25" customHeight="1">
      <c r="A4667" s="1" t="s">
        <v>6601</v>
      </c>
      <c r="B4667" s="1" t="str">
        <f ca="1">IFERROR(__xludf.DUMMYFUNCTION("GOOGLETRANSLATE(A4667, ""en"", ""fr"")"),"L'OBTENTION DU DIPLÔME")</f>
        <v>L'OBTENTION DU DIPLÔME</v>
      </c>
      <c r="C4667" s="1" t="s">
        <v>192</v>
      </c>
      <c r="D4667" s="1" t="s">
        <v>16612</v>
      </c>
      <c r="Y4667" s="1" t="s">
        <v>21</v>
      </c>
      <c r="BZ4667" s="1" t="s">
        <v>74</v>
      </c>
      <c r="GD4667" s="1" t="s">
        <v>193</v>
      </c>
      <c r="GE4667" s="1" t="s">
        <v>190</v>
      </c>
    </row>
    <row r="4668" spans="1:187" ht="11.25" customHeight="1">
      <c r="A4668" s="1" t="s">
        <v>6602</v>
      </c>
      <c r="B4668" s="1" t="str">
        <f ca="1">IFERROR(__xludf.DUMMYFUNCTION("GOOGLETRANSLATE(A4668, ""en"", ""fr"")"),"GRAIN")</f>
        <v>GRAIN</v>
      </c>
      <c r="C4668" s="1" t="s">
        <v>185</v>
      </c>
      <c r="BC4668" s="1" t="s">
        <v>51</v>
      </c>
      <c r="BE4668" s="1" t="s">
        <v>53</v>
      </c>
      <c r="EV4668" s="1" t="s">
        <v>148</v>
      </c>
      <c r="EW4668" s="1" t="s">
        <v>149</v>
      </c>
      <c r="GD4668" s="1" t="s">
        <v>193</v>
      </c>
      <c r="GE4668" s="1" t="s">
        <v>190</v>
      </c>
    </row>
    <row r="4669" spans="1:187" ht="11.25" customHeight="1">
      <c r="A4669" s="1" t="s">
        <v>6603</v>
      </c>
      <c r="B4669" s="1" t="str">
        <f ca="1">IFERROR(__xludf.DUMMYFUNCTION("GOOGLETRANSLATE(A4669, ""en"", ""fr"")"),"GRAMMAIRE")</f>
        <v>GRAMMAIRE</v>
      </c>
      <c r="C4669" s="1" t="s">
        <v>185</v>
      </c>
      <c r="Y4669" s="1" t="s">
        <v>21</v>
      </c>
      <c r="BK4669" s="1" t="s">
        <v>59</v>
      </c>
      <c r="FH4669" s="1" t="s">
        <v>160</v>
      </c>
      <c r="FI4669" s="1" t="s">
        <v>161</v>
      </c>
      <c r="GD4669" s="1" t="s">
        <v>193</v>
      </c>
      <c r="GE4669" s="1" t="s">
        <v>190</v>
      </c>
    </row>
    <row r="4670" spans="1:187" ht="11.25" customHeight="1">
      <c r="A4670" s="1" t="s">
        <v>6604</v>
      </c>
      <c r="B4670" s="1" t="str">
        <f ca="1">IFERROR(__xludf.DUMMYFUNCTION("GOOGLETRANSLATE(A4670, ""en"", ""fr"")"),"GRANDIOSE")</f>
        <v>GRANDIOSE</v>
      </c>
      <c r="C4670" s="1" t="s">
        <v>185</v>
      </c>
      <c r="D4670" s="1" t="s">
        <v>16612</v>
      </c>
      <c r="F4670" s="1" t="s">
        <v>2</v>
      </c>
      <c r="J4670" s="1" t="s">
        <v>6</v>
      </c>
      <c r="U4670" s="1" t="s">
        <v>17</v>
      </c>
      <c r="W4670" s="1" t="s">
        <v>19</v>
      </c>
      <c r="CN4670" s="1" t="s">
        <v>88</v>
      </c>
      <c r="FX4670" s="1" t="s">
        <v>176</v>
      </c>
      <c r="GD4670" s="1" t="s">
        <v>202</v>
      </c>
      <c r="GE4670" s="1" t="s">
        <v>190</v>
      </c>
    </row>
    <row r="4671" spans="1:187" ht="11.25" customHeight="1">
      <c r="A4671" s="1" t="s">
        <v>6605</v>
      </c>
      <c r="B4671" s="1" t="str">
        <f ca="1">IFERROR(__xludf.DUMMYFUNCTION("GOOGLETRANSLATE(A4671, ""en"", ""fr"")"),"PETIT ENFANT")</f>
        <v>PETIT ENFANT</v>
      </c>
      <c r="C4671" s="1" t="s">
        <v>185</v>
      </c>
      <c r="AJ4671" s="1" t="s">
        <v>32</v>
      </c>
      <c r="AP4671" s="1" t="s">
        <v>38</v>
      </c>
      <c r="AS4671" s="1" t="s">
        <v>41</v>
      </c>
      <c r="AT4671" s="1" t="s">
        <v>42</v>
      </c>
      <c r="EQ4671" s="1" t="s">
        <v>143</v>
      </c>
      <c r="ES4671" s="1" t="s">
        <v>145</v>
      </c>
      <c r="GD4671" s="1" t="s">
        <v>837</v>
      </c>
      <c r="GE4671" s="1" t="s">
        <v>6606</v>
      </c>
    </row>
    <row r="4672" spans="1:187" ht="11.25" customHeight="1">
      <c r="A4672" s="1" t="s">
        <v>6607</v>
      </c>
      <c r="B4672" s="1" t="str">
        <f ca="1">IFERROR(__xludf.DUMMYFUNCTION("GOOGLETRANSLATE(A4672, ""en"", ""fr"")"),"PETITS ENFANTS")</f>
        <v>PETITS ENFANTS</v>
      </c>
      <c r="C4672" s="1" t="s">
        <v>185</v>
      </c>
      <c r="AJ4672" s="1" t="s">
        <v>32</v>
      </c>
      <c r="AP4672" s="1" t="s">
        <v>38</v>
      </c>
      <c r="AS4672" s="1" t="s">
        <v>41</v>
      </c>
      <c r="AT4672" s="1" t="s">
        <v>42</v>
      </c>
      <c r="EQ4672" s="1" t="s">
        <v>143</v>
      </c>
      <c r="ES4672" s="1" t="s">
        <v>145</v>
      </c>
      <c r="GD4672" s="1" t="s">
        <v>6608</v>
      </c>
      <c r="GE4672" s="1" t="s">
        <v>6609</v>
      </c>
    </row>
    <row r="4673" spans="1:187" ht="11.25" customHeight="1">
      <c r="A4673" s="1" t="s">
        <v>6610</v>
      </c>
      <c r="B4673" s="1" t="str">
        <f ca="1">IFERROR(__xludf.DUMMYFUNCTION("GOOGLETRANSLATE(A4673, ""en"", ""fr"")"),"GRANDEUR")</f>
        <v>GRANDEUR</v>
      </c>
      <c r="C4673" s="1" t="s">
        <v>192</v>
      </c>
      <c r="D4673" s="1" t="s">
        <v>16612</v>
      </c>
      <c r="J4673" s="1" t="s">
        <v>6</v>
      </c>
      <c r="W4673" s="1" t="s">
        <v>19</v>
      </c>
      <c r="AM4673" s="1" t="s">
        <v>35</v>
      </c>
      <c r="GD4673" s="1" t="s">
        <v>193</v>
      </c>
      <c r="GE4673" s="1" t="s">
        <v>190</v>
      </c>
    </row>
    <row r="4674" spans="1:187" ht="11.25" customHeight="1">
      <c r="A4674" s="1" t="s">
        <v>6611</v>
      </c>
      <c r="B4674" s="1" t="str">
        <f ca="1">IFERROR(__xludf.DUMMYFUNCTION("GOOGLETRANSLATE(A4674, ""en"", ""fr"")"),"GRAND-PÈRE")</f>
        <v>GRAND-PÈRE</v>
      </c>
      <c r="C4674" s="1" t="s">
        <v>185</v>
      </c>
      <c r="AJ4674" s="1" t="s">
        <v>32</v>
      </c>
      <c r="AP4674" s="1" t="s">
        <v>38</v>
      </c>
      <c r="AQ4674" s="1" t="s">
        <v>39</v>
      </c>
      <c r="AT4674" s="1" t="s">
        <v>42</v>
      </c>
      <c r="EQ4674" s="1" t="s">
        <v>143</v>
      </c>
      <c r="ES4674" s="1" t="s">
        <v>145</v>
      </c>
      <c r="GD4674" s="1" t="s">
        <v>837</v>
      </c>
      <c r="GE4674" s="1" t="s">
        <v>6612</v>
      </c>
    </row>
    <row r="4675" spans="1:187" ht="11.25" customHeight="1">
      <c r="A4675" s="1" t="s">
        <v>6613</v>
      </c>
      <c r="B4675" s="1" t="str">
        <f ca="1">IFERROR(__xludf.DUMMYFUNCTION("GOOGLETRANSLATE(A4675, ""en"", ""fr"")"),"GRAND-MÈRE")</f>
        <v>GRAND-MÈRE</v>
      </c>
      <c r="C4675" s="1" t="s">
        <v>185</v>
      </c>
      <c r="AJ4675" s="1" t="s">
        <v>32</v>
      </c>
      <c r="AP4675" s="1" t="s">
        <v>38</v>
      </c>
      <c r="AR4675" s="1" t="s">
        <v>40</v>
      </c>
      <c r="AT4675" s="1" t="s">
        <v>42</v>
      </c>
      <c r="EQ4675" s="1" t="s">
        <v>143</v>
      </c>
      <c r="ES4675" s="1" t="s">
        <v>145</v>
      </c>
      <c r="GD4675" s="1" t="s">
        <v>837</v>
      </c>
      <c r="GE4675" s="1" t="s">
        <v>190</v>
      </c>
    </row>
    <row r="4676" spans="1:187" ht="11.25" customHeight="1">
      <c r="A4676" s="1" t="s">
        <v>6614</v>
      </c>
      <c r="B4676" s="1" t="str">
        <f ca="1">IFERROR(__xludf.DUMMYFUNCTION("GOOGLETRANSLATE(A4676, ""en"", ""fr"")"),"GRAND-MÈRE")</f>
        <v>GRAND-MÈRE</v>
      </c>
      <c r="C4676" s="1" t="s">
        <v>185</v>
      </c>
      <c r="AJ4676" s="1" t="s">
        <v>32</v>
      </c>
      <c r="AP4676" s="1" t="s">
        <v>38</v>
      </c>
      <c r="AR4676" s="1" t="s">
        <v>40</v>
      </c>
      <c r="AT4676" s="1" t="s">
        <v>42</v>
      </c>
      <c r="EQ4676" s="1" t="s">
        <v>143</v>
      </c>
      <c r="ES4676" s="1" t="s">
        <v>145</v>
      </c>
      <c r="GD4676" s="1" t="s">
        <v>837</v>
      </c>
      <c r="GE4676" s="1" t="s">
        <v>6615</v>
      </c>
    </row>
    <row r="4677" spans="1:187" ht="11.25" customHeight="1">
      <c r="A4677" s="1" t="s">
        <v>6616</v>
      </c>
      <c r="B4677" s="1" t="str">
        <f ca="1">IFERROR(__xludf.DUMMYFUNCTION("GOOGLETRANSLATE(A4677, ""en"", ""fr"")"),"Grand-père")</f>
        <v>Grand-père</v>
      </c>
      <c r="C4677" s="1" t="s">
        <v>185</v>
      </c>
      <c r="AJ4677" s="1" t="s">
        <v>32</v>
      </c>
      <c r="AP4677" s="1" t="s">
        <v>38</v>
      </c>
      <c r="AQ4677" s="1" t="s">
        <v>39</v>
      </c>
      <c r="AT4677" s="1" t="s">
        <v>42</v>
      </c>
      <c r="EQ4677" s="1" t="s">
        <v>143</v>
      </c>
      <c r="ES4677" s="1" t="s">
        <v>145</v>
      </c>
      <c r="GD4677" s="1" t="s">
        <v>837</v>
      </c>
      <c r="GE4677" s="1" t="s">
        <v>190</v>
      </c>
    </row>
    <row r="4678" spans="1:187" ht="11.25" customHeight="1">
      <c r="A4678" s="1" t="s">
        <v>6617</v>
      </c>
      <c r="B4678" s="1" t="str">
        <f ca="1">IFERROR(__xludf.DUMMYFUNCTION("GOOGLETRANSLATE(A4678, ""en"", ""fr"")"),"MAMIE")</f>
        <v>MAMIE</v>
      </c>
      <c r="C4678" s="1" t="s">
        <v>185</v>
      </c>
      <c r="AJ4678" s="1" t="s">
        <v>32</v>
      </c>
      <c r="AP4678" s="1" t="s">
        <v>38</v>
      </c>
      <c r="AR4678" s="1" t="s">
        <v>40</v>
      </c>
      <c r="AT4678" s="1" t="s">
        <v>42</v>
      </c>
      <c r="EQ4678" s="1" t="s">
        <v>143</v>
      </c>
      <c r="ES4678" s="1" t="s">
        <v>145</v>
      </c>
      <c r="GD4678" s="1" t="s">
        <v>837</v>
      </c>
      <c r="GE4678" s="1" t="s">
        <v>190</v>
      </c>
    </row>
    <row r="4679" spans="1:187" ht="11.25" customHeight="1">
      <c r="A4679" s="1" t="s">
        <v>6618</v>
      </c>
      <c r="B4679" s="1" t="str">
        <f ca="1">IFERROR(__xludf.DUMMYFUNCTION("GOOGLETRANSLATE(A4679, ""en"", ""fr"")"),"Subvention n ° 1")</f>
        <v>Subvention n ° 1</v>
      </c>
      <c r="C4679" s="1" t="s">
        <v>185</v>
      </c>
      <c r="AA4679" s="1" t="s">
        <v>23</v>
      </c>
      <c r="AC4679" s="1" t="s">
        <v>25</v>
      </c>
      <c r="BC4679" s="1" t="s">
        <v>51</v>
      </c>
      <c r="BD4679" s="1" t="s">
        <v>52</v>
      </c>
      <c r="EV4679" s="1" t="s">
        <v>148</v>
      </c>
      <c r="EW4679" s="1" t="s">
        <v>149</v>
      </c>
      <c r="GD4679" s="1" t="s">
        <v>193</v>
      </c>
      <c r="GE4679" s="1" t="s">
        <v>6619</v>
      </c>
    </row>
    <row r="4680" spans="1:187" ht="11.25" customHeight="1">
      <c r="A4680" s="1" t="s">
        <v>6620</v>
      </c>
      <c r="B4680" s="1" t="str">
        <f ca="1">IFERROR(__xludf.DUMMYFUNCTION("GOOGLETRANSLATE(A4680, ""en"", ""fr"")"),"Subvention n ° 2")</f>
        <v>Subvention n ° 2</v>
      </c>
      <c r="C4680" s="1" t="s">
        <v>185</v>
      </c>
      <c r="G4680" s="1" t="s">
        <v>3</v>
      </c>
      <c r="J4680" s="1" t="s">
        <v>6</v>
      </c>
      <c r="K4680" s="1" t="s">
        <v>7</v>
      </c>
      <c r="AN4680" s="1" t="s">
        <v>36</v>
      </c>
      <c r="DN4680" s="1" t="s">
        <v>114</v>
      </c>
      <c r="FN4680" s="1" t="s">
        <v>166</v>
      </c>
      <c r="GD4680" s="1" t="s">
        <v>189</v>
      </c>
      <c r="GE4680" s="1" t="s">
        <v>6621</v>
      </c>
    </row>
    <row r="4681" spans="1:187" ht="11.25" customHeight="1">
      <c r="A4681" s="1" t="s">
        <v>6622</v>
      </c>
      <c r="B4681" s="1" t="str">
        <f ca="1">IFERROR(__xludf.DUMMYFUNCTION("GOOGLETRANSLATE(A4681, ""en"", ""fr"")"),"Subvention n ° 3")</f>
        <v>Subvention n ° 3</v>
      </c>
      <c r="C4681" s="1" t="s">
        <v>185</v>
      </c>
      <c r="CH4681" s="1" t="s">
        <v>82</v>
      </c>
      <c r="FH4681" s="1" t="s">
        <v>160</v>
      </c>
      <c r="FI4681" s="1" t="s">
        <v>161</v>
      </c>
      <c r="GD4681" s="1" t="s">
        <v>202</v>
      </c>
      <c r="GE4681" s="1" t="s">
        <v>6623</v>
      </c>
    </row>
    <row r="4682" spans="1:187" ht="11.25" customHeight="1">
      <c r="A4682" s="1" t="s">
        <v>6624</v>
      </c>
      <c r="B4682" s="1" t="str">
        <f ca="1">IFERROR(__xludf.DUMMYFUNCTION("GOOGLETRANSLATE(A4682, ""en"", ""fr"")"),"GRANULAIRE")</f>
        <v>GRANULAIRE</v>
      </c>
      <c r="C4682" s="1" t="s">
        <v>185</v>
      </c>
      <c r="CR4682" s="1" t="s">
        <v>92</v>
      </c>
      <c r="GD4682" s="1" t="s">
        <v>202</v>
      </c>
      <c r="GE4682" s="1" t="s">
        <v>190</v>
      </c>
    </row>
    <row r="4683" spans="1:187" ht="11.25" customHeight="1">
      <c r="A4683" s="1" t="s">
        <v>6625</v>
      </c>
      <c r="B4683" s="1" t="str">
        <f ca="1">IFERROR(__xludf.DUMMYFUNCTION("GOOGLETRANSLATE(A4683, ""en"", ""fr"")"),"RAISIN")</f>
        <v>RAISIN</v>
      </c>
      <c r="C4683" s="1" t="s">
        <v>185</v>
      </c>
      <c r="BC4683" s="1" t="s">
        <v>51</v>
      </c>
      <c r="BE4683" s="1" t="s">
        <v>53</v>
      </c>
      <c r="GD4683" s="1" t="s">
        <v>193</v>
      </c>
      <c r="GE4683" s="1" t="s">
        <v>190</v>
      </c>
    </row>
    <row r="4684" spans="1:187" ht="11.25" customHeight="1">
      <c r="A4684" s="1" t="s">
        <v>6626</v>
      </c>
      <c r="B4684" s="1" t="str">
        <f ca="1">IFERROR(__xludf.DUMMYFUNCTION("GOOGLETRANSLATE(A4684, ""en"", ""fr"")"),"Grappin")</f>
        <v>Grappin</v>
      </c>
      <c r="C4684" s="1" t="s">
        <v>185</v>
      </c>
      <c r="E4684" s="1" t="s">
        <v>16613</v>
      </c>
      <c r="H4684" s="1" t="s">
        <v>4</v>
      </c>
      <c r="I4684" s="1" t="s">
        <v>5</v>
      </c>
      <c r="J4684" s="1" t="s">
        <v>6</v>
      </c>
      <c r="N4684" s="1" t="s">
        <v>10</v>
      </c>
      <c r="CC4684" s="1" t="s">
        <v>77</v>
      </c>
      <c r="DN4684" s="1" t="s">
        <v>114</v>
      </c>
      <c r="GD4684" s="1" t="s">
        <v>189</v>
      </c>
      <c r="GE4684" s="1" t="s">
        <v>190</v>
      </c>
    </row>
    <row r="4685" spans="1:187" ht="11.25" customHeight="1">
      <c r="A4685" s="1" t="s">
        <v>6627</v>
      </c>
      <c r="B4685" s="1" t="str">
        <f ca="1">IFERROR(__xludf.DUMMYFUNCTION("GOOGLETRANSLATE(A4685, ""en"", ""fr"")"),"GRASP # 1")</f>
        <v>GRASP # 1</v>
      </c>
      <c r="C4685" s="1" t="s">
        <v>185</v>
      </c>
      <c r="J4685" s="1" t="s">
        <v>6</v>
      </c>
      <c r="K4685" s="1" t="s">
        <v>7</v>
      </c>
      <c r="N4685" s="1" t="s">
        <v>10</v>
      </c>
      <c r="CD4685" s="1" t="s">
        <v>78</v>
      </c>
      <c r="EC4685" s="1" t="s">
        <v>129</v>
      </c>
      <c r="ED4685" s="1" t="s">
        <v>130</v>
      </c>
      <c r="GD4685" s="1" t="s">
        <v>6628</v>
      </c>
      <c r="GE4685" s="1" t="s">
        <v>190</v>
      </c>
    </row>
    <row r="4686" spans="1:187" ht="11.25" customHeight="1">
      <c r="A4686" s="1" t="s">
        <v>6629</v>
      </c>
      <c r="B4686" s="1" t="str">
        <f ca="1">IFERROR(__xludf.DUMMYFUNCTION("GOOGLETRANSLATE(A4686, ""en"", ""fr"")"),"GRASP # 2")</f>
        <v>GRASP # 2</v>
      </c>
      <c r="C4686" s="1" t="s">
        <v>185</v>
      </c>
      <c r="J4686" s="1" t="s">
        <v>6</v>
      </c>
      <c r="N4686" s="1" t="s">
        <v>10</v>
      </c>
      <c r="CD4686" s="1" t="s">
        <v>78</v>
      </c>
      <c r="DN4686" s="1" t="s">
        <v>114</v>
      </c>
      <c r="EC4686" s="1" t="s">
        <v>129</v>
      </c>
      <c r="ED4686" s="1" t="s">
        <v>130</v>
      </c>
      <c r="GD4686" s="1" t="s">
        <v>189</v>
      </c>
      <c r="GE4686" s="1" t="s">
        <v>190</v>
      </c>
    </row>
    <row r="4687" spans="1:187" ht="11.25" customHeight="1">
      <c r="A4687" s="1" t="s">
        <v>6630</v>
      </c>
      <c r="B4687" s="1" t="str">
        <f ca="1">IFERROR(__xludf.DUMMYFUNCTION("GOOGLETRANSLATE(A4687, ""en"", ""fr"")"),"HERBE")</f>
        <v>HERBE</v>
      </c>
      <c r="C4687" s="1" t="s">
        <v>185</v>
      </c>
      <c r="BC4687" s="1" t="s">
        <v>51</v>
      </c>
      <c r="BI4687" s="1" t="s">
        <v>57</v>
      </c>
      <c r="GD4687" s="1" t="s">
        <v>193</v>
      </c>
      <c r="GE4687" s="1" t="s">
        <v>6631</v>
      </c>
    </row>
    <row r="4688" spans="1:187" ht="11.25" customHeight="1">
      <c r="A4688" s="1" t="s">
        <v>6632</v>
      </c>
      <c r="B4688" s="1" t="str">
        <f ca="1">IFERROR(__xludf.DUMMYFUNCTION("GOOGLETRANSLATE(A4688, ""en"", ""fr"")"),"RECONNAISSANT")</f>
        <v>RECONNAISSANT</v>
      </c>
      <c r="C4688" s="1" t="s">
        <v>185</v>
      </c>
      <c r="D4688" s="1" t="s">
        <v>16612</v>
      </c>
      <c r="F4688" s="1" t="s">
        <v>2</v>
      </c>
      <c r="G4688" s="1" t="s">
        <v>3</v>
      </c>
      <c r="M4688" s="1" t="s">
        <v>9</v>
      </c>
      <c r="P4688" s="1" t="s">
        <v>12</v>
      </c>
      <c r="S4688" s="1" t="s">
        <v>15</v>
      </c>
      <c r="T4688" s="1" t="s">
        <v>16</v>
      </c>
      <c r="EM4688" s="1" t="s">
        <v>139</v>
      </c>
      <c r="EN4688" s="1" t="s">
        <v>140</v>
      </c>
      <c r="GD4688" s="1" t="s">
        <v>202</v>
      </c>
      <c r="GE4688" s="1" t="s">
        <v>190</v>
      </c>
    </row>
    <row r="4689" spans="1:187" ht="11.25" customHeight="1">
      <c r="A4689" s="1" t="s">
        <v>6633</v>
      </c>
      <c r="B4689" s="1" t="str">
        <f ca="1">IFERROR(__xludf.DUMMYFUNCTION("GOOGLETRANSLATE(A4689, ""en"", ""fr"")"),"GRATIFICATION")</f>
        <v>GRATIFICATION</v>
      </c>
      <c r="C4689" s="1" t="s">
        <v>185</v>
      </c>
      <c r="D4689" s="1" t="s">
        <v>16612</v>
      </c>
      <c r="P4689" s="1" t="s">
        <v>12</v>
      </c>
      <c r="T4689" s="1" t="s">
        <v>16</v>
      </c>
      <c r="FN4689" s="1" t="s">
        <v>166</v>
      </c>
      <c r="GD4689" s="1" t="s">
        <v>193</v>
      </c>
      <c r="GE4689" s="1" t="s">
        <v>190</v>
      </c>
    </row>
    <row r="4690" spans="1:187" ht="11.25" customHeight="1">
      <c r="A4690" s="1" t="s">
        <v>6634</v>
      </c>
      <c r="B4690" s="1" t="str">
        <f ca="1">IFERROR(__xludf.DUMMYFUNCTION("GOOGLETRANSLATE(A4690, ""en"", ""fr"")"),"SATISFAIRE")</f>
        <v>SATISFAIRE</v>
      </c>
      <c r="C4690" s="1" t="s">
        <v>185</v>
      </c>
      <c r="D4690" s="1" t="s">
        <v>16612</v>
      </c>
      <c r="N4690" s="1" t="s">
        <v>10</v>
      </c>
      <c r="P4690" s="1" t="s">
        <v>12</v>
      </c>
      <c r="DN4690" s="1" t="s">
        <v>114</v>
      </c>
      <c r="FN4690" s="1" t="s">
        <v>166</v>
      </c>
      <c r="GD4690" s="1" t="s">
        <v>670</v>
      </c>
      <c r="GE4690" s="1" t="s">
        <v>190</v>
      </c>
    </row>
    <row r="4691" spans="1:187" ht="11.25" customHeight="1">
      <c r="A4691" s="1" t="s">
        <v>6635</v>
      </c>
      <c r="B4691" s="1" t="str">
        <f ca="1">IFERROR(__xludf.DUMMYFUNCTION("GOOGLETRANSLATE(A4691, ""en"", ""fr"")"),"GRATITUDE")</f>
        <v>GRATITUDE</v>
      </c>
      <c r="C4691" s="1" t="s">
        <v>185</v>
      </c>
      <c r="D4691" s="1" t="s">
        <v>16612</v>
      </c>
      <c r="R4691" s="1" t="s">
        <v>14</v>
      </c>
      <c r="EM4691" s="1" t="s">
        <v>139</v>
      </c>
      <c r="EN4691" s="1" t="s">
        <v>140</v>
      </c>
      <c r="GD4691" s="1" t="s">
        <v>1177</v>
      </c>
      <c r="GE4691" s="1" t="s">
        <v>190</v>
      </c>
    </row>
    <row r="4692" spans="1:187" ht="11.25" customHeight="1">
      <c r="A4692" s="1" t="s">
        <v>6636</v>
      </c>
      <c r="B4692" s="1" t="str">
        <f ca="1">IFERROR(__xludf.DUMMYFUNCTION("GOOGLETRANSLATE(A4692, ""en"", ""fr"")"),"GRATUIT")</f>
        <v>GRATUIT</v>
      </c>
      <c r="C4692" s="1" t="s">
        <v>192</v>
      </c>
      <c r="E4692" s="1" t="s">
        <v>16613</v>
      </c>
      <c r="W4692" s="1" t="s">
        <v>19</v>
      </c>
      <c r="CS4692" s="1" t="s">
        <v>93</v>
      </c>
      <c r="DR4692" s="1" t="s">
        <v>118</v>
      </c>
      <c r="GD4692" s="1" t="s">
        <v>202</v>
      </c>
      <c r="GE4692" s="1" t="s">
        <v>190</v>
      </c>
    </row>
    <row r="4693" spans="1:187" ht="11.25" customHeight="1">
      <c r="A4693" s="1" t="s">
        <v>6637</v>
      </c>
      <c r="B4693" s="1" t="str">
        <f ca="1">IFERROR(__xludf.DUMMYFUNCTION("GOOGLETRANSLATE(A4693, ""en"", ""fr"")"),"Grave # 1")</f>
        <v>Grave # 1</v>
      </c>
      <c r="C4693" s="1" t="s">
        <v>185</v>
      </c>
      <c r="E4693" s="1" t="s">
        <v>16613</v>
      </c>
      <c r="H4693" s="1" t="s">
        <v>4</v>
      </c>
      <c r="AI4693" s="1" t="s">
        <v>31</v>
      </c>
      <c r="AV4693" s="1" t="s">
        <v>44</v>
      </c>
      <c r="AW4693" s="1" t="s">
        <v>45</v>
      </c>
      <c r="EZ4693" s="1" t="s">
        <v>152</v>
      </c>
      <c r="FC4693" s="1" t="s">
        <v>155</v>
      </c>
      <c r="GD4693" s="1" t="s">
        <v>193</v>
      </c>
      <c r="GE4693" s="1" t="s">
        <v>6638</v>
      </c>
    </row>
    <row r="4694" spans="1:187" ht="11.25" customHeight="1">
      <c r="A4694" s="1" t="s">
        <v>6639</v>
      </c>
      <c r="B4694" s="1" t="str">
        <f ca="1">IFERROR(__xludf.DUMMYFUNCTION("GOOGLETRANSLATE(A4694, ""en"", ""fr"")"),"Grave # 2")</f>
        <v>Grave # 2</v>
      </c>
      <c r="C4694" s="1" t="s">
        <v>185</v>
      </c>
      <c r="E4694" s="1" t="s">
        <v>16613</v>
      </c>
      <c r="H4694" s="1" t="s">
        <v>4</v>
      </c>
      <c r="V4694" s="1" t="s">
        <v>18</v>
      </c>
      <c r="W4694" s="1" t="s">
        <v>19</v>
      </c>
      <c r="CN4694" s="1" t="s">
        <v>88</v>
      </c>
      <c r="FW4694" s="1" t="s">
        <v>175</v>
      </c>
      <c r="GD4694" s="1" t="s">
        <v>202</v>
      </c>
      <c r="GE4694" s="1" t="s">
        <v>6640</v>
      </c>
    </row>
    <row r="4695" spans="1:187" ht="11.25" customHeight="1">
      <c r="A4695" s="1" t="s">
        <v>6641</v>
      </c>
      <c r="B4695" s="1" t="str">
        <f ca="1">IFERROR(__xludf.DUMMYFUNCTION("GOOGLETRANSLATE(A4695, ""en"", ""fr"")"),"Grave # 3")</f>
        <v>Grave # 3</v>
      </c>
      <c r="C4695" s="1" t="s">
        <v>185</v>
      </c>
      <c r="E4695" s="1" t="s">
        <v>16613</v>
      </c>
      <c r="H4695" s="1" t="s">
        <v>4</v>
      </c>
      <c r="V4695" s="1" t="s">
        <v>18</v>
      </c>
      <c r="W4695" s="1" t="s">
        <v>19</v>
      </c>
      <c r="CN4695" s="1" t="s">
        <v>88</v>
      </c>
      <c r="GD4695" s="1" t="s">
        <v>202</v>
      </c>
      <c r="GE4695" s="1" t="s">
        <v>6642</v>
      </c>
    </row>
    <row r="4696" spans="1:187" ht="11.25" customHeight="1">
      <c r="A4696" s="1" t="s">
        <v>6643</v>
      </c>
      <c r="B4696" s="1" t="str">
        <f ca="1">IFERROR(__xludf.DUMMYFUNCTION("GOOGLETRANSLATE(A4696, ""en"", ""fr"")"),"Grave # 4")</f>
        <v>Grave # 4</v>
      </c>
      <c r="C4696" s="1" t="s">
        <v>185</v>
      </c>
      <c r="E4696" s="1" t="s">
        <v>16613</v>
      </c>
      <c r="H4696" s="1" t="s">
        <v>4</v>
      </c>
      <c r="V4696" s="1" t="s">
        <v>18</v>
      </c>
      <c r="W4696" s="1" t="s">
        <v>19</v>
      </c>
      <c r="CN4696" s="1" t="s">
        <v>88</v>
      </c>
      <c r="GD4696" s="1" t="s">
        <v>202</v>
      </c>
      <c r="GE4696" s="1" t="s">
        <v>6644</v>
      </c>
    </row>
    <row r="4697" spans="1:187" ht="11.25" customHeight="1">
      <c r="A4697" s="1" t="s">
        <v>6645</v>
      </c>
      <c r="B4697" s="1" t="str">
        <f ca="1">IFERROR(__xludf.DUMMYFUNCTION("GOOGLETRANSLATE(A4697, ""en"", ""fr"")"),"Grave # 5")</f>
        <v>Grave # 5</v>
      </c>
      <c r="C4697" s="1" t="s">
        <v>185</v>
      </c>
      <c r="E4697" s="1" t="s">
        <v>16613</v>
      </c>
      <c r="H4697" s="1" t="s">
        <v>4</v>
      </c>
      <c r="V4697" s="1" t="s">
        <v>18</v>
      </c>
      <c r="W4697" s="1" t="s">
        <v>19</v>
      </c>
      <c r="CN4697" s="1" t="s">
        <v>88</v>
      </c>
      <c r="GD4697" s="1" t="s">
        <v>202</v>
      </c>
      <c r="GE4697" s="1" t="s">
        <v>6646</v>
      </c>
    </row>
    <row r="4698" spans="1:187" ht="11.25" customHeight="1">
      <c r="A4698" s="1" t="s">
        <v>6647</v>
      </c>
      <c r="B4698" s="1" t="str">
        <f ca="1">IFERROR(__xludf.DUMMYFUNCTION("GOOGLETRANSLATE(A4698, ""en"", ""fr"")"),"Le plus grave")</f>
        <v>Le plus grave</v>
      </c>
      <c r="C4698" s="1" t="s">
        <v>196</v>
      </c>
      <c r="GD4698" s="1" t="s">
        <v>202</v>
      </c>
    </row>
    <row r="4699" spans="1:187" ht="11.25" customHeight="1">
      <c r="A4699" s="1" t="s">
        <v>6648</v>
      </c>
      <c r="B4699" s="1" t="str">
        <f ca="1">IFERROR(__xludf.DUMMYFUNCTION("GOOGLETRANSLATE(A4699, ""en"", ""fr"")"),"GRAVITER")</f>
        <v>GRAVITER</v>
      </c>
      <c r="C4699" s="1" t="s">
        <v>196</v>
      </c>
      <c r="GD4699" s="1" t="s">
        <v>189</v>
      </c>
    </row>
    <row r="4700" spans="1:187" ht="11.25" customHeight="1">
      <c r="A4700" s="1" t="s">
        <v>6649</v>
      </c>
      <c r="B4700" s="1" t="str">
        <f ca="1">IFERROR(__xludf.DUMMYFUNCTION("GOOGLETRANSLATE(A4700, ""en"", ""fr"")"),"Gravitationnel")</f>
        <v>Gravitationnel</v>
      </c>
      <c r="C4700" s="1" t="s">
        <v>185</v>
      </c>
      <c r="J4700" s="1" t="s">
        <v>6</v>
      </c>
      <c r="BU4700" s="1" t="s">
        <v>69</v>
      </c>
      <c r="GD4700" s="1" t="s">
        <v>202</v>
      </c>
      <c r="GE4700" s="1" t="s">
        <v>190</v>
      </c>
    </row>
    <row r="4701" spans="1:187" ht="11.25" customHeight="1">
      <c r="A4701" s="1" t="s">
        <v>6650</v>
      </c>
      <c r="B4701" s="1" t="str">
        <f ca="1">IFERROR(__xludf.DUMMYFUNCTION("GOOGLETRANSLATE(A4701, ""en"", ""fr"")"),"LA GRAVITÉ")</f>
        <v>LA GRAVITÉ</v>
      </c>
      <c r="C4701" s="1" t="s">
        <v>185</v>
      </c>
      <c r="J4701" s="1" t="s">
        <v>6</v>
      </c>
      <c r="BU4701" s="1" t="s">
        <v>69</v>
      </c>
      <c r="GD4701" s="1" t="s">
        <v>193</v>
      </c>
      <c r="GE4701" s="1" t="s">
        <v>190</v>
      </c>
    </row>
    <row r="4702" spans="1:187" ht="11.25" customHeight="1">
      <c r="A4702" s="1" t="s">
        <v>6651</v>
      </c>
      <c r="B4702" s="1" t="str">
        <f ca="1">IFERROR(__xludf.DUMMYFUNCTION("GOOGLETRANSLATE(A4702, ""en"", ""fr"")"),"GRIS")</f>
        <v>GRIS</v>
      </c>
      <c r="C4702" s="1" t="s">
        <v>185</v>
      </c>
      <c r="DE4702" s="1" t="s">
        <v>105</v>
      </c>
      <c r="GD4702" s="1" t="s">
        <v>202</v>
      </c>
      <c r="GE4702" s="1" t="s">
        <v>190</v>
      </c>
    </row>
    <row r="4703" spans="1:187" ht="11.25" customHeight="1">
      <c r="A4703" s="1" t="s">
        <v>6652</v>
      </c>
      <c r="B4703" s="1" t="str">
        <f ca="1">IFERROR(__xludf.DUMMYFUNCTION("GOOGLETRANSLATE(A4703, ""en"", ""fr"")"),"Graisse n ° 1")</f>
        <v>Graisse n ° 1</v>
      </c>
      <c r="C4703" s="1" t="s">
        <v>185</v>
      </c>
      <c r="BC4703" s="1" t="s">
        <v>51</v>
      </c>
      <c r="BD4703" s="1" t="s">
        <v>52</v>
      </c>
      <c r="GD4703" s="1" t="s">
        <v>193</v>
      </c>
      <c r="GE4703" s="1" t="s">
        <v>190</v>
      </c>
    </row>
    <row r="4704" spans="1:187" ht="11.25" customHeight="1">
      <c r="A4704" s="1" t="s">
        <v>6653</v>
      </c>
      <c r="B4704" s="1" t="str">
        <f ca="1">IFERROR(__xludf.DUMMYFUNCTION("GOOGLETRANSLATE(A4704, ""en"", ""fr"")"),"Graisse n ° 2")</f>
        <v>Graisse n ° 2</v>
      </c>
      <c r="C4704" s="1" t="s">
        <v>185</v>
      </c>
      <c r="AL4704" s="1" t="s">
        <v>34</v>
      </c>
      <c r="DN4704" s="1" t="s">
        <v>114</v>
      </c>
      <c r="GD4704" s="1" t="s">
        <v>189</v>
      </c>
      <c r="GE4704" s="1" t="s">
        <v>190</v>
      </c>
    </row>
    <row r="4705" spans="1:187" ht="11.25" customHeight="1">
      <c r="A4705" s="1" t="s">
        <v>6654</v>
      </c>
      <c r="B4705" s="1" t="str">
        <f ca="1">IFERROR(__xludf.DUMMYFUNCTION("GOOGLETRANSLATE(A4705, ""en"", ""fr"")"),"Super # 1")</f>
        <v>Super # 1</v>
      </c>
      <c r="C4705" s="1" t="s">
        <v>185</v>
      </c>
      <c r="D4705" s="1" t="s">
        <v>16612</v>
      </c>
      <c r="F4705" s="1" t="s">
        <v>2</v>
      </c>
      <c r="J4705" s="1" t="s">
        <v>6</v>
      </c>
      <c r="W4705" s="1" t="s">
        <v>19</v>
      </c>
      <c r="CN4705" s="1" t="s">
        <v>88</v>
      </c>
      <c r="CS4705" s="1" t="s">
        <v>93</v>
      </c>
      <c r="GD4705" s="1" t="s">
        <v>202</v>
      </c>
      <c r="GE4705" s="1" t="s">
        <v>6655</v>
      </c>
    </row>
    <row r="4706" spans="1:187" ht="11.25" customHeight="1">
      <c r="A4706" s="1" t="s">
        <v>6656</v>
      </c>
      <c r="B4706" s="1" t="str">
        <f ca="1">IFERROR(__xludf.DUMMYFUNCTION("GOOGLETRANSLATE(A4706, ""en"", ""fr"")"),"Super # 2")</f>
        <v>Super # 2</v>
      </c>
      <c r="C4706" s="1" t="s">
        <v>185</v>
      </c>
      <c r="D4706" s="1" t="s">
        <v>16612</v>
      </c>
      <c r="F4706" s="1" t="s">
        <v>2</v>
      </c>
      <c r="J4706" s="1" t="s">
        <v>6</v>
      </c>
      <c r="W4706" s="1" t="s">
        <v>19</v>
      </c>
      <c r="CN4706" s="1" t="s">
        <v>88</v>
      </c>
      <c r="CS4706" s="1" t="s">
        <v>93</v>
      </c>
      <c r="GD4706" s="1" t="s">
        <v>202</v>
      </c>
      <c r="GE4706" s="1" t="s">
        <v>6657</v>
      </c>
    </row>
    <row r="4707" spans="1:187" ht="11.25" customHeight="1">
      <c r="A4707" s="1" t="s">
        <v>6658</v>
      </c>
      <c r="B4707" s="1" t="str">
        <f ca="1">IFERROR(__xludf.DUMMYFUNCTION("GOOGLETRANSLATE(A4707, ""en"", ""fr"")"),"Super # 3")</f>
        <v>Super # 3</v>
      </c>
      <c r="C4707" s="1" t="s">
        <v>185</v>
      </c>
      <c r="D4707" s="1" t="s">
        <v>16612</v>
      </c>
      <c r="F4707" s="1" t="s">
        <v>2</v>
      </c>
      <c r="J4707" s="1" t="s">
        <v>6</v>
      </c>
      <c r="W4707" s="1" t="s">
        <v>19</v>
      </c>
      <c r="CN4707" s="1" t="s">
        <v>88</v>
      </c>
      <c r="CS4707" s="1" t="s">
        <v>93</v>
      </c>
      <c r="GD4707" s="1" t="s">
        <v>202</v>
      </c>
      <c r="GE4707" s="1" t="s">
        <v>6659</v>
      </c>
    </row>
    <row r="4708" spans="1:187" ht="11.25" customHeight="1">
      <c r="A4708" s="1" t="s">
        <v>6660</v>
      </c>
      <c r="B4708" s="1" t="str">
        <f ca="1">IFERROR(__xludf.DUMMYFUNCTION("GOOGLETRANSLATE(A4708, ""en"", ""fr"")"),"Super # 4")</f>
        <v>Super # 4</v>
      </c>
      <c r="C4708" s="1" t="s">
        <v>185</v>
      </c>
      <c r="W4708" s="1" t="s">
        <v>19</v>
      </c>
      <c r="CS4708" s="1" t="s">
        <v>93</v>
      </c>
      <c r="FY4708" s="1" t="s">
        <v>177</v>
      </c>
      <c r="GD4708" s="1" t="s">
        <v>236</v>
      </c>
      <c r="GE4708" s="1" t="s">
        <v>6661</v>
      </c>
    </row>
    <row r="4709" spans="1:187" ht="11.25" customHeight="1">
      <c r="A4709" s="1" t="s">
        <v>6662</v>
      </c>
      <c r="B4709" s="1" t="str">
        <f ca="1">IFERROR(__xludf.DUMMYFUNCTION("GOOGLETRANSLATE(A4709, ""en"", ""fr"")"),"Super # 5")</f>
        <v>Super # 5</v>
      </c>
      <c r="C4709" s="1" t="s">
        <v>185</v>
      </c>
      <c r="AC4709" s="1" t="s">
        <v>25</v>
      </c>
      <c r="AH4709" s="1" t="s">
        <v>30</v>
      </c>
      <c r="DI4709" s="1" t="s">
        <v>109</v>
      </c>
      <c r="FU4709" s="1" t="s">
        <v>173</v>
      </c>
      <c r="GD4709" s="1" t="s">
        <v>193</v>
      </c>
      <c r="GE4709" s="1" t="s">
        <v>6663</v>
      </c>
    </row>
    <row r="4710" spans="1:187" ht="11.25" customHeight="1">
      <c r="A4710" s="1" t="s">
        <v>6664</v>
      </c>
      <c r="B4710" s="1" t="str">
        <f ca="1">IFERROR(__xludf.DUMMYFUNCTION("GOOGLETRANSLATE(A4710, ""en"", ""fr"")"),"Super # 6")</f>
        <v>Super # 6</v>
      </c>
      <c r="C4710" s="1" t="s">
        <v>185</v>
      </c>
      <c r="GD4710" s="1" t="s">
        <v>225</v>
      </c>
      <c r="GE4710" s="1" t="s">
        <v>6665</v>
      </c>
    </row>
    <row r="4711" spans="1:187" ht="11.25" customHeight="1">
      <c r="A4711" s="1" t="s">
        <v>6666</v>
      </c>
      <c r="B4711" s="1" t="str">
        <f ca="1">IFERROR(__xludf.DUMMYFUNCTION("GOOGLETRANSLATE(A4711, ""en"", ""fr"")"),"HOUPPELANDE")</f>
        <v>HOUPPELANDE</v>
      </c>
      <c r="C4711" s="1" t="s">
        <v>185</v>
      </c>
      <c r="BC4711" s="1" t="s">
        <v>51</v>
      </c>
      <c r="BD4711" s="1" t="s">
        <v>52</v>
      </c>
      <c r="GD4711" s="1" t="s">
        <v>193</v>
      </c>
      <c r="GE4711" s="1" t="s">
        <v>190</v>
      </c>
    </row>
    <row r="4712" spans="1:187" ht="11.25" customHeight="1">
      <c r="A4712" s="1" t="s">
        <v>6667</v>
      </c>
      <c r="B4712" s="1" t="str">
        <f ca="1">IFERROR(__xludf.DUMMYFUNCTION("GOOGLETRANSLATE(A4712, ""en"", ""fr"")"),"Plus grand")</f>
        <v>Plus grand</v>
      </c>
      <c r="C4712" s="1" t="s">
        <v>196</v>
      </c>
      <c r="GD4712" s="1" t="s">
        <v>202</v>
      </c>
    </row>
    <row r="4713" spans="1:187" ht="11.25" customHeight="1">
      <c r="A4713" s="1" t="s">
        <v>6668</v>
      </c>
      <c r="B4713" s="1" t="str">
        <f ca="1">IFERROR(__xludf.DUMMYFUNCTION("GOOGLETRANSLATE(A4713, ""en"", ""fr"")"),"GRANDEUR")</f>
        <v>GRANDEUR</v>
      </c>
      <c r="C4713" s="1" t="s">
        <v>185</v>
      </c>
      <c r="D4713" s="1" t="s">
        <v>16612</v>
      </c>
      <c r="F4713" s="1" t="s">
        <v>2</v>
      </c>
      <c r="J4713" s="1" t="s">
        <v>6</v>
      </c>
      <c r="K4713" s="1" t="s">
        <v>7</v>
      </c>
      <c r="U4713" s="1" t="s">
        <v>17</v>
      </c>
      <c r="EM4713" s="1" t="s">
        <v>139</v>
      </c>
      <c r="EN4713" s="1" t="s">
        <v>140</v>
      </c>
      <c r="GD4713" s="1" t="s">
        <v>193</v>
      </c>
      <c r="GE4713" s="1" t="s">
        <v>190</v>
      </c>
    </row>
    <row r="4714" spans="1:187" ht="11.25" customHeight="1">
      <c r="A4714" s="1" t="s">
        <v>6669</v>
      </c>
      <c r="B4714" s="1" t="str">
        <f ca="1">IFERROR(__xludf.DUMMYFUNCTION("GOOGLETRANSLATE(A4714, ""en"", ""fr"")"),"GRÈCE")</f>
        <v>GRÈCE</v>
      </c>
      <c r="C4714" s="1" t="s">
        <v>196</v>
      </c>
      <c r="FU4714" s="1" t="s">
        <v>173</v>
      </c>
      <c r="GD4714" s="1" t="s">
        <v>545</v>
      </c>
    </row>
    <row r="4715" spans="1:187" ht="11.25" customHeight="1">
      <c r="A4715" s="1" t="s">
        <v>6670</v>
      </c>
      <c r="B4715" s="1" t="str">
        <f ca="1">IFERROR(__xludf.DUMMYFUNCTION("GOOGLETRANSLATE(A4715, ""en"", ""fr"")"),"AVIDITÉ")</f>
        <v>AVIDITÉ</v>
      </c>
      <c r="C4715" s="1" t="s">
        <v>196</v>
      </c>
      <c r="EE4715" s="1" t="s">
        <v>131</v>
      </c>
      <c r="EJ4715" s="1" t="s">
        <v>136</v>
      </c>
      <c r="GD4715" s="1" t="s">
        <v>193</v>
      </c>
    </row>
    <row r="4716" spans="1:187" ht="11.25" customHeight="1">
      <c r="A4716" s="1" t="s">
        <v>6671</v>
      </c>
      <c r="B4716" s="1" t="str">
        <f ca="1">IFERROR(__xludf.DUMMYFUNCTION("GOOGLETRANSLATE(A4716, ""en"", ""fr"")"),"GREC")</f>
        <v>GREC</v>
      </c>
      <c r="C4716" s="1" t="s">
        <v>185</v>
      </c>
      <c r="AC4716" s="1" t="s">
        <v>25</v>
      </c>
      <c r="AH4716" s="1" t="s">
        <v>30</v>
      </c>
      <c r="DI4716" s="1" t="s">
        <v>109</v>
      </c>
      <c r="FU4716" s="1" t="s">
        <v>173</v>
      </c>
      <c r="GD4716" s="1" t="s">
        <v>193</v>
      </c>
      <c r="GE4716" s="1" t="s">
        <v>190</v>
      </c>
    </row>
    <row r="4717" spans="1:187" ht="11.25" customHeight="1">
      <c r="A4717" s="1" t="s">
        <v>6672</v>
      </c>
      <c r="B4717" s="1" t="str">
        <f ca="1">IFERROR(__xludf.DUMMYFUNCTION("GOOGLETRANSLATE(A4717, ""en"", ""fr"")"),"VERT")</f>
        <v>VERT</v>
      </c>
      <c r="C4717" s="1" t="s">
        <v>185</v>
      </c>
      <c r="DE4717" s="1" t="s">
        <v>105</v>
      </c>
      <c r="GD4717" s="1" t="s">
        <v>202</v>
      </c>
      <c r="GE4717" s="1" t="s">
        <v>6673</v>
      </c>
    </row>
    <row r="4718" spans="1:187" ht="11.25" customHeight="1">
      <c r="A4718" s="1" t="s">
        <v>6674</v>
      </c>
      <c r="B4718" s="1" t="str">
        <f ca="1">IFERROR(__xludf.DUMMYFUNCTION("GOOGLETRANSLATE(A4718, ""en"", ""fr"")"),"Saluer # 1")</f>
        <v>Saluer # 1</v>
      </c>
      <c r="C4718" s="1" t="s">
        <v>185</v>
      </c>
      <c r="D4718" s="1" t="s">
        <v>16612</v>
      </c>
      <c r="F4718" s="1" t="s">
        <v>2</v>
      </c>
      <c r="G4718" s="1" t="s">
        <v>3</v>
      </c>
      <c r="BK4718" s="1" t="s">
        <v>59</v>
      </c>
      <c r="BL4718" s="1" t="s">
        <v>60</v>
      </c>
      <c r="FX4718" s="1" t="s">
        <v>176</v>
      </c>
      <c r="GC4718" s="1" t="s">
        <v>181</v>
      </c>
      <c r="GD4718" s="1" t="s">
        <v>193</v>
      </c>
      <c r="GE4718" s="1" t="s">
        <v>190</v>
      </c>
    </row>
    <row r="4719" spans="1:187" ht="11.25" customHeight="1">
      <c r="A4719" s="1" t="s">
        <v>6675</v>
      </c>
      <c r="B4719" s="1" t="str">
        <f ca="1">IFERROR(__xludf.DUMMYFUNCTION("GOOGLETRANSLATE(A4719, ""en"", ""fr"")"),"Saluer # 2")</f>
        <v>Saluer # 2</v>
      </c>
      <c r="C4719" s="1" t="s">
        <v>185</v>
      </c>
      <c r="D4719" s="1" t="s">
        <v>16612</v>
      </c>
      <c r="F4719" s="1" t="s">
        <v>2</v>
      </c>
      <c r="G4719" s="1" t="s">
        <v>3</v>
      </c>
      <c r="BK4719" s="1" t="s">
        <v>59</v>
      </c>
      <c r="DN4719" s="1" t="s">
        <v>114</v>
      </c>
      <c r="FX4719" s="1" t="s">
        <v>176</v>
      </c>
      <c r="GD4719" s="1" t="s">
        <v>189</v>
      </c>
      <c r="GE4719" s="1" t="s">
        <v>190</v>
      </c>
    </row>
    <row r="4720" spans="1:187" ht="11.25" customHeight="1">
      <c r="A4720" s="1" t="s">
        <v>6676</v>
      </c>
      <c r="B4720" s="1" t="str">
        <f ca="1">IFERROR(__xludf.DUMMYFUNCTION("GOOGLETRANSLATE(A4720, ""en"", ""fr"")"),"GRENADE")</f>
        <v>GRENADE</v>
      </c>
      <c r="C4720" s="1" t="s">
        <v>185</v>
      </c>
      <c r="I4720" s="1" t="s">
        <v>5</v>
      </c>
      <c r="AF4720" s="1" t="s">
        <v>28</v>
      </c>
      <c r="BC4720" s="1" t="s">
        <v>51</v>
      </c>
      <c r="BD4720" s="1" t="s">
        <v>52</v>
      </c>
      <c r="DW4720" s="1" t="s">
        <v>123</v>
      </c>
      <c r="ED4720" s="1" t="s">
        <v>130</v>
      </c>
      <c r="GD4720" s="1" t="s">
        <v>193</v>
      </c>
      <c r="GE4720" s="1" t="s">
        <v>190</v>
      </c>
    </row>
    <row r="4721" spans="1:187" ht="11.25" customHeight="1">
      <c r="A4721" s="1" t="s">
        <v>6677</v>
      </c>
      <c r="B4721" s="1" t="str">
        <f ca="1">IFERROR(__xludf.DUMMYFUNCTION("GOOGLETRANSLATE(A4721, ""en"", ""fr"")"),"Grew # 1")</f>
        <v>Grew # 1</v>
      </c>
      <c r="C4721" s="1" t="s">
        <v>192</v>
      </c>
      <c r="GD4721" s="1" t="s">
        <v>1085</v>
      </c>
      <c r="GE4721" s="1" t="s">
        <v>190</v>
      </c>
    </row>
    <row r="4722" spans="1:187" ht="11.25" customHeight="1">
      <c r="A4722" s="1" t="s">
        <v>6678</v>
      </c>
      <c r="B4722" s="1" t="str">
        <f ca="1">IFERROR(__xludf.DUMMYFUNCTION("GOOGLETRANSLATE(A4722, ""en"", ""fr"")"),"GRIS")</f>
        <v>GRIS</v>
      </c>
      <c r="C4722" s="1" t="s">
        <v>185</v>
      </c>
      <c r="DE4722" s="1" t="s">
        <v>105</v>
      </c>
      <c r="GD4722" s="1" t="s">
        <v>202</v>
      </c>
      <c r="GE4722" s="1" t="s">
        <v>190</v>
      </c>
    </row>
    <row r="4723" spans="1:187" ht="11.25" customHeight="1">
      <c r="A4723" s="1" t="s">
        <v>6679</v>
      </c>
      <c r="B4723" s="1" t="str">
        <f ca="1">IFERROR(__xludf.DUMMYFUNCTION("GOOGLETRANSLATE(A4723, ""en"", ""fr"")"),"CHAGRIN")</f>
        <v>CHAGRIN</v>
      </c>
      <c r="C4723" s="1" t="s">
        <v>185</v>
      </c>
      <c r="E4723" s="1" t="s">
        <v>16613</v>
      </c>
      <c r="G4723" s="1" t="s">
        <v>3</v>
      </c>
      <c r="H4723" s="1" t="s">
        <v>4</v>
      </c>
      <c r="L4723" s="1" t="s">
        <v>8</v>
      </c>
      <c r="O4723" s="1" t="s">
        <v>11</v>
      </c>
      <c r="Q4723" s="1" t="s">
        <v>13</v>
      </c>
      <c r="T4723" s="1" t="s">
        <v>16</v>
      </c>
      <c r="FA4723" s="1" t="s">
        <v>153</v>
      </c>
      <c r="FC4723" s="1" t="s">
        <v>155</v>
      </c>
      <c r="GD4723" s="1" t="s">
        <v>193</v>
      </c>
      <c r="GE4723" s="1" t="s">
        <v>190</v>
      </c>
    </row>
    <row r="4724" spans="1:187" ht="11.25" customHeight="1">
      <c r="A4724" s="1" t="s">
        <v>6680</v>
      </c>
      <c r="B4724" s="1" t="str">
        <f ca="1">IFERROR(__xludf.DUMMYFUNCTION("GOOGLETRANSLATE(A4724, ""en"", ""fr"")"),"GRIEF")</f>
        <v>GRIEF</v>
      </c>
      <c r="C4724" s="1" t="s">
        <v>185</v>
      </c>
      <c r="E4724" s="1" t="s">
        <v>16613</v>
      </c>
      <c r="Q4724" s="1" t="s">
        <v>13</v>
      </c>
      <c r="BK4724" s="1" t="s">
        <v>59</v>
      </c>
      <c r="EY4724" s="1" t="s">
        <v>151</v>
      </c>
      <c r="FC4724" s="1" t="s">
        <v>155</v>
      </c>
      <c r="GD4724" s="1" t="s">
        <v>193</v>
      </c>
      <c r="GE4724" s="1" t="s">
        <v>190</v>
      </c>
    </row>
    <row r="4725" spans="1:187" ht="11.25" customHeight="1">
      <c r="A4725" s="1" t="s">
        <v>6681</v>
      </c>
      <c r="B4725" s="1" t="str">
        <f ca="1">IFERROR(__xludf.DUMMYFUNCTION("GOOGLETRANSLATE(A4725, ""en"", ""fr"")"),"Craindre")</f>
        <v>Craindre</v>
      </c>
      <c r="C4725" s="1" t="s">
        <v>185</v>
      </c>
      <c r="E4725" s="1" t="s">
        <v>16613</v>
      </c>
      <c r="N4725" s="1" t="s">
        <v>10</v>
      </c>
      <c r="Q4725" s="1" t="s">
        <v>13</v>
      </c>
      <c r="T4725" s="1" t="s">
        <v>16</v>
      </c>
      <c r="BK4725" s="1" t="s">
        <v>59</v>
      </c>
      <c r="DP4725" s="1" t="s">
        <v>116</v>
      </c>
      <c r="EY4725" s="1" t="s">
        <v>151</v>
      </c>
      <c r="FC4725" s="1" t="s">
        <v>155</v>
      </c>
      <c r="GD4725" s="1" t="s">
        <v>189</v>
      </c>
      <c r="GE4725" s="1" t="s">
        <v>190</v>
      </c>
    </row>
    <row r="4726" spans="1:187" ht="11.25" customHeight="1">
      <c r="A4726" s="1" t="s">
        <v>6682</v>
      </c>
      <c r="B4726" s="1" t="str">
        <f ca="1">IFERROR(__xludf.DUMMYFUNCTION("GOOGLETRANSLATE(A4726, ""en"", ""fr"")"),"GRAVE")</f>
        <v>GRAVE</v>
      </c>
      <c r="C4726" s="1" t="s">
        <v>196</v>
      </c>
      <c r="EY4726" s="1" t="s">
        <v>151</v>
      </c>
      <c r="FC4726" s="1" t="s">
        <v>155</v>
      </c>
      <c r="GD4726" s="1" t="s">
        <v>202</v>
      </c>
    </row>
    <row r="4727" spans="1:187" ht="11.25" customHeight="1">
      <c r="A4727" s="1" t="s">
        <v>6683</v>
      </c>
      <c r="B4727" s="1" t="str">
        <f ca="1">IFERROR(__xludf.DUMMYFUNCTION("GOOGLETRANSLATE(A4727, ""en"", ""fr"")"),"SOMBRE")</f>
        <v>SOMBRE</v>
      </c>
      <c r="C4727" s="1" t="s">
        <v>185</v>
      </c>
      <c r="E4727" s="1" t="s">
        <v>16613</v>
      </c>
      <c r="H4727" s="1" t="s">
        <v>4</v>
      </c>
      <c r="V4727" s="1" t="s">
        <v>18</v>
      </c>
      <c r="CN4727" s="1" t="s">
        <v>88</v>
      </c>
      <c r="DR4727" s="1" t="s">
        <v>118</v>
      </c>
      <c r="FW4727" s="1" t="s">
        <v>175</v>
      </c>
      <c r="GD4727" s="1" t="s">
        <v>202</v>
      </c>
      <c r="GE4727" s="1" t="s">
        <v>190</v>
      </c>
    </row>
    <row r="4728" spans="1:187" ht="11.25" customHeight="1">
      <c r="A4728" s="1" t="s">
        <v>6684</v>
      </c>
      <c r="B4728" s="1" t="str">
        <f ca="1">IFERROR(__xludf.DUMMYFUNCTION("GOOGLETRANSLATE(A4728, ""en"", ""fr"")"),"Sourire # 1")</f>
        <v>Sourire # 1</v>
      </c>
      <c r="C4728" s="1" t="s">
        <v>185</v>
      </c>
      <c r="G4728" s="1" t="s">
        <v>3</v>
      </c>
      <c r="BK4728" s="1" t="s">
        <v>59</v>
      </c>
      <c r="BL4728" s="1" t="s">
        <v>60</v>
      </c>
      <c r="FX4728" s="1" t="s">
        <v>176</v>
      </c>
      <c r="GC4728" s="1" t="s">
        <v>181</v>
      </c>
      <c r="GD4728" s="1" t="s">
        <v>193</v>
      </c>
      <c r="GE4728" s="1" t="s">
        <v>190</v>
      </c>
    </row>
    <row r="4729" spans="1:187" ht="11.25" customHeight="1">
      <c r="A4729" s="1" t="s">
        <v>6685</v>
      </c>
      <c r="B4729" s="1" t="str">
        <f ca="1">IFERROR(__xludf.DUMMYFUNCTION("GOOGLETRANSLATE(A4729, ""en"", ""fr"")"),"Sourire # 2")</f>
        <v>Sourire # 2</v>
      </c>
      <c r="C4729" s="1" t="s">
        <v>185</v>
      </c>
      <c r="G4729" s="1" t="s">
        <v>3</v>
      </c>
      <c r="BK4729" s="1" t="s">
        <v>59</v>
      </c>
      <c r="DO4729" s="1" t="s">
        <v>115</v>
      </c>
      <c r="FX4729" s="1" t="s">
        <v>176</v>
      </c>
      <c r="GD4729" s="1" t="s">
        <v>189</v>
      </c>
      <c r="GE4729" s="1" t="s">
        <v>190</v>
      </c>
    </row>
    <row r="4730" spans="1:187" ht="11.25" customHeight="1">
      <c r="A4730" s="1" t="s">
        <v>6686</v>
      </c>
      <c r="B4730" s="1" t="str">
        <f ca="1">IFERROR(__xludf.DUMMYFUNCTION("GOOGLETRANSLATE(A4730, ""en"", ""fr"")"),"Grind # 1")</f>
        <v>Grind # 1</v>
      </c>
      <c r="C4730" s="1" t="s">
        <v>185</v>
      </c>
      <c r="M4730" s="1" t="s">
        <v>9</v>
      </c>
      <c r="Y4730" s="1" t="s">
        <v>21</v>
      </c>
      <c r="AJ4730" s="1" t="s">
        <v>32</v>
      </c>
      <c r="AT4730" s="1" t="s">
        <v>42</v>
      </c>
      <c r="GD4730" s="1" t="s">
        <v>193</v>
      </c>
      <c r="GE4730" s="1" t="s">
        <v>190</v>
      </c>
    </row>
    <row r="4731" spans="1:187" ht="11.25" customHeight="1">
      <c r="A4731" s="1" t="s">
        <v>6687</v>
      </c>
      <c r="B4731" s="1" t="str">
        <f ca="1">IFERROR(__xludf.DUMMYFUNCTION("GOOGLETRANSLATE(A4731, ""en"", ""fr"")"),"Grind # 2")</f>
        <v>Grind # 2</v>
      </c>
      <c r="C4731" s="1" t="s">
        <v>185</v>
      </c>
      <c r="J4731" s="1" t="s">
        <v>6</v>
      </c>
      <c r="N4731" s="1" t="s">
        <v>10</v>
      </c>
      <c r="AL4731" s="1" t="s">
        <v>34</v>
      </c>
      <c r="DO4731" s="1" t="s">
        <v>115</v>
      </c>
      <c r="GD4731" s="1" t="s">
        <v>189</v>
      </c>
      <c r="GE4731" s="1" t="s">
        <v>190</v>
      </c>
    </row>
    <row r="4732" spans="1:187" ht="11.25" customHeight="1">
      <c r="A4732" s="1" t="s">
        <v>6688</v>
      </c>
      <c r="B4732" s="1" t="str">
        <f ca="1">IFERROR(__xludf.DUMMYFUNCTION("GOOGLETRANSLATE(A4732, ""en"", ""fr"")"),"Grip # 1")</f>
        <v>Grip # 1</v>
      </c>
      <c r="C4732" s="1" t="s">
        <v>185</v>
      </c>
      <c r="J4732" s="1" t="s">
        <v>6</v>
      </c>
      <c r="K4732" s="1" t="s">
        <v>7</v>
      </c>
      <c r="N4732" s="1" t="s">
        <v>10</v>
      </c>
      <c r="CD4732" s="1" t="s">
        <v>78</v>
      </c>
      <c r="GD4732" s="1" t="s">
        <v>193</v>
      </c>
      <c r="GE4732" s="1" t="s">
        <v>190</v>
      </c>
    </row>
    <row r="4733" spans="1:187" ht="11.25" customHeight="1">
      <c r="A4733" s="1" t="s">
        <v>6689</v>
      </c>
      <c r="B4733" s="1" t="str">
        <f ca="1">IFERROR(__xludf.DUMMYFUNCTION("GOOGLETRANSLATE(A4733, ""en"", ""fr"")"),"Grip # 2")</f>
        <v>Grip # 2</v>
      </c>
      <c r="C4733" s="1" t="s">
        <v>185</v>
      </c>
      <c r="J4733" s="1" t="s">
        <v>6</v>
      </c>
      <c r="K4733" s="1" t="s">
        <v>7</v>
      </c>
      <c r="N4733" s="1" t="s">
        <v>10</v>
      </c>
      <c r="CD4733" s="1" t="s">
        <v>78</v>
      </c>
      <c r="DN4733" s="1" t="s">
        <v>114</v>
      </c>
      <c r="GD4733" s="1" t="s">
        <v>189</v>
      </c>
      <c r="GE4733" s="1" t="s">
        <v>190</v>
      </c>
    </row>
    <row r="4734" spans="1:187" ht="11.25" customHeight="1">
      <c r="A4734" s="1" t="s">
        <v>6690</v>
      </c>
      <c r="B4734" s="1" t="str">
        <f ca="1">IFERROR(__xludf.DUMMYFUNCTION("GOOGLETRANSLATE(A4734, ""en"", ""fr"")"),"Grizzly")</f>
        <v>Grizzly</v>
      </c>
      <c r="C4734" s="1" t="s">
        <v>192</v>
      </c>
      <c r="E4734" s="1" t="s">
        <v>16613</v>
      </c>
      <c r="Q4734" s="1" t="s">
        <v>13</v>
      </c>
      <c r="CM4734" s="1" t="s">
        <v>87</v>
      </c>
      <c r="DR4734" s="1" t="s">
        <v>118</v>
      </c>
      <c r="GD4734" s="1" t="s">
        <v>202</v>
      </c>
      <c r="GE4734" s="1" t="s">
        <v>190</v>
      </c>
    </row>
    <row r="4735" spans="1:187" ht="11.25" customHeight="1">
      <c r="A4735" s="1" t="s">
        <v>6691</v>
      </c>
      <c r="B4735" s="1" t="str">
        <f ca="1">IFERROR(__xludf.DUMMYFUNCTION("GOOGLETRANSLATE(A4735, ""en"", ""fr"")"),"AINE")</f>
        <v>AINE</v>
      </c>
      <c r="C4735" s="1" t="s">
        <v>185</v>
      </c>
      <c r="BJ4735" s="1" t="s">
        <v>58</v>
      </c>
      <c r="EZ4735" s="1" t="s">
        <v>152</v>
      </c>
      <c r="FC4735" s="1" t="s">
        <v>155</v>
      </c>
      <c r="GD4735" s="1" t="s">
        <v>193</v>
      </c>
      <c r="GE4735" s="1" t="s">
        <v>190</v>
      </c>
    </row>
    <row r="4736" spans="1:187" ht="11.25" customHeight="1">
      <c r="A4736" s="1" t="s">
        <v>6692</v>
      </c>
      <c r="B4736" s="1" t="str">
        <f ca="1">IFERROR(__xludf.DUMMYFUNCTION("GOOGLETRANSLATE(A4736, ""en"", ""fr"")"),"MARIÉ")</f>
        <v>MARIÉ</v>
      </c>
      <c r="C4736" s="1" t="s">
        <v>192</v>
      </c>
      <c r="D4736" s="1" t="s">
        <v>16612</v>
      </c>
      <c r="N4736" s="1" t="s">
        <v>10</v>
      </c>
      <c r="AL4736" s="1" t="s">
        <v>34</v>
      </c>
      <c r="DN4736" s="1" t="s">
        <v>114</v>
      </c>
      <c r="GD4736" s="1" t="s">
        <v>189</v>
      </c>
      <c r="GE4736" s="1" t="s">
        <v>190</v>
      </c>
    </row>
    <row r="4737" spans="1:187" ht="11.25" customHeight="1">
      <c r="A4737" s="1" t="s">
        <v>6693</v>
      </c>
      <c r="B4737" s="1" t="str">
        <f ca="1">IFERROR(__xludf.DUMMYFUNCTION("GOOGLETRANSLATE(A4737, ""en"", ""fr"")"),"Brut n ° 1")</f>
        <v>Brut n ° 1</v>
      </c>
      <c r="C4737" s="1" t="s">
        <v>185</v>
      </c>
      <c r="W4737" s="1" t="s">
        <v>19</v>
      </c>
      <c r="AA4737" s="1" t="s">
        <v>23</v>
      </c>
      <c r="CN4737" s="1" t="s">
        <v>88</v>
      </c>
      <c r="CS4737" s="1" t="s">
        <v>93</v>
      </c>
      <c r="FW4737" s="1" t="s">
        <v>175</v>
      </c>
      <c r="GD4737" s="1" t="s">
        <v>202</v>
      </c>
      <c r="GE4737" s="1" t="s">
        <v>190</v>
      </c>
    </row>
    <row r="4738" spans="1:187" ht="11.25" customHeight="1">
      <c r="A4738" s="1" t="s">
        <v>6694</v>
      </c>
      <c r="B4738" s="1" t="str">
        <f ca="1">IFERROR(__xludf.DUMMYFUNCTION("GOOGLETRANSLATE(A4738, ""en"", ""fr"")"),"Brut # 2")</f>
        <v>Brut # 2</v>
      </c>
      <c r="C4738" s="1" t="s">
        <v>185</v>
      </c>
      <c r="AA4738" s="1" t="s">
        <v>23</v>
      </c>
      <c r="BS4738" s="1" t="s">
        <v>67</v>
      </c>
      <c r="DN4738" s="1" t="s">
        <v>114</v>
      </c>
      <c r="EU4738" s="1" t="s">
        <v>147</v>
      </c>
      <c r="EW4738" s="1" t="s">
        <v>149</v>
      </c>
      <c r="GD4738" s="1" t="s">
        <v>189</v>
      </c>
      <c r="GE4738" s="1" t="s">
        <v>190</v>
      </c>
    </row>
    <row r="4739" spans="1:187" ht="11.25" customHeight="1">
      <c r="A4739" s="1" t="s">
        <v>6695</v>
      </c>
      <c r="B4739" s="1" t="str">
        <f ca="1">IFERROR(__xludf.DUMMYFUNCTION("GOOGLETRANSLATE(A4739, ""en"", ""fr"")"),"GROTESQUE")</f>
        <v>GROTESQUE</v>
      </c>
      <c r="C4739" s="1" t="s">
        <v>185</v>
      </c>
      <c r="E4739" s="1" t="s">
        <v>16613</v>
      </c>
      <c r="H4739" s="1" t="s">
        <v>4</v>
      </c>
      <c r="V4739" s="1" t="s">
        <v>18</v>
      </c>
      <c r="W4739" s="1" t="s">
        <v>19</v>
      </c>
      <c r="CN4739" s="1" t="s">
        <v>88</v>
      </c>
      <c r="FW4739" s="1" t="s">
        <v>175</v>
      </c>
      <c r="GD4739" s="1" t="s">
        <v>202</v>
      </c>
      <c r="GE4739" s="1" t="s">
        <v>190</v>
      </c>
    </row>
    <row r="4740" spans="1:187" ht="11.25" customHeight="1">
      <c r="A4740" s="1" t="s">
        <v>6696</v>
      </c>
      <c r="B4740" s="1" t="str">
        <f ca="1">IFERROR(__xludf.DUMMYFUNCTION("GOOGLETRANSLATE(A4740, ""en"", ""fr"")"),"Terre n ° 1")</f>
        <v>Terre n ° 1</v>
      </c>
      <c r="C4740" s="1" t="s">
        <v>185</v>
      </c>
      <c r="AV4740" s="1" t="s">
        <v>44</v>
      </c>
      <c r="BA4740" s="1" t="s">
        <v>49</v>
      </c>
      <c r="FQ4740" s="1" t="s">
        <v>169</v>
      </c>
      <c r="GD4740" s="1" t="s">
        <v>193</v>
      </c>
      <c r="GE4740" s="1" t="s">
        <v>6697</v>
      </c>
    </row>
    <row r="4741" spans="1:187" ht="11.25" customHeight="1">
      <c r="A4741" s="1" t="s">
        <v>6698</v>
      </c>
      <c r="B4741" s="1" t="str">
        <f ca="1">IFERROR(__xludf.DUMMYFUNCTION("GOOGLETRANSLATE(A4741, ""en"", ""fr"")"),"Terre n ° 2")</f>
        <v>Terre n ° 2</v>
      </c>
      <c r="C4741" s="1" t="s">
        <v>185</v>
      </c>
      <c r="J4741" s="1" t="s">
        <v>6</v>
      </c>
      <c r="CH4741" s="1" t="s">
        <v>82</v>
      </c>
      <c r="FH4741" s="1" t="s">
        <v>160</v>
      </c>
      <c r="FI4741" s="1" t="s">
        <v>161</v>
      </c>
      <c r="GD4741" s="1" t="s">
        <v>193</v>
      </c>
      <c r="GE4741" s="1" t="s">
        <v>6699</v>
      </c>
    </row>
    <row r="4742" spans="1:187" ht="11.25" customHeight="1">
      <c r="A4742" s="1" t="s">
        <v>6700</v>
      </c>
      <c r="B4742" s="1" t="str">
        <f ca="1">IFERROR(__xludf.DUMMYFUNCTION("GOOGLETRANSLATE(A4742, ""en"", ""fr"")"),"Terre n ° 3")</f>
        <v>Terre n ° 3</v>
      </c>
      <c r="C4742" s="1" t="s">
        <v>185</v>
      </c>
      <c r="J4742" s="1" t="s">
        <v>6</v>
      </c>
      <c r="BQ4742" s="1" t="s">
        <v>65</v>
      </c>
      <c r="FQ4742" s="1" t="s">
        <v>169</v>
      </c>
      <c r="GD4742" s="1" t="s">
        <v>202</v>
      </c>
      <c r="GE4742" s="1" t="s">
        <v>6701</v>
      </c>
    </row>
    <row r="4743" spans="1:187" ht="11.25" customHeight="1">
      <c r="A4743" s="1" t="s">
        <v>6702</v>
      </c>
      <c r="B4743" s="1" t="str">
        <f ca="1">IFERROR(__xludf.DUMMYFUNCTION("GOOGLETRANSLATE(A4743, ""en"", ""fr"")"),"Terre n ° 4")</f>
        <v>Terre n ° 4</v>
      </c>
      <c r="C4743" s="1" t="s">
        <v>185</v>
      </c>
      <c r="J4743" s="1" t="s">
        <v>6</v>
      </c>
      <c r="N4743" s="1" t="s">
        <v>10</v>
      </c>
      <c r="AL4743" s="1" t="s">
        <v>34</v>
      </c>
      <c r="DO4743" s="1" t="s">
        <v>115</v>
      </c>
      <c r="GD4743" s="1" t="s">
        <v>1076</v>
      </c>
      <c r="GE4743" s="1" t="s">
        <v>6703</v>
      </c>
    </row>
    <row r="4744" spans="1:187" ht="11.25" customHeight="1">
      <c r="A4744" s="1" t="s">
        <v>6704</v>
      </c>
      <c r="B4744" s="1" t="str">
        <f ca="1">IFERROR(__xludf.DUMMYFUNCTION("GOOGLETRANSLATE(A4744, ""en"", ""fr"")"),"Terre n ° 5")</f>
        <v>Terre n ° 5</v>
      </c>
      <c r="C4744" s="1" t="s">
        <v>185</v>
      </c>
      <c r="GD4744" s="1" t="s">
        <v>225</v>
      </c>
      <c r="GE4744" s="1" t="s">
        <v>6705</v>
      </c>
    </row>
    <row r="4745" spans="1:187" ht="11.25" customHeight="1">
      <c r="A4745" s="1" t="s">
        <v>6706</v>
      </c>
      <c r="B4745" s="1" t="str">
        <f ca="1">IFERROR(__xludf.DUMMYFUNCTION("GOOGLETRANSLATE(A4745, ""en"", ""fr"")"),"SANS FONDEMENT")</f>
        <v>SANS FONDEMENT</v>
      </c>
      <c r="C4745" s="1" t="s">
        <v>196</v>
      </c>
      <c r="FH4745" s="1" t="s">
        <v>160</v>
      </c>
      <c r="FI4745" s="1" t="s">
        <v>161</v>
      </c>
      <c r="GD4745" s="1" t="s">
        <v>202</v>
      </c>
    </row>
    <row r="4746" spans="1:187" ht="11.25" customHeight="1">
      <c r="A4746" s="1" t="s">
        <v>6707</v>
      </c>
      <c r="B4746" s="1" t="str">
        <f ca="1">IFERROR(__xludf.DUMMYFUNCTION("GOOGLETRANSLATE(A4746, ""en"", ""fr"")"),"GROUPE 1")</f>
        <v>GROUPE 1</v>
      </c>
      <c r="C4746" s="1" t="s">
        <v>185</v>
      </c>
      <c r="AK4746" s="1" t="s">
        <v>33</v>
      </c>
      <c r="AT4746" s="1" t="s">
        <v>42</v>
      </c>
      <c r="DX4746" s="1" t="s">
        <v>124</v>
      </c>
      <c r="ED4746" s="1" t="s">
        <v>130</v>
      </c>
      <c r="GD4746" s="1" t="s">
        <v>193</v>
      </c>
      <c r="GE4746" s="1" t="s">
        <v>6708</v>
      </c>
    </row>
    <row r="4747" spans="1:187" ht="11.25" customHeight="1">
      <c r="A4747" s="1" t="s">
        <v>6709</v>
      </c>
      <c r="B4747" s="1" t="str">
        <f ca="1">IFERROR(__xludf.DUMMYFUNCTION("GOOGLETRANSLATE(A4747, ""en"", ""fr"")"),"Groupe n ° 2")</f>
        <v>Groupe n ° 2</v>
      </c>
      <c r="C4747" s="1" t="s">
        <v>185</v>
      </c>
      <c r="CH4747" s="1" t="s">
        <v>82</v>
      </c>
      <c r="GD4747" s="1" t="s">
        <v>193</v>
      </c>
      <c r="GE4747" s="1" t="s">
        <v>6710</v>
      </c>
    </row>
    <row r="4748" spans="1:187" ht="11.25" customHeight="1">
      <c r="A4748" s="1" t="s">
        <v>6711</v>
      </c>
      <c r="B4748" s="1" t="str">
        <f ca="1">IFERROR(__xludf.DUMMYFUNCTION("GOOGLETRANSLATE(A4748, ""en"", ""fr"")"),"Groupe n ° 3")</f>
        <v>Groupe n ° 3</v>
      </c>
      <c r="C4748" s="1" t="s">
        <v>185</v>
      </c>
      <c r="N4748" s="1" t="s">
        <v>10</v>
      </c>
      <c r="AL4748" s="1" t="s">
        <v>34</v>
      </c>
      <c r="DO4748" s="1" t="s">
        <v>115</v>
      </c>
      <c r="DX4748" s="1" t="s">
        <v>124</v>
      </c>
      <c r="ED4748" s="1" t="s">
        <v>130</v>
      </c>
      <c r="GD4748" s="1" t="s">
        <v>189</v>
      </c>
      <c r="GE4748" s="1" t="s">
        <v>6712</v>
      </c>
    </row>
    <row r="4749" spans="1:187" ht="11.25" customHeight="1">
      <c r="A4749" s="1" t="s">
        <v>6713</v>
      </c>
      <c r="B4749" s="1" t="str">
        <f ca="1">IFERROR(__xludf.DUMMYFUNCTION("GOOGLETRANSLATE(A4749, ""en"", ""fr"")"),"BOSQUET")</f>
        <v>BOSQUET</v>
      </c>
      <c r="C4749" s="1" t="s">
        <v>185</v>
      </c>
      <c r="AV4749" s="1" t="s">
        <v>44</v>
      </c>
      <c r="BA4749" s="1" t="s">
        <v>49</v>
      </c>
      <c r="GD4749" s="1" t="s">
        <v>193</v>
      </c>
      <c r="GE4749" s="1" t="s">
        <v>190</v>
      </c>
    </row>
    <row r="4750" spans="1:187" ht="11.25" customHeight="1">
      <c r="A4750" s="1" t="s">
        <v>6714</v>
      </c>
      <c r="B4750" s="1" t="str">
        <f ca="1">IFERROR(__xludf.DUMMYFUNCTION("GOOGLETRANSLATE(A4750, ""en"", ""fr"")"),"Grandir # 1")</f>
        <v>Grandir # 1</v>
      </c>
      <c r="C4750" s="1" t="s">
        <v>185</v>
      </c>
      <c r="J4750" s="1" t="s">
        <v>6</v>
      </c>
      <c r="N4750" s="1" t="s">
        <v>10</v>
      </c>
      <c r="O4750" s="1" t="s">
        <v>11</v>
      </c>
      <c r="BX4750" s="1" t="s">
        <v>72</v>
      </c>
      <c r="DO4750" s="1" t="s">
        <v>115</v>
      </c>
      <c r="EZ4750" s="1" t="s">
        <v>152</v>
      </c>
      <c r="FC4750" s="1" t="s">
        <v>155</v>
      </c>
      <c r="GD4750" s="1" t="s">
        <v>189</v>
      </c>
      <c r="GE4750" s="1" t="s">
        <v>6715</v>
      </c>
    </row>
    <row r="4751" spans="1:187" ht="11.25" customHeight="1">
      <c r="A4751" s="1" t="s">
        <v>6716</v>
      </c>
      <c r="B4751" s="1" t="str">
        <f ca="1">IFERROR(__xludf.DUMMYFUNCTION("GOOGLETRANSLATE(A4751, ""en"", ""fr"")"),"Grow # 2")</f>
        <v>Grow # 2</v>
      </c>
      <c r="C4751" s="1" t="s">
        <v>185</v>
      </c>
      <c r="J4751" s="1" t="s">
        <v>6</v>
      </c>
      <c r="BX4751" s="1" t="s">
        <v>72</v>
      </c>
      <c r="DN4751" s="1" t="s">
        <v>114</v>
      </c>
      <c r="EM4751" s="1" t="s">
        <v>139</v>
      </c>
      <c r="EN4751" s="1" t="s">
        <v>140</v>
      </c>
      <c r="GD4751" s="1" t="s">
        <v>189</v>
      </c>
      <c r="GE4751" s="1" t="s">
        <v>6717</v>
      </c>
    </row>
    <row r="4752" spans="1:187" ht="11.25" customHeight="1">
      <c r="A4752" s="1" t="s">
        <v>6718</v>
      </c>
      <c r="B4752" s="1" t="str">
        <f ca="1">IFERROR(__xludf.DUMMYFUNCTION("GOOGLETRANSLATE(A4752, ""en"", ""fr"")"),"Grow # 3")</f>
        <v>Grow # 3</v>
      </c>
      <c r="C4752" s="1" t="s">
        <v>185</v>
      </c>
      <c r="J4752" s="1" t="s">
        <v>6</v>
      </c>
      <c r="BX4752" s="1" t="s">
        <v>72</v>
      </c>
      <c r="DO4752" s="1" t="s">
        <v>115</v>
      </c>
      <c r="FP4752" s="1" t="s">
        <v>168</v>
      </c>
      <c r="GD4752" s="1" t="s">
        <v>1601</v>
      </c>
      <c r="GE4752" s="1" t="s">
        <v>6719</v>
      </c>
    </row>
    <row r="4753" spans="1:187" ht="11.25" customHeight="1">
      <c r="A4753" s="1" t="s">
        <v>6720</v>
      </c>
      <c r="B4753" s="1" t="str">
        <f ca="1">IFERROR(__xludf.DUMMYFUNCTION("GOOGLETRANSLATE(A4753, ""en"", ""fr"")"),"Grow # 4")</f>
        <v>Grow # 4</v>
      </c>
      <c r="C4753" s="1" t="s">
        <v>185</v>
      </c>
      <c r="J4753" s="1" t="s">
        <v>6</v>
      </c>
      <c r="K4753" s="1" t="s">
        <v>7</v>
      </c>
      <c r="N4753" s="1" t="s">
        <v>10</v>
      </c>
      <c r="AL4753" s="1" t="s">
        <v>34</v>
      </c>
      <c r="DN4753" s="1" t="s">
        <v>114</v>
      </c>
      <c r="EX4753" s="1" t="s">
        <v>150</v>
      </c>
      <c r="FC4753" s="1" t="s">
        <v>155</v>
      </c>
      <c r="GD4753" s="1" t="s">
        <v>189</v>
      </c>
      <c r="GE4753" s="1" t="s">
        <v>6721</v>
      </c>
    </row>
    <row r="4754" spans="1:187" ht="11.25" customHeight="1">
      <c r="A4754" s="1" t="s">
        <v>6722</v>
      </c>
      <c r="B4754" s="1" t="str">
        <f ca="1">IFERROR(__xludf.DUMMYFUNCTION("GOOGLETRANSLATE(A4754, ""en"", ""fr"")"),"Grow # 5")</f>
        <v>Grow # 5</v>
      </c>
      <c r="C4754" s="1" t="s">
        <v>185</v>
      </c>
      <c r="J4754" s="1" t="s">
        <v>6</v>
      </c>
      <c r="N4754" s="1" t="s">
        <v>10</v>
      </c>
      <c r="BX4754" s="1" t="s">
        <v>72</v>
      </c>
      <c r="GD4754" s="1" t="s">
        <v>202</v>
      </c>
      <c r="GE4754" s="1" t="s">
        <v>6723</v>
      </c>
    </row>
    <row r="4755" spans="1:187" ht="11.25" customHeight="1">
      <c r="A4755" s="1" t="s">
        <v>6724</v>
      </c>
      <c r="B4755" s="1" t="str">
        <f ca="1">IFERROR(__xludf.DUMMYFUNCTION("GOOGLETRANSLATE(A4755, ""en"", ""fr"")"),"PRODUCTEUR")</f>
        <v>PRODUCTEUR</v>
      </c>
      <c r="C4755" s="1" t="s">
        <v>185</v>
      </c>
      <c r="J4755" s="1" t="s">
        <v>6</v>
      </c>
      <c r="N4755" s="1" t="s">
        <v>10</v>
      </c>
      <c r="AA4755" s="1" t="s">
        <v>23</v>
      </c>
      <c r="AJ4755" s="1" t="s">
        <v>32</v>
      </c>
      <c r="AT4755" s="1" t="s">
        <v>42</v>
      </c>
      <c r="ET4755" s="1" t="s">
        <v>146</v>
      </c>
      <c r="EW4755" s="1" t="s">
        <v>149</v>
      </c>
      <c r="GD4755" s="1" t="s">
        <v>193</v>
      </c>
      <c r="GE4755" s="1" t="s">
        <v>190</v>
      </c>
    </row>
    <row r="4756" spans="1:187" ht="11.25" customHeight="1">
      <c r="A4756" s="1" t="s">
        <v>6725</v>
      </c>
      <c r="B4756" s="1" t="str">
        <f ca="1">IFERROR(__xludf.DUMMYFUNCTION("GOOGLETRANSLATE(A4756, ""en"", ""fr"")"),"GROGNEMENT")</f>
        <v>GROGNEMENT</v>
      </c>
      <c r="C4756" s="1" t="s">
        <v>192</v>
      </c>
      <c r="E4756" s="1" t="s">
        <v>16613</v>
      </c>
      <c r="N4756" s="1" t="s">
        <v>10</v>
      </c>
      <c r="BK4756" s="1" t="s">
        <v>59</v>
      </c>
      <c r="DN4756" s="1" t="s">
        <v>114</v>
      </c>
      <c r="GD4756" s="1" t="s">
        <v>189</v>
      </c>
      <c r="GE4756" s="1" t="s">
        <v>190</v>
      </c>
    </row>
    <row r="4757" spans="1:187" ht="11.25" customHeight="1">
      <c r="A4757" s="1" t="s">
        <v>6726</v>
      </c>
      <c r="B4757" s="1" t="str">
        <f ca="1">IFERROR(__xludf.DUMMYFUNCTION("GOOGLETRANSLATE(A4757, ""en"", ""fr"")"),"Cultivé n ° 1")</f>
        <v>Cultivé n ° 1</v>
      </c>
      <c r="C4757" s="1" t="s">
        <v>185</v>
      </c>
      <c r="J4757" s="1" t="s">
        <v>6</v>
      </c>
      <c r="O4757" s="1" t="s">
        <v>11</v>
      </c>
      <c r="BX4757" s="1" t="s">
        <v>72</v>
      </c>
      <c r="DO4757" s="1" t="s">
        <v>115</v>
      </c>
      <c r="EZ4757" s="1" t="s">
        <v>152</v>
      </c>
      <c r="FC4757" s="1" t="s">
        <v>155</v>
      </c>
      <c r="GD4757" s="1" t="s">
        <v>1076</v>
      </c>
      <c r="GE4757" s="1" t="s">
        <v>6727</v>
      </c>
    </row>
    <row r="4758" spans="1:187" ht="11.25" customHeight="1">
      <c r="A4758" s="1" t="s">
        <v>6728</v>
      </c>
      <c r="B4758" s="1" t="str">
        <f ca="1">IFERROR(__xludf.DUMMYFUNCTION("GOOGLETRANSLATE(A4758, ""en"", ""fr"")"),"Grown # 2")</f>
        <v>Grown # 2</v>
      </c>
      <c r="C4758" s="1" t="s">
        <v>185</v>
      </c>
      <c r="U4758" s="1" t="s">
        <v>17</v>
      </c>
      <c r="GD4758" s="1" t="s">
        <v>225</v>
      </c>
      <c r="GE4758" s="1" t="s">
        <v>6729</v>
      </c>
    </row>
    <row r="4759" spans="1:187" ht="11.25" customHeight="1">
      <c r="A4759" s="1" t="s">
        <v>6730</v>
      </c>
      <c r="B4759" s="1" t="str">
        <f ca="1">IFERROR(__xludf.DUMMYFUNCTION("GOOGLETRANSLATE(A4759, ""en"", ""fr"")"),"Grown # 3")</f>
        <v>Grown # 3</v>
      </c>
      <c r="C4759" s="1" t="s">
        <v>185</v>
      </c>
      <c r="CY4759" s="1" t="s">
        <v>99</v>
      </c>
      <c r="GD4759" s="1" t="s">
        <v>225</v>
      </c>
      <c r="GE4759" s="1" t="s">
        <v>6731</v>
      </c>
    </row>
    <row r="4760" spans="1:187" ht="11.25" customHeight="1">
      <c r="A4760" s="1" t="s">
        <v>6732</v>
      </c>
      <c r="B4760" s="1" t="str">
        <f ca="1">IFERROR(__xludf.DUMMYFUNCTION("GOOGLETRANSLATE(A4760, ""en"", ""fr"")"),"Grown # 4")</f>
        <v>Grown # 4</v>
      </c>
      <c r="C4760" s="1" t="s">
        <v>185</v>
      </c>
      <c r="BX4760" s="1" t="s">
        <v>72</v>
      </c>
      <c r="GD4760" s="1" t="s">
        <v>225</v>
      </c>
      <c r="GE4760" s="1" t="s">
        <v>6733</v>
      </c>
    </row>
    <row r="4761" spans="1:187" ht="11.25" customHeight="1">
      <c r="A4761" s="1" t="s">
        <v>6734</v>
      </c>
      <c r="B4761" s="1" t="str">
        <f ca="1">IFERROR(__xludf.DUMMYFUNCTION("GOOGLETRANSLATE(A4761, ""en"", ""fr"")"),"Cultivé n ° 5")</f>
        <v>Cultivé n ° 5</v>
      </c>
      <c r="C4761" s="1" t="s">
        <v>185</v>
      </c>
      <c r="BX4761" s="1" t="s">
        <v>72</v>
      </c>
      <c r="GD4761" s="1" t="s">
        <v>225</v>
      </c>
      <c r="GE4761" s="1" t="s">
        <v>6735</v>
      </c>
    </row>
    <row r="4762" spans="1:187" ht="11.25" customHeight="1">
      <c r="A4762" s="1" t="s">
        <v>6736</v>
      </c>
      <c r="B4762" s="1" t="str">
        <f ca="1">IFERROR(__xludf.DUMMYFUNCTION("GOOGLETRANSLATE(A4762, ""en"", ""fr"")"),"Grown # 6")</f>
        <v>Grown # 6</v>
      </c>
      <c r="C4762" s="1" t="s">
        <v>185</v>
      </c>
      <c r="J4762" s="1" t="s">
        <v>6</v>
      </c>
      <c r="U4762" s="1" t="s">
        <v>17</v>
      </c>
      <c r="EZ4762" s="1" t="s">
        <v>152</v>
      </c>
      <c r="FC4762" s="1" t="s">
        <v>155</v>
      </c>
      <c r="GD4762" s="1" t="s">
        <v>202</v>
      </c>
      <c r="GE4762" s="1" t="s">
        <v>6737</v>
      </c>
    </row>
    <row r="4763" spans="1:187" ht="11.25" customHeight="1">
      <c r="A4763" s="1" t="s">
        <v>6738</v>
      </c>
      <c r="B4763" s="1" t="str">
        <f ca="1">IFERROR(__xludf.DUMMYFUNCTION("GOOGLETRANSLATE(A4763, ""en"", ""fr"")"),"CROISSANCE")</f>
        <v>CROISSANCE</v>
      </c>
      <c r="C4763" s="1" t="s">
        <v>185</v>
      </c>
      <c r="J4763" s="1" t="s">
        <v>6</v>
      </c>
      <c r="O4763" s="1" t="s">
        <v>11</v>
      </c>
      <c r="BX4763" s="1" t="s">
        <v>72</v>
      </c>
      <c r="FR4763" s="1" t="s">
        <v>170</v>
      </c>
      <c r="GD4763" s="1" t="s">
        <v>193</v>
      </c>
      <c r="GE4763" s="1" t="s">
        <v>6739</v>
      </c>
    </row>
    <row r="4764" spans="1:187" ht="11.25" customHeight="1">
      <c r="A4764" s="1" t="s">
        <v>6740</v>
      </c>
      <c r="B4764" s="1" t="str">
        <f ca="1">IFERROR(__xludf.DUMMYFUNCTION("GOOGLETRANSLATE(A4764, ""en"", ""fr"")"),"RANCUNE")</f>
        <v>RANCUNE</v>
      </c>
      <c r="C4764" s="1" t="s">
        <v>185</v>
      </c>
      <c r="E4764" s="1" t="s">
        <v>16613</v>
      </c>
      <c r="H4764" s="1" t="s">
        <v>4</v>
      </c>
      <c r="I4764" s="1" t="s">
        <v>5</v>
      </c>
      <c r="Q4764" s="1" t="s">
        <v>13</v>
      </c>
      <c r="FW4764" s="1" t="s">
        <v>175</v>
      </c>
      <c r="GD4764" s="1" t="s">
        <v>193</v>
      </c>
      <c r="GE4764" s="1" t="s">
        <v>190</v>
      </c>
    </row>
    <row r="4765" spans="1:187" ht="11.25" customHeight="1">
      <c r="A4765" s="1" t="s">
        <v>6741</v>
      </c>
      <c r="B4765" s="1" t="str">
        <f ca="1">IFERROR(__xludf.DUMMYFUNCTION("GOOGLETRANSLATE(A4765, ""en"", ""fr"")"),"BOURRU")</f>
        <v>BOURRU</v>
      </c>
      <c r="C4765" s="1" t="s">
        <v>192</v>
      </c>
      <c r="E4765" s="1" t="s">
        <v>16613</v>
      </c>
      <c r="J4765" s="1" t="s">
        <v>6</v>
      </c>
      <c r="CR4765" s="1" t="s">
        <v>92</v>
      </c>
      <c r="DR4765" s="1" t="s">
        <v>118</v>
      </c>
      <c r="GD4765" s="1" t="s">
        <v>202</v>
      </c>
      <c r="GE4765" s="1" t="s">
        <v>190</v>
      </c>
    </row>
    <row r="4766" spans="1:187" ht="11.25" customHeight="1">
      <c r="A4766" s="1" t="s">
        <v>6742</v>
      </c>
      <c r="B4766" s="1" t="str">
        <f ca="1">IFERROR(__xludf.DUMMYFUNCTION("GOOGLETRANSLATE(A4766, ""en"", ""fr"")"),"PLAINDRE")</f>
        <v>PLAINDRE</v>
      </c>
      <c r="C4766" s="1" t="s">
        <v>185</v>
      </c>
      <c r="E4766" s="1" t="s">
        <v>16613</v>
      </c>
      <c r="H4766" s="1" t="s">
        <v>4</v>
      </c>
      <c r="I4766" s="1" t="s">
        <v>5</v>
      </c>
      <c r="BK4766" s="1" t="s">
        <v>59</v>
      </c>
      <c r="DN4766" s="1" t="s">
        <v>114</v>
      </c>
      <c r="FW4766" s="1" t="s">
        <v>175</v>
      </c>
      <c r="GD4766" s="1" t="s">
        <v>189</v>
      </c>
      <c r="GE4766" s="1" t="s">
        <v>190</v>
      </c>
    </row>
    <row r="4767" spans="1:187" ht="11.25" customHeight="1">
      <c r="A4767" s="1" t="s">
        <v>6743</v>
      </c>
      <c r="B4767" s="1" t="str">
        <f ca="1">IFERROR(__xludf.DUMMYFUNCTION("GOOGLETRANSLATE(A4767, ""en"", ""fr"")"),"Garantie n ° 1")</f>
        <v>Garantie n ° 1</v>
      </c>
      <c r="C4767" s="1" t="s">
        <v>185</v>
      </c>
      <c r="D4767" s="1" t="s">
        <v>16612</v>
      </c>
      <c r="F4767" s="1" t="s">
        <v>2</v>
      </c>
      <c r="J4767" s="1" t="s">
        <v>6</v>
      </c>
      <c r="K4767" s="1" t="s">
        <v>7</v>
      </c>
      <c r="AE4767" s="1" t="s">
        <v>27</v>
      </c>
      <c r="BK4767" s="1" t="s">
        <v>59</v>
      </c>
      <c r="BL4767" s="1" t="s">
        <v>60</v>
      </c>
      <c r="GC4767" s="1" t="s">
        <v>181</v>
      </c>
      <c r="GD4767" s="1" t="s">
        <v>193</v>
      </c>
      <c r="GE4767" s="1" t="s">
        <v>190</v>
      </c>
    </row>
    <row r="4768" spans="1:187" ht="11.25" customHeight="1">
      <c r="A4768" s="1" t="s">
        <v>6744</v>
      </c>
      <c r="B4768" s="1" t="str">
        <f ca="1">IFERROR(__xludf.DUMMYFUNCTION("GOOGLETRANSLATE(A4768, ""en"", ""fr"")"),"Garantie n ° 2")</f>
        <v>Garantie n ° 2</v>
      </c>
      <c r="C4768" s="1" t="s">
        <v>185</v>
      </c>
      <c r="D4768" s="1" t="s">
        <v>16612</v>
      </c>
      <c r="F4768" s="1" t="s">
        <v>2</v>
      </c>
      <c r="J4768" s="1" t="s">
        <v>6</v>
      </c>
      <c r="K4768" s="1" t="s">
        <v>7</v>
      </c>
      <c r="AE4768" s="1" t="s">
        <v>27</v>
      </c>
      <c r="BK4768" s="1" t="s">
        <v>59</v>
      </c>
      <c r="DN4768" s="1" t="s">
        <v>114</v>
      </c>
      <c r="FP4768" s="1" t="s">
        <v>168</v>
      </c>
      <c r="GD4768" s="1" t="s">
        <v>189</v>
      </c>
      <c r="GE4768" s="1" t="s">
        <v>190</v>
      </c>
    </row>
    <row r="4769" spans="1:187" ht="11.25" customHeight="1">
      <c r="A4769" s="1" t="s">
        <v>6745</v>
      </c>
      <c r="B4769" s="1" t="str">
        <f ca="1">IFERROR(__xludf.DUMMYFUNCTION("GOOGLETRANSLATE(A4769, ""en"", ""fr"")"),"GARANT")</f>
        <v>GARANT</v>
      </c>
      <c r="C4769" s="1" t="s">
        <v>196</v>
      </c>
      <c r="EE4769" s="1" t="s">
        <v>131</v>
      </c>
      <c r="EJ4769" s="1" t="s">
        <v>136</v>
      </c>
      <c r="GD4769" s="1" t="s">
        <v>193</v>
      </c>
    </row>
    <row r="4770" spans="1:187" ht="11.25" customHeight="1">
      <c r="A4770" s="1" t="s">
        <v>6746</v>
      </c>
      <c r="B4770" s="1" t="str">
        <f ca="1">IFERROR(__xludf.DUMMYFUNCTION("GOOGLETRANSLATE(A4770, ""en"", ""fr"")"),"Garde n ° 1")</f>
        <v>Garde n ° 1</v>
      </c>
      <c r="C4770" s="1" t="s">
        <v>185</v>
      </c>
      <c r="G4770" s="1" t="s">
        <v>3</v>
      </c>
      <c r="J4770" s="1" t="s">
        <v>6</v>
      </c>
      <c r="K4770" s="1" t="s">
        <v>7</v>
      </c>
      <c r="N4770" s="1" t="s">
        <v>10</v>
      </c>
      <c r="AF4770" s="1" t="s">
        <v>28</v>
      </c>
      <c r="AN4770" s="1" t="s">
        <v>36</v>
      </c>
      <c r="DN4770" s="1" t="s">
        <v>114</v>
      </c>
      <c r="EC4770" s="1" t="s">
        <v>129</v>
      </c>
      <c r="ED4770" s="1" t="s">
        <v>130</v>
      </c>
      <c r="GD4770" s="1" t="s">
        <v>189</v>
      </c>
      <c r="GE4770" s="1" t="s">
        <v>6747</v>
      </c>
    </row>
    <row r="4771" spans="1:187" ht="11.25" customHeight="1">
      <c r="A4771" s="1" t="s">
        <v>6748</v>
      </c>
      <c r="B4771" s="1" t="str">
        <f ca="1">IFERROR(__xludf.DUMMYFUNCTION("GOOGLETRANSLATE(A4771, ""en"", ""fr"")"),"Garde n ° 2")</f>
        <v>Garde n ° 2</v>
      </c>
      <c r="C4771" s="1" t="s">
        <v>185</v>
      </c>
      <c r="J4771" s="1" t="s">
        <v>6</v>
      </c>
      <c r="AF4771" s="1" t="s">
        <v>28</v>
      </c>
      <c r="AJ4771" s="1" t="s">
        <v>32</v>
      </c>
      <c r="AT4771" s="1" t="s">
        <v>42</v>
      </c>
      <c r="DY4771" s="1" t="s">
        <v>125</v>
      </c>
      <c r="ED4771" s="1" t="s">
        <v>130</v>
      </c>
      <c r="GD4771" s="1" t="s">
        <v>193</v>
      </c>
      <c r="GE4771" s="1" t="s">
        <v>6749</v>
      </c>
    </row>
    <row r="4772" spans="1:187" ht="11.25" customHeight="1">
      <c r="A4772" s="1" t="s">
        <v>6750</v>
      </c>
      <c r="B4772" s="1" t="str">
        <f ca="1">IFERROR(__xludf.DUMMYFUNCTION("GOOGLETRANSLATE(A4772, ""en"", ""fr"")"),"GARDIEN")</f>
        <v>GARDIEN</v>
      </c>
      <c r="C4772" s="1" t="s">
        <v>185</v>
      </c>
      <c r="D4772" s="1" t="s">
        <v>16612</v>
      </c>
      <c r="J4772" s="1" t="s">
        <v>6</v>
      </c>
      <c r="AJ4772" s="1" t="s">
        <v>32</v>
      </c>
      <c r="AT4772" s="1" t="s">
        <v>42</v>
      </c>
      <c r="DY4772" s="1" t="s">
        <v>125</v>
      </c>
      <c r="ED4772" s="1" t="s">
        <v>130</v>
      </c>
      <c r="GD4772" s="1" t="s">
        <v>193</v>
      </c>
      <c r="GE4772" s="1" t="s">
        <v>190</v>
      </c>
    </row>
    <row r="4773" spans="1:187" ht="11.25" customHeight="1">
      <c r="A4773" s="1" t="s">
        <v>6751</v>
      </c>
      <c r="B4773" s="1" t="str">
        <f ca="1">IFERROR(__xludf.DUMMYFUNCTION("GOOGLETRANSLATE(A4773, ""en"", ""fr"")"),"TUTELLE")</f>
        <v>TUTELLE</v>
      </c>
      <c r="C4773" s="1" t="s">
        <v>196</v>
      </c>
      <c r="EC4773" s="1" t="s">
        <v>129</v>
      </c>
      <c r="ED4773" s="1" t="s">
        <v>130</v>
      </c>
      <c r="GD4773" s="1" t="s">
        <v>193</v>
      </c>
    </row>
    <row r="4774" spans="1:187" ht="11.25" customHeight="1">
      <c r="A4774" s="1" t="s">
        <v>6752</v>
      </c>
      <c r="B4774" s="1" t="str">
        <f ca="1">IFERROR(__xludf.DUMMYFUNCTION("GOOGLETRANSLATE(A4774, ""en"", ""fr"")"),"GUATEMALA")</f>
        <v>GUATEMALA</v>
      </c>
      <c r="C4774" s="1" t="s">
        <v>196</v>
      </c>
      <c r="FU4774" s="1" t="s">
        <v>173</v>
      </c>
      <c r="GD4774" s="1" t="s">
        <v>545</v>
      </c>
    </row>
    <row r="4775" spans="1:187" ht="11.25" customHeight="1">
      <c r="A4775" s="1" t="s">
        <v>6753</v>
      </c>
      <c r="B4775" s="1" t="str">
        <f ca="1">IFERROR(__xludf.DUMMYFUNCTION("GOOGLETRANSLATE(A4775, ""en"", ""fr"")"),"GUÉRILLA")</f>
        <v>GUÉRILLA</v>
      </c>
      <c r="C4775" s="1" t="s">
        <v>185</v>
      </c>
      <c r="E4775" s="1" t="s">
        <v>16613</v>
      </c>
      <c r="H4775" s="1" t="s">
        <v>4</v>
      </c>
      <c r="I4775" s="1" t="s">
        <v>5</v>
      </c>
      <c r="J4775" s="1" t="s">
        <v>6</v>
      </c>
      <c r="N4775" s="1" t="s">
        <v>10</v>
      </c>
      <c r="AF4775" s="1" t="s">
        <v>28</v>
      </c>
      <c r="AH4775" s="1" t="s">
        <v>30</v>
      </c>
      <c r="AT4775" s="1" t="s">
        <v>42</v>
      </c>
      <c r="DW4775" s="1" t="s">
        <v>123</v>
      </c>
      <c r="ED4775" s="1" t="s">
        <v>130</v>
      </c>
      <c r="GD4775" s="1" t="s">
        <v>193</v>
      </c>
      <c r="GE4775" s="1" t="s">
        <v>190</v>
      </c>
    </row>
    <row r="4776" spans="1:187" ht="11.25" customHeight="1">
      <c r="A4776" s="1" t="s">
        <v>6754</v>
      </c>
      <c r="B4776" s="1" t="str">
        <f ca="1">IFERROR(__xludf.DUMMYFUNCTION("GOOGLETRANSLATE(A4776, ""en"", ""fr"")"),"Devinez # 1")</f>
        <v>Devinez # 1</v>
      </c>
      <c r="C4776" s="1" t="s">
        <v>185</v>
      </c>
      <c r="CO4776" s="1" t="s">
        <v>89</v>
      </c>
      <c r="DN4776" s="1" t="s">
        <v>114</v>
      </c>
      <c r="FH4776" s="1" t="s">
        <v>160</v>
      </c>
      <c r="FI4776" s="1" t="s">
        <v>161</v>
      </c>
      <c r="GD4776" s="1" t="s">
        <v>400</v>
      </c>
      <c r="GE4776" s="1" t="s">
        <v>6755</v>
      </c>
    </row>
    <row r="4777" spans="1:187" ht="11.25" customHeight="1">
      <c r="A4777" s="1" t="s">
        <v>6756</v>
      </c>
      <c r="B4777" s="1" t="str">
        <f ca="1">IFERROR(__xludf.DUMMYFUNCTION("GOOGLETRANSLATE(A4777, ""en"", ""fr"")"),"Deviner n ° 2")</f>
        <v>Deviner n ° 2</v>
      </c>
      <c r="C4777" s="1" t="s">
        <v>185</v>
      </c>
      <c r="BQ4777" s="1" t="s">
        <v>65</v>
      </c>
      <c r="FH4777" s="1" t="s">
        <v>160</v>
      </c>
      <c r="FI4777" s="1" t="s">
        <v>161</v>
      </c>
      <c r="GD4777" s="1" t="s">
        <v>193</v>
      </c>
      <c r="GE4777" s="1" t="s">
        <v>6757</v>
      </c>
    </row>
    <row r="4778" spans="1:187" ht="11.25" customHeight="1">
      <c r="A4778" s="1" t="s">
        <v>6758</v>
      </c>
      <c r="B4778" s="1" t="str">
        <f ca="1">IFERROR(__xludf.DUMMYFUNCTION("GOOGLETRANSLATE(A4778, ""en"", ""fr"")"),"Deviner # 3")</f>
        <v>Deviner # 3</v>
      </c>
      <c r="C4778" s="1" t="s">
        <v>185</v>
      </c>
      <c r="N4778" s="1" t="s">
        <v>10</v>
      </c>
      <c r="BQ4778" s="1" t="s">
        <v>65</v>
      </c>
      <c r="FH4778" s="1" t="s">
        <v>160</v>
      </c>
      <c r="FI4778" s="1" t="s">
        <v>161</v>
      </c>
      <c r="GD4778" s="1" t="s">
        <v>202</v>
      </c>
      <c r="GE4778" s="1" t="s">
        <v>6759</v>
      </c>
    </row>
    <row r="4779" spans="1:187" ht="11.25" customHeight="1">
      <c r="A4779" s="1" t="s">
        <v>6760</v>
      </c>
      <c r="B4779" s="1" t="str">
        <f ca="1">IFERROR(__xludf.DUMMYFUNCTION("GOOGLETRANSLATE(A4779, ""en"", ""fr"")"),"INVITÉ")</f>
        <v>INVITÉ</v>
      </c>
      <c r="C4779" s="1" t="s">
        <v>185</v>
      </c>
      <c r="G4779" s="1" t="s">
        <v>3</v>
      </c>
      <c r="AJ4779" s="1" t="s">
        <v>32</v>
      </c>
      <c r="AT4779" s="1" t="s">
        <v>42</v>
      </c>
      <c r="EM4779" s="1" t="s">
        <v>139</v>
      </c>
      <c r="EN4779" s="1" t="s">
        <v>140</v>
      </c>
      <c r="GD4779" s="1" t="s">
        <v>193</v>
      </c>
      <c r="GE4779" s="1" t="s">
        <v>6761</v>
      </c>
    </row>
    <row r="4780" spans="1:187" ht="11.25" customHeight="1">
      <c r="A4780" s="1" t="s">
        <v>6762</v>
      </c>
      <c r="B4780" s="1" t="str">
        <f ca="1">IFERROR(__xludf.DUMMYFUNCTION("GOOGLETRANSLATE(A4780, ""en"", ""fr"")"),"CONSEILS")</f>
        <v>CONSEILS</v>
      </c>
      <c r="C4780" s="1" t="s">
        <v>185</v>
      </c>
      <c r="J4780" s="1" t="s">
        <v>6</v>
      </c>
      <c r="K4780" s="1" t="s">
        <v>7</v>
      </c>
      <c r="N4780" s="1" t="s">
        <v>10</v>
      </c>
      <c r="U4780" s="1" t="s">
        <v>17</v>
      </c>
      <c r="EC4780" s="1" t="s">
        <v>129</v>
      </c>
      <c r="ED4780" s="1" t="s">
        <v>130</v>
      </c>
      <c r="GD4780" s="1" t="s">
        <v>193</v>
      </c>
      <c r="GE4780" s="1" t="s">
        <v>190</v>
      </c>
    </row>
    <row r="4781" spans="1:187" ht="11.25" customHeight="1">
      <c r="A4781" s="1" t="s">
        <v>6763</v>
      </c>
      <c r="B4781" s="1" t="str">
        <f ca="1">IFERROR(__xludf.DUMMYFUNCTION("GOOGLETRANSLATE(A4781, ""en"", ""fr"")"),"Guide n ° 1")</f>
        <v>Guide n ° 1</v>
      </c>
      <c r="C4781" s="1" t="s">
        <v>185</v>
      </c>
      <c r="D4781" s="1" t="s">
        <v>16612</v>
      </c>
      <c r="F4781" s="1" t="s">
        <v>2</v>
      </c>
      <c r="J4781" s="1" t="s">
        <v>6</v>
      </c>
      <c r="K4781" s="1" t="s">
        <v>7</v>
      </c>
      <c r="N4781" s="1" t="s">
        <v>10</v>
      </c>
      <c r="AN4781" s="1" t="s">
        <v>36</v>
      </c>
      <c r="DN4781" s="1" t="s">
        <v>114</v>
      </c>
      <c r="EC4781" s="1" t="s">
        <v>129</v>
      </c>
      <c r="ED4781" s="1" t="s">
        <v>130</v>
      </c>
      <c r="GD4781" s="1" t="s">
        <v>189</v>
      </c>
      <c r="GE4781" s="1" t="s">
        <v>6764</v>
      </c>
    </row>
    <row r="4782" spans="1:187" ht="11.25" customHeight="1">
      <c r="A4782" s="1" t="s">
        <v>6765</v>
      </c>
      <c r="B4782" s="1" t="str">
        <f ca="1">IFERROR(__xludf.DUMMYFUNCTION("GOOGLETRANSLATE(A4782, ""en"", ""fr"")"),"Guide n ° 2")</f>
        <v>Guide n ° 2</v>
      </c>
      <c r="C4782" s="1" t="s">
        <v>185</v>
      </c>
      <c r="D4782" s="1" t="s">
        <v>16612</v>
      </c>
      <c r="F4782" s="1" t="s">
        <v>2</v>
      </c>
      <c r="J4782" s="1" t="s">
        <v>6</v>
      </c>
      <c r="N4782" s="1" t="s">
        <v>10</v>
      </c>
      <c r="AA4782" s="1" t="s">
        <v>23</v>
      </c>
      <c r="AJ4782" s="1" t="s">
        <v>32</v>
      </c>
      <c r="AT4782" s="1" t="s">
        <v>42</v>
      </c>
      <c r="FT4782" s="1" t="s">
        <v>172</v>
      </c>
      <c r="GD4782" s="1" t="s">
        <v>193</v>
      </c>
      <c r="GE4782" s="1" t="s">
        <v>6766</v>
      </c>
    </row>
    <row r="4783" spans="1:187" ht="11.25" customHeight="1">
      <c r="A4783" s="1" t="s">
        <v>6767</v>
      </c>
      <c r="B4783" s="1" t="str">
        <f ca="1">IFERROR(__xludf.DUMMYFUNCTION("GOOGLETRANSLATE(A4783, ""en"", ""fr"")"),"Guide n ° 3")</f>
        <v>Guide n ° 3</v>
      </c>
      <c r="C4783" s="1" t="s">
        <v>185</v>
      </c>
      <c r="O4783" s="1" t="s">
        <v>11</v>
      </c>
      <c r="AN4783" s="1" t="s">
        <v>36</v>
      </c>
      <c r="EC4783" s="1" t="s">
        <v>129</v>
      </c>
      <c r="ED4783" s="1" t="s">
        <v>130</v>
      </c>
      <c r="GD4783" s="1" t="s">
        <v>202</v>
      </c>
      <c r="GE4783" s="1" t="s">
        <v>6768</v>
      </c>
    </row>
    <row r="4784" spans="1:187" ht="11.25" customHeight="1">
      <c r="A4784" s="1" t="s">
        <v>6769</v>
      </c>
      <c r="B4784" s="1" t="str">
        <f ca="1">IFERROR(__xludf.DUMMYFUNCTION("GOOGLETRANSLATE(A4784, ""en"", ""fr"")"),"Guide n ° 4")</f>
        <v>Guide n ° 4</v>
      </c>
      <c r="C4784" s="1" t="s">
        <v>185</v>
      </c>
      <c r="D4784" s="1" t="s">
        <v>16612</v>
      </c>
      <c r="F4784" s="1" t="s">
        <v>2</v>
      </c>
      <c r="J4784" s="1" t="s">
        <v>6</v>
      </c>
      <c r="N4784" s="1" t="s">
        <v>10</v>
      </c>
      <c r="AN4784" s="1" t="s">
        <v>36</v>
      </c>
      <c r="EC4784" s="1" t="s">
        <v>129</v>
      </c>
      <c r="ED4784" s="1" t="s">
        <v>130</v>
      </c>
      <c r="GD4784" s="1" t="s">
        <v>202</v>
      </c>
      <c r="GE4784" s="1" t="s">
        <v>6770</v>
      </c>
    </row>
    <row r="4785" spans="1:187" ht="11.25" customHeight="1">
      <c r="A4785" s="1" t="s">
        <v>6771</v>
      </c>
      <c r="B4785" s="1" t="str">
        <f ca="1">IFERROR(__xludf.DUMMYFUNCTION("GOOGLETRANSLATE(A4785, ""en"", ""fr"")"),"LIGNE DIRECTRICE")</f>
        <v>LIGNE DIRECTRICE</v>
      </c>
      <c r="C4785" s="1" t="s">
        <v>196</v>
      </c>
      <c r="FH4785" s="1" t="s">
        <v>160</v>
      </c>
      <c r="FI4785" s="1" t="s">
        <v>161</v>
      </c>
      <c r="GD4785" s="1" t="s">
        <v>193</v>
      </c>
    </row>
    <row r="4786" spans="1:187" ht="11.25" customHeight="1">
      <c r="A4786" s="1" t="s">
        <v>6772</v>
      </c>
      <c r="B4786" s="1" t="str">
        <f ca="1">IFERROR(__xludf.DUMMYFUNCTION("GOOGLETRANSLATE(A4786, ""en"", ""fr"")"),"POTEAU INDICATEUR")</f>
        <v>POTEAU INDICATEUR</v>
      </c>
      <c r="C4786" s="1" t="s">
        <v>185</v>
      </c>
      <c r="CH4786" s="1" t="s">
        <v>82</v>
      </c>
      <c r="FH4786" s="1" t="s">
        <v>160</v>
      </c>
      <c r="FI4786" s="1" t="s">
        <v>161</v>
      </c>
      <c r="GD4786" s="1" t="s">
        <v>193</v>
      </c>
      <c r="GE4786" s="1" t="s">
        <v>190</v>
      </c>
    </row>
    <row r="4787" spans="1:187" ht="11.25" customHeight="1">
      <c r="A4787" s="1" t="s">
        <v>6773</v>
      </c>
      <c r="B4787" s="1" t="str">
        <f ca="1">IFERROR(__xludf.DUMMYFUNCTION("GOOGLETRANSLATE(A4787, ""en"", ""fr"")"),"GUILDE")</f>
        <v>GUILDE</v>
      </c>
      <c r="C4787" s="1" t="s">
        <v>185</v>
      </c>
      <c r="G4787" s="1" t="s">
        <v>3</v>
      </c>
      <c r="J4787" s="1" t="s">
        <v>6</v>
      </c>
      <c r="AA4787" s="1" t="s">
        <v>23</v>
      </c>
      <c r="AC4787" s="1" t="s">
        <v>25</v>
      </c>
      <c r="AK4787" s="1" t="s">
        <v>33</v>
      </c>
      <c r="AT4787" s="1" t="s">
        <v>42</v>
      </c>
      <c r="DY4787" s="1" t="s">
        <v>125</v>
      </c>
      <c r="ED4787" s="1" t="s">
        <v>130</v>
      </c>
      <c r="GD4787" s="1" t="s">
        <v>193</v>
      </c>
      <c r="GE4787" s="1" t="s">
        <v>190</v>
      </c>
    </row>
    <row r="4788" spans="1:187" ht="11.25" customHeight="1">
      <c r="A4788" s="1" t="s">
        <v>6774</v>
      </c>
      <c r="B4788" s="1" t="str">
        <f ca="1">IFERROR(__xludf.DUMMYFUNCTION("GOOGLETRANSLATE(A4788, ""en"", ""fr"")"),"CULPABILITÉ")</f>
        <v>CULPABILITÉ</v>
      </c>
      <c r="C4788" s="1" t="s">
        <v>185</v>
      </c>
      <c r="E4788" s="1" t="s">
        <v>16613</v>
      </c>
      <c r="H4788" s="1" t="s">
        <v>4</v>
      </c>
      <c r="O4788" s="1" t="s">
        <v>11</v>
      </c>
      <c r="Q4788" s="1" t="s">
        <v>13</v>
      </c>
      <c r="T4788" s="1" t="s">
        <v>16</v>
      </c>
      <c r="EE4788" s="1" t="s">
        <v>131</v>
      </c>
      <c r="EJ4788" s="1" t="s">
        <v>136</v>
      </c>
      <c r="GD4788" s="1" t="s">
        <v>193</v>
      </c>
      <c r="GE4788" s="1" t="s">
        <v>190</v>
      </c>
    </row>
    <row r="4789" spans="1:187" ht="11.25" customHeight="1">
      <c r="A4789" s="1" t="s">
        <v>6775</v>
      </c>
      <c r="B4789" s="1" t="str">
        <f ca="1">IFERROR(__xludf.DUMMYFUNCTION("GOOGLETRANSLATE(A4789, ""en"", ""fr"")"),"COUPABLE")</f>
        <v>COUPABLE</v>
      </c>
      <c r="C4789" s="1" t="s">
        <v>185</v>
      </c>
      <c r="E4789" s="1" t="s">
        <v>16613</v>
      </c>
      <c r="H4789" s="1" t="s">
        <v>4</v>
      </c>
      <c r="L4789" s="1" t="s">
        <v>8</v>
      </c>
      <c r="O4789" s="1" t="s">
        <v>11</v>
      </c>
      <c r="V4789" s="1" t="s">
        <v>18</v>
      </c>
      <c r="AE4789" s="1" t="s">
        <v>27</v>
      </c>
      <c r="CI4789" s="1" t="s">
        <v>83</v>
      </c>
      <c r="CN4789" s="1" t="s">
        <v>88</v>
      </c>
      <c r="DR4789" s="1" t="s">
        <v>118</v>
      </c>
      <c r="EE4789" s="1" t="s">
        <v>131</v>
      </c>
      <c r="EJ4789" s="1" t="s">
        <v>136</v>
      </c>
      <c r="GD4789" s="1" t="s">
        <v>202</v>
      </c>
      <c r="GE4789" s="1" t="s">
        <v>6776</v>
      </c>
    </row>
    <row r="4790" spans="1:187" ht="11.25" customHeight="1">
      <c r="A4790" s="1" t="s">
        <v>6777</v>
      </c>
      <c r="B4790" s="1" t="str">
        <f ca="1">IFERROR(__xludf.DUMMYFUNCTION("GOOGLETRANSLATE(A4790, ""en"", ""fr"")"),"GUINÉE")</f>
        <v>GUINÉE</v>
      </c>
      <c r="C4790" s="1" t="s">
        <v>196</v>
      </c>
      <c r="FU4790" s="1" t="s">
        <v>173</v>
      </c>
      <c r="GD4790" s="1" t="s">
        <v>545</v>
      </c>
    </row>
    <row r="4791" spans="1:187" ht="11.25" customHeight="1">
      <c r="A4791" s="1" t="s">
        <v>6778</v>
      </c>
      <c r="B4791" s="1" t="str">
        <f ca="1">IFERROR(__xludf.DUMMYFUNCTION("GOOGLETRANSLATE(A4791, ""en"", ""fr"")"),"APPARENCE")</f>
        <v>APPARENCE</v>
      </c>
      <c r="C4791" s="1" t="s">
        <v>192</v>
      </c>
      <c r="E4791" s="1" t="s">
        <v>16613</v>
      </c>
      <c r="BC4791" s="1" t="s">
        <v>51</v>
      </c>
      <c r="CK4791" s="1" t="s">
        <v>85</v>
      </c>
      <c r="GD4791" s="1" t="s">
        <v>193</v>
      </c>
      <c r="GE4791" s="1" t="s">
        <v>190</v>
      </c>
    </row>
    <row r="4792" spans="1:187" ht="11.25" customHeight="1">
      <c r="A4792" s="1" t="s">
        <v>6779</v>
      </c>
      <c r="B4792" s="1" t="str">
        <f ca="1">IFERROR(__xludf.DUMMYFUNCTION("GOOGLETRANSLATE(A4792, ""en"", ""fr"")"),"GUITARE")</f>
        <v>GUITARE</v>
      </c>
      <c r="C4792" s="1" t="s">
        <v>185</v>
      </c>
      <c r="AD4792" s="1" t="s">
        <v>26</v>
      </c>
      <c r="BC4792" s="1" t="s">
        <v>51</v>
      </c>
      <c r="BD4792" s="1" t="s">
        <v>52</v>
      </c>
      <c r="GD4792" s="1" t="s">
        <v>193</v>
      </c>
      <c r="GE4792" s="1" t="s">
        <v>190</v>
      </c>
    </row>
    <row r="4793" spans="1:187" ht="11.25" customHeight="1">
      <c r="A4793" s="1" t="s">
        <v>6780</v>
      </c>
      <c r="B4793" s="1" t="str">
        <f ca="1">IFERROR(__xludf.DUMMYFUNCTION("GOOGLETRANSLATE(A4793, ""en"", ""fr"")"),"GOLFE")</f>
        <v>GOLFE</v>
      </c>
      <c r="C4793" s="1" t="s">
        <v>185</v>
      </c>
      <c r="AV4793" s="1" t="s">
        <v>44</v>
      </c>
      <c r="AZ4793" s="1" t="s">
        <v>48</v>
      </c>
      <c r="GD4793" s="1" t="s">
        <v>193</v>
      </c>
      <c r="GE4793" s="1" t="s">
        <v>190</v>
      </c>
    </row>
    <row r="4794" spans="1:187" ht="11.25" customHeight="1">
      <c r="A4794" s="1" t="s">
        <v>6781</v>
      </c>
      <c r="B4794" s="1" t="str">
        <f ca="1">IFERROR(__xludf.DUMMYFUNCTION("GOOGLETRANSLATE(A4794, ""en"", ""fr"")"),"CRÉDULE")</f>
        <v>CRÉDULE</v>
      </c>
      <c r="C4794" s="1" t="s">
        <v>192</v>
      </c>
      <c r="E4794" s="1" t="s">
        <v>16613</v>
      </c>
      <c r="L4794" s="1" t="s">
        <v>8</v>
      </c>
      <c r="CG4794" s="1" t="s">
        <v>81</v>
      </c>
      <c r="CR4794" s="1" t="s">
        <v>92</v>
      </c>
      <c r="DQ4794" s="1" t="s">
        <v>117</v>
      </c>
      <c r="GD4794" s="1" t="s">
        <v>202</v>
      </c>
      <c r="GE4794" s="1" t="s">
        <v>190</v>
      </c>
    </row>
    <row r="4795" spans="1:187" ht="11.25" customHeight="1">
      <c r="A4795" s="1" t="s">
        <v>6782</v>
      </c>
      <c r="B4795" s="1" t="str">
        <f ca="1">IFERROR(__xludf.DUMMYFUNCTION("GOOGLETRANSLATE(A4795, ""en"", ""fr"")"),"RAVINE")</f>
        <v>RAVINE</v>
      </c>
      <c r="C4795" s="1" t="s">
        <v>185</v>
      </c>
      <c r="AV4795" s="1" t="s">
        <v>44</v>
      </c>
      <c r="BA4795" s="1" t="s">
        <v>49</v>
      </c>
      <c r="GD4795" s="1" t="s">
        <v>193</v>
      </c>
      <c r="GE4795" s="1" t="s">
        <v>190</v>
      </c>
    </row>
    <row r="4796" spans="1:187" ht="11.25" customHeight="1">
      <c r="A4796" s="1" t="s">
        <v>6783</v>
      </c>
      <c r="B4796" s="1" t="str">
        <f ca="1">IFERROR(__xludf.DUMMYFUNCTION("GOOGLETRANSLATE(A4796, ""en"", ""fr"")"),"PISTOLET")</f>
        <v>PISTOLET</v>
      </c>
      <c r="C4796" s="1" t="s">
        <v>185</v>
      </c>
      <c r="E4796" s="1" t="s">
        <v>16613</v>
      </c>
      <c r="H4796" s="1" t="s">
        <v>4</v>
      </c>
      <c r="I4796" s="1" t="s">
        <v>5</v>
      </c>
      <c r="J4796" s="1" t="s">
        <v>6</v>
      </c>
      <c r="AF4796" s="1" t="s">
        <v>28</v>
      </c>
      <c r="BC4796" s="1" t="s">
        <v>51</v>
      </c>
      <c r="BD4796" s="1" t="s">
        <v>52</v>
      </c>
      <c r="EC4796" s="1" t="s">
        <v>129</v>
      </c>
      <c r="ED4796" s="1" t="s">
        <v>130</v>
      </c>
      <c r="GD4796" s="1" t="s">
        <v>193</v>
      </c>
      <c r="GE4796" s="1" t="s">
        <v>6784</v>
      </c>
    </row>
    <row r="4797" spans="1:187" ht="11.25" customHeight="1">
      <c r="A4797" s="1" t="s">
        <v>6785</v>
      </c>
      <c r="B4797" s="1" t="str">
        <f ca="1">IFERROR(__xludf.DUMMYFUNCTION("GOOGLETRANSLATE(A4797, ""en"", ""fr"")"),"Hommes armés")</f>
        <v>Hommes armés</v>
      </c>
      <c r="C4797" s="1" t="s">
        <v>185</v>
      </c>
      <c r="E4797" s="1" t="s">
        <v>16613</v>
      </c>
      <c r="H4797" s="1" t="s">
        <v>4</v>
      </c>
      <c r="I4797" s="1" t="s">
        <v>5</v>
      </c>
      <c r="J4797" s="1" t="s">
        <v>6</v>
      </c>
      <c r="AJ4797" s="1" t="s">
        <v>32</v>
      </c>
      <c r="AQ4797" s="1" t="s">
        <v>39</v>
      </c>
      <c r="AT4797" s="1" t="s">
        <v>42</v>
      </c>
      <c r="DZ4797" s="1" t="s">
        <v>126</v>
      </c>
      <c r="ED4797" s="1" t="s">
        <v>130</v>
      </c>
      <c r="GD4797" s="1" t="s">
        <v>576</v>
      </c>
      <c r="GE4797" s="1" t="s">
        <v>190</v>
      </c>
    </row>
    <row r="4798" spans="1:187" ht="11.25" customHeight="1">
      <c r="A4798" s="1" t="s">
        <v>6786</v>
      </c>
      <c r="B4798" s="1" t="str">
        <f ca="1">IFERROR(__xludf.DUMMYFUNCTION("GOOGLETRANSLATE(A4798, ""en"", ""fr"")"),"ENTHOUSIASME")</f>
        <v>ENTHOUSIASME</v>
      </c>
      <c r="C4798" s="1" t="s">
        <v>192</v>
      </c>
      <c r="D4798" s="1" t="s">
        <v>16612</v>
      </c>
      <c r="J4798" s="1" t="s">
        <v>6</v>
      </c>
      <c r="K4798" s="1" t="s">
        <v>7</v>
      </c>
      <c r="GD4798" s="1" t="s">
        <v>193</v>
      </c>
      <c r="GE4798" s="1" t="s">
        <v>190</v>
      </c>
    </row>
    <row r="4799" spans="1:187" ht="11.25" customHeight="1">
      <c r="A4799" s="1" t="s">
        <v>6787</v>
      </c>
      <c r="B4799" s="1" t="str">
        <f ca="1">IFERROR(__xludf.DUMMYFUNCTION("GOOGLETRANSLATE(A4799, ""en"", ""fr"")"),"GARS")</f>
        <v>GARS</v>
      </c>
      <c r="C4799" s="1" t="s">
        <v>185</v>
      </c>
      <c r="AJ4799" s="1" t="s">
        <v>32</v>
      </c>
      <c r="AQ4799" s="1" t="s">
        <v>39</v>
      </c>
      <c r="AT4799" s="1" t="s">
        <v>42</v>
      </c>
      <c r="EQ4799" s="1" t="s">
        <v>143</v>
      </c>
      <c r="ES4799" s="1" t="s">
        <v>145</v>
      </c>
      <c r="GD4799" s="1" t="s">
        <v>193</v>
      </c>
      <c r="GE4799" s="1" t="s">
        <v>6788</v>
      </c>
    </row>
    <row r="4800" spans="1:187" ht="11.25" customHeight="1">
      <c r="A4800" s="1" t="s">
        <v>6789</v>
      </c>
      <c r="B4800" s="1" t="str">
        <f ca="1">IFERROR(__xludf.DUMMYFUNCTION("GOOGLETRANSLATE(A4800, ""en"", ""fr"")"),"GYMNASTE")</f>
        <v>GYMNASTE</v>
      </c>
      <c r="C4800" s="1" t="s">
        <v>185</v>
      </c>
      <c r="N4800" s="1" t="s">
        <v>10</v>
      </c>
      <c r="AD4800" s="1" t="s">
        <v>26</v>
      </c>
      <c r="AJ4800" s="1" t="s">
        <v>32</v>
      </c>
      <c r="AT4800" s="1" t="s">
        <v>42</v>
      </c>
      <c r="GD4800" s="1" t="s">
        <v>193</v>
      </c>
      <c r="GE4800" s="1" t="s">
        <v>190</v>
      </c>
    </row>
    <row r="4801" spans="1:187" ht="11.25" customHeight="1">
      <c r="A4801" s="1" t="s">
        <v>6790</v>
      </c>
      <c r="B4801" s="1" t="str">
        <f ca="1">IFERROR(__xludf.DUMMYFUNCTION("GOOGLETRANSLATE(A4801, ""en"", ""fr"")"),"GYMNASTIQUE")</f>
        <v>GYMNASTIQUE</v>
      </c>
      <c r="C4801" s="1" t="s">
        <v>185</v>
      </c>
      <c r="N4801" s="1" t="s">
        <v>10</v>
      </c>
      <c r="Z4801" s="1" t="s">
        <v>22</v>
      </c>
      <c r="AD4801" s="1" t="s">
        <v>26</v>
      </c>
      <c r="GD4801" s="1" t="s">
        <v>202</v>
      </c>
      <c r="GE4801" s="1" t="s">
        <v>190</v>
      </c>
    </row>
    <row r="4802" spans="1:187" ht="11.25" customHeight="1">
      <c r="A4802" s="1" t="s">
        <v>6791</v>
      </c>
      <c r="B4802" s="1" t="str">
        <f ca="1">IFERROR(__xludf.DUMMYFUNCTION("GOOGLETRANSLATE(A4802, ""en"", ""fr"")"),"HABITUDE")</f>
        <v>HABITUDE</v>
      </c>
      <c r="C4802" s="1" t="s">
        <v>185</v>
      </c>
      <c r="O4802" s="1" t="s">
        <v>11</v>
      </c>
      <c r="AM4802" s="1" t="s">
        <v>35</v>
      </c>
      <c r="GD4802" s="1" t="s">
        <v>193</v>
      </c>
      <c r="GE4802" s="1" t="s">
        <v>6792</v>
      </c>
    </row>
    <row r="4803" spans="1:187" ht="11.25" customHeight="1">
      <c r="A4803" s="1" t="s">
        <v>6793</v>
      </c>
      <c r="B4803" s="1" t="str">
        <f ca="1">IFERROR(__xludf.DUMMYFUNCTION("GOOGLETRANSLATE(A4803, ""en"", ""fr"")"),"HABITUEL")</f>
        <v>HABITUEL</v>
      </c>
      <c r="C4803" s="1" t="s">
        <v>185</v>
      </c>
      <c r="O4803" s="1" t="s">
        <v>11</v>
      </c>
      <c r="BR4803" s="1" t="s">
        <v>66</v>
      </c>
      <c r="GD4803" s="1" t="s">
        <v>202</v>
      </c>
      <c r="GE4803" s="1" t="s">
        <v>190</v>
      </c>
    </row>
    <row r="4804" spans="1:187" ht="11.25" customHeight="1">
      <c r="A4804" s="1" t="s">
        <v>6794</v>
      </c>
      <c r="B4804" s="1" t="str">
        <f ca="1">IFERROR(__xludf.DUMMYFUNCTION("GOOGLETRANSLATE(A4804, ""en"", ""fr"")"),"PIRATER")</f>
        <v>PIRATER</v>
      </c>
      <c r="C4804" s="1" t="s">
        <v>192</v>
      </c>
      <c r="E4804" s="1" t="s">
        <v>16613</v>
      </c>
      <c r="L4804" s="1" t="s">
        <v>8</v>
      </c>
      <c r="V4804" s="1" t="s">
        <v>18</v>
      </c>
      <c r="AT4804" s="1" t="s">
        <v>42</v>
      </c>
      <c r="GD4804" s="1" t="s">
        <v>193</v>
      </c>
      <c r="GE4804" s="1" t="s">
        <v>190</v>
      </c>
    </row>
    <row r="4805" spans="1:187" ht="11.25" customHeight="1">
      <c r="A4805" s="1" t="s">
        <v>6795</v>
      </c>
      <c r="B4805" s="1" t="str">
        <f ca="1">IFERROR(__xludf.DUMMYFUNCTION("GOOGLETRANSLATE(A4805, ""en"", ""fr"")"),"Hackney")</f>
        <v>Hackney</v>
      </c>
      <c r="C4805" s="1" t="s">
        <v>192</v>
      </c>
      <c r="E4805" s="1" t="s">
        <v>16613</v>
      </c>
      <c r="CM4805" s="1" t="s">
        <v>87</v>
      </c>
      <c r="CR4805" s="1" t="s">
        <v>92</v>
      </c>
      <c r="DR4805" s="1" t="s">
        <v>118</v>
      </c>
      <c r="GD4805" s="1" t="s">
        <v>202</v>
      </c>
      <c r="GE4805" s="1" t="s">
        <v>190</v>
      </c>
    </row>
    <row r="4806" spans="1:187" ht="11.25" customHeight="1">
      <c r="A4806" s="1" t="s">
        <v>6796</v>
      </c>
      <c r="B4806" s="1" t="str">
        <f ca="1">IFERROR(__xludf.DUMMYFUNCTION("GOOGLETRANSLATE(A4806, ""en"", ""fr"")"),"Avait n ° 1")</f>
        <v>Avait n ° 1</v>
      </c>
      <c r="C4806" s="1" t="s">
        <v>185</v>
      </c>
      <c r="DP4806" s="1" t="s">
        <v>116</v>
      </c>
      <c r="GD4806" s="1" t="s">
        <v>6797</v>
      </c>
      <c r="GE4806" s="1" t="s">
        <v>190</v>
      </c>
    </row>
    <row r="4807" spans="1:187" ht="11.25" customHeight="1">
      <c r="A4807" s="1" t="s">
        <v>6798</v>
      </c>
      <c r="B4807" s="1" t="str">
        <f ca="1">IFERROR(__xludf.DUMMYFUNCTION("GOOGLETRANSLATE(A4807, ""en"", ""fr"")"),"Hémoglobine # 1")</f>
        <v>Hémoglobine # 1</v>
      </c>
      <c r="C4807" s="1" t="s">
        <v>192</v>
      </c>
      <c r="GE4807" s="1" t="s">
        <v>190</v>
      </c>
    </row>
    <row r="4808" spans="1:187" ht="11.25" customHeight="1">
      <c r="A4808" s="1" t="s">
        <v>6799</v>
      </c>
      <c r="B4808" s="1" t="str">
        <f ca="1">IFERROR(__xludf.DUMMYFUNCTION("GOOGLETRANSLATE(A4808, ""en"", ""fr"")"),"VIEILLE SORCIÈRE")</f>
        <v>VIEILLE SORCIÈRE</v>
      </c>
      <c r="C4808" s="1" t="s">
        <v>192</v>
      </c>
      <c r="E4808" s="1" t="s">
        <v>16613</v>
      </c>
      <c r="AR4808" s="1" t="s">
        <v>40</v>
      </c>
      <c r="AT4808" s="1" t="s">
        <v>42</v>
      </c>
      <c r="GD4808" s="1" t="s">
        <v>193</v>
      </c>
      <c r="GE4808" s="1" t="s">
        <v>190</v>
      </c>
    </row>
    <row r="4809" spans="1:187" ht="11.25" customHeight="1">
      <c r="A4809" s="1" t="s">
        <v>6800</v>
      </c>
      <c r="B4809" s="1" t="str">
        <f ca="1">IFERROR(__xludf.DUMMYFUNCTION("GOOGLETRANSLATE(A4809, ""en"", ""fr"")"),"HÂVE")</f>
        <v>HÂVE</v>
      </c>
      <c r="C4809" s="1" t="s">
        <v>192</v>
      </c>
      <c r="E4809" s="1" t="s">
        <v>16613</v>
      </c>
      <c r="L4809" s="1" t="s">
        <v>8</v>
      </c>
      <c r="DR4809" s="1" t="s">
        <v>118</v>
      </c>
      <c r="GD4809" s="1" t="s">
        <v>202</v>
      </c>
      <c r="GE4809" s="1" t="s">
        <v>190</v>
      </c>
    </row>
    <row r="4810" spans="1:187" ht="11.25" customHeight="1">
      <c r="A4810" s="1" t="s">
        <v>6801</v>
      </c>
      <c r="B4810" s="1" t="str">
        <f ca="1">IFERROR(__xludf.DUMMYFUNCTION("GOOGLETRANSLATE(A4810, ""en"", ""fr"")"),"MARCHANDER")</f>
        <v>MARCHANDER</v>
      </c>
      <c r="C4810" s="1" t="s">
        <v>196</v>
      </c>
      <c r="DW4810" s="1" t="s">
        <v>123</v>
      </c>
      <c r="ED4810" s="1" t="s">
        <v>130</v>
      </c>
      <c r="GD4810" s="1" t="s">
        <v>189</v>
      </c>
    </row>
    <row r="4811" spans="1:187" ht="11.25" customHeight="1">
      <c r="A4811" s="1" t="s">
        <v>6802</v>
      </c>
      <c r="B4811" s="1" t="str">
        <f ca="1">IFERROR(__xludf.DUMMYFUNCTION("GOOGLETRANSLATE(A4811, ""en"", ""fr"")"),"À La Haye")</f>
        <v>À La Haye</v>
      </c>
      <c r="C4811" s="1" t="s">
        <v>196</v>
      </c>
      <c r="GD4811" s="1" t="s">
        <v>2981</v>
      </c>
    </row>
    <row r="4812" spans="1:187" ht="11.25" customHeight="1">
      <c r="A4812" s="1" t="s">
        <v>6803</v>
      </c>
      <c r="B4812" s="1" t="str">
        <f ca="1">IFERROR(__xludf.DUMMYFUNCTION("GOOGLETRANSLATE(A4812, ""en"", ""fr"")"),"Cheveux # 1")</f>
        <v>Cheveux # 1</v>
      </c>
      <c r="C4812" s="1" t="s">
        <v>185</v>
      </c>
      <c r="BJ4812" s="1" t="s">
        <v>58</v>
      </c>
      <c r="GD4812" s="1" t="s">
        <v>849</v>
      </c>
      <c r="GE4812" s="1" t="s">
        <v>6804</v>
      </c>
    </row>
    <row r="4813" spans="1:187" ht="11.25" customHeight="1">
      <c r="A4813" s="1" t="s">
        <v>6805</v>
      </c>
      <c r="B4813" s="1" t="str">
        <f ca="1">IFERROR(__xludf.DUMMYFUNCTION("GOOGLETRANSLATE(A4813, ""en"", ""fr"")"),"Cheveux # 2")</f>
        <v>Cheveux # 2</v>
      </c>
      <c r="C4813" s="1" t="s">
        <v>185</v>
      </c>
      <c r="BK4813" s="1" t="s">
        <v>59</v>
      </c>
      <c r="DN4813" s="1" t="s">
        <v>114</v>
      </c>
      <c r="GD4813" s="1" t="s">
        <v>189</v>
      </c>
      <c r="GE4813" s="1" t="s">
        <v>6806</v>
      </c>
    </row>
    <row r="4814" spans="1:187" ht="11.25" customHeight="1">
      <c r="A4814" s="1" t="s">
        <v>6807</v>
      </c>
      <c r="B4814" s="1" t="str">
        <f ca="1">IFERROR(__xludf.DUMMYFUNCTION("GOOGLETRANSLATE(A4814, ""en"", ""fr"")"),"HAÏTI")</f>
        <v>HAÏTI</v>
      </c>
      <c r="C4814" s="1" t="s">
        <v>196</v>
      </c>
      <c r="FU4814" s="1" t="s">
        <v>173</v>
      </c>
      <c r="GD4814" s="1" t="s">
        <v>545</v>
      </c>
    </row>
    <row r="4815" spans="1:187" ht="11.25" customHeight="1">
      <c r="A4815" s="1" t="s">
        <v>6808</v>
      </c>
      <c r="B4815" s="1" t="str">
        <f ca="1">IFERROR(__xludf.DUMMYFUNCTION("GOOGLETRANSLATE(A4815, ""en"", ""fr"")"),"Moitié n ° 1")</f>
        <v>Moitié n ° 1</v>
      </c>
      <c r="C4815" s="1" t="s">
        <v>185</v>
      </c>
      <c r="CS4815" s="1" t="s">
        <v>93</v>
      </c>
      <c r="CT4815" s="1" t="s">
        <v>94</v>
      </c>
      <c r="CV4815" s="1" t="s">
        <v>96</v>
      </c>
      <c r="GD4815" s="1" t="s">
        <v>6809</v>
      </c>
      <c r="GE4815" s="1" t="s">
        <v>6810</v>
      </c>
    </row>
    <row r="4816" spans="1:187" ht="11.25" customHeight="1">
      <c r="A4816" s="1" t="s">
        <v>6811</v>
      </c>
      <c r="B4816" s="1" t="str">
        <f ca="1">IFERROR(__xludf.DUMMYFUNCTION("GOOGLETRANSLATE(A4816, ""en"", ""fr"")"),"Mi-# 2")</f>
        <v>Mi-# 2</v>
      </c>
      <c r="C4816" s="1" t="s">
        <v>185</v>
      </c>
      <c r="CS4816" s="1" t="s">
        <v>93</v>
      </c>
      <c r="GD4816" s="1" t="s">
        <v>1957</v>
      </c>
      <c r="GE4816" s="1" t="s">
        <v>6812</v>
      </c>
    </row>
    <row r="4817" spans="1:187" ht="11.25" customHeight="1">
      <c r="A4817" s="1" t="s">
        <v>6813</v>
      </c>
      <c r="B4817" s="1" t="str">
        <f ca="1">IFERROR(__xludf.DUMMYFUNCTION("GOOGLETRANSLATE(A4817, ""en"", ""fr"")"),"Mi-# 3")</f>
        <v>Mi-# 3</v>
      </c>
      <c r="C4817" s="1" t="s">
        <v>185</v>
      </c>
      <c r="CS4817" s="1" t="s">
        <v>93</v>
      </c>
      <c r="GD4817" s="1" t="s">
        <v>236</v>
      </c>
      <c r="GE4817" s="1" t="s">
        <v>6814</v>
      </c>
    </row>
    <row r="4818" spans="1:187" ht="11.25" customHeight="1">
      <c r="A4818" s="1" t="s">
        <v>6815</v>
      </c>
      <c r="B4818" s="1" t="str">
        <f ca="1">IFERROR(__xludf.DUMMYFUNCTION("GOOGLETRANSLATE(A4818, ""en"", ""fr"")"),"Mi-# 4")</f>
        <v>Mi-# 4</v>
      </c>
      <c r="C4818" s="1" t="s">
        <v>185</v>
      </c>
      <c r="CS4818" s="1" t="s">
        <v>93</v>
      </c>
      <c r="GD4818" s="1" t="s">
        <v>236</v>
      </c>
      <c r="GE4818" s="1" t="s">
        <v>6816</v>
      </c>
    </row>
    <row r="4819" spans="1:187" ht="11.25" customHeight="1">
      <c r="A4819" s="1" t="s">
        <v>6817</v>
      </c>
      <c r="B4819" s="1" t="str">
        <f ca="1">IFERROR(__xludf.DUMMYFUNCTION("GOOGLETRANSLATE(A4819, ""en"", ""fr"")"),"Mi-# 5")</f>
        <v>Mi-# 5</v>
      </c>
      <c r="C4819" s="1" t="s">
        <v>185</v>
      </c>
      <c r="CS4819" s="1" t="s">
        <v>93</v>
      </c>
      <c r="GD4819" s="1" t="s">
        <v>236</v>
      </c>
      <c r="GE4819" s="1" t="s">
        <v>6818</v>
      </c>
    </row>
    <row r="4820" spans="1:187" ht="11.25" customHeight="1">
      <c r="A4820" s="1" t="s">
        <v>6819</v>
      </c>
      <c r="B4820" s="1" t="str">
        <f ca="1">IFERROR(__xludf.DUMMYFUNCTION("GOOGLETRANSLATE(A4820, ""en"", ""fr"")"),"Demi-pouce")</f>
        <v>Demi-pouce</v>
      </c>
      <c r="C4820" s="1" t="s">
        <v>196</v>
      </c>
      <c r="GD4820" s="1" t="s">
        <v>6820</v>
      </c>
    </row>
    <row r="4821" spans="1:187" ht="11.25" customHeight="1">
      <c r="A4821" s="1" t="s">
        <v>6821</v>
      </c>
      <c r="B4821" s="1" t="str">
        <f ca="1">IFERROR(__xludf.DUMMYFUNCTION("GOOGLETRANSLATE(A4821, ""en"", ""fr"")"),"À mi-chemin")</f>
        <v>À mi-chemin</v>
      </c>
      <c r="C4821" s="1" t="s">
        <v>185</v>
      </c>
      <c r="L4821" s="1" t="s">
        <v>8</v>
      </c>
      <c r="DA4821" s="1" t="s">
        <v>101</v>
      </c>
      <c r="GD4821" s="1" t="s">
        <v>236</v>
      </c>
      <c r="GE4821" s="1" t="s">
        <v>190</v>
      </c>
    </row>
    <row r="4822" spans="1:187" ht="11.25" customHeight="1">
      <c r="A4822" s="1" t="s">
        <v>6822</v>
      </c>
      <c r="B4822" s="1" t="str">
        <f ca="1">IFERROR(__xludf.DUMMYFUNCTION("GOOGLETRANSLATE(A4822, ""en"", ""fr"")"),"SALLE")</f>
        <v>SALLE</v>
      </c>
      <c r="C4822" s="1" t="s">
        <v>185</v>
      </c>
      <c r="BC4822" s="1" t="s">
        <v>51</v>
      </c>
      <c r="BG4822" s="1" t="s">
        <v>55</v>
      </c>
      <c r="GD4822" s="1" t="s">
        <v>193</v>
      </c>
      <c r="GE4822" s="1" t="s">
        <v>6823</v>
      </c>
    </row>
    <row r="4823" spans="1:187" ht="11.25" customHeight="1">
      <c r="A4823" s="1" t="s">
        <v>6824</v>
      </c>
      <c r="B4823" s="1" t="str">
        <f ca="1">IFERROR(__xludf.DUMMYFUNCTION("GOOGLETRANSLATE(A4823, ""en"", ""fr"")"),"Sanctifié")</f>
        <v>Sanctifié</v>
      </c>
      <c r="C4823" s="1" t="s">
        <v>192</v>
      </c>
      <c r="D4823" s="1" t="s">
        <v>16612</v>
      </c>
      <c r="M4823" s="1" t="s">
        <v>9</v>
      </c>
      <c r="AN4823" s="1" t="s">
        <v>36</v>
      </c>
      <c r="CR4823" s="1" t="s">
        <v>92</v>
      </c>
      <c r="DR4823" s="1" t="s">
        <v>118</v>
      </c>
      <c r="GD4823" s="1" t="s">
        <v>202</v>
      </c>
      <c r="GE4823" s="1" t="s">
        <v>190</v>
      </c>
    </row>
    <row r="4824" spans="1:187" ht="11.25" customHeight="1">
      <c r="A4824" s="1" t="s">
        <v>6825</v>
      </c>
      <c r="B4824" s="1" t="str">
        <f ca="1">IFERROR(__xludf.DUMMYFUNCTION("GOOGLETRANSLATE(A4824, ""en"", ""fr"")"),"ARRÊT")</f>
        <v>ARRÊT</v>
      </c>
      <c r="C4824" s="1" t="s">
        <v>185</v>
      </c>
      <c r="J4824" s="1" t="s">
        <v>6</v>
      </c>
      <c r="N4824" s="1" t="s">
        <v>10</v>
      </c>
      <c r="CA4824" s="1" t="s">
        <v>75</v>
      </c>
      <c r="DN4824" s="1" t="s">
        <v>114</v>
      </c>
      <c r="FP4824" s="1" t="s">
        <v>168</v>
      </c>
      <c r="GD4824" s="1" t="s">
        <v>189</v>
      </c>
      <c r="GE4824" s="1" t="s">
        <v>190</v>
      </c>
    </row>
    <row r="4825" spans="1:187" ht="11.25" customHeight="1">
      <c r="A4825" s="1" t="s">
        <v>6826</v>
      </c>
      <c r="B4825" s="1" t="str">
        <f ca="1">IFERROR(__xludf.DUMMYFUNCTION("GOOGLETRANSLATE(A4825, ""en"", ""fr"")"),"HAMBURGER")</f>
        <v>HAMBURGER</v>
      </c>
      <c r="C4825" s="1" t="s">
        <v>185</v>
      </c>
      <c r="BC4825" s="1" t="s">
        <v>51</v>
      </c>
      <c r="BE4825" s="1" t="s">
        <v>53</v>
      </c>
      <c r="GD4825" s="1" t="s">
        <v>193</v>
      </c>
      <c r="GE4825" s="1" t="s">
        <v>190</v>
      </c>
    </row>
    <row r="4826" spans="1:187" ht="11.25" customHeight="1">
      <c r="A4826" s="1" t="s">
        <v>6827</v>
      </c>
      <c r="B4826" s="1" t="str">
        <f ca="1">IFERROR(__xludf.DUMMYFUNCTION("GOOGLETRANSLATE(A4826, ""en"", ""fr"")"),"HAMAC")</f>
        <v>HAMAC</v>
      </c>
      <c r="C4826" s="1" t="s">
        <v>185</v>
      </c>
      <c r="BC4826" s="1" t="s">
        <v>51</v>
      </c>
      <c r="BD4826" s="1" t="s">
        <v>52</v>
      </c>
      <c r="GD4826" s="1" t="s">
        <v>193</v>
      </c>
      <c r="GE4826" s="1" t="s">
        <v>190</v>
      </c>
    </row>
    <row r="4827" spans="1:187" ht="11.25" customHeight="1">
      <c r="A4827" s="1" t="s">
        <v>6828</v>
      </c>
      <c r="B4827" s="1" t="str">
        <f ca="1">IFERROR(__xludf.DUMMYFUNCTION("GOOGLETRANSLATE(A4827, ""en"", ""fr"")"),"ENTRAVER")</f>
        <v>ENTRAVER</v>
      </c>
      <c r="C4827" s="1" t="s">
        <v>185</v>
      </c>
      <c r="E4827" s="1" t="s">
        <v>16613</v>
      </c>
      <c r="H4827" s="1" t="s">
        <v>4</v>
      </c>
      <c r="I4827" s="1" t="s">
        <v>5</v>
      </c>
      <c r="J4827" s="1" t="s">
        <v>6</v>
      </c>
      <c r="K4827" s="1" t="s">
        <v>7</v>
      </c>
      <c r="N4827" s="1" t="s">
        <v>10</v>
      </c>
      <c r="AN4827" s="1" t="s">
        <v>36</v>
      </c>
      <c r="DN4827" s="1" t="s">
        <v>114</v>
      </c>
      <c r="FO4827" s="1" t="s">
        <v>167</v>
      </c>
      <c r="GD4827" s="1" t="s">
        <v>189</v>
      </c>
      <c r="GE4827" s="1" t="s">
        <v>190</v>
      </c>
    </row>
    <row r="4828" spans="1:187" ht="11.25" customHeight="1">
      <c r="A4828" s="1" t="s">
        <v>6829</v>
      </c>
      <c r="B4828" s="1" t="str">
        <f ca="1">IFERROR(__xludf.DUMMYFUNCTION("GOOGLETRANSLATE(A4828, ""en"", ""fr"")"),"Hampshire")</f>
        <v>Hampshire</v>
      </c>
      <c r="C4828" s="1" t="s">
        <v>196</v>
      </c>
      <c r="GD4828" s="1" t="s">
        <v>653</v>
      </c>
    </row>
    <row r="4829" spans="1:187" ht="11.25" customHeight="1">
      <c r="A4829" s="1" t="s">
        <v>6830</v>
      </c>
      <c r="B4829" s="1" t="str">
        <f ca="1">IFERROR(__xludf.DUMMYFUNCTION("GOOGLETRANSLATE(A4829, ""en"", ""fr"")"),"Main n ° 1")</f>
        <v>Main n ° 1</v>
      </c>
      <c r="C4829" s="1" t="s">
        <v>192</v>
      </c>
      <c r="BJ4829" s="1" t="s">
        <v>58</v>
      </c>
      <c r="GD4829" s="1" t="s">
        <v>193</v>
      </c>
      <c r="GE4829" s="1" t="s">
        <v>6831</v>
      </c>
    </row>
    <row r="4830" spans="1:187" ht="11.25" customHeight="1">
      <c r="A4830" s="1" t="s">
        <v>6832</v>
      </c>
      <c r="B4830" s="1" t="str">
        <f ca="1">IFERROR(__xludf.DUMMYFUNCTION("GOOGLETRANSLATE(A4830, ""en"", ""fr"")"),"Main # 2")</f>
        <v>Main # 2</v>
      </c>
      <c r="C4830" s="1" t="s">
        <v>192</v>
      </c>
      <c r="N4830" s="1" t="s">
        <v>10</v>
      </c>
      <c r="CD4830" s="1" t="s">
        <v>78</v>
      </c>
      <c r="DN4830" s="1" t="s">
        <v>114</v>
      </c>
      <c r="GD4830" s="1" t="s">
        <v>189</v>
      </c>
      <c r="GE4830" s="1" t="s">
        <v>6833</v>
      </c>
    </row>
    <row r="4831" spans="1:187" ht="11.25" customHeight="1">
      <c r="A4831" s="1" t="s">
        <v>6834</v>
      </c>
      <c r="B4831" s="1" t="str">
        <f ca="1">IFERROR(__xludf.DUMMYFUNCTION("GOOGLETRANSLATE(A4831, ""en"", ""fr"")"),"Main # 3")</f>
        <v>Main # 3</v>
      </c>
      <c r="C4831" s="1" t="s">
        <v>192</v>
      </c>
      <c r="DD4831" s="1" t="s">
        <v>104</v>
      </c>
      <c r="GD4831" s="1" t="s">
        <v>763</v>
      </c>
      <c r="GE4831" s="1" t="s">
        <v>6835</v>
      </c>
    </row>
    <row r="4832" spans="1:187" ht="11.25" customHeight="1">
      <c r="A4832" s="1" t="s">
        <v>6836</v>
      </c>
      <c r="B4832" s="1" t="str">
        <f ca="1">IFERROR(__xludf.DUMMYFUNCTION("GOOGLETRANSLATE(A4832, ""en"", ""fr"")"),"Main # 4")</f>
        <v>Main # 4</v>
      </c>
      <c r="C4832" s="1" t="s">
        <v>192</v>
      </c>
      <c r="DA4832" s="1" t="s">
        <v>101</v>
      </c>
      <c r="GD4832" s="1" t="s">
        <v>236</v>
      </c>
      <c r="GE4832" s="1" t="s">
        <v>6837</v>
      </c>
    </row>
    <row r="4833" spans="1:187" ht="11.25" customHeight="1">
      <c r="A4833" s="1" t="s">
        <v>6838</v>
      </c>
      <c r="B4833" s="1" t="str">
        <f ca="1">IFERROR(__xludf.DUMMYFUNCTION("GOOGLETRANSLATE(A4833, ""en"", ""fr"")"),"Main # 5")</f>
        <v>Main # 5</v>
      </c>
      <c r="C4833" s="1" t="s">
        <v>192</v>
      </c>
      <c r="DA4833" s="1" t="s">
        <v>101</v>
      </c>
      <c r="GD4833" s="1" t="s">
        <v>236</v>
      </c>
      <c r="GE4833" s="1" t="s">
        <v>6839</v>
      </c>
    </row>
    <row r="4834" spans="1:187" ht="11.25" customHeight="1">
      <c r="A4834" s="1" t="s">
        <v>6840</v>
      </c>
      <c r="B4834" s="1" t="str">
        <f ca="1">IFERROR(__xludf.DUMMYFUNCTION("GOOGLETRANSLATE(A4834, ""en"", ""fr"")"),"Main # 6")</f>
        <v>Main # 6</v>
      </c>
      <c r="C4834" s="1" t="s">
        <v>192</v>
      </c>
      <c r="E4834" s="1" t="s">
        <v>16613</v>
      </c>
      <c r="H4834" s="1" t="s">
        <v>4</v>
      </c>
      <c r="J4834" s="1" t="s">
        <v>6</v>
      </c>
      <c r="V4834" s="1" t="s">
        <v>18</v>
      </c>
      <c r="GD4834" s="1" t="s">
        <v>202</v>
      </c>
      <c r="GE4834" s="1" t="s">
        <v>6841</v>
      </c>
    </row>
    <row r="4835" spans="1:187" ht="11.25" customHeight="1">
      <c r="A4835" s="1" t="s">
        <v>6842</v>
      </c>
      <c r="B4835" s="1" t="str">
        <f ca="1">IFERROR(__xludf.DUMMYFUNCTION("GOOGLETRANSLATE(A4835, ""en"", ""fr"")"),"Main # 7")</f>
        <v>Main # 7</v>
      </c>
      <c r="C4835" s="1" t="s">
        <v>192</v>
      </c>
      <c r="DD4835" s="1" t="s">
        <v>104</v>
      </c>
      <c r="GD4835" s="1" t="s">
        <v>236</v>
      </c>
      <c r="GE4835" s="1" t="s">
        <v>6843</v>
      </c>
    </row>
    <row r="4836" spans="1:187" ht="11.25" customHeight="1">
      <c r="A4836" s="1" t="s">
        <v>6844</v>
      </c>
      <c r="B4836" s="1" t="str">
        <f ca="1">IFERROR(__xludf.DUMMYFUNCTION("GOOGLETRANSLATE(A4836, ""en"", ""fr"")"),"Main # 8")</f>
        <v>Main # 8</v>
      </c>
      <c r="C4836" s="1" t="s">
        <v>192</v>
      </c>
      <c r="K4836" s="1" t="s">
        <v>7</v>
      </c>
      <c r="BK4836" s="1" t="s">
        <v>59</v>
      </c>
      <c r="DN4836" s="1" t="s">
        <v>114</v>
      </c>
      <c r="GD4836" s="1" t="s">
        <v>189</v>
      </c>
      <c r="GE4836" s="1" t="s">
        <v>6845</v>
      </c>
    </row>
    <row r="4837" spans="1:187" ht="11.25" customHeight="1">
      <c r="A4837" s="1" t="s">
        <v>6846</v>
      </c>
      <c r="B4837" s="1" t="str">
        <f ca="1">IFERROR(__xludf.DUMMYFUNCTION("GOOGLETRANSLATE(A4837, ""en"", ""fr"")"),"Main # 9")</f>
        <v>Main # 9</v>
      </c>
      <c r="C4837" s="1" t="s">
        <v>192</v>
      </c>
      <c r="D4837" s="1" t="s">
        <v>16612</v>
      </c>
      <c r="F4837" s="1" t="s">
        <v>2</v>
      </c>
      <c r="BQ4837" s="1" t="s">
        <v>65</v>
      </c>
      <c r="GD4837" s="1" t="s">
        <v>202</v>
      </c>
      <c r="GE4837" s="1" t="s">
        <v>6847</v>
      </c>
    </row>
    <row r="4838" spans="1:187" ht="11.25" customHeight="1">
      <c r="A4838" s="1" t="s">
        <v>6848</v>
      </c>
      <c r="B4838" s="1" t="str">
        <f ca="1">IFERROR(__xludf.DUMMYFUNCTION("GOOGLETRANSLATE(A4838, ""en"", ""fr"")"),"Main # _10")</f>
        <v>Main # _10</v>
      </c>
      <c r="C4838" s="1" t="s">
        <v>192</v>
      </c>
      <c r="J4838" s="1" t="s">
        <v>6</v>
      </c>
      <c r="N4838" s="1" t="s">
        <v>10</v>
      </c>
      <c r="BQ4838" s="1" t="s">
        <v>65</v>
      </c>
      <c r="GD4838" s="1" t="s">
        <v>236</v>
      </c>
      <c r="GE4838" s="1" t="s">
        <v>6849</v>
      </c>
    </row>
    <row r="4839" spans="1:187" ht="11.25" customHeight="1">
      <c r="A4839" s="1" t="s">
        <v>6850</v>
      </c>
      <c r="B4839" s="1" t="str">
        <f ca="1">IFERROR(__xludf.DUMMYFUNCTION("GOOGLETRANSLATE(A4839, ""en"", ""fr"")"),"Main # _11")</f>
        <v>Main # _11</v>
      </c>
      <c r="C4839" s="1" t="s">
        <v>192</v>
      </c>
      <c r="V4839" s="1" t="s">
        <v>18</v>
      </c>
      <c r="GD4839" s="1" t="s">
        <v>225</v>
      </c>
      <c r="GE4839" s="1" t="s">
        <v>6851</v>
      </c>
    </row>
    <row r="4840" spans="1:187" ht="11.25" customHeight="1">
      <c r="A4840" s="1" t="s">
        <v>6852</v>
      </c>
      <c r="B4840" s="1" t="str">
        <f ca="1">IFERROR(__xludf.DUMMYFUNCTION("GOOGLETRANSLATE(A4840, ""en"", ""fr"")"),"Main # _12")</f>
        <v>Main # _12</v>
      </c>
      <c r="C4840" s="1" t="s">
        <v>192</v>
      </c>
      <c r="G4840" s="1" t="s">
        <v>3</v>
      </c>
      <c r="X4840" s="1" t="s">
        <v>20</v>
      </c>
      <c r="BK4840" s="1" t="s">
        <v>59</v>
      </c>
      <c r="GD4840" s="1" t="s">
        <v>236</v>
      </c>
      <c r="GE4840" s="1" t="s">
        <v>6853</v>
      </c>
    </row>
    <row r="4841" spans="1:187" ht="11.25" customHeight="1">
      <c r="A4841" s="1" t="s">
        <v>6854</v>
      </c>
      <c r="B4841" s="1" t="str">
        <f ca="1">IFERROR(__xludf.DUMMYFUNCTION("GOOGLETRANSLATE(A4841, ""en"", ""fr"")"),"POIGNÉE")</f>
        <v>POIGNÉE</v>
      </c>
      <c r="C4841" s="1" t="s">
        <v>185</v>
      </c>
      <c r="L4841" s="1" t="s">
        <v>8</v>
      </c>
      <c r="X4841" s="1" t="s">
        <v>20</v>
      </c>
      <c r="CS4841" s="1" t="s">
        <v>93</v>
      </c>
      <c r="GD4841" s="1" t="s">
        <v>193</v>
      </c>
      <c r="GE4841" s="1" t="s">
        <v>190</v>
      </c>
    </row>
    <row r="4842" spans="1:187" ht="11.25" customHeight="1">
      <c r="A4842" s="1" t="s">
        <v>6855</v>
      </c>
      <c r="B4842" s="1" t="str">
        <f ca="1">IFERROR(__xludf.DUMMYFUNCTION("GOOGLETRANSLATE(A4842, ""en"", ""fr"")"),"HANDICAP")</f>
        <v>HANDICAP</v>
      </c>
      <c r="C4842" s="1" t="s">
        <v>185</v>
      </c>
      <c r="E4842" s="1" t="s">
        <v>16613</v>
      </c>
      <c r="L4842" s="1" t="s">
        <v>8</v>
      </c>
      <c r="V4842" s="1" t="s">
        <v>18</v>
      </c>
      <c r="FQ4842" s="1" t="s">
        <v>169</v>
      </c>
      <c r="GD4842" s="1" t="s">
        <v>193</v>
      </c>
      <c r="GE4842" s="1" t="s">
        <v>190</v>
      </c>
    </row>
    <row r="4843" spans="1:187" ht="11.25" customHeight="1">
      <c r="A4843" s="1" t="s">
        <v>6856</v>
      </c>
      <c r="B4843" s="1" t="str">
        <f ca="1">IFERROR(__xludf.DUMMYFUNCTION("GOOGLETRANSLATE(A4843, ""en"", ""fr"")"),"Manipuler # 1")</f>
        <v>Manipuler # 1</v>
      </c>
      <c r="C4843" s="1" t="s">
        <v>185</v>
      </c>
      <c r="J4843" s="1" t="s">
        <v>6</v>
      </c>
      <c r="K4843" s="1" t="s">
        <v>7</v>
      </c>
      <c r="N4843" s="1" t="s">
        <v>10</v>
      </c>
      <c r="AN4843" s="1" t="s">
        <v>36</v>
      </c>
      <c r="DN4843" s="1" t="s">
        <v>114</v>
      </c>
      <c r="EC4843" s="1" t="s">
        <v>129</v>
      </c>
      <c r="ED4843" s="1" t="s">
        <v>130</v>
      </c>
      <c r="GD4843" s="1" t="s">
        <v>189</v>
      </c>
      <c r="GE4843" s="1" t="s">
        <v>6857</v>
      </c>
    </row>
    <row r="4844" spans="1:187" ht="11.25" customHeight="1">
      <c r="A4844" s="1" t="s">
        <v>6858</v>
      </c>
      <c r="B4844" s="1" t="str">
        <f ca="1">IFERROR(__xludf.DUMMYFUNCTION("GOOGLETRANSLATE(A4844, ""en"", ""fr"")"),"Manipuler # 2")</f>
        <v>Manipuler # 2</v>
      </c>
      <c r="C4844" s="1" t="s">
        <v>185</v>
      </c>
      <c r="BC4844" s="1" t="s">
        <v>51</v>
      </c>
      <c r="BD4844" s="1" t="s">
        <v>52</v>
      </c>
      <c r="GD4844" s="1" t="s">
        <v>193</v>
      </c>
      <c r="GE4844" s="1" t="s">
        <v>6859</v>
      </c>
    </row>
    <row r="4845" spans="1:187" ht="11.25" customHeight="1">
      <c r="A4845" s="1" t="s">
        <v>6860</v>
      </c>
      <c r="B4845" s="1" t="str">
        <f ca="1">IFERROR(__xludf.DUMMYFUNCTION("GOOGLETRANSLATE(A4845, ""en"", ""fr"")"),"Manipuler # 3")</f>
        <v>Manipuler # 3</v>
      </c>
      <c r="C4845" s="1" t="s">
        <v>185</v>
      </c>
      <c r="J4845" s="1" t="s">
        <v>6</v>
      </c>
      <c r="K4845" s="1" t="s">
        <v>7</v>
      </c>
      <c r="N4845" s="1" t="s">
        <v>10</v>
      </c>
      <c r="AL4845" s="1" t="s">
        <v>34</v>
      </c>
      <c r="GD4845" s="1" t="s">
        <v>193</v>
      </c>
      <c r="GE4845" s="1" t="s">
        <v>6861</v>
      </c>
    </row>
    <row r="4846" spans="1:187" ht="11.25" customHeight="1">
      <c r="A4846" s="1" t="s">
        <v>6862</v>
      </c>
      <c r="B4846" s="1" t="str">
        <f ca="1">IFERROR(__xludf.DUMMYFUNCTION("GOOGLETRANSLATE(A4846, ""en"", ""fr"")"),"BEAU")</f>
        <v>BEAU</v>
      </c>
      <c r="C4846" s="1" t="s">
        <v>185</v>
      </c>
      <c r="D4846" s="1" t="s">
        <v>16612</v>
      </c>
      <c r="F4846" s="1" t="s">
        <v>2</v>
      </c>
      <c r="U4846" s="1" t="s">
        <v>17</v>
      </c>
      <c r="CN4846" s="1" t="s">
        <v>88</v>
      </c>
      <c r="FJ4846" s="1" t="s">
        <v>162</v>
      </c>
      <c r="FM4846" s="1" t="s">
        <v>418</v>
      </c>
      <c r="GD4846" s="1" t="s">
        <v>202</v>
      </c>
      <c r="GE4846" s="1" t="s">
        <v>190</v>
      </c>
    </row>
    <row r="4847" spans="1:187" ht="11.25" customHeight="1">
      <c r="A4847" s="1" t="s">
        <v>6863</v>
      </c>
      <c r="B4847" s="1" t="str">
        <f ca="1">IFERROR(__xludf.DUMMYFUNCTION("GOOGLETRANSLATE(A4847, ""en"", ""fr"")"),"PRATIQUE")</f>
        <v>PRATIQUE</v>
      </c>
      <c r="C4847" s="1" t="s">
        <v>185</v>
      </c>
      <c r="D4847" s="1" t="s">
        <v>16612</v>
      </c>
      <c r="F4847" s="1" t="s">
        <v>2</v>
      </c>
      <c r="U4847" s="1" t="s">
        <v>17</v>
      </c>
      <c r="GD4847" s="1" t="s">
        <v>202</v>
      </c>
      <c r="GE4847" s="1" t="s">
        <v>190</v>
      </c>
    </row>
    <row r="4848" spans="1:187" ht="11.25" customHeight="1">
      <c r="A4848" s="1" t="s">
        <v>6864</v>
      </c>
      <c r="B4848" s="1" t="str">
        <f ca="1">IFERROR(__xludf.DUMMYFUNCTION("GOOGLETRANSLATE(A4848, ""en"", ""fr"")"),"Accrocher # 1")</f>
        <v>Accrocher # 1</v>
      </c>
      <c r="C4848" s="1" t="s">
        <v>185</v>
      </c>
      <c r="O4848" s="1" t="s">
        <v>11</v>
      </c>
      <c r="CA4848" s="1" t="s">
        <v>75</v>
      </c>
      <c r="DO4848" s="1" t="s">
        <v>115</v>
      </c>
      <c r="GD4848" s="1" t="s">
        <v>189</v>
      </c>
      <c r="GE4848" s="1" t="s">
        <v>6865</v>
      </c>
    </row>
    <row r="4849" spans="1:187" ht="11.25" customHeight="1">
      <c r="A4849" s="1" t="s">
        <v>6866</v>
      </c>
      <c r="B4849" s="1" t="str">
        <f ca="1">IFERROR(__xludf.DUMMYFUNCTION("GOOGLETRANSLATE(A4849, ""en"", ""fr"")"),"Accrocher # 2")</f>
        <v>Accrocher # 2</v>
      </c>
      <c r="C4849" s="1" t="s">
        <v>185</v>
      </c>
      <c r="L4849" s="1" t="s">
        <v>8</v>
      </c>
      <c r="N4849" s="1" t="s">
        <v>10</v>
      </c>
      <c r="DD4849" s="1" t="s">
        <v>104</v>
      </c>
      <c r="DN4849" s="1" t="s">
        <v>114</v>
      </c>
      <c r="FP4849" s="1" t="s">
        <v>168</v>
      </c>
      <c r="GD4849" s="1" t="s">
        <v>189</v>
      </c>
      <c r="GE4849" s="1" t="s">
        <v>6867</v>
      </c>
    </row>
    <row r="4850" spans="1:187" ht="11.25" customHeight="1">
      <c r="A4850" s="1" t="s">
        <v>6868</v>
      </c>
      <c r="B4850" s="1" t="str">
        <f ca="1">IFERROR(__xludf.DUMMYFUNCTION("GOOGLETRANSLATE(A4850, ""en"", ""fr"")"),"Accrocher # 3")</f>
        <v>Accrocher # 3</v>
      </c>
      <c r="C4850" s="1" t="s">
        <v>185</v>
      </c>
      <c r="E4850" s="1" t="s">
        <v>16613</v>
      </c>
      <c r="H4850" s="1" t="s">
        <v>4</v>
      </c>
      <c r="I4850" s="1" t="s">
        <v>5</v>
      </c>
      <c r="AN4850" s="1" t="s">
        <v>36</v>
      </c>
      <c r="DN4850" s="1" t="s">
        <v>114</v>
      </c>
      <c r="EY4850" s="1" t="s">
        <v>151</v>
      </c>
      <c r="FC4850" s="1" t="s">
        <v>155</v>
      </c>
      <c r="GD4850" s="1" t="s">
        <v>189</v>
      </c>
      <c r="GE4850" s="1" t="s">
        <v>6869</v>
      </c>
    </row>
    <row r="4851" spans="1:187" ht="11.25" customHeight="1">
      <c r="A4851" s="1" t="s">
        <v>6870</v>
      </c>
      <c r="B4851" s="1" t="str">
        <f ca="1">IFERROR(__xludf.DUMMYFUNCTION("GOOGLETRANSLATE(A4851, ""en"", ""fr"")"),"Accrocher # 4")</f>
        <v>Accrocher # 4</v>
      </c>
      <c r="C4851" s="1" t="s">
        <v>185</v>
      </c>
      <c r="DD4851" s="1" t="s">
        <v>104</v>
      </c>
      <c r="DN4851" s="1" t="s">
        <v>114</v>
      </c>
      <c r="GD4851" s="1" t="s">
        <v>189</v>
      </c>
      <c r="GE4851" s="1" t="s">
        <v>6871</v>
      </c>
    </row>
    <row r="4852" spans="1:187" ht="11.25" customHeight="1">
      <c r="A4852" s="1" t="s">
        <v>6872</v>
      </c>
      <c r="B4852" s="1" t="str">
        <f ca="1">IFERROR(__xludf.DUMMYFUNCTION("GOOGLETRANSLATE(A4852, ""en"", ""fr"")"),"Accrocher # 5")</f>
        <v>Accrocher # 5</v>
      </c>
      <c r="C4852" s="1" t="s">
        <v>185</v>
      </c>
      <c r="O4852" s="1" t="s">
        <v>11</v>
      </c>
      <c r="DA4852" s="1" t="s">
        <v>101</v>
      </c>
      <c r="GD4852" s="1" t="s">
        <v>202</v>
      </c>
      <c r="GE4852" s="1" t="s">
        <v>6873</v>
      </c>
    </row>
    <row r="4853" spans="1:187" ht="11.25" customHeight="1">
      <c r="A4853" s="1" t="s">
        <v>6874</v>
      </c>
      <c r="B4853" s="1" t="str">
        <f ca="1">IFERROR(__xludf.DUMMYFUNCTION("GOOGLETRANSLATE(A4853, ""en"", ""fr"")"),"Accrocher # 6")</f>
        <v>Accrocher # 6</v>
      </c>
      <c r="C4853" s="1" t="s">
        <v>185</v>
      </c>
      <c r="E4853" s="1" t="s">
        <v>16613</v>
      </c>
      <c r="H4853" s="1" t="s">
        <v>4</v>
      </c>
      <c r="O4853" s="1" t="s">
        <v>11</v>
      </c>
      <c r="CA4853" s="1" t="s">
        <v>75</v>
      </c>
      <c r="DN4853" s="1" t="s">
        <v>114</v>
      </c>
      <c r="GD4853" s="1" t="s">
        <v>189</v>
      </c>
      <c r="GE4853" s="1" t="s">
        <v>6875</v>
      </c>
    </row>
    <row r="4854" spans="1:187" ht="11.25" customHeight="1">
      <c r="A4854" s="1" t="s">
        <v>6876</v>
      </c>
      <c r="B4854" s="1" t="str">
        <f ca="1">IFERROR(__xludf.DUMMYFUNCTION("GOOGLETRANSLATE(A4854, ""en"", ""fr"")"),"CINTRE")</f>
        <v>CINTRE</v>
      </c>
      <c r="C4854" s="1" t="s">
        <v>185</v>
      </c>
      <c r="AA4854" s="1" t="s">
        <v>23</v>
      </c>
      <c r="AJ4854" s="1" t="s">
        <v>32</v>
      </c>
      <c r="AT4854" s="1" t="s">
        <v>42</v>
      </c>
      <c r="GD4854" s="1" t="s">
        <v>193</v>
      </c>
      <c r="GE4854" s="1" t="s">
        <v>190</v>
      </c>
    </row>
    <row r="4855" spans="1:187" ht="11.25" customHeight="1">
      <c r="A4855" s="1" t="s">
        <v>6877</v>
      </c>
      <c r="B4855" s="1" t="str">
        <f ca="1">IFERROR(__xludf.DUMMYFUNCTION("GOOGLETRANSLATE(A4855, ""en"", ""fr"")"),"Galerie")</f>
        <v>Galerie</v>
      </c>
      <c r="C4855" s="1" t="s">
        <v>196</v>
      </c>
      <c r="GD4855" s="1" t="s">
        <v>189</v>
      </c>
    </row>
    <row r="4856" spans="1:187" ht="11.25" customHeight="1">
      <c r="A4856" s="1" t="s">
        <v>6878</v>
      </c>
      <c r="B4856" s="1" t="str">
        <f ca="1">IFERROR(__xludf.DUMMYFUNCTION("GOOGLETRANSLATE(A4856, ""en"", ""fr"")"),"AU HASARD")</f>
        <v>AU HASARD</v>
      </c>
      <c r="C4856" s="1" t="s">
        <v>185</v>
      </c>
      <c r="E4856" s="1" t="s">
        <v>16613</v>
      </c>
      <c r="H4856" s="1" t="s">
        <v>4</v>
      </c>
      <c r="CW4856" s="1" t="s">
        <v>97</v>
      </c>
      <c r="GD4856" s="1" t="s">
        <v>202</v>
      </c>
      <c r="GE4856" s="1" t="s">
        <v>190</v>
      </c>
    </row>
    <row r="4857" spans="1:187" ht="11.25" customHeight="1">
      <c r="A4857" s="1" t="s">
        <v>6879</v>
      </c>
      <c r="B4857" s="1" t="str">
        <f ca="1">IFERROR(__xludf.DUMMYFUNCTION("GOOGLETRANSLATE(A4857, ""en"", ""fr"")"),"MALCHANCEUX")</f>
        <v>MALCHANCEUX</v>
      </c>
      <c r="C4857" s="1" t="s">
        <v>192</v>
      </c>
      <c r="E4857" s="1" t="s">
        <v>16613</v>
      </c>
      <c r="L4857" s="1" t="s">
        <v>8</v>
      </c>
      <c r="M4857" s="1" t="s">
        <v>9</v>
      </c>
      <c r="O4857" s="1" t="s">
        <v>11</v>
      </c>
      <c r="V4857" s="1" t="s">
        <v>18</v>
      </c>
      <c r="DR4857" s="1" t="s">
        <v>118</v>
      </c>
      <c r="GD4857" s="1" t="s">
        <v>202</v>
      </c>
      <c r="GE4857" s="1" t="s">
        <v>190</v>
      </c>
    </row>
    <row r="4858" spans="1:187" ht="11.25" customHeight="1">
      <c r="A4858" s="1" t="s">
        <v>6880</v>
      </c>
      <c r="B4858" s="1" t="str">
        <f ca="1">IFERROR(__xludf.DUMMYFUNCTION("GOOGLETRANSLATE(A4858, ""en"", ""fr"")"),"Se produire # 1")</f>
        <v>Se produire # 1</v>
      </c>
      <c r="C4858" s="1" t="s">
        <v>185</v>
      </c>
      <c r="O4858" s="1" t="s">
        <v>11</v>
      </c>
      <c r="BW4858" s="1" t="s">
        <v>71</v>
      </c>
      <c r="DO4858" s="1" t="s">
        <v>115</v>
      </c>
      <c r="GD4858" s="1" t="s">
        <v>400</v>
      </c>
      <c r="GE4858" s="1" t="s">
        <v>6881</v>
      </c>
    </row>
    <row r="4859" spans="1:187" ht="11.25" customHeight="1">
      <c r="A4859" s="1" t="s">
        <v>6882</v>
      </c>
      <c r="B4859" s="1" t="str">
        <f ca="1">IFERROR(__xludf.DUMMYFUNCTION("GOOGLETRANSLATE(A4859, ""en"", ""fr"")"),"Se produire # 2")</f>
        <v>Se produire # 2</v>
      </c>
      <c r="C4859" s="1" t="s">
        <v>185</v>
      </c>
      <c r="BW4859" s="1" t="s">
        <v>71</v>
      </c>
      <c r="DN4859" s="1" t="s">
        <v>114</v>
      </c>
      <c r="GD4859" s="1" t="s">
        <v>189</v>
      </c>
      <c r="GE4859" s="1" t="s">
        <v>6883</v>
      </c>
    </row>
    <row r="4860" spans="1:187" ht="11.25" customHeight="1">
      <c r="A4860" s="1" t="s">
        <v>6884</v>
      </c>
      <c r="B4860" s="1" t="str">
        <f ca="1">IFERROR(__xludf.DUMMYFUNCTION("GOOGLETRANSLATE(A4860, ""en"", ""fr"")"),"Se produire # 3")</f>
        <v>Se produire # 3</v>
      </c>
      <c r="C4860" s="1" t="s">
        <v>185</v>
      </c>
      <c r="BW4860" s="1" t="s">
        <v>71</v>
      </c>
      <c r="GD4860" s="1" t="s">
        <v>193</v>
      </c>
      <c r="GE4860" s="1" t="s">
        <v>6885</v>
      </c>
    </row>
    <row r="4861" spans="1:187" ht="11.25" customHeight="1">
      <c r="A4861" s="1" t="s">
        <v>6886</v>
      </c>
      <c r="B4861" s="1" t="str">
        <f ca="1">IFERROR(__xludf.DUMMYFUNCTION("GOOGLETRANSLATE(A4861, ""en"", ""fr"")"),"BONHEUR")</f>
        <v>BONHEUR</v>
      </c>
      <c r="C4861" s="1" t="s">
        <v>185</v>
      </c>
      <c r="D4861" s="1" t="s">
        <v>16612</v>
      </c>
      <c r="F4861" s="1" t="s">
        <v>2</v>
      </c>
      <c r="P4861" s="1" t="s">
        <v>12</v>
      </c>
      <c r="T4861" s="1" t="s">
        <v>16</v>
      </c>
      <c r="FA4861" s="1" t="s">
        <v>153</v>
      </c>
      <c r="FC4861" s="1" t="s">
        <v>155</v>
      </c>
      <c r="GD4861" s="1" t="s">
        <v>193</v>
      </c>
      <c r="GE4861" s="1" t="s">
        <v>6887</v>
      </c>
    </row>
    <row r="4862" spans="1:187" ht="11.25" customHeight="1">
      <c r="A4862" s="1" t="s">
        <v>6888</v>
      </c>
      <c r="B4862" s="1" t="str">
        <f ca="1">IFERROR(__xludf.DUMMYFUNCTION("GOOGLETRANSLATE(A4862, ""en"", ""fr"")"),"Heureux # 1")</f>
        <v>Heureux # 1</v>
      </c>
      <c r="C4862" s="1" t="s">
        <v>185</v>
      </c>
      <c r="D4862" s="1" t="s">
        <v>16612</v>
      </c>
      <c r="F4862" s="1" t="s">
        <v>2</v>
      </c>
      <c r="P4862" s="1" t="s">
        <v>12</v>
      </c>
      <c r="T4862" s="1" t="s">
        <v>16</v>
      </c>
      <c r="FA4862" s="1" t="s">
        <v>153</v>
      </c>
      <c r="FC4862" s="1" t="s">
        <v>155</v>
      </c>
      <c r="GD4862" s="1" t="s">
        <v>202</v>
      </c>
      <c r="GE4862" s="1" t="s">
        <v>6889</v>
      </c>
    </row>
    <row r="4863" spans="1:187" ht="11.25" customHeight="1">
      <c r="A4863" s="1" t="s">
        <v>6890</v>
      </c>
      <c r="B4863" s="1" t="str">
        <f ca="1">IFERROR(__xludf.DUMMYFUNCTION("GOOGLETRANSLATE(A4863, ""en"", ""fr"")"),"Heureux # 2")</f>
        <v>Heureux # 2</v>
      </c>
      <c r="C4863" s="1" t="s">
        <v>185</v>
      </c>
      <c r="D4863" s="1" t="s">
        <v>16612</v>
      </c>
      <c r="F4863" s="1" t="s">
        <v>2</v>
      </c>
      <c r="P4863" s="1" t="s">
        <v>12</v>
      </c>
      <c r="FX4863" s="1" t="s">
        <v>176</v>
      </c>
      <c r="GD4863" s="1" t="s">
        <v>202</v>
      </c>
      <c r="GE4863" s="1" t="s">
        <v>6891</v>
      </c>
    </row>
    <row r="4864" spans="1:187" ht="11.25" customHeight="1">
      <c r="A4864" s="1" t="s">
        <v>6892</v>
      </c>
      <c r="B4864" s="1" t="str">
        <f ca="1">IFERROR(__xludf.DUMMYFUNCTION("GOOGLETRANSLATE(A4864, ""en"", ""fr"")"),"Heureux # 3")</f>
        <v>Heureux # 3</v>
      </c>
      <c r="C4864" s="1" t="s">
        <v>185</v>
      </c>
      <c r="D4864" s="1" t="s">
        <v>16612</v>
      </c>
      <c r="F4864" s="1" t="s">
        <v>2</v>
      </c>
      <c r="P4864" s="1" t="s">
        <v>12</v>
      </c>
      <c r="T4864" s="1" t="s">
        <v>16</v>
      </c>
      <c r="FA4864" s="1" t="s">
        <v>153</v>
      </c>
      <c r="FC4864" s="1" t="s">
        <v>155</v>
      </c>
      <c r="GD4864" s="1" t="s">
        <v>202</v>
      </c>
      <c r="GE4864" s="1" t="s">
        <v>6893</v>
      </c>
    </row>
    <row r="4865" spans="1:187" ht="11.25" customHeight="1">
      <c r="A4865" s="1" t="s">
        <v>6894</v>
      </c>
      <c r="B4865" s="1" t="str">
        <f ca="1">IFERROR(__xludf.DUMMYFUNCTION("GOOGLETRANSLATE(A4865, ""en"", ""fr"")"),"Heureux # 4")</f>
        <v>Heureux # 4</v>
      </c>
      <c r="C4865" s="1" t="s">
        <v>185</v>
      </c>
      <c r="D4865" s="1" t="s">
        <v>16612</v>
      </c>
      <c r="F4865" s="1" t="s">
        <v>2</v>
      </c>
      <c r="P4865" s="1" t="s">
        <v>12</v>
      </c>
      <c r="T4865" s="1" t="s">
        <v>16</v>
      </c>
      <c r="FA4865" s="1" t="s">
        <v>153</v>
      </c>
      <c r="FC4865" s="1" t="s">
        <v>155</v>
      </c>
      <c r="GD4865" s="1" t="s">
        <v>202</v>
      </c>
      <c r="GE4865" s="1" t="s">
        <v>6895</v>
      </c>
    </row>
    <row r="4866" spans="1:187" ht="11.25" customHeight="1">
      <c r="A4866" s="1" t="s">
        <v>6896</v>
      </c>
      <c r="B4866" s="1" t="str">
        <f ca="1">IFERROR(__xludf.DUMMYFUNCTION("GOOGLETRANSLATE(A4866, ""en"", ""fr"")"),"HARCELER")</f>
        <v>HARCELER</v>
      </c>
      <c r="C4866" s="1" t="s">
        <v>192</v>
      </c>
      <c r="E4866" s="1" t="s">
        <v>16613</v>
      </c>
      <c r="I4866" s="1" t="s">
        <v>5</v>
      </c>
      <c r="N4866" s="1" t="s">
        <v>10</v>
      </c>
      <c r="CC4866" s="1" t="s">
        <v>77</v>
      </c>
      <c r="DN4866" s="1" t="s">
        <v>114</v>
      </c>
      <c r="GD4866" s="1" t="s">
        <v>670</v>
      </c>
      <c r="GE4866" s="1" t="s">
        <v>190</v>
      </c>
    </row>
    <row r="4867" spans="1:187" ht="11.25" customHeight="1">
      <c r="A4867" s="1" t="s">
        <v>6897</v>
      </c>
      <c r="B4867" s="1" t="str">
        <f ca="1">IFERROR(__xludf.DUMMYFUNCTION("GOOGLETRANSLATE(A4867, ""en"", ""fr"")"),"HARCÈLEMENT")</f>
        <v>HARCÈLEMENT</v>
      </c>
      <c r="C4867" s="1" t="s">
        <v>192</v>
      </c>
      <c r="E4867" s="1" t="s">
        <v>16613</v>
      </c>
      <c r="I4867" s="1" t="s">
        <v>5</v>
      </c>
      <c r="AN4867" s="1" t="s">
        <v>36</v>
      </c>
      <c r="CC4867" s="1" t="s">
        <v>77</v>
      </c>
      <c r="GD4867" s="1" t="s">
        <v>1177</v>
      </c>
      <c r="GE4867" s="1" t="s">
        <v>190</v>
      </c>
    </row>
    <row r="4868" spans="1:187" ht="11.25" customHeight="1">
      <c r="A4868" s="1" t="s">
        <v>6898</v>
      </c>
      <c r="B4868" s="1" t="str">
        <f ca="1">IFERROR(__xludf.DUMMYFUNCTION("GOOGLETRANSLATE(A4868, ""en"", ""fr"")"),"Port n ° 1")</f>
        <v>Port n ° 1</v>
      </c>
      <c r="C4868" s="1" t="s">
        <v>185</v>
      </c>
      <c r="AA4868" s="1" t="s">
        <v>23</v>
      </c>
      <c r="AC4868" s="1" t="s">
        <v>25</v>
      </c>
      <c r="AV4868" s="1" t="s">
        <v>44</v>
      </c>
      <c r="AZ4868" s="1" t="s">
        <v>48</v>
      </c>
      <c r="GD4868" s="1" t="s">
        <v>193</v>
      </c>
      <c r="GE4868" s="1" t="s">
        <v>190</v>
      </c>
    </row>
    <row r="4869" spans="1:187" ht="11.25" customHeight="1">
      <c r="A4869" s="1" t="s">
        <v>6899</v>
      </c>
      <c r="B4869" s="1" t="str">
        <f ca="1">IFERROR(__xludf.DUMMYFUNCTION("GOOGLETRANSLATE(A4869, ""en"", ""fr"")"),"Port n ° 2")</f>
        <v>Port n ° 2</v>
      </c>
      <c r="C4869" s="1" t="s">
        <v>185</v>
      </c>
      <c r="J4869" s="1" t="s">
        <v>6</v>
      </c>
      <c r="CA4869" s="1" t="s">
        <v>75</v>
      </c>
      <c r="DN4869" s="1" t="s">
        <v>114</v>
      </c>
      <c r="GD4869" s="1" t="s">
        <v>189</v>
      </c>
      <c r="GE4869" s="1" t="s">
        <v>190</v>
      </c>
    </row>
    <row r="4870" spans="1:187" ht="11.25" customHeight="1">
      <c r="A4870" s="1" t="s">
        <v>6900</v>
      </c>
      <c r="B4870" s="1" t="str">
        <f ca="1">IFERROR(__xludf.DUMMYFUNCTION("GOOGLETRANSLATE(A4870, ""en"", ""fr"")"),"Port n ° 1")</f>
        <v>Port n ° 1</v>
      </c>
      <c r="C4870" s="1" t="s">
        <v>192</v>
      </c>
      <c r="GE4870" s="1" t="s">
        <v>190</v>
      </c>
    </row>
    <row r="4871" spans="1:187" ht="11.25" customHeight="1">
      <c r="A4871" s="1" t="s">
        <v>6901</v>
      </c>
      <c r="B4871" s="1" t="str">
        <f ca="1">IFERROR(__xludf.DUMMYFUNCTION("GOOGLETRANSLATE(A4871, ""en"", ""fr"")"),"Dur # 1")</f>
        <v>Dur # 1</v>
      </c>
      <c r="C4871" s="1" t="s">
        <v>185</v>
      </c>
      <c r="E4871" s="1" t="s">
        <v>16613</v>
      </c>
      <c r="H4871" s="1" t="s">
        <v>4</v>
      </c>
      <c r="J4871" s="1" t="s">
        <v>6</v>
      </c>
      <c r="V4871" s="1" t="s">
        <v>18</v>
      </c>
      <c r="CN4871" s="1" t="s">
        <v>88</v>
      </c>
      <c r="FA4871" s="1" t="s">
        <v>153</v>
      </c>
      <c r="FC4871" s="1" t="s">
        <v>155</v>
      </c>
      <c r="GD4871" s="1" t="s">
        <v>202</v>
      </c>
      <c r="GE4871" s="1" t="s">
        <v>6902</v>
      </c>
    </row>
    <row r="4872" spans="1:187" ht="11.25" customHeight="1">
      <c r="A4872" s="1" t="s">
        <v>6903</v>
      </c>
      <c r="B4872" s="1" t="str">
        <f ca="1">IFERROR(__xludf.DUMMYFUNCTION("GOOGLETRANSLATE(A4872, ""en"", ""fr"")"),"Dur # 2")</f>
        <v>Dur # 2</v>
      </c>
      <c r="C4872" s="1" t="s">
        <v>185</v>
      </c>
      <c r="J4872" s="1" t="s">
        <v>6</v>
      </c>
      <c r="CR4872" s="1" t="s">
        <v>92</v>
      </c>
      <c r="GD4872" s="1" t="s">
        <v>202</v>
      </c>
      <c r="GE4872" s="1" t="s">
        <v>6904</v>
      </c>
    </row>
    <row r="4873" spans="1:187" ht="11.25" customHeight="1">
      <c r="A4873" s="1" t="s">
        <v>6905</v>
      </c>
      <c r="B4873" s="1" t="str">
        <f ca="1">IFERROR(__xludf.DUMMYFUNCTION("GOOGLETRANSLATE(A4873, ""en"", ""fr"")"),"Dur # 3")</f>
        <v>Dur # 3</v>
      </c>
      <c r="C4873" s="1" t="s">
        <v>185</v>
      </c>
      <c r="N4873" s="1" t="s">
        <v>10</v>
      </c>
      <c r="U4873" s="1" t="s">
        <v>17</v>
      </c>
      <c r="FL4873" s="1" t="s">
        <v>164</v>
      </c>
      <c r="FM4873" s="1" t="s">
        <v>418</v>
      </c>
      <c r="GD4873" s="1" t="s">
        <v>236</v>
      </c>
      <c r="GE4873" s="1" t="s">
        <v>6906</v>
      </c>
    </row>
    <row r="4874" spans="1:187" ht="11.25" customHeight="1">
      <c r="A4874" s="1" t="s">
        <v>6907</v>
      </c>
      <c r="B4874" s="1" t="str">
        <f ca="1">IFERROR(__xludf.DUMMYFUNCTION("GOOGLETRANSLATE(A4874, ""en"", ""fr"")"),"Dur # 4")</f>
        <v>Dur # 4</v>
      </c>
      <c r="C4874" s="1" t="s">
        <v>185</v>
      </c>
      <c r="L4874" s="1" t="s">
        <v>8</v>
      </c>
      <c r="X4874" s="1" t="s">
        <v>20</v>
      </c>
      <c r="FZ4874" s="1" t="s">
        <v>178</v>
      </c>
      <c r="GD4874" s="1" t="s">
        <v>236</v>
      </c>
      <c r="GE4874" s="1" t="s">
        <v>6908</v>
      </c>
    </row>
    <row r="4875" spans="1:187" ht="11.25" customHeight="1">
      <c r="A4875" s="1" t="s">
        <v>6909</v>
      </c>
      <c r="B4875" s="1" t="str">
        <f ca="1">IFERROR(__xludf.DUMMYFUNCTION("GOOGLETRANSLATE(A4875, ""en"", ""fr"")"),"Dur # 5")</f>
        <v>Dur # 5</v>
      </c>
      <c r="C4875" s="1" t="s">
        <v>185</v>
      </c>
      <c r="E4875" s="1" t="s">
        <v>16613</v>
      </c>
      <c r="H4875" s="1" t="s">
        <v>4</v>
      </c>
      <c r="L4875" s="1" t="s">
        <v>8</v>
      </c>
      <c r="O4875" s="1" t="s">
        <v>11</v>
      </c>
      <c r="Q4875" s="1" t="s">
        <v>13</v>
      </c>
      <c r="GD4875" s="1" t="s">
        <v>202</v>
      </c>
      <c r="GE4875" s="1" t="s">
        <v>6910</v>
      </c>
    </row>
    <row r="4876" spans="1:187" ht="11.25" customHeight="1">
      <c r="A4876" s="1" t="s">
        <v>6911</v>
      </c>
      <c r="B4876" s="1" t="str">
        <f ca="1">IFERROR(__xludf.DUMMYFUNCTION("GOOGLETRANSLATE(A4876, ""en"", ""fr"")"),"DURCIR")</f>
        <v>DURCIR</v>
      </c>
      <c r="C4876" s="1" t="s">
        <v>196</v>
      </c>
      <c r="GD4876" s="1" t="s">
        <v>189</v>
      </c>
    </row>
    <row r="4877" spans="1:187" ht="11.25" customHeight="1">
      <c r="A4877" s="1" t="s">
        <v>6912</v>
      </c>
      <c r="B4877" s="1" t="str">
        <f ca="1">IFERROR(__xludf.DUMMYFUNCTION("GOOGLETRANSLATE(A4877, ""en"", ""fr"")"),"Le plus dur")</f>
        <v>Le plus dur</v>
      </c>
      <c r="C4877" s="1" t="s">
        <v>196</v>
      </c>
      <c r="GD4877" s="1" t="s">
        <v>202</v>
      </c>
    </row>
    <row r="4878" spans="1:187" ht="11.25" customHeight="1">
      <c r="A4878" s="1" t="s">
        <v>6913</v>
      </c>
      <c r="B4878" s="1" t="str">
        <f ca="1">IFERROR(__xludf.DUMMYFUNCTION("GOOGLETRANSLATE(A4878, ""en"", ""fr"")"),"ÉPREUVES")</f>
        <v>ÉPREUVES</v>
      </c>
      <c r="C4878" s="1" t="s">
        <v>185</v>
      </c>
      <c r="E4878" s="1" t="s">
        <v>16613</v>
      </c>
      <c r="H4878" s="1" t="s">
        <v>4</v>
      </c>
      <c r="V4878" s="1" t="s">
        <v>18</v>
      </c>
      <c r="EY4878" s="1" t="s">
        <v>151</v>
      </c>
      <c r="FC4878" s="1" t="s">
        <v>155</v>
      </c>
      <c r="GD4878" s="1" t="s">
        <v>193</v>
      </c>
      <c r="GE4878" s="1" t="s">
        <v>190</v>
      </c>
    </row>
    <row r="4879" spans="1:187" ht="11.25" customHeight="1">
      <c r="A4879" s="1" t="s">
        <v>6914</v>
      </c>
      <c r="B4879" s="1" t="str">
        <f ca="1">IFERROR(__xludf.DUMMYFUNCTION("GOOGLETRANSLATE(A4879, ""en"", ""fr"")"),"Hardtack")</f>
        <v>Hardtack</v>
      </c>
      <c r="C4879" s="1" t="s">
        <v>185</v>
      </c>
      <c r="BC4879" s="1" t="s">
        <v>51</v>
      </c>
      <c r="BE4879" s="1" t="s">
        <v>53</v>
      </c>
      <c r="GD4879" s="1" t="s">
        <v>193</v>
      </c>
      <c r="GE4879" s="1" t="s">
        <v>190</v>
      </c>
    </row>
    <row r="4880" spans="1:187" ht="11.25" customHeight="1">
      <c r="A4880" s="1" t="s">
        <v>6915</v>
      </c>
      <c r="B4880" s="1" t="str">
        <f ca="1">IFERROR(__xludf.DUMMYFUNCTION("GOOGLETRANSLATE(A4880, ""en"", ""fr"")"),"ROBUSTE")</f>
        <v>ROBUSTE</v>
      </c>
      <c r="C4880" s="1" t="s">
        <v>185</v>
      </c>
      <c r="D4880" s="1" t="s">
        <v>16612</v>
      </c>
      <c r="F4880" s="1" t="s">
        <v>2</v>
      </c>
      <c r="J4880" s="1" t="s">
        <v>6</v>
      </c>
      <c r="U4880" s="1" t="s">
        <v>17</v>
      </c>
      <c r="CR4880" s="1" t="s">
        <v>92</v>
      </c>
      <c r="DR4880" s="1" t="s">
        <v>118</v>
      </c>
      <c r="EX4880" s="1" t="s">
        <v>150</v>
      </c>
      <c r="FC4880" s="1" t="s">
        <v>155</v>
      </c>
      <c r="GD4880" s="1" t="s">
        <v>202</v>
      </c>
      <c r="GE4880" s="1" t="s">
        <v>190</v>
      </c>
    </row>
    <row r="4881" spans="1:187" ht="11.25" customHeight="1">
      <c r="A4881" s="1" t="s">
        <v>6916</v>
      </c>
      <c r="B4881" s="1" t="str">
        <f ca="1">IFERROR(__xludf.DUMMYFUNCTION("GOOGLETRANSLATE(A4881, ""en"", ""fr"")"),"LIÈVRE")</f>
        <v>LIÈVRE</v>
      </c>
      <c r="C4881" s="1" t="s">
        <v>185</v>
      </c>
      <c r="AU4881" s="1" t="s">
        <v>43</v>
      </c>
      <c r="GD4881" s="1" t="s">
        <v>193</v>
      </c>
      <c r="GE4881" s="1" t="s">
        <v>6917</v>
      </c>
    </row>
    <row r="4882" spans="1:187" ht="11.25" customHeight="1">
      <c r="A4882" s="1" t="s">
        <v>6918</v>
      </c>
      <c r="B4882" s="1" t="str">
        <f ca="1">IFERROR(__xludf.DUMMYFUNCTION("GOOGLETRANSLATE(A4882, ""en"", ""fr"")"),"Dommage n ° 1")</f>
        <v>Dommage n ° 1</v>
      </c>
      <c r="C4882" s="1" t="s">
        <v>185</v>
      </c>
      <c r="E4882" s="1" t="s">
        <v>16613</v>
      </c>
      <c r="H4882" s="1" t="s">
        <v>4</v>
      </c>
      <c r="I4882" s="1" t="s">
        <v>5</v>
      </c>
      <c r="J4882" s="1" t="s">
        <v>6</v>
      </c>
      <c r="O4882" s="1" t="s">
        <v>11</v>
      </c>
      <c r="V4882" s="1" t="s">
        <v>18</v>
      </c>
      <c r="EY4882" s="1" t="s">
        <v>151</v>
      </c>
      <c r="FC4882" s="1" t="s">
        <v>155</v>
      </c>
      <c r="GD4882" s="1" t="s">
        <v>193</v>
      </c>
      <c r="GE4882" s="1" t="s">
        <v>6919</v>
      </c>
    </row>
    <row r="4883" spans="1:187" ht="11.25" customHeight="1">
      <c r="A4883" s="1" t="s">
        <v>6920</v>
      </c>
      <c r="B4883" s="1" t="str">
        <f ca="1">IFERROR(__xludf.DUMMYFUNCTION("GOOGLETRANSLATE(A4883, ""en"", ""fr"")"),"Dommage n ° 2")</f>
        <v>Dommage n ° 2</v>
      </c>
      <c r="C4883" s="1" t="s">
        <v>185</v>
      </c>
      <c r="E4883" s="1" t="s">
        <v>16613</v>
      </c>
      <c r="H4883" s="1" t="s">
        <v>4</v>
      </c>
      <c r="I4883" s="1" t="s">
        <v>5</v>
      </c>
      <c r="J4883" s="1" t="s">
        <v>6</v>
      </c>
      <c r="N4883" s="1" t="s">
        <v>10</v>
      </c>
      <c r="AN4883" s="1" t="s">
        <v>36</v>
      </c>
      <c r="DN4883" s="1" t="s">
        <v>114</v>
      </c>
      <c r="EY4883" s="1" t="s">
        <v>151</v>
      </c>
      <c r="FC4883" s="1" t="s">
        <v>155</v>
      </c>
      <c r="GD4883" s="1" t="s">
        <v>189</v>
      </c>
      <c r="GE4883" s="1" t="s">
        <v>6921</v>
      </c>
    </row>
    <row r="4884" spans="1:187" ht="11.25" customHeight="1">
      <c r="A4884" s="1" t="s">
        <v>6922</v>
      </c>
      <c r="B4884" s="1" t="str">
        <f ca="1">IFERROR(__xludf.DUMMYFUNCTION("GOOGLETRANSLATE(A4884, ""en"", ""fr"")"),"NOCIF")</f>
        <v>NOCIF</v>
      </c>
      <c r="C4884" s="1" t="s">
        <v>185</v>
      </c>
      <c r="E4884" s="1" t="s">
        <v>16613</v>
      </c>
      <c r="H4884" s="1" t="s">
        <v>4</v>
      </c>
      <c r="J4884" s="1" t="s">
        <v>6</v>
      </c>
      <c r="V4884" s="1" t="s">
        <v>18</v>
      </c>
      <c r="EY4884" s="1" t="s">
        <v>151</v>
      </c>
      <c r="FC4884" s="1" t="s">
        <v>155</v>
      </c>
      <c r="GD4884" s="1" t="s">
        <v>202</v>
      </c>
      <c r="GE4884" s="1" t="s">
        <v>190</v>
      </c>
    </row>
    <row r="4885" spans="1:187" ht="11.25" customHeight="1">
      <c r="A4885" s="1" t="s">
        <v>6923</v>
      </c>
      <c r="B4885" s="1" t="str">
        <f ca="1">IFERROR(__xludf.DUMMYFUNCTION("GOOGLETRANSLATE(A4885, ""en"", ""fr"")"),"INOFFENSIF")</f>
        <v>INOFFENSIF</v>
      </c>
      <c r="C4885" s="1" t="s">
        <v>185</v>
      </c>
      <c r="D4885" s="1" t="s">
        <v>16612</v>
      </c>
      <c r="F4885" s="1" t="s">
        <v>2</v>
      </c>
      <c r="L4885" s="1" t="s">
        <v>8</v>
      </c>
      <c r="M4885" s="1" t="s">
        <v>9</v>
      </c>
      <c r="O4885" s="1" t="s">
        <v>11</v>
      </c>
      <c r="U4885" s="1" t="s">
        <v>17</v>
      </c>
      <c r="GD4885" s="1" t="s">
        <v>202</v>
      </c>
      <c r="GE4885" s="1" t="s">
        <v>190</v>
      </c>
    </row>
    <row r="4886" spans="1:187" ht="11.25" customHeight="1">
      <c r="A4886" s="1" t="s">
        <v>6924</v>
      </c>
      <c r="B4886" s="1" t="str">
        <f ca="1">IFERROR(__xludf.DUMMYFUNCTION("GOOGLETRANSLATE(A4886, ""en"", ""fr"")"),"HARMONIEUX")</f>
        <v>HARMONIEUX</v>
      </c>
      <c r="C4886" s="1" t="s">
        <v>185</v>
      </c>
      <c r="D4886" s="1" t="s">
        <v>16612</v>
      </c>
      <c r="G4886" s="1" t="s">
        <v>3</v>
      </c>
      <c r="P4886" s="1" t="s">
        <v>12</v>
      </c>
      <c r="AN4886" s="1" t="s">
        <v>36</v>
      </c>
      <c r="DQ4886" s="1" t="s">
        <v>117</v>
      </c>
      <c r="DX4886" s="1" t="s">
        <v>124</v>
      </c>
      <c r="ED4886" s="1" t="s">
        <v>130</v>
      </c>
      <c r="GD4886" s="1" t="s">
        <v>202</v>
      </c>
      <c r="GE4886" s="1" t="s">
        <v>190</v>
      </c>
    </row>
    <row r="4887" spans="1:187" ht="11.25" customHeight="1">
      <c r="A4887" s="1" t="s">
        <v>6925</v>
      </c>
      <c r="B4887" s="1" t="str">
        <f ca="1">IFERROR(__xludf.DUMMYFUNCTION("GOOGLETRANSLATE(A4887, ""en"", ""fr"")"),"HARMONISATION")</f>
        <v>HARMONISATION</v>
      </c>
      <c r="C4887" s="1" t="s">
        <v>196</v>
      </c>
      <c r="DX4887" s="1" t="s">
        <v>124</v>
      </c>
      <c r="ED4887" s="1" t="s">
        <v>130</v>
      </c>
      <c r="GD4887" s="1" t="s">
        <v>193</v>
      </c>
    </row>
    <row r="4888" spans="1:187" ht="11.25" customHeight="1">
      <c r="A4888" s="1" t="s">
        <v>6926</v>
      </c>
      <c r="B4888" s="1" t="str">
        <f ca="1">IFERROR(__xludf.DUMMYFUNCTION("GOOGLETRANSLATE(A4888, ""en"", ""fr"")"),"HARMONISER")</f>
        <v>HARMONISER</v>
      </c>
      <c r="C4888" s="1" t="s">
        <v>185</v>
      </c>
      <c r="D4888" s="1" t="s">
        <v>16612</v>
      </c>
      <c r="G4888" s="1" t="s">
        <v>3</v>
      </c>
      <c r="N4888" s="1" t="s">
        <v>10</v>
      </c>
      <c r="AN4888" s="1" t="s">
        <v>36</v>
      </c>
      <c r="BK4888" s="1" t="s">
        <v>59</v>
      </c>
      <c r="DN4888" s="1" t="s">
        <v>114</v>
      </c>
      <c r="DX4888" s="1" t="s">
        <v>124</v>
      </c>
      <c r="ED4888" s="1" t="s">
        <v>130</v>
      </c>
      <c r="GD4888" s="1" t="s">
        <v>189</v>
      </c>
      <c r="GE4888" s="1" t="s">
        <v>190</v>
      </c>
    </row>
    <row r="4889" spans="1:187" ht="11.25" customHeight="1">
      <c r="A4889" s="1" t="s">
        <v>6927</v>
      </c>
      <c r="B4889" s="1" t="str">
        <f ca="1">IFERROR(__xludf.DUMMYFUNCTION("GOOGLETRANSLATE(A4889, ""en"", ""fr"")"),"HARMONIE")</f>
        <v>HARMONIE</v>
      </c>
      <c r="C4889" s="1" t="s">
        <v>185</v>
      </c>
      <c r="D4889" s="1" t="s">
        <v>16612</v>
      </c>
      <c r="F4889" s="1" t="s">
        <v>2</v>
      </c>
      <c r="U4889" s="1" t="s">
        <v>17</v>
      </c>
      <c r="CP4889" s="1" t="s">
        <v>90</v>
      </c>
      <c r="CQ4889" s="1" t="s">
        <v>91</v>
      </c>
      <c r="DX4889" s="1" t="s">
        <v>124</v>
      </c>
      <c r="ED4889" s="1" t="s">
        <v>130</v>
      </c>
      <c r="GD4889" s="1" t="s">
        <v>193</v>
      </c>
      <c r="GE4889" s="1" t="s">
        <v>190</v>
      </c>
    </row>
    <row r="4890" spans="1:187" ht="11.25" customHeight="1">
      <c r="A4890" s="1" t="s">
        <v>6928</v>
      </c>
      <c r="B4890" s="1" t="str">
        <f ca="1">IFERROR(__xludf.DUMMYFUNCTION("GOOGLETRANSLATE(A4890, ""en"", ""fr"")"),"HARNAIS")</f>
        <v>HARNAIS</v>
      </c>
      <c r="C4890" s="1" t="s">
        <v>192</v>
      </c>
      <c r="D4890" s="1" t="s">
        <v>16612</v>
      </c>
      <c r="N4890" s="1" t="s">
        <v>10</v>
      </c>
      <c r="AL4890" s="1" t="s">
        <v>34</v>
      </c>
      <c r="CD4890" s="1" t="s">
        <v>78</v>
      </c>
      <c r="DO4890" s="1" t="s">
        <v>115</v>
      </c>
      <c r="GD4890" s="1" t="s">
        <v>189</v>
      </c>
      <c r="GE4890" s="1" t="s">
        <v>190</v>
      </c>
    </row>
    <row r="4891" spans="1:187" ht="11.25" customHeight="1">
      <c r="A4891" s="1" t="s">
        <v>6929</v>
      </c>
      <c r="B4891" s="1" t="str">
        <f ca="1">IFERROR(__xludf.DUMMYFUNCTION("GOOGLETRANSLATE(A4891, ""en"", ""fr"")"),"RUDE")</f>
        <v>RUDE</v>
      </c>
      <c r="C4891" s="1" t="s">
        <v>185</v>
      </c>
      <c r="E4891" s="1" t="s">
        <v>16613</v>
      </c>
      <c r="H4891" s="1" t="s">
        <v>4</v>
      </c>
      <c r="I4891" s="1" t="s">
        <v>5</v>
      </c>
      <c r="J4891" s="1" t="s">
        <v>6</v>
      </c>
      <c r="V4891" s="1" t="s">
        <v>18</v>
      </c>
      <c r="CN4891" s="1" t="s">
        <v>88</v>
      </c>
      <c r="GD4891" s="1" t="s">
        <v>202</v>
      </c>
      <c r="GE4891" s="1" t="s">
        <v>190</v>
      </c>
    </row>
    <row r="4892" spans="1:187" ht="11.25" customHeight="1">
      <c r="A4892" s="1" t="s">
        <v>6930</v>
      </c>
      <c r="B4892" s="1" t="str">
        <f ca="1">IFERROR(__xludf.DUMMYFUNCTION("GOOGLETRANSLATE(A4892, ""en"", ""fr"")"),"Le plus dur")</f>
        <v>Le plus dur</v>
      </c>
      <c r="C4892" s="1" t="s">
        <v>196</v>
      </c>
      <c r="GD4892" s="1" t="s">
        <v>202</v>
      </c>
    </row>
    <row r="4893" spans="1:187" ht="11.25" customHeight="1">
      <c r="A4893" s="1" t="s">
        <v>6931</v>
      </c>
      <c r="B4893" s="1" t="str">
        <f ca="1">IFERROR(__xludf.DUMMYFUNCTION("GOOGLETRANSLATE(A4893, ""en"", ""fr"")"),"Récolte n ° 1")</f>
        <v>Récolte n ° 1</v>
      </c>
      <c r="C4893" s="1" t="s">
        <v>185</v>
      </c>
      <c r="AA4893" s="1" t="s">
        <v>23</v>
      </c>
      <c r="AC4893" s="1" t="s">
        <v>25</v>
      </c>
      <c r="BC4893" s="1" t="s">
        <v>51</v>
      </c>
      <c r="BE4893" s="1" t="s">
        <v>53</v>
      </c>
      <c r="EU4893" s="1" t="s">
        <v>147</v>
      </c>
      <c r="EW4893" s="1" t="s">
        <v>149</v>
      </c>
      <c r="GD4893" s="1" t="s">
        <v>193</v>
      </c>
      <c r="GE4893" s="1" t="s">
        <v>190</v>
      </c>
    </row>
    <row r="4894" spans="1:187" ht="11.25" customHeight="1">
      <c r="A4894" s="1" t="s">
        <v>6932</v>
      </c>
      <c r="B4894" s="1" t="str">
        <f ca="1">IFERROR(__xludf.DUMMYFUNCTION("GOOGLETRANSLATE(A4894, ""en"", ""fr"")"),"Récolte n ° 2")</f>
        <v>Récolte n ° 2</v>
      </c>
      <c r="C4894" s="1" t="s">
        <v>185</v>
      </c>
      <c r="N4894" s="1" t="s">
        <v>10</v>
      </c>
      <c r="AA4894" s="1" t="s">
        <v>23</v>
      </c>
      <c r="BS4894" s="1" t="s">
        <v>67</v>
      </c>
      <c r="DN4894" s="1" t="s">
        <v>114</v>
      </c>
      <c r="EU4894" s="1" t="s">
        <v>147</v>
      </c>
      <c r="EW4894" s="1" t="s">
        <v>149</v>
      </c>
      <c r="GD4894" s="1" t="s">
        <v>189</v>
      </c>
      <c r="GE4894" s="1" t="s">
        <v>190</v>
      </c>
    </row>
    <row r="4895" spans="1:187" ht="11.25" customHeight="1">
      <c r="A4895" s="1" t="s">
        <v>6933</v>
      </c>
      <c r="B4895" s="1" t="str">
        <f ca="1">IFERROR(__xludf.DUMMYFUNCTION("GOOGLETRANSLATE(A4895, ""en"", ""fr"")"),"A n ° 1")</f>
        <v>A n ° 1</v>
      </c>
      <c r="C4895" s="1" t="s">
        <v>185</v>
      </c>
      <c r="DP4895" s="1" t="s">
        <v>116</v>
      </c>
      <c r="GD4895" s="1" t="s">
        <v>6934</v>
      </c>
      <c r="GE4895" s="1" t="s">
        <v>190</v>
      </c>
    </row>
    <row r="4896" spans="1:187" ht="11.25" customHeight="1">
      <c r="A4896" s="1" t="s">
        <v>6935</v>
      </c>
      <c r="B4896" s="1" t="str">
        <f ca="1">IFERROR(__xludf.DUMMYFUNCTION("GOOGLETRANSLATE(A4896, ""en"", ""fr"")"),"TRACAS")</f>
        <v>TRACAS</v>
      </c>
      <c r="C4896" s="1" t="s">
        <v>192</v>
      </c>
      <c r="E4896" s="1" t="s">
        <v>16613</v>
      </c>
      <c r="I4896" s="1" t="s">
        <v>5</v>
      </c>
      <c r="AL4896" s="1" t="s">
        <v>34</v>
      </c>
      <c r="GD4896" s="1" t="s">
        <v>193</v>
      </c>
      <c r="GE4896" s="1" t="s">
        <v>190</v>
      </c>
    </row>
    <row r="4897" spans="1:187" ht="11.25" customHeight="1">
      <c r="A4897" s="1" t="s">
        <v>6936</v>
      </c>
      <c r="B4897" s="1" t="str">
        <f ca="1">IFERROR(__xludf.DUMMYFUNCTION("GOOGLETRANSLATE(A4897, ""en"", ""fr"")"),"HÂTE")</f>
        <v>HÂTE</v>
      </c>
      <c r="C4897" s="1" t="s">
        <v>185</v>
      </c>
      <c r="N4897" s="1" t="s">
        <v>10</v>
      </c>
      <c r="CE4897" s="1" t="s">
        <v>79</v>
      </c>
      <c r="GD4897" s="1" t="s">
        <v>193</v>
      </c>
      <c r="GE4897" s="1" t="s">
        <v>190</v>
      </c>
    </row>
    <row r="4898" spans="1:187" ht="11.25" customHeight="1">
      <c r="A4898" s="1" t="s">
        <v>6937</v>
      </c>
      <c r="B4898" s="1" t="str">
        <f ca="1">IFERROR(__xludf.DUMMYFUNCTION("GOOGLETRANSLATE(A4898, ""en"", ""fr"")"),"ACCÉLÉRER")</f>
        <v>ACCÉLÉRER</v>
      </c>
      <c r="C4898" s="1" t="s">
        <v>185</v>
      </c>
      <c r="N4898" s="1" t="s">
        <v>10</v>
      </c>
      <c r="CE4898" s="1" t="s">
        <v>79</v>
      </c>
      <c r="DN4898" s="1" t="s">
        <v>114</v>
      </c>
      <c r="FP4898" s="1" t="s">
        <v>168</v>
      </c>
      <c r="GD4898" s="1" t="s">
        <v>189</v>
      </c>
      <c r="GE4898" s="1" t="s">
        <v>190</v>
      </c>
    </row>
    <row r="4899" spans="1:187" ht="11.25" customHeight="1">
      <c r="A4899" s="1" t="s">
        <v>6938</v>
      </c>
      <c r="B4899" s="1" t="str">
        <f ca="1">IFERROR(__xludf.DUMMYFUNCTION("GOOGLETRANSLATE(A4899, ""en"", ""fr"")"),"CHAPEAU")</f>
        <v>CHAPEAU</v>
      </c>
      <c r="C4899" s="1" t="s">
        <v>185</v>
      </c>
      <c r="BC4899" s="1" t="s">
        <v>51</v>
      </c>
      <c r="BD4899" s="1" t="s">
        <v>52</v>
      </c>
      <c r="GD4899" s="1" t="s">
        <v>193</v>
      </c>
      <c r="GE4899" s="1" t="s">
        <v>6939</v>
      </c>
    </row>
    <row r="4900" spans="1:187" ht="11.25" customHeight="1">
      <c r="A4900" s="1" t="s">
        <v>6940</v>
      </c>
      <c r="B4900" s="1" t="str">
        <f ca="1">IFERROR(__xludf.DUMMYFUNCTION("GOOGLETRANSLATE(A4900, ""en"", ""fr"")"),"Haine n ° 1")</f>
        <v>Haine n ° 1</v>
      </c>
      <c r="C4900" s="1" t="s">
        <v>185</v>
      </c>
      <c r="E4900" s="1" t="s">
        <v>16613</v>
      </c>
      <c r="H4900" s="1" t="s">
        <v>4</v>
      </c>
      <c r="I4900" s="1" t="s">
        <v>5</v>
      </c>
      <c r="O4900" s="1" t="s">
        <v>11</v>
      </c>
      <c r="S4900" s="1" t="s">
        <v>15</v>
      </c>
      <c r="DP4900" s="1" t="s">
        <v>116</v>
      </c>
      <c r="FW4900" s="1" t="s">
        <v>175</v>
      </c>
      <c r="GD4900" s="1" t="s">
        <v>189</v>
      </c>
      <c r="GE4900" s="1" t="s">
        <v>6941</v>
      </c>
    </row>
    <row r="4901" spans="1:187" ht="11.25" customHeight="1">
      <c r="A4901" s="1" t="s">
        <v>6942</v>
      </c>
      <c r="B4901" s="1" t="str">
        <f ca="1">IFERROR(__xludf.DUMMYFUNCTION("GOOGLETRANSLATE(A4901, ""en"", ""fr"")"),"Haine # 2")</f>
        <v>Haine # 2</v>
      </c>
      <c r="C4901" s="1" t="s">
        <v>185</v>
      </c>
      <c r="E4901" s="1" t="s">
        <v>16613</v>
      </c>
      <c r="H4901" s="1" t="s">
        <v>4</v>
      </c>
      <c r="I4901" s="1" t="s">
        <v>5</v>
      </c>
      <c r="O4901" s="1" t="s">
        <v>11</v>
      </c>
      <c r="S4901" s="1" t="s">
        <v>15</v>
      </c>
      <c r="T4901" s="1" t="s">
        <v>16</v>
      </c>
      <c r="FW4901" s="1" t="s">
        <v>175</v>
      </c>
      <c r="GD4901" s="1" t="s">
        <v>193</v>
      </c>
      <c r="GE4901" s="1" t="s">
        <v>6943</v>
      </c>
    </row>
    <row r="4902" spans="1:187" ht="11.25" customHeight="1">
      <c r="A4902" s="1" t="s">
        <v>6944</v>
      </c>
      <c r="B4902" s="1" t="str">
        <f ca="1">IFERROR(__xludf.DUMMYFUNCTION("GOOGLETRANSLATE(A4902, ""en"", ""fr"")"),"Haine # 3")</f>
        <v>Haine # 3</v>
      </c>
      <c r="C4902" s="1" t="s">
        <v>185</v>
      </c>
      <c r="E4902" s="1" t="s">
        <v>16613</v>
      </c>
      <c r="H4902" s="1" t="s">
        <v>4</v>
      </c>
      <c r="I4902" s="1" t="s">
        <v>5</v>
      </c>
      <c r="O4902" s="1" t="s">
        <v>11</v>
      </c>
      <c r="S4902" s="1" t="s">
        <v>15</v>
      </c>
      <c r="T4902" s="1" t="s">
        <v>16</v>
      </c>
      <c r="CN4902" s="1" t="s">
        <v>88</v>
      </c>
      <c r="FW4902" s="1" t="s">
        <v>175</v>
      </c>
      <c r="GD4902" s="1" t="s">
        <v>202</v>
      </c>
      <c r="GE4902" s="1" t="s">
        <v>6945</v>
      </c>
    </row>
    <row r="4903" spans="1:187" ht="11.25" customHeight="1">
      <c r="A4903" s="1" t="s">
        <v>6946</v>
      </c>
      <c r="B4903" s="1" t="str">
        <f ca="1">IFERROR(__xludf.DUMMYFUNCTION("GOOGLETRANSLATE(A4903, ""en"", ""fr"")"),"Haineux")</f>
        <v>Haineux</v>
      </c>
      <c r="C4903" s="1" t="s">
        <v>185</v>
      </c>
      <c r="E4903" s="1" t="s">
        <v>16613</v>
      </c>
      <c r="H4903" s="1" t="s">
        <v>4</v>
      </c>
      <c r="I4903" s="1" t="s">
        <v>5</v>
      </c>
      <c r="O4903" s="1" t="s">
        <v>11</v>
      </c>
      <c r="AJ4903" s="1" t="s">
        <v>32</v>
      </c>
      <c r="AT4903" s="1" t="s">
        <v>42</v>
      </c>
      <c r="FT4903" s="1" t="s">
        <v>172</v>
      </c>
      <c r="GD4903" s="1" t="s">
        <v>193</v>
      </c>
      <c r="GE4903" s="1" t="s">
        <v>190</v>
      </c>
    </row>
    <row r="4904" spans="1:187" ht="11.25" customHeight="1">
      <c r="A4904" s="1" t="s">
        <v>6947</v>
      </c>
      <c r="B4904" s="1" t="str">
        <f ca="1">IFERROR(__xludf.DUMMYFUNCTION("GOOGLETRANSLATE(A4904, ""en"", ""fr"")"),"HAINE")</f>
        <v>HAINE</v>
      </c>
      <c r="C4904" s="1" t="s">
        <v>185</v>
      </c>
      <c r="E4904" s="1" t="s">
        <v>16613</v>
      </c>
      <c r="H4904" s="1" t="s">
        <v>4</v>
      </c>
      <c r="I4904" s="1" t="s">
        <v>5</v>
      </c>
      <c r="O4904" s="1" t="s">
        <v>11</v>
      </c>
      <c r="S4904" s="1" t="s">
        <v>15</v>
      </c>
      <c r="T4904" s="1" t="s">
        <v>16</v>
      </c>
      <c r="FW4904" s="1" t="s">
        <v>175</v>
      </c>
      <c r="GD4904" s="1" t="s">
        <v>193</v>
      </c>
      <c r="GE4904" s="1" t="s">
        <v>190</v>
      </c>
    </row>
    <row r="4905" spans="1:187" ht="11.25" customHeight="1">
      <c r="A4905" s="1" t="s">
        <v>6948</v>
      </c>
      <c r="B4905" s="1" t="str">
        <f ca="1">IFERROR(__xludf.DUMMYFUNCTION("GOOGLETRANSLATE(A4905, ""en"", ""fr"")"),"HAUTAIN")</f>
        <v>HAUTAIN</v>
      </c>
      <c r="C4905" s="1" t="s">
        <v>192</v>
      </c>
      <c r="E4905" s="1" t="s">
        <v>16613</v>
      </c>
      <c r="J4905" s="1" t="s">
        <v>6</v>
      </c>
      <c r="K4905" s="1" t="s">
        <v>7</v>
      </c>
      <c r="T4905" s="1" t="s">
        <v>16</v>
      </c>
      <c r="DR4905" s="1" t="s">
        <v>118</v>
      </c>
      <c r="GD4905" s="1" t="s">
        <v>202</v>
      </c>
      <c r="GE4905" s="1" t="s">
        <v>190</v>
      </c>
    </row>
    <row r="4906" spans="1:187" ht="11.25" customHeight="1">
      <c r="A4906" s="1" t="s">
        <v>6949</v>
      </c>
      <c r="B4906" s="1" t="str">
        <f ca="1">IFERROR(__xludf.DUMMYFUNCTION("GOOGLETRANSLATE(A4906, ""en"", ""fr"")"),"HANTER")</f>
        <v>HANTER</v>
      </c>
      <c r="C4906" s="1" t="s">
        <v>185</v>
      </c>
      <c r="E4906" s="1" t="s">
        <v>16613</v>
      </c>
      <c r="H4906" s="1" t="s">
        <v>4</v>
      </c>
      <c r="I4906" s="1" t="s">
        <v>5</v>
      </c>
      <c r="K4906" s="1" t="s">
        <v>7</v>
      </c>
      <c r="N4906" s="1" t="s">
        <v>10</v>
      </c>
      <c r="AN4906" s="1" t="s">
        <v>36</v>
      </c>
      <c r="DN4906" s="1" t="s">
        <v>114</v>
      </c>
      <c r="GD4906" s="1" t="s">
        <v>189</v>
      </c>
      <c r="GE4906" s="1" t="s">
        <v>190</v>
      </c>
    </row>
    <row r="4907" spans="1:187" ht="11.25" customHeight="1">
      <c r="A4907" s="1" t="s">
        <v>6950</v>
      </c>
      <c r="B4907" s="1" t="str">
        <f ca="1">IFERROR(__xludf.DUMMYFUNCTION("GOOGLETRANSLATE(A4907, ""en"", ""fr"")"),"Avoir n ° 1")</f>
        <v>Avoir n ° 1</v>
      </c>
      <c r="C4907" s="1" t="s">
        <v>185</v>
      </c>
      <c r="N4907" s="1" t="s">
        <v>10</v>
      </c>
      <c r="DD4907" s="1" t="s">
        <v>104</v>
      </c>
      <c r="DP4907" s="1" t="s">
        <v>116</v>
      </c>
      <c r="GD4907" s="1" t="s">
        <v>6934</v>
      </c>
      <c r="GE4907" s="1" t="s">
        <v>6951</v>
      </c>
    </row>
    <row r="4908" spans="1:187" ht="11.25" customHeight="1">
      <c r="A4908" s="1" t="s">
        <v>6952</v>
      </c>
      <c r="B4908" s="1" t="str">
        <f ca="1">IFERROR(__xludf.DUMMYFUNCTION("GOOGLETRANSLATE(A4908, ""en"", ""fr"")"),"Avoir n ° 2")</f>
        <v>Avoir n ° 2</v>
      </c>
      <c r="C4908" s="1" t="s">
        <v>185</v>
      </c>
      <c r="K4908" s="1" t="s">
        <v>7</v>
      </c>
      <c r="L4908" s="1" t="s">
        <v>8</v>
      </c>
      <c r="O4908" s="1" t="s">
        <v>11</v>
      </c>
      <c r="BN4908" s="1" t="s">
        <v>62</v>
      </c>
      <c r="DP4908" s="1" t="s">
        <v>116</v>
      </c>
      <c r="EE4908" s="1" t="s">
        <v>131</v>
      </c>
      <c r="EJ4908" s="1" t="s">
        <v>136</v>
      </c>
      <c r="GD4908" s="1" t="s">
        <v>6953</v>
      </c>
      <c r="GE4908" s="1" t="s">
        <v>6954</v>
      </c>
    </row>
    <row r="4909" spans="1:187" ht="11.25" customHeight="1">
      <c r="A4909" s="1" t="s">
        <v>6955</v>
      </c>
      <c r="B4909" s="1" t="str">
        <f ca="1">IFERROR(__xludf.DUMMYFUNCTION("GOOGLETRANSLATE(A4909, ""en"", ""fr"")"),"Avoir # 3")</f>
        <v>Avoir # 3</v>
      </c>
      <c r="C4909" s="1" t="s">
        <v>185</v>
      </c>
      <c r="DP4909" s="1" t="s">
        <v>116</v>
      </c>
      <c r="GD4909" s="1" t="s">
        <v>6934</v>
      </c>
      <c r="GE4909" s="1" t="s">
        <v>6956</v>
      </c>
    </row>
    <row r="4910" spans="1:187" ht="11.25" customHeight="1">
      <c r="A4910" s="1" t="s">
        <v>6957</v>
      </c>
      <c r="B4910" s="1" t="str">
        <f ca="1">IFERROR(__xludf.DUMMYFUNCTION("GOOGLETRANSLATE(A4910, ""en"", ""fr"")"),"Avoir # 4")</f>
        <v>Avoir # 4</v>
      </c>
      <c r="C4910" s="1" t="s">
        <v>185</v>
      </c>
      <c r="CO4910" s="1" t="s">
        <v>89</v>
      </c>
      <c r="GD4910" s="1" t="s">
        <v>225</v>
      </c>
      <c r="GE4910" s="1" t="s">
        <v>6958</v>
      </c>
    </row>
    <row r="4911" spans="1:187" ht="11.25" customHeight="1">
      <c r="A4911" s="1" t="s">
        <v>6959</v>
      </c>
      <c r="B4911" s="1" t="str">
        <f ca="1">IFERROR(__xludf.DUMMYFUNCTION("GOOGLETRANSLATE(A4911, ""en"", ""fr"")"),"Avoir n ° 5")</f>
        <v>Avoir n ° 5</v>
      </c>
      <c r="C4911" s="1" t="s">
        <v>185</v>
      </c>
      <c r="GD4911" s="1" t="s">
        <v>225</v>
      </c>
      <c r="GE4911" s="1" t="s">
        <v>6960</v>
      </c>
    </row>
    <row r="4912" spans="1:187" ht="11.25" customHeight="1">
      <c r="A4912" s="1" t="s">
        <v>6961</v>
      </c>
      <c r="B4912" s="1" t="str">
        <f ca="1">IFERROR(__xludf.DUMMYFUNCTION("GOOGLETRANSLATE(A4912, ""en"", ""fr"")"),"HAVRE")</f>
        <v>HAVRE</v>
      </c>
      <c r="C4912" s="1" t="s">
        <v>192</v>
      </c>
      <c r="D4912" s="1" t="s">
        <v>16612</v>
      </c>
      <c r="GD4912" s="1" t="s">
        <v>6962</v>
      </c>
      <c r="GE4912" s="1" t="s">
        <v>190</v>
      </c>
    </row>
    <row r="4913" spans="1:187" ht="11.25" customHeight="1">
      <c r="A4913" s="1" t="s">
        <v>6963</v>
      </c>
      <c r="B4913" s="1" t="str">
        <f ca="1">IFERROR(__xludf.DUMMYFUNCTION("GOOGLETRANSLATE(A4913, ""en"", ""fr"")"),"RAVAGE")</f>
        <v>RAVAGE</v>
      </c>
      <c r="C4913" s="1" t="s">
        <v>192</v>
      </c>
      <c r="E4913" s="1" t="s">
        <v>16613</v>
      </c>
      <c r="V4913" s="1" t="s">
        <v>18</v>
      </c>
      <c r="W4913" s="1" t="s">
        <v>19</v>
      </c>
      <c r="GD4913" s="1" t="s">
        <v>193</v>
      </c>
      <c r="GE4913" s="1" t="s">
        <v>190</v>
      </c>
    </row>
    <row r="4914" spans="1:187" ht="11.25" customHeight="1">
      <c r="A4914" s="1" t="s">
        <v>6964</v>
      </c>
      <c r="B4914" s="1" t="str">
        <f ca="1">IFERROR(__xludf.DUMMYFUNCTION("GOOGLETRANSLATE(A4914, ""en"", ""fr"")"),"HAWAII")</f>
        <v>HAWAII</v>
      </c>
      <c r="C4914" s="1" t="s">
        <v>196</v>
      </c>
      <c r="GD4914" s="1" t="s">
        <v>653</v>
      </c>
    </row>
    <row r="4915" spans="1:187" ht="11.25" customHeight="1">
      <c r="A4915" s="1" t="s">
        <v>6965</v>
      </c>
      <c r="B4915" s="1" t="str">
        <f ca="1">IFERROR(__xludf.DUMMYFUNCTION("GOOGLETRANSLATE(A4915, ""en"", ""fr"")"),"FOINS")</f>
        <v>FOINS</v>
      </c>
      <c r="C4915" s="1" t="s">
        <v>185</v>
      </c>
      <c r="BC4915" s="1" t="s">
        <v>51</v>
      </c>
      <c r="BE4915" s="1" t="s">
        <v>53</v>
      </c>
      <c r="GD4915" s="1" t="s">
        <v>193</v>
      </c>
      <c r="GE4915" s="1" t="s">
        <v>190</v>
      </c>
    </row>
    <row r="4916" spans="1:187" ht="11.25" customHeight="1">
      <c r="A4916" s="1" t="s">
        <v>6966</v>
      </c>
      <c r="B4916" s="1" t="str">
        <f ca="1">IFERROR(__xludf.DUMMYFUNCTION("GOOGLETRANSLATE(A4916, ""en"", ""fr"")"),"Danger n ° 1")</f>
        <v>Danger n ° 1</v>
      </c>
      <c r="C4916" s="1" t="s">
        <v>185</v>
      </c>
      <c r="E4916" s="1" t="s">
        <v>16613</v>
      </c>
      <c r="H4916" s="1" t="s">
        <v>4</v>
      </c>
      <c r="V4916" s="1" t="s">
        <v>18</v>
      </c>
      <c r="FR4916" s="1" t="s">
        <v>170</v>
      </c>
      <c r="GD4916" s="1" t="s">
        <v>193</v>
      </c>
      <c r="GE4916" s="1" t="s">
        <v>190</v>
      </c>
    </row>
    <row r="4917" spans="1:187" ht="11.25" customHeight="1">
      <c r="A4917" s="1" t="s">
        <v>6967</v>
      </c>
      <c r="B4917" s="1" t="str">
        <f ca="1">IFERROR(__xludf.DUMMYFUNCTION("GOOGLETRANSLATE(A4917, ""en"", ""fr"")"),"Danger n ° 2")</f>
        <v>Danger n ° 2</v>
      </c>
      <c r="C4917" s="1" t="s">
        <v>185</v>
      </c>
      <c r="E4917" s="1" t="s">
        <v>16613</v>
      </c>
      <c r="H4917" s="1" t="s">
        <v>4</v>
      </c>
      <c r="N4917" s="1" t="s">
        <v>10</v>
      </c>
      <c r="BP4917" s="1" t="s">
        <v>64</v>
      </c>
      <c r="DN4917" s="1" t="s">
        <v>114</v>
      </c>
      <c r="FP4917" s="1" t="s">
        <v>168</v>
      </c>
      <c r="GD4917" s="1" t="s">
        <v>189</v>
      </c>
      <c r="GE4917" s="1" t="s">
        <v>190</v>
      </c>
    </row>
    <row r="4918" spans="1:187" ht="11.25" customHeight="1">
      <c r="A4918" s="1" t="s">
        <v>6968</v>
      </c>
      <c r="B4918" s="1" t="str">
        <f ca="1">IFERROR(__xludf.DUMMYFUNCTION("GOOGLETRANSLATE(A4918, ""en"", ""fr"")"),"DANGEREUX")</f>
        <v>DANGEREUX</v>
      </c>
      <c r="C4918" s="1" t="s">
        <v>185</v>
      </c>
      <c r="E4918" s="1" t="s">
        <v>16613</v>
      </c>
      <c r="H4918" s="1" t="s">
        <v>4</v>
      </c>
      <c r="V4918" s="1" t="s">
        <v>18</v>
      </c>
      <c r="FR4918" s="1" t="s">
        <v>170</v>
      </c>
      <c r="GD4918" s="1" t="s">
        <v>202</v>
      </c>
      <c r="GE4918" s="1" t="s">
        <v>190</v>
      </c>
    </row>
    <row r="4919" spans="1:187" ht="11.25" customHeight="1">
      <c r="A4919" s="1" t="s">
        <v>6969</v>
      </c>
      <c r="B4919" s="1" t="str">
        <f ca="1">IFERROR(__xludf.DUMMYFUNCTION("GOOGLETRANSLATE(A4919, ""en"", ""fr"")"),"BRUME")</f>
        <v>BRUME</v>
      </c>
      <c r="C4919" s="1" t="s">
        <v>185</v>
      </c>
      <c r="AV4919" s="1" t="s">
        <v>44</v>
      </c>
      <c r="BB4919" s="1" t="s">
        <v>50</v>
      </c>
      <c r="GD4919" s="1" t="s">
        <v>193</v>
      </c>
      <c r="GE4919" s="1" t="s">
        <v>190</v>
      </c>
    </row>
    <row r="4920" spans="1:187" ht="11.25" customHeight="1">
      <c r="A4920" s="1" t="s">
        <v>6970</v>
      </c>
      <c r="B4920" s="1" t="str">
        <f ca="1">IFERROR(__xludf.DUMMYFUNCTION("GOOGLETRANSLATE(A4920, ""en"", ""fr"")"),"Dynamisme")</f>
        <v>Dynamisme</v>
      </c>
      <c r="C4920" s="1" t="s">
        <v>185</v>
      </c>
      <c r="E4920" s="1" t="s">
        <v>16613</v>
      </c>
      <c r="H4920" s="1" t="s">
        <v>4</v>
      </c>
      <c r="L4920" s="1" t="s">
        <v>8</v>
      </c>
      <c r="X4920" s="1" t="s">
        <v>20</v>
      </c>
      <c r="CK4920" s="1" t="s">
        <v>85</v>
      </c>
      <c r="GD4920" s="1" t="s">
        <v>193</v>
      </c>
      <c r="GE4920" s="1" t="s">
        <v>190</v>
      </c>
    </row>
    <row r="4921" spans="1:187" ht="11.25" customHeight="1">
      <c r="A4921" s="1" t="s">
        <v>6971</v>
      </c>
      <c r="B4921" s="1" t="str">
        <f ca="1">IFERROR(__xludf.DUMMYFUNCTION("GOOGLETRANSLATE(A4921, ""en"", ""fr"")"),"BRUMEUX")</f>
        <v>BRUMEUX</v>
      </c>
      <c r="C4921" s="1" t="s">
        <v>192</v>
      </c>
      <c r="E4921" s="1" t="s">
        <v>16613</v>
      </c>
      <c r="CK4921" s="1" t="s">
        <v>85</v>
      </c>
      <c r="DR4921" s="1" t="s">
        <v>118</v>
      </c>
      <c r="GD4921" s="1" t="s">
        <v>202</v>
      </c>
      <c r="GE4921" s="1" t="s">
        <v>190</v>
      </c>
    </row>
    <row r="4922" spans="1:187" ht="11.25" customHeight="1">
      <c r="A4922" s="1" t="s">
        <v>6972</v>
      </c>
      <c r="B4922" s="1" t="str">
        <f ca="1">IFERROR(__xludf.DUMMYFUNCTION("GOOGLETRANSLATE(A4922, ""en"", ""fr"")"),"IL")</f>
        <v>IL</v>
      </c>
      <c r="C4922" s="1" t="s">
        <v>185</v>
      </c>
      <c r="AQ4922" s="1" t="s">
        <v>39</v>
      </c>
      <c r="GD4922" s="1" t="s">
        <v>6973</v>
      </c>
      <c r="GE4922" s="1" t="s">
        <v>6974</v>
      </c>
    </row>
    <row r="4923" spans="1:187" ht="11.25" customHeight="1">
      <c r="A4923" s="1" t="s">
        <v>6975</v>
      </c>
      <c r="B4923" s="1" t="str">
        <f ca="1">IFERROR(__xludf.DUMMYFUNCTION("GOOGLETRANSLATE(A4923, ""en"", ""fr"")"),"Tête n ° 1")</f>
        <v>Tête n ° 1</v>
      </c>
      <c r="C4923" s="1" t="s">
        <v>185</v>
      </c>
      <c r="BJ4923" s="1" t="s">
        <v>58</v>
      </c>
      <c r="GD4923" s="1" t="s">
        <v>193</v>
      </c>
      <c r="GE4923" s="1" t="s">
        <v>6976</v>
      </c>
    </row>
    <row r="4924" spans="1:187" ht="11.25" customHeight="1">
      <c r="A4924" s="1" t="s">
        <v>6977</v>
      </c>
      <c r="B4924" s="1" t="str">
        <f ca="1">IFERROR(__xludf.DUMMYFUNCTION("GOOGLETRANSLATE(A4924, ""en"", ""fr"")"),"Tête n ° 2")</f>
        <v>Tête n ° 2</v>
      </c>
      <c r="C4924" s="1" t="s">
        <v>185</v>
      </c>
      <c r="J4924" s="1" t="s">
        <v>6</v>
      </c>
      <c r="K4924" s="1" t="s">
        <v>7</v>
      </c>
      <c r="AJ4924" s="1" t="s">
        <v>32</v>
      </c>
      <c r="AT4924" s="1" t="s">
        <v>42</v>
      </c>
      <c r="DY4924" s="1" t="s">
        <v>125</v>
      </c>
      <c r="ED4924" s="1" t="s">
        <v>130</v>
      </c>
      <c r="GD4924" s="1" t="s">
        <v>193</v>
      </c>
      <c r="GE4924" s="1" t="s">
        <v>6978</v>
      </c>
    </row>
    <row r="4925" spans="1:187" ht="11.25" customHeight="1">
      <c r="A4925" s="1" t="s">
        <v>6979</v>
      </c>
      <c r="B4925" s="1" t="str">
        <f ca="1">IFERROR(__xludf.DUMMYFUNCTION("GOOGLETRANSLATE(A4925, ""en"", ""fr"")"),"Tête n ° 3")</f>
        <v>Tête n ° 3</v>
      </c>
      <c r="C4925" s="1" t="s">
        <v>185</v>
      </c>
      <c r="J4925" s="1" t="s">
        <v>6</v>
      </c>
      <c r="K4925" s="1" t="s">
        <v>7</v>
      </c>
      <c r="N4925" s="1" t="s">
        <v>10</v>
      </c>
      <c r="AN4925" s="1" t="s">
        <v>36</v>
      </c>
      <c r="DN4925" s="1" t="s">
        <v>114</v>
      </c>
      <c r="DS4925" s="1" t="s">
        <v>119</v>
      </c>
      <c r="ED4925" s="1" t="s">
        <v>130</v>
      </c>
      <c r="GD4925" s="1" t="s">
        <v>189</v>
      </c>
      <c r="GE4925" s="1" t="s">
        <v>6980</v>
      </c>
    </row>
    <row r="4926" spans="1:187" ht="11.25" customHeight="1">
      <c r="A4926" s="1" t="s">
        <v>6981</v>
      </c>
      <c r="B4926" s="1" t="str">
        <f ca="1">IFERROR(__xludf.DUMMYFUNCTION("GOOGLETRANSLATE(A4926, ""en"", ""fr"")"),"Tête n ° 4")</f>
        <v>Tête n ° 4</v>
      </c>
      <c r="C4926" s="1" t="s">
        <v>185</v>
      </c>
      <c r="N4926" s="1" t="s">
        <v>10</v>
      </c>
      <c r="CE4926" s="1" t="s">
        <v>79</v>
      </c>
      <c r="DN4926" s="1" t="s">
        <v>114</v>
      </c>
      <c r="GB4926" s="1" t="s">
        <v>180</v>
      </c>
      <c r="GD4926" s="1" t="s">
        <v>189</v>
      </c>
      <c r="GE4926" s="1" t="s">
        <v>6982</v>
      </c>
    </row>
    <row r="4927" spans="1:187" ht="11.25" customHeight="1">
      <c r="A4927" s="1" t="s">
        <v>6983</v>
      </c>
      <c r="B4927" s="1" t="str">
        <f ca="1">IFERROR(__xludf.DUMMYFUNCTION("GOOGLETRANSLATE(A4927, ""en"", ""fr"")"),"Tête n ° 5")</f>
        <v>Tête n ° 5</v>
      </c>
      <c r="C4927" s="1" t="s">
        <v>185</v>
      </c>
      <c r="BC4927" s="1" t="s">
        <v>51</v>
      </c>
      <c r="BH4927" s="1" t="s">
        <v>56</v>
      </c>
      <c r="BL4927" s="1" t="s">
        <v>60</v>
      </c>
      <c r="GD4927" s="1" t="s">
        <v>193</v>
      </c>
      <c r="GE4927" s="1" t="s">
        <v>6984</v>
      </c>
    </row>
    <row r="4928" spans="1:187" ht="11.25" customHeight="1">
      <c r="A4928" s="1" t="s">
        <v>6985</v>
      </c>
      <c r="B4928" s="1" t="str">
        <f ca="1">IFERROR(__xludf.DUMMYFUNCTION("GOOGLETRANSLATE(A4928, ""en"", ""fr"")"),"Tête n ° 6")</f>
        <v>Tête n ° 6</v>
      </c>
      <c r="C4928" s="1" t="s">
        <v>185</v>
      </c>
      <c r="Y4928" s="1" t="s">
        <v>21</v>
      </c>
      <c r="AK4928" s="1" t="s">
        <v>33</v>
      </c>
      <c r="AT4928" s="1" t="s">
        <v>42</v>
      </c>
      <c r="GD4928" s="1" t="s">
        <v>193</v>
      </c>
      <c r="GE4928" s="1" t="s">
        <v>6986</v>
      </c>
    </row>
    <row r="4929" spans="1:187" ht="11.25" customHeight="1">
      <c r="A4929" s="1" t="s">
        <v>6987</v>
      </c>
      <c r="B4929" s="1" t="str">
        <f ca="1">IFERROR(__xludf.DUMMYFUNCTION("GOOGLETRANSLATE(A4929, ""en"", ""fr"")"),"Tête n ° 7")</f>
        <v>Tête n ° 7</v>
      </c>
      <c r="C4929" s="1" t="s">
        <v>185</v>
      </c>
      <c r="V4929" s="1" t="s">
        <v>18</v>
      </c>
      <c r="GD4929" s="1" t="s">
        <v>202</v>
      </c>
      <c r="GE4929" s="1" t="s">
        <v>6988</v>
      </c>
    </row>
    <row r="4930" spans="1:187" ht="11.25" customHeight="1">
      <c r="A4930" s="1" t="s">
        <v>6989</v>
      </c>
      <c r="B4930" s="1" t="str">
        <f ca="1">IFERROR(__xludf.DUMMYFUNCTION("GOOGLETRANSLATE(A4930, ""en"", ""fr"")"),"MAL DE TÊTE")</f>
        <v>MAL DE TÊTE</v>
      </c>
      <c r="C4930" s="1" t="s">
        <v>185</v>
      </c>
      <c r="E4930" s="1" t="s">
        <v>16613</v>
      </c>
      <c r="H4930" s="1" t="s">
        <v>4</v>
      </c>
      <c r="V4930" s="1" t="s">
        <v>18</v>
      </c>
      <c r="GD4930" s="1" t="s">
        <v>193</v>
      </c>
      <c r="GE4930" s="1" t="s">
        <v>190</v>
      </c>
    </row>
    <row r="4931" spans="1:187" ht="11.25" customHeight="1">
      <c r="A4931" s="1" t="s">
        <v>6990</v>
      </c>
      <c r="B4931" s="1" t="str">
        <f ca="1">IFERROR(__xludf.DUMMYFUNCTION("GOOGLETRANSLATE(A4931, ""en"", ""fr"")"),"PHARE")</f>
        <v>PHARE</v>
      </c>
      <c r="C4931" s="1" t="s">
        <v>185</v>
      </c>
      <c r="BC4931" s="1" t="s">
        <v>51</v>
      </c>
      <c r="BD4931" s="1" t="s">
        <v>52</v>
      </c>
      <c r="GD4931" s="1" t="s">
        <v>193</v>
      </c>
      <c r="GE4931" s="1" t="s">
        <v>190</v>
      </c>
    </row>
    <row r="4932" spans="1:187" ht="11.25" customHeight="1">
      <c r="A4932" s="1" t="s">
        <v>6991</v>
      </c>
      <c r="B4932" s="1" t="str">
        <f ca="1">IFERROR(__xludf.DUMMYFUNCTION("GOOGLETRANSLATE(A4932, ""en"", ""fr"")"),"QUARTIER GÉNÉRAL")</f>
        <v>QUARTIER GÉNÉRAL</v>
      </c>
      <c r="C4932" s="1" t="s">
        <v>185</v>
      </c>
      <c r="J4932" s="1" t="s">
        <v>6</v>
      </c>
      <c r="K4932" s="1" t="s">
        <v>7</v>
      </c>
      <c r="AH4932" s="1" t="s">
        <v>30</v>
      </c>
      <c r="AV4932" s="1" t="s">
        <v>44</v>
      </c>
      <c r="AW4932" s="1" t="s">
        <v>45</v>
      </c>
      <c r="GD4932" s="1" t="s">
        <v>193</v>
      </c>
      <c r="GE4932" s="1" t="s">
        <v>190</v>
      </c>
    </row>
    <row r="4933" spans="1:187" ht="11.25" customHeight="1">
      <c r="A4933" s="1" t="s">
        <v>6992</v>
      </c>
      <c r="B4933" s="1" t="str">
        <f ca="1">IFERROR(__xludf.DUMMYFUNCTION("GOOGLETRANSLATE(A4933, ""en"", ""fr"")"),"GUÉRIR")</f>
        <v>GUÉRIR</v>
      </c>
      <c r="C4933" s="1" t="s">
        <v>185</v>
      </c>
      <c r="D4933" s="1" t="s">
        <v>16612</v>
      </c>
      <c r="F4933" s="1" t="s">
        <v>2</v>
      </c>
      <c r="J4933" s="1" t="s">
        <v>6</v>
      </c>
      <c r="K4933" s="1" t="s">
        <v>7</v>
      </c>
      <c r="BU4933" s="1" t="s">
        <v>69</v>
      </c>
      <c r="DN4933" s="1" t="s">
        <v>114</v>
      </c>
      <c r="EX4933" s="1" t="s">
        <v>150</v>
      </c>
      <c r="FC4933" s="1" t="s">
        <v>155</v>
      </c>
      <c r="GD4933" s="1" t="s">
        <v>189</v>
      </c>
      <c r="GE4933" s="1" t="s">
        <v>190</v>
      </c>
    </row>
    <row r="4934" spans="1:187" ht="11.25" customHeight="1">
      <c r="A4934" s="1" t="s">
        <v>6993</v>
      </c>
      <c r="B4934" s="1" t="str">
        <f ca="1">IFERROR(__xludf.DUMMYFUNCTION("GOOGLETRANSLATE(A4934, ""en"", ""fr"")"),"SANTÉ")</f>
        <v>SANTÉ</v>
      </c>
      <c r="C4934" s="1" t="s">
        <v>185</v>
      </c>
      <c r="D4934" s="1" t="s">
        <v>16612</v>
      </c>
      <c r="F4934" s="1" t="s">
        <v>2</v>
      </c>
      <c r="J4934" s="1" t="s">
        <v>6</v>
      </c>
      <c r="U4934" s="1" t="s">
        <v>17</v>
      </c>
      <c r="EZ4934" s="1" t="s">
        <v>152</v>
      </c>
      <c r="FC4934" s="1" t="s">
        <v>155</v>
      </c>
      <c r="GD4934" s="1" t="s">
        <v>193</v>
      </c>
      <c r="GE4934" s="1" t="s">
        <v>6994</v>
      </c>
    </row>
    <row r="4935" spans="1:187" ht="11.25" customHeight="1">
      <c r="A4935" s="1" t="s">
        <v>6995</v>
      </c>
      <c r="B4935" s="1" t="str">
        <f ca="1">IFERROR(__xludf.DUMMYFUNCTION("GOOGLETRANSLATE(A4935, ""en"", ""fr"")"),"SALUBRE")</f>
        <v>SALUBRE</v>
      </c>
      <c r="C4935" s="1" t="s">
        <v>192</v>
      </c>
      <c r="D4935" s="1" t="s">
        <v>16612</v>
      </c>
      <c r="U4935" s="1" t="s">
        <v>17</v>
      </c>
      <c r="DR4935" s="1" t="s">
        <v>118</v>
      </c>
      <c r="GD4935" s="1" t="s">
        <v>202</v>
      </c>
      <c r="GE4935" s="1" t="s">
        <v>190</v>
      </c>
    </row>
    <row r="4936" spans="1:187" ht="11.25" customHeight="1">
      <c r="A4936" s="1" t="s">
        <v>6996</v>
      </c>
      <c r="B4936" s="1" t="str">
        <f ca="1">IFERROR(__xludf.DUMMYFUNCTION("GOOGLETRANSLATE(A4936, ""en"", ""fr"")"),"Sain # 1")</f>
        <v>Sain # 1</v>
      </c>
      <c r="C4936" s="1" t="s">
        <v>185</v>
      </c>
      <c r="D4936" s="1" t="s">
        <v>16612</v>
      </c>
      <c r="F4936" s="1" t="s">
        <v>2</v>
      </c>
      <c r="J4936" s="1" t="s">
        <v>6</v>
      </c>
      <c r="U4936" s="1" t="s">
        <v>17</v>
      </c>
      <c r="EZ4936" s="1" t="s">
        <v>152</v>
      </c>
      <c r="FC4936" s="1" t="s">
        <v>155</v>
      </c>
      <c r="GD4936" s="1" t="s">
        <v>202</v>
      </c>
      <c r="GE4936" s="1" t="s">
        <v>6997</v>
      </c>
    </row>
    <row r="4937" spans="1:187" ht="11.25" customHeight="1">
      <c r="A4937" s="1" t="s">
        <v>6998</v>
      </c>
      <c r="B4937" s="1" t="str">
        <f ca="1">IFERROR(__xludf.DUMMYFUNCTION("GOOGLETRANSLATE(A4937, ""en"", ""fr"")"),"Sain # 2")</f>
        <v>Sain # 2</v>
      </c>
      <c r="C4937" s="1" t="s">
        <v>185</v>
      </c>
      <c r="D4937" s="1" t="s">
        <v>16612</v>
      </c>
      <c r="F4937" s="1" t="s">
        <v>2</v>
      </c>
      <c r="J4937" s="1" t="s">
        <v>6</v>
      </c>
      <c r="U4937" s="1" t="s">
        <v>17</v>
      </c>
      <c r="EZ4937" s="1" t="s">
        <v>152</v>
      </c>
      <c r="FC4937" s="1" t="s">
        <v>155</v>
      </c>
      <c r="GD4937" s="1" t="s">
        <v>202</v>
      </c>
      <c r="GE4937" s="1" t="s">
        <v>6999</v>
      </c>
    </row>
    <row r="4938" spans="1:187" ht="11.25" customHeight="1">
      <c r="A4938" s="1" t="s">
        <v>7000</v>
      </c>
      <c r="B4938" s="1" t="str">
        <f ca="1">IFERROR(__xludf.DUMMYFUNCTION("GOOGLETRANSLATE(A4938, ""en"", ""fr"")"),"Sain # 3")</f>
        <v>Sain # 3</v>
      </c>
      <c r="C4938" s="1" t="s">
        <v>185</v>
      </c>
      <c r="D4938" s="1" t="s">
        <v>16612</v>
      </c>
      <c r="F4938" s="1" t="s">
        <v>2</v>
      </c>
      <c r="J4938" s="1" t="s">
        <v>6</v>
      </c>
      <c r="U4938" s="1" t="s">
        <v>17</v>
      </c>
      <c r="EZ4938" s="1" t="s">
        <v>152</v>
      </c>
      <c r="FC4938" s="1" t="s">
        <v>155</v>
      </c>
      <c r="GD4938" s="1" t="s">
        <v>202</v>
      </c>
      <c r="GE4938" s="1" t="s">
        <v>7001</v>
      </c>
    </row>
    <row r="4939" spans="1:187" ht="11.25" customHeight="1">
      <c r="A4939" s="1" t="s">
        <v>7002</v>
      </c>
      <c r="B4939" s="1" t="str">
        <f ca="1">IFERROR(__xludf.DUMMYFUNCTION("GOOGLETRANSLATE(A4939, ""en"", ""fr"")"),"Tas # 1")</f>
        <v>Tas # 1</v>
      </c>
      <c r="C4939" s="1" t="s">
        <v>185</v>
      </c>
      <c r="O4939" s="1" t="s">
        <v>11</v>
      </c>
      <c r="BC4939" s="1" t="s">
        <v>51</v>
      </c>
      <c r="BI4939" s="1" t="s">
        <v>57</v>
      </c>
      <c r="GD4939" s="1" t="s">
        <v>193</v>
      </c>
      <c r="GE4939" s="1" t="s">
        <v>190</v>
      </c>
    </row>
    <row r="4940" spans="1:187" ht="11.25" customHeight="1">
      <c r="A4940" s="1" t="s">
        <v>7003</v>
      </c>
      <c r="B4940" s="1" t="str">
        <f ca="1">IFERROR(__xludf.DUMMYFUNCTION("GOOGLETRANSLATE(A4940, ""en"", ""fr"")"),"Tas # 2")</f>
        <v>Tas # 2</v>
      </c>
      <c r="C4940" s="1" t="s">
        <v>185</v>
      </c>
      <c r="N4940" s="1" t="s">
        <v>10</v>
      </c>
      <c r="BX4940" s="1" t="s">
        <v>72</v>
      </c>
      <c r="DN4940" s="1" t="s">
        <v>114</v>
      </c>
      <c r="GD4940" s="1" t="s">
        <v>189</v>
      </c>
      <c r="GE4940" s="1" t="s">
        <v>190</v>
      </c>
    </row>
    <row r="4941" spans="1:187" ht="11.25" customHeight="1">
      <c r="A4941" s="1" t="s">
        <v>7004</v>
      </c>
      <c r="B4941" s="1" t="str">
        <f ca="1">IFERROR(__xludf.DUMMYFUNCTION("GOOGLETRANSLATE(A4941, ""en"", ""fr"")"),"Entendre # 1")</f>
        <v>Entendre # 1</v>
      </c>
      <c r="C4941" s="1" t="s">
        <v>185</v>
      </c>
      <c r="O4941" s="1" t="s">
        <v>11</v>
      </c>
      <c r="CK4941" s="1" t="s">
        <v>85</v>
      </c>
      <c r="DN4941" s="1" t="s">
        <v>114</v>
      </c>
      <c r="FD4941" s="1" t="s">
        <v>156</v>
      </c>
      <c r="FI4941" s="1" t="s">
        <v>161</v>
      </c>
      <c r="GD4941" s="1" t="s">
        <v>189</v>
      </c>
      <c r="GE4941" s="1" t="s">
        <v>7005</v>
      </c>
    </row>
    <row r="4942" spans="1:187" ht="11.25" customHeight="1">
      <c r="A4942" s="1" t="s">
        <v>7006</v>
      </c>
      <c r="B4942" s="1" t="str">
        <f ca="1">IFERROR(__xludf.DUMMYFUNCTION("GOOGLETRANSLATE(A4942, ""en"", ""fr"")"),"Entendre # 2")</f>
        <v>Entendre # 2</v>
      </c>
      <c r="C4942" s="1" t="s">
        <v>185</v>
      </c>
      <c r="O4942" s="1" t="s">
        <v>11</v>
      </c>
      <c r="BK4942" s="1" t="s">
        <v>59</v>
      </c>
      <c r="DN4942" s="1" t="s">
        <v>114</v>
      </c>
      <c r="FD4942" s="1" t="s">
        <v>156</v>
      </c>
      <c r="FI4942" s="1" t="s">
        <v>161</v>
      </c>
      <c r="GD4942" s="1" t="s">
        <v>189</v>
      </c>
      <c r="GE4942" s="1" t="s">
        <v>7007</v>
      </c>
    </row>
    <row r="4943" spans="1:187" ht="11.25" customHeight="1">
      <c r="A4943" s="1" t="s">
        <v>7008</v>
      </c>
      <c r="B4943" s="1" t="str">
        <f ca="1">IFERROR(__xludf.DUMMYFUNCTION("GOOGLETRANSLATE(A4943, ""en"", ""fr"")"),"Entendre # 3")</f>
        <v>Entendre # 3</v>
      </c>
      <c r="C4943" s="1" t="s">
        <v>185</v>
      </c>
      <c r="BC4943" s="1" t="s">
        <v>51</v>
      </c>
      <c r="BD4943" s="1" t="s">
        <v>52</v>
      </c>
      <c r="EX4943" s="1" t="s">
        <v>150</v>
      </c>
      <c r="FC4943" s="1" t="s">
        <v>155</v>
      </c>
      <c r="GD4943" s="1" t="s">
        <v>193</v>
      </c>
      <c r="GE4943" s="1" t="s">
        <v>7009</v>
      </c>
    </row>
    <row r="4944" spans="1:187" ht="11.25" customHeight="1">
      <c r="A4944" s="1" t="s">
        <v>7010</v>
      </c>
      <c r="B4944" s="1" t="str">
        <f ca="1">IFERROR(__xludf.DUMMYFUNCTION("GOOGLETRANSLATE(A4944, ""en"", ""fr"")"),"Entendre # 4")</f>
        <v>Entendre # 4</v>
      </c>
      <c r="C4944" s="1" t="s">
        <v>185</v>
      </c>
      <c r="CK4944" s="1" t="s">
        <v>85</v>
      </c>
      <c r="GD4944" s="1" t="s">
        <v>193</v>
      </c>
      <c r="GE4944" s="1" t="s">
        <v>7011</v>
      </c>
    </row>
    <row r="4945" spans="1:187" ht="11.25" customHeight="1">
      <c r="A4945" s="1" t="s">
        <v>7012</v>
      </c>
      <c r="B4945" s="1" t="str">
        <f ca="1">IFERROR(__xludf.DUMMYFUNCTION("GOOGLETRANSLATE(A4945, ""en"", ""fr"")"),"Entendre # 5")</f>
        <v>Entendre # 5</v>
      </c>
      <c r="C4945" s="1" t="s">
        <v>185</v>
      </c>
      <c r="AE4945" s="1" t="s">
        <v>27</v>
      </c>
      <c r="AM4945" s="1" t="s">
        <v>35</v>
      </c>
      <c r="EC4945" s="1" t="s">
        <v>129</v>
      </c>
      <c r="ED4945" s="1" t="s">
        <v>130</v>
      </c>
      <c r="GD4945" s="1" t="s">
        <v>193</v>
      </c>
      <c r="GE4945" s="1" t="s">
        <v>7013</v>
      </c>
    </row>
    <row r="4946" spans="1:187" ht="11.25" customHeight="1">
      <c r="A4946" s="1" t="s">
        <v>7014</v>
      </c>
      <c r="B4946" s="1" t="str">
        <f ca="1">IFERROR(__xludf.DUMMYFUNCTION("GOOGLETRANSLATE(A4946, ""en"", ""fr"")"),"Entendu n ° 1")</f>
        <v>Entendu n ° 1</v>
      </c>
      <c r="C4946" s="1" t="s">
        <v>192</v>
      </c>
      <c r="GD4946" s="1" t="s">
        <v>1085</v>
      </c>
      <c r="GE4946" s="1" t="s">
        <v>190</v>
      </c>
    </row>
    <row r="4947" spans="1:187" ht="11.25" customHeight="1">
      <c r="A4947" s="1" t="s">
        <v>7015</v>
      </c>
      <c r="B4947" s="1" t="str">
        <f ca="1">IFERROR(__xludf.DUMMYFUNCTION("GOOGLETRANSLATE(A4947, ""en"", ""fr"")"),"AUDITEUR")</f>
        <v>AUDITEUR</v>
      </c>
      <c r="C4947" s="1" t="s">
        <v>185</v>
      </c>
      <c r="O4947" s="1" t="s">
        <v>11</v>
      </c>
      <c r="AJ4947" s="1" t="s">
        <v>32</v>
      </c>
      <c r="AT4947" s="1" t="s">
        <v>42</v>
      </c>
      <c r="GD4947" s="1" t="s">
        <v>193</v>
      </c>
      <c r="GE4947" s="1" t="s">
        <v>190</v>
      </c>
    </row>
    <row r="4948" spans="1:187" ht="11.25" customHeight="1">
      <c r="A4948" s="1" t="s">
        <v>7016</v>
      </c>
      <c r="B4948" s="1" t="str">
        <f ca="1">IFERROR(__xludf.DUMMYFUNCTION("GOOGLETRANSLATE(A4948, ""en"", ""fr"")"),"Coeur # 1")</f>
        <v>Coeur # 1</v>
      </c>
      <c r="C4948" s="1" t="s">
        <v>185</v>
      </c>
      <c r="BJ4948" s="1" t="s">
        <v>58</v>
      </c>
      <c r="GD4948" s="1" t="s">
        <v>849</v>
      </c>
      <c r="GE4948" s="1" t="s">
        <v>7017</v>
      </c>
    </row>
    <row r="4949" spans="1:187" ht="11.25" customHeight="1">
      <c r="A4949" s="1" t="s">
        <v>7018</v>
      </c>
      <c r="B4949" s="1" t="str">
        <f ca="1">IFERROR(__xludf.DUMMYFUNCTION("GOOGLETRANSLATE(A4949, ""en"", ""fr"")"),"Coeur # 2")</f>
        <v>Coeur # 2</v>
      </c>
      <c r="C4949" s="1" t="s">
        <v>185</v>
      </c>
      <c r="S4949" s="1" t="s">
        <v>15</v>
      </c>
      <c r="GD4949" s="1" t="s">
        <v>236</v>
      </c>
      <c r="GE4949" s="1" t="s">
        <v>7019</v>
      </c>
    </row>
    <row r="4950" spans="1:187" ht="11.25" customHeight="1">
      <c r="A4950" s="1" t="s">
        <v>7020</v>
      </c>
      <c r="B4950" s="1" t="str">
        <f ca="1">IFERROR(__xludf.DUMMYFUNCTION("GOOGLETRANSLATE(A4950, ""en"", ""fr"")"),"Coeur # 3")</f>
        <v>Coeur # 3</v>
      </c>
      <c r="C4950" s="1" t="s">
        <v>185</v>
      </c>
      <c r="J4950" s="1" t="s">
        <v>6</v>
      </c>
      <c r="BO4950" s="1" t="s">
        <v>63</v>
      </c>
      <c r="GD4950" s="1" t="s">
        <v>193</v>
      </c>
      <c r="GE4950" s="1" t="s">
        <v>7021</v>
      </c>
    </row>
    <row r="4951" spans="1:187" ht="11.25" customHeight="1">
      <c r="A4951" s="1" t="s">
        <v>7022</v>
      </c>
      <c r="B4951" s="1" t="str">
        <f ca="1">IFERROR(__xludf.DUMMYFUNCTION("GOOGLETRANSLATE(A4951, ""en"", ""fr"")"),"Coeur # 4")</f>
        <v>Coeur # 4</v>
      </c>
      <c r="C4951" s="1" t="s">
        <v>185</v>
      </c>
      <c r="D4951" s="1" t="s">
        <v>16612</v>
      </c>
      <c r="F4951" s="1" t="s">
        <v>2</v>
      </c>
      <c r="G4951" s="1" t="s">
        <v>3</v>
      </c>
      <c r="S4951" s="1" t="s">
        <v>15</v>
      </c>
      <c r="EO4951" s="1" t="s">
        <v>141</v>
      </c>
      <c r="ES4951" s="1" t="s">
        <v>145</v>
      </c>
      <c r="GD4951" s="1" t="s">
        <v>202</v>
      </c>
      <c r="GE4951" s="1" t="s">
        <v>7023</v>
      </c>
    </row>
    <row r="4952" spans="1:187" ht="11.25" customHeight="1">
      <c r="A4952" s="1" t="s">
        <v>7024</v>
      </c>
      <c r="B4952" s="1" t="str">
        <f ca="1">IFERROR(__xludf.DUMMYFUNCTION("GOOGLETRANSLATE(A4952, ""en"", ""fr"")"),"CHALEUREUSEMENT")</f>
        <v>CHALEUREUSEMENT</v>
      </c>
      <c r="C4952" s="1" t="s">
        <v>192</v>
      </c>
      <c r="D4952" s="1" t="s">
        <v>16612</v>
      </c>
      <c r="J4952" s="1" t="s">
        <v>6</v>
      </c>
      <c r="GD4952" s="1" t="s">
        <v>202</v>
      </c>
      <c r="GE4952" s="1" t="s">
        <v>190</v>
      </c>
    </row>
    <row r="4953" spans="1:187" ht="11.25" customHeight="1">
      <c r="A4953" s="1" t="s">
        <v>7025</v>
      </c>
      <c r="B4953" s="1" t="str">
        <f ca="1">IFERROR(__xludf.DUMMYFUNCTION("GOOGLETRANSLATE(A4953, ""en"", ""fr"")"),"SANS COEUR")</f>
        <v>SANS COEUR</v>
      </c>
      <c r="C4953" s="1" t="s">
        <v>192</v>
      </c>
      <c r="E4953" s="1" t="s">
        <v>16613</v>
      </c>
      <c r="I4953" s="1" t="s">
        <v>5</v>
      </c>
      <c r="T4953" s="1" t="s">
        <v>16</v>
      </c>
      <c r="DR4953" s="1" t="s">
        <v>118</v>
      </c>
      <c r="GD4953" s="1" t="s">
        <v>202</v>
      </c>
      <c r="GE4953" s="1" t="s">
        <v>190</v>
      </c>
    </row>
    <row r="4954" spans="1:187" ht="11.25" customHeight="1">
      <c r="A4954" s="1" t="s">
        <v>7026</v>
      </c>
      <c r="B4954" s="1" t="str">
        <f ca="1">IFERROR(__xludf.DUMMYFUNCTION("GOOGLETRANSLATE(A4954, ""en"", ""fr"")"),"Chaleur n ° 1")</f>
        <v>Chaleur n ° 1</v>
      </c>
      <c r="C4954" s="1" t="s">
        <v>185</v>
      </c>
      <c r="CR4954" s="1" t="s">
        <v>92</v>
      </c>
      <c r="GD4954" s="1" t="s">
        <v>193</v>
      </c>
      <c r="GE4954" s="1" t="s">
        <v>7027</v>
      </c>
    </row>
    <row r="4955" spans="1:187" ht="11.25" customHeight="1">
      <c r="A4955" s="1" t="s">
        <v>7028</v>
      </c>
      <c r="B4955" s="1" t="str">
        <f ca="1">IFERROR(__xludf.DUMMYFUNCTION("GOOGLETRANSLATE(A4955, ""en"", ""fr"")"),"Chaleur n ° 2")</f>
        <v>Chaleur n ° 2</v>
      </c>
      <c r="C4955" s="1" t="s">
        <v>185</v>
      </c>
      <c r="J4955" s="1" t="s">
        <v>6</v>
      </c>
      <c r="N4955" s="1" t="s">
        <v>10</v>
      </c>
      <c r="AL4955" s="1" t="s">
        <v>34</v>
      </c>
      <c r="DN4955" s="1" t="s">
        <v>114</v>
      </c>
      <c r="GD4955" s="1" t="s">
        <v>189</v>
      </c>
      <c r="GE4955" s="1" t="s">
        <v>7029</v>
      </c>
    </row>
    <row r="4956" spans="1:187" ht="11.25" customHeight="1">
      <c r="A4956" s="1" t="s">
        <v>7030</v>
      </c>
      <c r="B4956" s="1" t="str">
        <f ca="1">IFERROR(__xludf.DUMMYFUNCTION("GOOGLETRANSLATE(A4956, ""en"", ""fr"")"),"Chaleur n ° 3")</f>
        <v>Chaleur n ° 3</v>
      </c>
      <c r="C4956" s="1" t="s">
        <v>185</v>
      </c>
      <c r="N4956" s="1" t="s">
        <v>10</v>
      </c>
      <c r="CR4956" s="1" t="s">
        <v>92</v>
      </c>
      <c r="GD4956" s="1" t="s">
        <v>193</v>
      </c>
      <c r="GE4956" s="1" t="s">
        <v>7031</v>
      </c>
    </row>
    <row r="4957" spans="1:187" ht="11.25" customHeight="1">
      <c r="A4957" s="1" t="s">
        <v>7032</v>
      </c>
      <c r="B4957" s="1" t="str">
        <f ca="1">IFERROR(__xludf.DUMMYFUNCTION("GOOGLETRANSLATE(A4957, ""en"", ""fr"")"),"Chaleur n ° 4")</f>
        <v>Chaleur n ° 4</v>
      </c>
      <c r="C4957" s="1" t="s">
        <v>185</v>
      </c>
      <c r="G4957" s="1" t="s">
        <v>3</v>
      </c>
      <c r="O4957" s="1" t="s">
        <v>11</v>
      </c>
      <c r="S4957" s="1" t="s">
        <v>15</v>
      </c>
      <c r="EZ4957" s="1" t="s">
        <v>152</v>
      </c>
      <c r="FC4957" s="1" t="s">
        <v>155</v>
      </c>
      <c r="GD4957" s="1" t="s">
        <v>202</v>
      </c>
      <c r="GE4957" s="1" t="s">
        <v>7033</v>
      </c>
    </row>
    <row r="4958" spans="1:187" ht="11.25" customHeight="1">
      <c r="A4958" s="1" t="s">
        <v>7034</v>
      </c>
      <c r="B4958" s="1" t="str">
        <f ca="1">IFERROR(__xludf.DUMMYFUNCTION("GOOGLETRANSLATE(A4958, ""en"", ""fr"")"),"Chaleur n ° 5")</f>
        <v>Chaleur n ° 5</v>
      </c>
      <c r="C4958" s="1" t="s">
        <v>185</v>
      </c>
      <c r="CY4958" s="1" t="s">
        <v>99</v>
      </c>
      <c r="GD4958" s="1" t="s">
        <v>236</v>
      </c>
      <c r="GE4958" s="1" t="s">
        <v>7035</v>
      </c>
    </row>
    <row r="4959" spans="1:187" ht="11.25" customHeight="1">
      <c r="A4959" s="1" t="s">
        <v>7036</v>
      </c>
      <c r="B4959" s="1" t="str">
        <f ca="1">IFERROR(__xludf.DUMMYFUNCTION("GOOGLETRANSLATE(A4959, ""en"", ""fr"")"),"Chaleur n ° 6")</f>
        <v>Chaleur n ° 6</v>
      </c>
      <c r="C4959" s="1" t="s">
        <v>185</v>
      </c>
      <c r="N4959" s="1" t="s">
        <v>10</v>
      </c>
      <c r="CR4959" s="1" t="s">
        <v>92</v>
      </c>
      <c r="DW4959" s="1" t="s">
        <v>123</v>
      </c>
      <c r="ED4959" s="1" t="s">
        <v>130</v>
      </c>
      <c r="GD4959" s="1" t="s">
        <v>202</v>
      </c>
      <c r="GE4959" s="1" t="s">
        <v>7037</v>
      </c>
    </row>
    <row r="4960" spans="1:187" ht="11.25" customHeight="1">
      <c r="A4960" s="1" t="s">
        <v>7038</v>
      </c>
      <c r="B4960" s="1" t="str">
        <f ca="1">IFERROR(__xludf.DUMMYFUNCTION("GOOGLETRANSLATE(A4960, ""en"", ""fr"")"),"CHAUFFAGE")</f>
        <v>CHAUFFAGE</v>
      </c>
      <c r="C4960" s="1" t="s">
        <v>185</v>
      </c>
      <c r="N4960" s="1" t="s">
        <v>10</v>
      </c>
      <c r="BC4960" s="1" t="s">
        <v>51</v>
      </c>
      <c r="BD4960" s="1" t="s">
        <v>52</v>
      </c>
      <c r="GD4960" s="1" t="s">
        <v>193</v>
      </c>
      <c r="GE4960" s="1" t="s">
        <v>190</v>
      </c>
    </row>
    <row r="4961" spans="1:187" ht="11.25" customHeight="1">
      <c r="A4961" s="1" t="s">
        <v>7039</v>
      </c>
      <c r="B4961" s="1" t="str">
        <f ca="1">IFERROR(__xludf.DUMMYFUNCTION("GOOGLETRANSLATE(A4961, ""en"", ""fr"")"),"PARADIS")</f>
        <v>PARADIS</v>
      </c>
      <c r="C4961" s="1" t="s">
        <v>185</v>
      </c>
      <c r="D4961" s="1" t="s">
        <v>16612</v>
      </c>
      <c r="F4961" s="1" t="s">
        <v>2</v>
      </c>
      <c r="AI4961" s="1" t="s">
        <v>31</v>
      </c>
      <c r="AV4961" s="1" t="s">
        <v>44</v>
      </c>
      <c r="AW4961" s="1" t="s">
        <v>45</v>
      </c>
      <c r="EI4961" s="1" t="s">
        <v>135</v>
      </c>
      <c r="EJ4961" s="1" t="s">
        <v>136</v>
      </c>
      <c r="GD4961" s="1" t="s">
        <v>193</v>
      </c>
      <c r="GE4961" s="1" t="s">
        <v>7040</v>
      </c>
    </row>
    <row r="4962" spans="1:187" ht="11.25" customHeight="1">
      <c r="A4962" s="1" t="s">
        <v>7041</v>
      </c>
      <c r="B4962" s="1" t="str">
        <f ca="1">IFERROR(__xludf.DUMMYFUNCTION("GOOGLETRANSLATE(A4962, ""en"", ""fr"")"),"CÉLESTE")</f>
        <v>CÉLESTE</v>
      </c>
      <c r="C4962" s="1" t="s">
        <v>185</v>
      </c>
      <c r="D4962" s="1" t="s">
        <v>16612</v>
      </c>
      <c r="F4962" s="1" t="s">
        <v>2</v>
      </c>
      <c r="U4962" s="1" t="s">
        <v>17</v>
      </c>
      <c r="AI4962" s="1" t="s">
        <v>31</v>
      </c>
      <c r="CN4962" s="1" t="s">
        <v>88</v>
      </c>
      <c r="GD4962" s="1" t="s">
        <v>236</v>
      </c>
      <c r="GE4962" s="1" t="s">
        <v>190</v>
      </c>
    </row>
    <row r="4963" spans="1:187" ht="11.25" customHeight="1">
      <c r="A4963" s="1" t="s">
        <v>7042</v>
      </c>
      <c r="B4963" s="1" t="str">
        <f ca="1">IFERROR(__xludf.DUMMYFUNCTION("GOOGLETRANSLATE(A4963, ""en"", ""fr"")"),"Heavy # 1")</f>
        <v>Heavy # 1</v>
      </c>
      <c r="C4963" s="1" t="s">
        <v>185</v>
      </c>
      <c r="J4963" s="1" t="s">
        <v>6</v>
      </c>
      <c r="CN4963" s="1" t="s">
        <v>88</v>
      </c>
      <c r="CR4963" s="1" t="s">
        <v>92</v>
      </c>
      <c r="GD4963" s="1" t="s">
        <v>202</v>
      </c>
      <c r="GE4963" s="1" t="s">
        <v>7043</v>
      </c>
    </row>
    <row r="4964" spans="1:187" ht="11.25" customHeight="1">
      <c r="A4964" s="1" t="s">
        <v>7044</v>
      </c>
      <c r="B4964" s="1" t="str">
        <f ca="1">IFERROR(__xludf.DUMMYFUNCTION("GOOGLETRANSLATE(A4964, ""en"", ""fr"")"),"Heavy # 2")</f>
        <v>Heavy # 2</v>
      </c>
      <c r="C4964" s="1" t="s">
        <v>185</v>
      </c>
      <c r="J4964" s="1" t="s">
        <v>6</v>
      </c>
      <c r="CR4964" s="1" t="s">
        <v>92</v>
      </c>
      <c r="GD4964" s="1" t="s">
        <v>236</v>
      </c>
      <c r="GE4964" s="1" t="s">
        <v>7045</v>
      </c>
    </row>
    <row r="4965" spans="1:187" ht="11.25" customHeight="1">
      <c r="A4965" s="1" t="s">
        <v>7046</v>
      </c>
      <c r="B4965" s="1" t="str">
        <f ca="1">IFERROR(__xludf.DUMMYFUNCTION("GOOGLETRANSLATE(A4965, ""en"", ""fr"")"),"Heavy # 3")</f>
        <v>Heavy # 3</v>
      </c>
      <c r="C4965" s="1" t="s">
        <v>185</v>
      </c>
      <c r="J4965" s="1" t="s">
        <v>6</v>
      </c>
      <c r="CN4965" s="1" t="s">
        <v>88</v>
      </c>
      <c r="CR4965" s="1" t="s">
        <v>92</v>
      </c>
      <c r="GD4965" s="1" t="s">
        <v>202</v>
      </c>
      <c r="GE4965" s="1" t="s">
        <v>7047</v>
      </c>
    </row>
    <row r="4966" spans="1:187" ht="11.25" customHeight="1">
      <c r="A4966" s="1" t="s">
        <v>7048</v>
      </c>
      <c r="B4966" s="1" t="str">
        <f ca="1">IFERROR(__xludf.DUMMYFUNCTION("GOOGLETRANSLATE(A4966, ""en"", ""fr"")"),"Heavy # 4")</f>
        <v>Heavy # 4</v>
      </c>
      <c r="C4966" s="1" t="s">
        <v>185</v>
      </c>
      <c r="J4966" s="1" t="s">
        <v>6</v>
      </c>
      <c r="CN4966" s="1" t="s">
        <v>88</v>
      </c>
      <c r="CR4966" s="1" t="s">
        <v>92</v>
      </c>
      <c r="GD4966" s="1" t="s">
        <v>202</v>
      </c>
      <c r="GE4966" s="1" t="s">
        <v>7049</v>
      </c>
    </row>
    <row r="4967" spans="1:187" ht="11.25" customHeight="1">
      <c r="A4967" s="1" t="s">
        <v>7050</v>
      </c>
      <c r="B4967" s="1" t="str">
        <f ca="1">IFERROR(__xludf.DUMMYFUNCTION("GOOGLETRANSLATE(A4967, ""en"", ""fr"")"),"TRÉPIDANT")</f>
        <v>TRÉPIDANT</v>
      </c>
      <c r="C4967" s="1" t="s">
        <v>192</v>
      </c>
      <c r="E4967" s="1" t="s">
        <v>16613</v>
      </c>
      <c r="V4967" s="1" t="s">
        <v>18</v>
      </c>
      <c r="W4967" s="1" t="s">
        <v>19</v>
      </c>
      <c r="DR4967" s="1" t="s">
        <v>118</v>
      </c>
      <c r="GD4967" s="1" t="s">
        <v>202</v>
      </c>
      <c r="GE4967" s="1" t="s">
        <v>190</v>
      </c>
    </row>
    <row r="4968" spans="1:187" ht="11.25" customHeight="1">
      <c r="A4968" s="1" t="s">
        <v>7051</v>
      </c>
      <c r="B4968" s="1" t="str">
        <f ca="1">IFERROR(__xludf.DUMMYFUNCTION("GOOGLETRANSLATE(A4968, ""en"", ""fr"")"),"HAIE")</f>
        <v>HAIE</v>
      </c>
      <c r="C4968" s="1" t="s">
        <v>185</v>
      </c>
      <c r="E4968" s="1" t="s">
        <v>16613</v>
      </c>
      <c r="H4968" s="1" t="s">
        <v>4</v>
      </c>
      <c r="I4968" s="1" t="s">
        <v>5</v>
      </c>
      <c r="L4968" s="1" t="s">
        <v>8</v>
      </c>
      <c r="AN4968" s="1" t="s">
        <v>36</v>
      </c>
      <c r="DN4968" s="1" t="s">
        <v>114</v>
      </c>
      <c r="FZ4968" s="1" t="s">
        <v>178</v>
      </c>
      <c r="GD4968" s="1" t="s">
        <v>189</v>
      </c>
      <c r="GE4968" s="1" t="s">
        <v>190</v>
      </c>
    </row>
    <row r="4969" spans="1:187" ht="11.25" customHeight="1">
      <c r="A4969" s="1" t="s">
        <v>7052</v>
      </c>
      <c r="B4969" s="1" t="str">
        <f ca="1">IFERROR(__xludf.DUMMYFUNCTION("GOOGLETRANSLATE(A4969, ""en"", ""fr"")"),"HÉDONISTIQUE")</f>
        <v>HÉDONISTIQUE</v>
      </c>
      <c r="C4969" s="1" t="s">
        <v>192</v>
      </c>
      <c r="E4969" s="1" t="s">
        <v>16613</v>
      </c>
      <c r="V4969" s="1" t="s">
        <v>18</v>
      </c>
      <c r="BN4969" s="1" t="s">
        <v>62</v>
      </c>
      <c r="DR4969" s="1" t="s">
        <v>118</v>
      </c>
      <c r="GD4969" s="1" t="s">
        <v>202</v>
      </c>
      <c r="GE4969" s="1" t="s">
        <v>190</v>
      </c>
    </row>
    <row r="4970" spans="1:187" ht="11.25" customHeight="1">
      <c r="A4970" s="1" t="s">
        <v>7053</v>
      </c>
      <c r="B4970" s="1" t="str">
        <f ca="1">IFERROR(__xludf.DUMMYFUNCTION("GOOGLETRANSLATE(A4970, ""en"", ""fr"")"),"CONSCIENT")</f>
        <v>CONSCIENT</v>
      </c>
      <c r="C4970" s="1" t="s">
        <v>185</v>
      </c>
      <c r="M4970" s="1" t="s">
        <v>9</v>
      </c>
      <c r="O4970" s="1" t="s">
        <v>11</v>
      </c>
      <c r="X4970" s="1" t="s">
        <v>20</v>
      </c>
      <c r="AN4970" s="1" t="s">
        <v>36</v>
      </c>
      <c r="DN4970" s="1" t="s">
        <v>114</v>
      </c>
      <c r="EC4970" s="1" t="s">
        <v>129</v>
      </c>
      <c r="ED4970" s="1" t="s">
        <v>130</v>
      </c>
      <c r="GD4970" s="1" t="s">
        <v>189</v>
      </c>
      <c r="GE4970" s="1" t="s">
        <v>190</v>
      </c>
    </row>
    <row r="4971" spans="1:187" ht="11.25" customHeight="1">
      <c r="A4971" s="1" t="s">
        <v>7054</v>
      </c>
      <c r="B4971" s="1" t="str">
        <f ca="1">IFERROR(__xludf.DUMMYFUNCTION("GOOGLETRANSLATE(A4971, ""en"", ""fr"")"),"INATTENTIF")</f>
        <v>INATTENTIF</v>
      </c>
      <c r="C4971" s="1" t="s">
        <v>192</v>
      </c>
      <c r="E4971" s="1" t="s">
        <v>16613</v>
      </c>
      <c r="BK4971" s="1" t="s">
        <v>59</v>
      </c>
      <c r="DR4971" s="1" t="s">
        <v>118</v>
      </c>
      <c r="GD4971" s="1" t="s">
        <v>202</v>
      </c>
      <c r="GE4971" s="1" t="s">
        <v>190</v>
      </c>
    </row>
    <row r="4972" spans="1:187" ht="11.25" customHeight="1">
      <c r="A4972" s="1" t="s">
        <v>7055</v>
      </c>
      <c r="B4972" s="1" t="str">
        <f ca="1">IFERROR(__xludf.DUMMYFUNCTION("GOOGLETRANSLATE(A4972, ""en"", ""fr"")"),"TALON")</f>
        <v>TALON</v>
      </c>
      <c r="C4972" s="1" t="s">
        <v>185</v>
      </c>
      <c r="BJ4972" s="1" t="s">
        <v>58</v>
      </c>
      <c r="GD4972" s="1" t="s">
        <v>193</v>
      </c>
      <c r="GE4972" s="1" t="s">
        <v>190</v>
      </c>
    </row>
    <row r="4973" spans="1:187" ht="11.25" customHeight="1">
      <c r="A4973" s="1" t="s">
        <v>7056</v>
      </c>
      <c r="B4973" s="1" t="str">
        <f ca="1">IFERROR(__xludf.DUMMYFUNCTION("GOOGLETRANSLATE(A4973, ""en"", ""fr"")"),"HÉGÉMONIE")</f>
        <v>HÉGÉMONIE</v>
      </c>
      <c r="C4973" s="1" t="s">
        <v>196</v>
      </c>
      <c r="EC4973" s="1" t="s">
        <v>129</v>
      </c>
      <c r="ED4973" s="1" t="s">
        <v>130</v>
      </c>
      <c r="GD4973" s="1" t="s">
        <v>193</v>
      </c>
    </row>
    <row r="4974" spans="1:187" ht="11.25" customHeight="1">
      <c r="A4974" s="1" t="s">
        <v>7057</v>
      </c>
      <c r="B4974" s="1" t="str">
        <f ca="1">IFERROR(__xludf.DUMMYFUNCTION("GOOGLETRANSLATE(A4974, ""en"", ""fr"")"),"HAUTEUR")</f>
        <v>HAUTEUR</v>
      </c>
      <c r="C4974" s="1" t="s">
        <v>185</v>
      </c>
      <c r="DA4974" s="1" t="s">
        <v>101</v>
      </c>
      <c r="GB4974" s="1" t="s">
        <v>180</v>
      </c>
      <c r="GD4974" s="1" t="s">
        <v>193</v>
      </c>
      <c r="GE4974" s="1" t="s">
        <v>190</v>
      </c>
    </row>
    <row r="4975" spans="1:187" ht="11.25" customHeight="1">
      <c r="A4975" s="1" t="s">
        <v>7058</v>
      </c>
      <c r="B4975" s="1" t="str">
        <f ca="1">IFERROR(__xludf.DUMMYFUNCTION("GOOGLETRANSLATE(A4975, ""en"", ""fr"")"),"AUGMENTER")</f>
        <v>AUGMENTER</v>
      </c>
      <c r="C4975" s="1" t="s">
        <v>185</v>
      </c>
      <c r="J4975" s="1" t="s">
        <v>6</v>
      </c>
      <c r="BX4975" s="1" t="s">
        <v>72</v>
      </c>
      <c r="DN4975" s="1" t="s">
        <v>114</v>
      </c>
      <c r="GD4975" s="1" t="s">
        <v>189</v>
      </c>
      <c r="GE4975" s="1" t="s">
        <v>190</v>
      </c>
    </row>
    <row r="4976" spans="1:187" ht="11.25" customHeight="1">
      <c r="A4976" s="1" t="s">
        <v>7059</v>
      </c>
      <c r="B4976" s="1" t="str">
        <f ca="1">IFERROR(__xludf.DUMMYFUNCTION("GOOGLETRANSLATE(A4976, ""en"", ""fr"")"),"ODIEUX")</f>
        <v>ODIEUX</v>
      </c>
      <c r="C4976" s="1" t="s">
        <v>192</v>
      </c>
      <c r="E4976" s="1" t="s">
        <v>16613</v>
      </c>
      <c r="I4976" s="1" t="s">
        <v>5</v>
      </c>
      <c r="DR4976" s="1" t="s">
        <v>118</v>
      </c>
      <c r="GD4976" s="1" t="s">
        <v>202</v>
      </c>
      <c r="GE4976" s="1" t="s">
        <v>190</v>
      </c>
    </row>
    <row r="4977" spans="1:187" ht="11.25" customHeight="1">
      <c r="A4977" s="1" t="s">
        <v>7060</v>
      </c>
      <c r="B4977" s="1" t="str">
        <f ca="1">IFERROR(__xludf.DUMMYFUNCTION("GOOGLETRANSLATE(A4977, ""en"", ""fr"")"),"HÉRITIER")</f>
        <v>HÉRITIER</v>
      </c>
      <c r="C4977" s="1" t="s">
        <v>196</v>
      </c>
      <c r="FT4977" s="1" t="s">
        <v>172</v>
      </c>
      <c r="GD4977" s="1" t="s">
        <v>193</v>
      </c>
    </row>
    <row r="4978" spans="1:187" ht="11.25" customHeight="1">
      <c r="A4978" s="1" t="s">
        <v>7061</v>
      </c>
      <c r="B4978" s="1" t="str">
        <f ca="1">IFERROR(__xludf.DUMMYFUNCTION("GOOGLETRANSLATE(A4978, ""en"", ""fr"")"),"Tenu n ° 1")</f>
        <v>Tenu n ° 1</v>
      </c>
      <c r="C4978" s="1" t="s">
        <v>192</v>
      </c>
      <c r="GD4978" s="1" t="s">
        <v>1085</v>
      </c>
      <c r="GE4978" s="1" t="s">
        <v>190</v>
      </c>
    </row>
    <row r="4979" spans="1:187" ht="11.25" customHeight="1">
      <c r="A4979" s="1" t="s">
        <v>7062</v>
      </c>
      <c r="B4979" s="1" t="str">
        <f ca="1">IFERROR(__xludf.DUMMYFUNCTION("GOOGLETRANSLATE(A4979, ""en"", ""fr"")"),"ENFER")</f>
        <v>ENFER</v>
      </c>
      <c r="C4979" s="1" t="s">
        <v>185</v>
      </c>
      <c r="E4979" s="1" t="s">
        <v>16613</v>
      </c>
      <c r="H4979" s="1" t="s">
        <v>4</v>
      </c>
      <c r="AI4979" s="1" t="s">
        <v>31</v>
      </c>
      <c r="AV4979" s="1" t="s">
        <v>44</v>
      </c>
      <c r="AW4979" s="1" t="s">
        <v>45</v>
      </c>
      <c r="EF4979" s="1" t="s">
        <v>132</v>
      </c>
      <c r="EJ4979" s="1" t="s">
        <v>136</v>
      </c>
      <c r="GD4979" s="1" t="s">
        <v>193</v>
      </c>
      <c r="GE4979" s="1" t="s">
        <v>190</v>
      </c>
    </row>
    <row r="4980" spans="1:187" ht="11.25" customHeight="1">
      <c r="A4980" s="1" t="s">
        <v>7063</v>
      </c>
      <c r="B4980" s="1" t="str">
        <f ca="1">IFERROR(__xludf.DUMMYFUNCTION("GOOGLETRANSLATE(A4980, ""en"", ""fr"")"),"Aide n ° 1")</f>
        <v>Aide n ° 1</v>
      </c>
      <c r="C4980" s="1" t="s">
        <v>185</v>
      </c>
      <c r="D4980" s="1" t="s">
        <v>16612</v>
      </c>
      <c r="F4980" s="1" t="s">
        <v>2</v>
      </c>
      <c r="G4980" s="1" t="s">
        <v>3</v>
      </c>
      <c r="N4980" s="1" t="s">
        <v>10</v>
      </c>
      <c r="U4980" s="1" t="s">
        <v>17</v>
      </c>
      <c r="FQ4980" s="1" t="s">
        <v>169</v>
      </c>
      <c r="GD4980" s="1" t="s">
        <v>193</v>
      </c>
      <c r="GE4980" s="1" t="s">
        <v>7064</v>
      </c>
    </row>
    <row r="4981" spans="1:187" ht="11.25" customHeight="1">
      <c r="A4981" s="1" t="s">
        <v>7065</v>
      </c>
      <c r="B4981" s="1" t="str">
        <f ca="1">IFERROR(__xludf.DUMMYFUNCTION("GOOGLETRANSLATE(A4981, ""en"", ""fr"")"),"Aide n ° 2")</f>
        <v>Aide n ° 2</v>
      </c>
      <c r="C4981" s="1" t="s">
        <v>185</v>
      </c>
      <c r="D4981" s="1" t="s">
        <v>16612</v>
      </c>
      <c r="F4981" s="1" t="s">
        <v>2</v>
      </c>
      <c r="G4981" s="1" t="s">
        <v>3</v>
      </c>
      <c r="N4981" s="1" t="s">
        <v>10</v>
      </c>
      <c r="AN4981" s="1" t="s">
        <v>36</v>
      </c>
      <c r="DN4981" s="1" t="s">
        <v>114</v>
      </c>
      <c r="DS4981" s="1" t="s">
        <v>119</v>
      </c>
      <c r="ED4981" s="1" t="s">
        <v>130</v>
      </c>
      <c r="GD4981" s="1" t="s">
        <v>189</v>
      </c>
      <c r="GE4981" s="1" t="s">
        <v>7066</v>
      </c>
    </row>
    <row r="4982" spans="1:187" ht="11.25" customHeight="1">
      <c r="A4982" s="1" t="s">
        <v>7067</v>
      </c>
      <c r="B4982" s="1" t="str">
        <f ca="1">IFERROR(__xludf.DUMMYFUNCTION("GOOGLETRANSLATE(A4982, ""en"", ""fr"")"),"Aide n ° 3")</f>
        <v>Aide n ° 3</v>
      </c>
      <c r="C4982" s="1" t="s">
        <v>185</v>
      </c>
      <c r="E4982" s="1" t="s">
        <v>16613</v>
      </c>
      <c r="H4982" s="1" t="s">
        <v>4</v>
      </c>
      <c r="L4982" s="1" t="s">
        <v>8</v>
      </c>
      <c r="M4982" s="1" t="s">
        <v>9</v>
      </c>
      <c r="O4982" s="1" t="s">
        <v>11</v>
      </c>
      <c r="BN4982" s="1" t="s">
        <v>62</v>
      </c>
      <c r="DN4982" s="1" t="s">
        <v>114</v>
      </c>
      <c r="GD4982" s="1" t="s">
        <v>7068</v>
      </c>
      <c r="GE4982" s="1" t="s">
        <v>7069</v>
      </c>
    </row>
    <row r="4983" spans="1:187" ht="11.25" customHeight="1">
      <c r="A4983" s="1" t="s">
        <v>7070</v>
      </c>
      <c r="B4983" s="1" t="str">
        <f ca="1">IFERROR(__xludf.DUMMYFUNCTION("GOOGLETRANSLATE(A4983, ""en"", ""fr"")"),"Aide n ° 4")</f>
        <v>Aide n ° 4</v>
      </c>
      <c r="C4983" s="1" t="s">
        <v>185</v>
      </c>
      <c r="D4983" s="1" t="s">
        <v>16612</v>
      </c>
      <c r="F4983" s="1" t="s">
        <v>2</v>
      </c>
      <c r="G4983" s="1" t="s">
        <v>3</v>
      </c>
      <c r="N4983" s="1" t="s">
        <v>10</v>
      </c>
      <c r="U4983" s="1" t="s">
        <v>17</v>
      </c>
      <c r="DS4983" s="1" t="s">
        <v>119</v>
      </c>
      <c r="ED4983" s="1" t="s">
        <v>130</v>
      </c>
      <c r="GD4983" s="1" t="s">
        <v>202</v>
      </c>
      <c r="GE4983" s="1" t="s">
        <v>7071</v>
      </c>
    </row>
    <row r="4984" spans="1:187" ht="11.25" customHeight="1">
      <c r="A4984" s="1" t="s">
        <v>7072</v>
      </c>
      <c r="B4984" s="1" t="str">
        <f ca="1">IFERROR(__xludf.DUMMYFUNCTION("GOOGLETRANSLATE(A4984, ""en"", ""fr"")"),"ASSISTANT")</f>
        <v>ASSISTANT</v>
      </c>
      <c r="C4984" s="1" t="s">
        <v>185</v>
      </c>
      <c r="G4984" s="1" t="s">
        <v>3</v>
      </c>
      <c r="AJ4984" s="1" t="s">
        <v>32</v>
      </c>
      <c r="AT4984" s="1" t="s">
        <v>42</v>
      </c>
      <c r="FB4984" s="1" t="s">
        <v>154</v>
      </c>
      <c r="FC4984" s="1" t="s">
        <v>155</v>
      </c>
      <c r="GD4984" s="1" t="s">
        <v>193</v>
      </c>
      <c r="GE4984" s="1" t="s">
        <v>190</v>
      </c>
    </row>
    <row r="4985" spans="1:187" ht="11.25" customHeight="1">
      <c r="A4985" s="1" t="s">
        <v>7073</v>
      </c>
      <c r="B4985" s="1" t="str">
        <f ca="1">IFERROR(__xludf.DUMMYFUNCTION("GOOGLETRANSLATE(A4985, ""en"", ""fr"")"),"UTILE")</f>
        <v>UTILE</v>
      </c>
      <c r="C4985" s="1" t="s">
        <v>185</v>
      </c>
      <c r="D4985" s="1" t="s">
        <v>16612</v>
      </c>
      <c r="F4985" s="1" t="s">
        <v>2</v>
      </c>
      <c r="G4985" s="1" t="s">
        <v>3</v>
      </c>
      <c r="N4985" s="1" t="s">
        <v>10</v>
      </c>
      <c r="U4985" s="1" t="s">
        <v>17</v>
      </c>
      <c r="CN4985" s="1" t="s">
        <v>88</v>
      </c>
      <c r="FQ4985" s="1" t="s">
        <v>169</v>
      </c>
      <c r="GD4985" s="1" t="s">
        <v>202</v>
      </c>
      <c r="GE4985" s="1" t="s">
        <v>190</v>
      </c>
    </row>
    <row r="4986" spans="1:187" ht="11.25" customHeight="1">
      <c r="A4986" s="1" t="s">
        <v>7074</v>
      </c>
      <c r="B4986" s="1" t="str">
        <f ca="1">IFERROR(__xludf.DUMMYFUNCTION("GOOGLETRANSLATE(A4986, ""en"", ""fr"")"),"SANS ESPOIR")</f>
        <v>SANS ESPOIR</v>
      </c>
      <c r="C4986" s="1" t="s">
        <v>185</v>
      </c>
      <c r="E4986" s="1" t="s">
        <v>16613</v>
      </c>
      <c r="H4986" s="1" t="s">
        <v>4</v>
      </c>
      <c r="L4986" s="1" t="s">
        <v>8</v>
      </c>
      <c r="M4986" s="1" t="s">
        <v>9</v>
      </c>
      <c r="O4986" s="1" t="s">
        <v>11</v>
      </c>
      <c r="BT4986" s="1" t="s">
        <v>68</v>
      </c>
      <c r="CN4986" s="1" t="s">
        <v>88</v>
      </c>
      <c r="FQ4986" s="1" t="s">
        <v>169</v>
      </c>
      <c r="GD4986" s="1" t="s">
        <v>202</v>
      </c>
      <c r="GE4986" s="1" t="s">
        <v>190</v>
      </c>
    </row>
    <row r="4987" spans="1:187" ht="11.25" customHeight="1">
      <c r="A4987" s="1" t="s">
        <v>7075</v>
      </c>
      <c r="B4987" s="1" t="str">
        <f ca="1">IFERROR(__xludf.DUMMYFUNCTION("GOOGLETRANSLATE(A4987, ""en"", ""fr"")"),"IMPUISSANCE")</f>
        <v>IMPUISSANCE</v>
      </c>
      <c r="C4987" s="1" t="s">
        <v>192</v>
      </c>
      <c r="E4987" s="1" t="s">
        <v>16613</v>
      </c>
      <c r="L4987" s="1" t="s">
        <v>8</v>
      </c>
      <c r="M4987" s="1" t="s">
        <v>9</v>
      </c>
      <c r="V4987" s="1" t="s">
        <v>18</v>
      </c>
      <c r="GD4987" s="1" t="s">
        <v>193</v>
      </c>
      <c r="GE4987" s="1" t="s">
        <v>190</v>
      </c>
    </row>
    <row r="4988" spans="1:187" ht="11.25" customHeight="1">
      <c r="A4988" s="1" t="s">
        <v>7076</v>
      </c>
      <c r="B4988" s="1" t="str">
        <f ca="1">IFERROR(__xludf.DUMMYFUNCTION("GOOGLETRANSLATE(A4988, ""en"", ""fr"")"),"HÉMISPHÈRE")</f>
        <v>HÉMISPHÈRE</v>
      </c>
      <c r="C4988" s="1" t="s">
        <v>185</v>
      </c>
      <c r="AH4988" s="1" t="s">
        <v>30</v>
      </c>
      <c r="AV4988" s="1" t="s">
        <v>44</v>
      </c>
      <c r="BA4988" s="1" t="s">
        <v>49</v>
      </c>
      <c r="FS4988" s="1" t="s">
        <v>171</v>
      </c>
      <c r="GD4988" s="1" t="s">
        <v>193</v>
      </c>
      <c r="GE4988" s="1" t="s">
        <v>7077</v>
      </c>
    </row>
    <row r="4989" spans="1:187" ht="11.25" customHeight="1">
      <c r="A4989" s="1" t="s">
        <v>7078</v>
      </c>
      <c r="B4989" s="1" t="str">
        <f ca="1">IFERROR(__xludf.DUMMYFUNCTION("GOOGLETRANSLATE(A4989, ""en"", ""fr"")"),"Hémisphérique")</f>
        <v>Hémisphérique</v>
      </c>
      <c r="C4989" s="1" t="s">
        <v>196</v>
      </c>
      <c r="GD4989" s="1" t="s">
        <v>202</v>
      </c>
    </row>
    <row r="4990" spans="1:187" ht="11.25" customHeight="1">
      <c r="A4990" s="1" t="s">
        <v>7079</v>
      </c>
      <c r="B4990" s="1" t="str">
        <f ca="1">IFERROR(__xludf.DUMMYFUNCTION("GOOGLETRANSLATE(A4990, ""en"", ""fr"")"),"HÉMOGLOBINE")</f>
        <v>HÉMOGLOBINE</v>
      </c>
      <c r="C4990" s="1" t="s">
        <v>185</v>
      </c>
      <c r="BJ4990" s="1" t="s">
        <v>58</v>
      </c>
      <c r="EZ4990" s="1" t="s">
        <v>152</v>
      </c>
      <c r="FC4990" s="1" t="s">
        <v>155</v>
      </c>
      <c r="GD4990" s="1" t="s">
        <v>193</v>
      </c>
      <c r="GE4990" s="1" t="s">
        <v>190</v>
      </c>
    </row>
    <row r="4991" spans="1:187" ht="11.25" customHeight="1">
      <c r="A4991" s="1" t="s">
        <v>7080</v>
      </c>
      <c r="B4991" s="1" t="str">
        <f ca="1">IFERROR(__xludf.DUMMYFUNCTION("GOOGLETRANSLATE(A4991, ""en"", ""fr"")"),"POULE")</f>
        <v>POULE</v>
      </c>
      <c r="C4991" s="1" t="s">
        <v>185</v>
      </c>
      <c r="AR4991" s="1" t="s">
        <v>40</v>
      </c>
      <c r="AU4991" s="1" t="s">
        <v>43</v>
      </c>
      <c r="GD4991" s="1" t="s">
        <v>193</v>
      </c>
      <c r="GE4991" s="1" t="s">
        <v>190</v>
      </c>
    </row>
    <row r="4992" spans="1:187" ht="11.25" customHeight="1">
      <c r="A4992" s="1" t="s">
        <v>7081</v>
      </c>
      <c r="B4992" s="1" t="str">
        <f ca="1">IFERROR(__xludf.DUMMYFUNCTION("GOOGLETRANSLATE(A4992, ""en"", ""fr"")"),"AINSI")</f>
        <v>AINSI</v>
      </c>
      <c r="C4992" s="1" t="s">
        <v>185</v>
      </c>
      <c r="CH4992" s="1" t="s">
        <v>82</v>
      </c>
      <c r="CI4992" s="1" t="s">
        <v>83</v>
      </c>
      <c r="GD4992" s="1" t="s">
        <v>236</v>
      </c>
      <c r="GE4992" s="1" t="s">
        <v>7082</v>
      </c>
    </row>
    <row r="4993" spans="1:187" ht="11.25" customHeight="1">
      <c r="A4993" s="1" t="s">
        <v>7083</v>
      </c>
      <c r="B4993" s="1" t="str">
        <f ca="1">IFERROR(__xludf.DUMMYFUNCTION("GOOGLETRANSLATE(A4993, ""en"", ""fr"")"),"Son # 1")</f>
        <v>Son # 1</v>
      </c>
      <c r="C4993" s="1" t="s">
        <v>185</v>
      </c>
      <c r="AR4993" s="1" t="s">
        <v>40</v>
      </c>
      <c r="GD4993" s="1" t="s">
        <v>7084</v>
      </c>
      <c r="GE4993" s="1" t="s">
        <v>7085</v>
      </c>
    </row>
    <row r="4994" spans="1:187" ht="11.25" customHeight="1">
      <c r="A4994" s="1" t="s">
        <v>7086</v>
      </c>
      <c r="B4994" s="1" t="str">
        <f ca="1">IFERROR(__xludf.DUMMYFUNCTION("GOOGLETRANSLATE(A4994, ""en"", ""fr"")"),"Son # 2")</f>
        <v>Son # 2</v>
      </c>
      <c r="C4994" s="1" t="s">
        <v>185</v>
      </c>
      <c r="AR4994" s="1" t="s">
        <v>40</v>
      </c>
      <c r="GD4994" s="1" t="s">
        <v>7087</v>
      </c>
      <c r="GE4994" s="1" t="s">
        <v>7088</v>
      </c>
    </row>
    <row r="4995" spans="1:187" ht="11.25" customHeight="1">
      <c r="A4995" s="1" t="s">
        <v>7089</v>
      </c>
      <c r="B4995" s="1" t="str">
        <f ca="1">IFERROR(__xludf.DUMMYFUNCTION("GOOGLETRANSLATE(A4995, ""en"", ""fr"")"),"Troupeau # 1")</f>
        <v>Troupeau # 1</v>
      </c>
      <c r="C4995" s="1" t="s">
        <v>185</v>
      </c>
      <c r="J4995" s="1" t="s">
        <v>6</v>
      </c>
      <c r="AU4995" s="1" t="s">
        <v>43</v>
      </c>
      <c r="EV4995" s="1" t="s">
        <v>148</v>
      </c>
      <c r="EW4995" s="1" t="s">
        <v>149</v>
      </c>
      <c r="GD4995" s="1" t="s">
        <v>193</v>
      </c>
      <c r="GE4995" s="1" t="s">
        <v>7090</v>
      </c>
    </row>
    <row r="4996" spans="1:187" ht="11.25" customHeight="1">
      <c r="A4996" s="1" t="s">
        <v>7091</v>
      </c>
      <c r="B4996" s="1" t="str">
        <f ca="1">IFERROR(__xludf.DUMMYFUNCTION("GOOGLETRANSLATE(A4996, ""en"", ""fr"")"),"Troupeau # 2")</f>
        <v>Troupeau # 2</v>
      </c>
      <c r="C4996" s="1" t="s">
        <v>185</v>
      </c>
      <c r="J4996" s="1" t="s">
        <v>6</v>
      </c>
      <c r="K4996" s="1" t="s">
        <v>7</v>
      </c>
      <c r="N4996" s="1" t="s">
        <v>10</v>
      </c>
      <c r="AN4996" s="1" t="s">
        <v>36</v>
      </c>
      <c r="DN4996" s="1" t="s">
        <v>114</v>
      </c>
      <c r="EU4996" s="1" t="s">
        <v>147</v>
      </c>
      <c r="EW4996" s="1" t="s">
        <v>149</v>
      </c>
      <c r="GD4996" s="1" t="s">
        <v>189</v>
      </c>
      <c r="GE4996" s="1" t="s">
        <v>7092</v>
      </c>
    </row>
    <row r="4997" spans="1:187" ht="11.25" customHeight="1">
      <c r="A4997" s="1" t="s">
        <v>7093</v>
      </c>
      <c r="B4997" s="1" t="str">
        <f ca="1">IFERROR(__xludf.DUMMYFUNCTION("GOOGLETRANSLATE(A4997, ""en"", ""fr"")"),"Troupeau # 3")</f>
        <v>Troupeau # 3</v>
      </c>
      <c r="C4997" s="1" t="s">
        <v>185</v>
      </c>
      <c r="N4997" s="1" t="s">
        <v>10</v>
      </c>
      <c r="AL4997" s="1" t="s">
        <v>34</v>
      </c>
      <c r="EV4997" s="1" t="s">
        <v>148</v>
      </c>
      <c r="EW4997" s="1" t="s">
        <v>149</v>
      </c>
      <c r="GD4997" s="1" t="s">
        <v>202</v>
      </c>
      <c r="GE4997" s="1" t="s">
        <v>7094</v>
      </c>
    </row>
    <row r="4998" spans="1:187" ht="11.25" customHeight="1">
      <c r="A4998" s="1" t="s">
        <v>7095</v>
      </c>
      <c r="B4998" s="1" t="str">
        <f ca="1">IFERROR(__xludf.DUMMYFUNCTION("GOOGLETRANSLATE(A4998, ""en"", ""fr"")"),"ICI")</f>
        <v>ICI</v>
      </c>
      <c r="C4998" s="1" t="s">
        <v>185</v>
      </c>
      <c r="DA4998" s="1" t="s">
        <v>101</v>
      </c>
      <c r="GB4998" s="1" t="s">
        <v>180</v>
      </c>
      <c r="GD4998" s="1" t="s">
        <v>236</v>
      </c>
      <c r="GE4998" s="1" t="s">
        <v>7096</v>
      </c>
    </row>
    <row r="4999" spans="1:187" ht="11.25" customHeight="1">
      <c r="A4999" s="1" t="s">
        <v>7097</v>
      </c>
      <c r="B4999" s="1" t="str">
        <f ca="1">IFERROR(__xludf.DUMMYFUNCTION("GOOGLETRANSLATE(A4999, ""en"", ""fr"")"),"PAR LA PRÉSENTE")</f>
        <v>PAR LA PRÉSENTE</v>
      </c>
      <c r="C4999" s="1" t="s">
        <v>185</v>
      </c>
      <c r="CI4999" s="1" t="s">
        <v>83</v>
      </c>
      <c r="GD4999" s="1" t="s">
        <v>236</v>
      </c>
      <c r="GE4999" s="1" t="s">
        <v>190</v>
      </c>
    </row>
    <row r="5000" spans="1:187" ht="11.25" customHeight="1">
      <c r="A5000" s="1" t="s">
        <v>7098</v>
      </c>
      <c r="B5000" s="1" t="str">
        <f ca="1">IFERROR(__xludf.DUMMYFUNCTION("GOOGLETRANSLATE(A5000, ""en"", ""fr"")"),"HÉRÉDITAIRE")</f>
        <v>HÉRÉDITAIRE</v>
      </c>
      <c r="C5000" s="1" t="s">
        <v>196</v>
      </c>
      <c r="GD5000" s="1" t="s">
        <v>193</v>
      </c>
    </row>
    <row r="5001" spans="1:187" ht="11.25" customHeight="1">
      <c r="A5001" s="1" t="s">
        <v>7099</v>
      </c>
      <c r="B5001" s="1" t="str">
        <f ca="1">IFERROR(__xludf.DUMMYFUNCTION("GOOGLETRANSLATE(A5001, ""en"", ""fr"")"),"HÉRÉSIE")</f>
        <v>HÉRÉSIE</v>
      </c>
      <c r="C5001" s="1" t="s">
        <v>196</v>
      </c>
      <c r="EF5001" s="1" t="s">
        <v>132</v>
      </c>
      <c r="EJ5001" s="1" t="s">
        <v>136</v>
      </c>
      <c r="GD5001" s="1" t="s">
        <v>193</v>
      </c>
    </row>
    <row r="5002" spans="1:187" ht="11.25" customHeight="1">
      <c r="A5002" s="1" t="s">
        <v>7100</v>
      </c>
      <c r="B5002" s="1" t="str">
        <f ca="1">IFERROR(__xludf.DUMMYFUNCTION("GOOGLETRANSLATE(A5002, ""en"", ""fr"")"),"Jusqu'à présent")</f>
        <v>Jusqu'à présent</v>
      </c>
      <c r="C5002" s="1" t="s">
        <v>185</v>
      </c>
      <c r="CY5002" s="1" t="s">
        <v>99</v>
      </c>
      <c r="GB5002" s="1" t="s">
        <v>180</v>
      </c>
      <c r="GD5002" s="1" t="s">
        <v>236</v>
      </c>
      <c r="GE5002" s="1" t="s">
        <v>190</v>
      </c>
    </row>
    <row r="5003" spans="1:187" ht="11.25" customHeight="1">
      <c r="A5003" s="1" t="s">
        <v>7101</v>
      </c>
      <c r="B5003" s="1" t="str">
        <f ca="1">IFERROR(__xludf.DUMMYFUNCTION("GOOGLETRANSLATE(A5003, ""en"", ""fr"")"),"CI-JOINT")</f>
        <v>CI-JOINT</v>
      </c>
      <c r="C5003" s="1" t="s">
        <v>196</v>
      </c>
      <c r="GD5003" s="1" t="s">
        <v>202</v>
      </c>
    </row>
    <row r="5004" spans="1:187" ht="11.25" customHeight="1">
      <c r="A5004" s="1" t="s">
        <v>7102</v>
      </c>
      <c r="B5004" s="1" t="str">
        <f ca="1">IFERROR(__xludf.DUMMYFUNCTION("GOOGLETRANSLATE(A5004, ""en"", ""fr"")"),"PATRIMOINE")</f>
        <v>PATRIMOINE</v>
      </c>
      <c r="C5004" s="1" t="s">
        <v>185</v>
      </c>
      <c r="W5004" s="1" t="s">
        <v>19</v>
      </c>
      <c r="Z5004" s="1" t="s">
        <v>22</v>
      </c>
      <c r="AH5004" s="1" t="s">
        <v>30</v>
      </c>
      <c r="ER5004" s="1" t="s">
        <v>144</v>
      </c>
      <c r="ES5004" s="1" t="s">
        <v>145</v>
      </c>
      <c r="GD5004" s="1" t="s">
        <v>193</v>
      </c>
      <c r="GE5004" s="1" t="s">
        <v>190</v>
      </c>
    </row>
    <row r="5005" spans="1:187" ht="11.25" customHeight="1">
      <c r="A5005" s="1" t="s">
        <v>7103</v>
      </c>
      <c r="B5005" s="1" t="str">
        <f ca="1">IFERROR(__xludf.DUMMYFUNCTION("GOOGLETRANSLATE(A5005, ""en"", ""fr"")"),"HÉROS")</f>
        <v>HÉROS</v>
      </c>
      <c r="C5005" s="1" t="s">
        <v>185</v>
      </c>
      <c r="D5005" s="1" t="s">
        <v>16612</v>
      </c>
      <c r="F5005" s="1" t="s">
        <v>2</v>
      </c>
      <c r="J5005" s="1" t="s">
        <v>6</v>
      </c>
      <c r="K5005" s="1" t="s">
        <v>7</v>
      </c>
      <c r="W5005" s="1" t="s">
        <v>19</v>
      </c>
      <c r="AJ5005" s="1" t="s">
        <v>32</v>
      </c>
      <c r="AQ5005" s="1" t="s">
        <v>39</v>
      </c>
      <c r="AT5005" s="1" t="s">
        <v>42</v>
      </c>
      <c r="EM5005" s="1" t="s">
        <v>139</v>
      </c>
      <c r="EN5005" s="1" t="s">
        <v>140</v>
      </c>
      <c r="GD5005" s="1" t="s">
        <v>193</v>
      </c>
      <c r="GE5005" s="1" t="s">
        <v>190</v>
      </c>
    </row>
    <row r="5006" spans="1:187" ht="11.25" customHeight="1">
      <c r="A5006" s="1" t="s">
        <v>7104</v>
      </c>
      <c r="B5006" s="1" t="str">
        <f ca="1">IFERROR(__xludf.DUMMYFUNCTION("GOOGLETRANSLATE(A5006, ""en"", ""fr"")"),"HÉROÏQUE")</f>
        <v>HÉROÏQUE</v>
      </c>
      <c r="C5006" s="1" t="s">
        <v>185</v>
      </c>
      <c r="D5006" s="1" t="s">
        <v>16612</v>
      </c>
      <c r="F5006" s="1" t="s">
        <v>2</v>
      </c>
      <c r="J5006" s="1" t="s">
        <v>6</v>
      </c>
      <c r="K5006" s="1" t="s">
        <v>7</v>
      </c>
      <c r="U5006" s="1" t="s">
        <v>17</v>
      </c>
      <c r="W5006" s="1" t="s">
        <v>19</v>
      </c>
      <c r="DR5006" s="1" t="s">
        <v>118</v>
      </c>
      <c r="EM5006" s="1" t="s">
        <v>139</v>
      </c>
      <c r="EN5006" s="1" t="s">
        <v>140</v>
      </c>
      <c r="GD5006" s="1" t="s">
        <v>202</v>
      </c>
      <c r="GE5006" s="1" t="s">
        <v>190</v>
      </c>
    </row>
    <row r="5007" spans="1:187" ht="11.25" customHeight="1">
      <c r="A5007" s="1" t="s">
        <v>7105</v>
      </c>
      <c r="B5007" s="1" t="str">
        <f ca="1">IFERROR(__xludf.DUMMYFUNCTION("GOOGLETRANSLATE(A5007, ""en"", ""fr"")"),"HÉROÏNE")</f>
        <v>HÉROÏNE</v>
      </c>
      <c r="C5007" s="1" t="s">
        <v>185</v>
      </c>
      <c r="BC5007" s="1" t="s">
        <v>51</v>
      </c>
      <c r="BE5007" s="1" t="s">
        <v>53</v>
      </c>
      <c r="GD5007" s="1" t="s">
        <v>193</v>
      </c>
      <c r="GE5007" s="1" t="s">
        <v>190</v>
      </c>
    </row>
    <row r="5008" spans="1:187" ht="11.25" customHeight="1">
      <c r="A5008" s="1" t="s">
        <v>7106</v>
      </c>
      <c r="B5008" s="1" t="str">
        <f ca="1">IFERROR(__xludf.DUMMYFUNCTION("GOOGLETRANSLATE(A5008, ""en"", ""fr"")"),"HÉROÏNE")</f>
        <v>HÉROÏNE</v>
      </c>
      <c r="C5008" s="1" t="s">
        <v>185</v>
      </c>
      <c r="D5008" s="1" t="s">
        <v>16612</v>
      </c>
      <c r="F5008" s="1" t="s">
        <v>2</v>
      </c>
      <c r="W5008" s="1" t="s">
        <v>19</v>
      </c>
      <c r="AJ5008" s="1" t="s">
        <v>32</v>
      </c>
      <c r="AR5008" s="1" t="s">
        <v>40</v>
      </c>
      <c r="AT5008" s="1" t="s">
        <v>42</v>
      </c>
      <c r="EM5008" s="1" t="s">
        <v>139</v>
      </c>
      <c r="EN5008" s="1" t="s">
        <v>140</v>
      </c>
      <c r="GD5008" s="1" t="s">
        <v>193</v>
      </c>
      <c r="GE5008" s="1" t="s">
        <v>190</v>
      </c>
    </row>
    <row r="5009" spans="1:187" ht="11.25" customHeight="1">
      <c r="A5009" s="1" t="s">
        <v>7107</v>
      </c>
      <c r="B5009" s="1" t="str">
        <f ca="1">IFERROR(__xludf.DUMMYFUNCTION("GOOGLETRANSLATE(A5009, ""en"", ""fr"")"),"HÉROÏSME")</f>
        <v>HÉROÏSME</v>
      </c>
      <c r="C5009" s="1" t="s">
        <v>185</v>
      </c>
      <c r="D5009" s="1" t="s">
        <v>16612</v>
      </c>
      <c r="J5009" s="1" t="s">
        <v>6</v>
      </c>
      <c r="K5009" s="1" t="s">
        <v>7</v>
      </c>
      <c r="U5009" s="1" t="s">
        <v>17</v>
      </c>
      <c r="EE5009" s="1" t="s">
        <v>131</v>
      </c>
      <c r="EJ5009" s="1" t="s">
        <v>136</v>
      </c>
      <c r="GD5009" s="1" t="s">
        <v>193</v>
      </c>
      <c r="GE5009" s="1" t="s">
        <v>190</v>
      </c>
    </row>
    <row r="5010" spans="1:187" ht="11.25" customHeight="1">
      <c r="A5010" s="1" t="s">
        <v>7108</v>
      </c>
      <c r="B5010" s="1" t="str">
        <f ca="1">IFERROR(__xludf.DUMMYFUNCTION("GOOGLETRANSLATE(A5010, ""en"", ""fr"")"),"LA SIENNE")</f>
        <v>LA SIENNE</v>
      </c>
      <c r="C5010" s="1" t="s">
        <v>185</v>
      </c>
      <c r="AR5010" s="1" t="s">
        <v>40</v>
      </c>
      <c r="GD5010" s="1" t="s">
        <v>7109</v>
      </c>
      <c r="GE5010" s="1" t="s">
        <v>190</v>
      </c>
    </row>
    <row r="5011" spans="1:187" ht="11.25" customHeight="1">
      <c r="A5011" s="1" t="s">
        <v>7110</v>
      </c>
      <c r="B5011" s="1" t="str">
        <f ca="1">IFERROR(__xludf.DUMMYFUNCTION("GOOGLETRANSLATE(A5011, ""en"", ""fr"")"),"Elle-même # 1")</f>
        <v>Elle-même # 1</v>
      </c>
      <c r="C5011" s="1" t="s">
        <v>185</v>
      </c>
      <c r="AR5011" s="1" t="s">
        <v>40</v>
      </c>
      <c r="GD5011" s="1" t="s">
        <v>7111</v>
      </c>
      <c r="GE5011" s="1" t="s">
        <v>190</v>
      </c>
    </row>
    <row r="5012" spans="1:187" ht="11.25" customHeight="1">
      <c r="A5012" s="1" t="s">
        <v>7112</v>
      </c>
      <c r="B5012" s="1" t="str">
        <f ca="1">IFERROR(__xludf.DUMMYFUNCTION("GOOGLETRANSLATE(A5012, ""en"", ""fr"")"),"HÉSITATION")</f>
        <v>HÉSITATION</v>
      </c>
      <c r="C5012" s="1" t="s">
        <v>196</v>
      </c>
      <c r="FZ5012" s="1" t="s">
        <v>178</v>
      </c>
      <c r="GD5012" s="1" t="s">
        <v>193</v>
      </c>
    </row>
    <row r="5013" spans="1:187" ht="11.25" customHeight="1">
      <c r="A5013" s="1" t="s">
        <v>7113</v>
      </c>
      <c r="B5013" s="1" t="str">
        <f ca="1">IFERROR(__xludf.DUMMYFUNCTION("GOOGLETRANSLATE(A5013, ""en"", ""fr"")"),"HÉSITANT")</f>
        <v>HÉSITANT</v>
      </c>
      <c r="C5013" s="1" t="s">
        <v>185</v>
      </c>
      <c r="L5013" s="1" t="s">
        <v>8</v>
      </c>
      <c r="O5013" s="1" t="s">
        <v>11</v>
      </c>
      <c r="V5013" s="1" t="s">
        <v>18</v>
      </c>
      <c r="X5013" s="1" t="s">
        <v>20</v>
      </c>
      <c r="FZ5013" s="1" t="s">
        <v>178</v>
      </c>
      <c r="GD5013" s="1" t="s">
        <v>202</v>
      </c>
      <c r="GE5013" s="1" t="s">
        <v>190</v>
      </c>
    </row>
    <row r="5014" spans="1:187" ht="11.25" customHeight="1">
      <c r="A5014" s="1" t="s">
        <v>7114</v>
      </c>
      <c r="B5014" s="1" t="str">
        <f ca="1">IFERROR(__xludf.DUMMYFUNCTION("GOOGLETRANSLATE(A5014, ""en"", ""fr"")"),"HÉSITER")</f>
        <v>HÉSITER</v>
      </c>
      <c r="C5014" s="1" t="s">
        <v>185</v>
      </c>
      <c r="L5014" s="1" t="s">
        <v>8</v>
      </c>
      <c r="O5014" s="1" t="s">
        <v>11</v>
      </c>
      <c r="X5014" s="1" t="s">
        <v>20</v>
      </c>
      <c r="CA5014" s="1" t="s">
        <v>75</v>
      </c>
      <c r="DN5014" s="1" t="s">
        <v>114</v>
      </c>
      <c r="FZ5014" s="1" t="s">
        <v>178</v>
      </c>
      <c r="GD5014" s="1" t="s">
        <v>189</v>
      </c>
      <c r="GE5014" s="1" t="s">
        <v>190</v>
      </c>
    </row>
    <row r="5015" spans="1:187" ht="11.25" customHeight="1">
      <c r="A5015" s="1" t="s">
        <v>7115</v>
      </c>
      <c r="B5015" s="1" t="str">
        <f ca="1">IFERROR(__xludf.DUMMYFUNCTION("GOOGLETRANSLATE(A5015, ""en"", ""fr"")"),"HÉSITATION")</f>
        <v>HÉSITATION</v>
      </c>
      <c r="C5015" s="1" t="s">
        <v>185</v>
      </c>
      <c r="L5015" s="1" t="s">
        <v>8</v>
      </c>
      <c r="O5015" s="1" t="s">
        <v>11</v>
      </c>
      <c r="V5015" s="1" t="s">
        <v>18</v>
      </c>
      <c r="X5015" s="1" t="s">
        <v>20</v>
      </c>
      <c r="FZ5015" s="1" t="s">
        <v>178</v>
      </c>
      <c r="GD5015" s="1" t="s">
        <v>193</v>
      </c>
      <c r="GE5015" s="1" t="s">
        <v>190</v>
      </c>
    </row>
    <row r="5016" spans="1:187" ht="11.25" customHeight="1">
      <c r="A5016" s="1" t="s">
        <v>7116</v>
      </c>
      <c r="B5016" s="1" t="str">
        <f ca="1">IFERROR(__xludf.DUMMYFUNCTION("GOOGLETRANSLATE(A5016, ""en"", ""fr"")"),"HIATUS")</f>
        <v>HIATUS</v>
      </c>
      <c r="C5016" s="1" t="s">
        <v>196</v>
      </c>
      <c r="GB5016" s="1" t="s">
        <v>180</v>
      </c>
      <c r="GD5016" s="1" t="s">
        <v>193</v>
      </c>
    </row>
    <row r="5017" spans="1:187" ht="11.25" customHeight="1">
      <c r="A5017" s="1" t="s">
        <v>7117</v>
      </c>
      <c r="B5017" s="1" t="str">
        <f ca="1">IFERROR(__xludf.DUMMYFUNCTION("GOOGLETRANSLATE(A5017, ""en"", ""fr"")"),"Hid # 1")</f>
        <v>Hid # 1</v>
      </c>
      <c r="C5017" s="1" t="s">
        <v>192</v>
      </c>
      <c r="GD5017" s="1" t="s">
        <v>1085</v>
      </c>
      <c r="GE5017" s="1" t="s">
        <v>190</v>
      </c>
    </row>
    <row r="5018" spans="1:187" ht="11.25" customHeight="1">
      <c r="A5018" s="1" t="s">
        <v>7118</v>
      </c>
      <c r="B5018" s="1" t="str">
        <f ca="1">IFERROR(__xludf.DUMMYFUNCTION("GOOGLETRANSLATE(A5018, ""en"", ""fr"")"),"Caché n ° 1")</f>
        <v>Caché n ° 1</v>
      </c>
      <c r="C5018" s="1" t="s">
        <v>185</v>
      </c>
      <c r="O5018" s="1" t="s">
        <v>11</v>
      </c>
      <c r="CK5018" s="1" t="s">
        <v>85</v>
      </c>
      <c r="FH5018" s="1" t="s">
        <v>160</v>
      </c>
      <c r="FI5018" s="1" t="s">
        <v>161</v>
      </c>
      <c r="GD5018" s="1" t="s">
        <v>202</v>
      </c>
      <c r="GE5018" s="1" t="s">
        <v>7119</v>
      </c>
    </row>
    <row r="5019" spans="1:187" ht="11.25" customHeight="1">
      <c r="A5019" s="1" t="s">
        <v>7120</v>
      </c>
      <c r="B5019" s="1" t="str">
        <f ca="1">IFERROR(__xludf.DUMMYFUNCTION("GOOGLETRANSLATE(A5019, ""en"", ""fr"")"),"Caché # 2")</f>
        <v>Caché # 2</v>
      </c>
      <c r="C5019" s="1" t="s">
        <v>185</v>
      </c>
      <c r="I5019" s="1" t="s">
        <v>5</v>
      </c>
      <c r="AN5019" s="1" t="s">
        <v>36</v>
      </c>
      <c r="DN5019" s="1" t="s">
        <v>114</v>
      </c>
      <c r="FH5019" s="1" t="s">
        <v>160</v>
      </c>
      <c r="FI5019" s="1" t="s">
        <v>161</v>
      </c>
      <c r="GD5019" s="1" t="s">
        <v>1076</v>
      </c>
      <c r="GE5019" s="1" t="s">
        <v>7121</v>
      </c>
    </row>
    <row r="5020" spans="1:187" ht="11.25" customHeight="1">
      <c r="A5020" s="1" t="s">
        <v>7122</v>
      </c>
      <c r="B5020" s="1" t="str">
        <f ca="1">IFERROR(__xludf.DUMMYFUNCTION("GOOGLETRANSLATE(A5020, ""en"", ""fr"")"),"Masquer n ° 1")</f>
        <v>Masquer n ° 1</v>
      </c>
      <c r="C5020" s="1" t="s">
        <v>185</v>
      </c>
      <c r="I5020" s="1" t="s">
        <v>5</v>
      </c>
      <c r="L5020" s="1" t="s">
        <v>8</v>
      </c>
      <c r="N5020" s="1" t="s">
        <v>10</v>
      </c>
      <c r="AN5020" s="1" t="s">
        <v>36</v>
      </c>
      <c r="DN5020" s="1" t="s">
        <v>114</v>
      </c>
      <c r="FH5020" s="1" t="s">
        <v>160</v>
      </c>
      <c r="FI5020" s="1" t="s">
        <v>161</v>
      </c>
      <c r="GD5020" s="1" t="s">
        <v>189</v>
      </c>
      <c r="GE5020" s="1" t="s">
        <v>7123</v>
      </c>
    </row>
    <row r="5021" spans="1:187" ht="11.25" customHeight="1">
      <c r="A5021" s="1" t="s">
        <v>7124</v>
      </c>
      <c r="B5021" s="1" t="str">
        <f ca="1">IFERROR(__xludf.DUMMYFUNCTION("GOOGLETRANSLATE(A5021, ""en"", ""fr"")"),"Masquer # 2")</f>
        <v>Masquer # 2</v>
      </c>
      <c r="C5021" s="1" t="s">
        <v>185</v>
      </c>
      <c r="I5021" s="1" t="s">
        <v>5</v>
      </c>
      <c r="L5021" s="1" t="s">
        <v>8</v>
      </c>
      <c r="N5021" s="1" t="s">
        <v>10</v>
      </c>
      <c r="AN5021" s="1" t="s">
        <v>36</v>
      </c>
      <c r="DN5021" s="1" t="s">
        <v>114</v>
      </c>
      <c r="FH5021" s="1" t="s">
        <v>160</v>
      </c>
      <c r="FI5021" s="1" t="s">
        <v>161</v>
      </c>
      <c r="GD5021" s="1" t="s">
        <v>189</v>
      </c>
      <c r="GE5021" s="1" t="s">
        <v>7125</v>
      </c>
    </row>
    <row r="5022" spans="1:187" ht="11.25" customHeight="1">
      <c r="A5022" s="1" t="s">
        <v>7126</v>
      </c>
      <c r="B5022" s="1" t="str">
        <f ca="1">IFERROR(__xludf.DUMMYFUNCTION("GOOGLETRANSLATE(A5022, ""en"", ""fr"")"),"Masquer # 3")</f>
        <v>Masquer # 3</v>
      </c>
      <c r="C5022" s="1" t="s">
        <v>185</v>
      </c>
      <c r="BC5022" s="1" t="s">
        <v>51</v>
      </c>
      <c r="BD5022" s="1" t="s">
        <v>52</v>
      </c>
      <c r="EV5022" s="1" t="s">
        <v>148</v>
      </c>
      <c r="EW5022" s="1" t="s">
        <v>149</v>
      </c>
      <c r="GD5022" s="1" t="s">
        <v>193</v>
      </c>
      <c r="GE5022" s="1" t="s">
        <v>7127</v>
      </c>
    </row>
    <row r="5023" spans="1:187" ht="11.25" customHeight="1">
      <c r="A5023" s="1" t="s">
        <v>7128</v>
      </c>
      <c r="B5023" s="1" t="str">
        <f ca="1">IFERROR(__xludf.DUMMYFUNCTION("GOOGLETRANSLATE(A5023, ""en"", ""fr"")"),"Masquer # 4")</f>
        <v>Masquer # 4</v>
      </c>
      <c r="C5023" s="1" t="s">
        <v>185</v>
      </c>
      <c r="CK5023" s="1" t="s">
        <v>85</v>
      </c>
      <c r="FH5023" s="1" t="s">
        <v>160</v>
      </c>
      <c r="FI5023" s="1" t="s">
        <v>161</v>
      </c>
      <c r="GD5023" s="1" t="s">
        <v>202</v>
      </c>
      <c r="GE5023" s="1" t="s">
        <v>7129</v>
      </c>
    </row>
    <row r="5024" spans="1:187" ht="11.25" customHeight="1">
      <c r="A5024" s="1" t="s">
        <v>7130</v>
      </c>
      <c r="B5024" s="1" t="str">
        <f ca="1">IFERROR(__xludf.DUMMYFUNCTION("GOOGLETRANSLATE(A5024, ""en"", ""fr"")"),"Masquer # 5")</f>
        <v>Masquer # 5</v>
      </c>
      <c r="C5024" s="1" t="s">
        <v>185</v>
      </c>
      <c r="AD5024" s="1" t="s">
        <v>26</v>
      </c>
      <c r="AM5024" s="1" t="s">
        <v>35</v>
      </c>
      <c r="GD5024" s="1" t="s">
        <v>193</v>
      </c>
      <c r="GE5024" s="1" t="s">
        <v>7131</v>
      </c>
    </row>
    <row r="5025" spans="1:187" ht="11.25" customHeight="1">
      <c r="A5025" s="1" t="s">
        <v>7132</v>
      </c>
      <c r="B5025" s="1" t="str">
        <f ca="1">IFERROR(__xludf.DUMMYFUNCTION("GOOGLETRANSLATE(A5025, ""en"", ""fr"")"),"HIDEUX")</f>
        <v>HIDEUX</v>
      </c>
      <c r="C5025" s="1" t="s">
        <v>185</v>
      </c>
      <c r="E5025" s="1" t="s">
        <v>16613</v>
      </c>
      <c r="H5025" s="1" t="s">
        <v>4</v>
      </c>
      <c r="V5025" s="1" t="s">
        <v>18</v>
      </c>
      <c r="W5025" s="1" t="s">
        <v>19</v>
      </c>
      <c r="CN5025" s="1" t="s">
        <v>88</v>
      </c>
      <c r="FW5025" s="1" t="s">
        <v>175</v>
      </c>
      <c r="GD5025" s="1" t="s">
        <v>202</v>
      </c>
      <c r="GE5025" s="1" t="s">
        <v>190</v>
      </c>
    </row>
    <row r="5026" spans="1:187" ht="11.25" customHeight="1">
      <c r="A5026" s="1" t="s">
        <v>7133</v>
      </c>
      <c r="B5026" s="1" t="str">
        <f ca="1">IFERROR(__xludf.DUMMYFUNCTION("GOOGLETRANSLATE(A5026, ""en"", ""fr"")"),"HIÉRARCHIE")</f>
        <v>HIÉRARCHIE</v>
      </c>
      <c r="C5026" s="1" t="s">
        <v>185</v>
      </c>
      <c r="DD5026" s="1" t="s">
        <v>104</v>
      </c>
      <c r="EC5026" s="1" t="s">
        <v>129</v>
      </c>
      <c r="ED5026" s="1" t="s">
        <v>130</v>
      </c>
      <c r="GD5026" s="1" t="s">
        <v>193</v>
      </c>
      <c r="GE5026" s="1" t="s">
        <v>190</v>
      </c>
    </row>
    <row r="5027" spans="1:187" ht="11.25" customHeight="1">
      <c r="A5027" s="1" t="s">
        <v>7134</v>
      </c>
      <c r="B5027" s="1" t="str">
        <f ca="1">IFERROR(__xludf.DUMMYFUNCTION("GOOGLETRANSLATE(A5027, ""en"", ""fr"")"),"High # 1")</f>
        <v>High # 1</v>
      </c>
      <c r="C5027" s="1" t="s">
        <v>185</v>
      </c>
      <c r="J5027" s="1" t="s">
        <v>6</v>
      </c>
      <c r="W5027" s="1" t="s">
        <v>19</v>
      </c>
      <c r="DA5027" s="1" t="s">
        <v>101</v>
      </c>
      <c r="DB5027" s="1" t="s">
        <v>102</v>
      </c>
      <c r="DC5027" s="1" t="s">
        <v>103</v>
      </c>
      <c r="GD5027" s="1" t="s">
        <v>202</v>
      </c>
      <c r="GE5027" s="1" t="s">
        <v>7135</v>
      </c>
    </row>
    <row r="5028" spans="1:187" ht="11.25" customHeight="1">
      <c r="A5028" s="1" t="s">
        <v>7136</v>
      </c>
      <c r="B5028" s="1" t="str">
        <f ca="1">IFERROR(__xludf.DUMMYFUNCTION("GOOGLETRANSLATE(A5028, ""en"", ""fr"")"),"High # 2")</f>
        <v>High # 2</v>
      </c>
      <c r="C5028" s="1" t="s">
        <v>185</v>
      </c>
      <c r="Y5028" s="1" t="s">
        <v>21</v>
      </c>
      <c r="AV5028" s="1" t="s">
        <v>44</v>
      </c>
      <c r="AW5028" s="1" t="s">
        <v>45</v>
      </c>
      <c r="FH5028" s="1" t="s">
        <v>160</v>
      </c>
      <c r="FI5028" s="1" t="s">
        <v>161</v>
      </c>
      <c r="FN5028" s="1" t="s">
        <v>166</v>
      </c>
      <c r="GD5028" s="1" t="s">
        <v>193</v>
      </c>
      <c r="GE5028" s="1" t="s">
        <v>7137</v>
      </c>
    </row>
    <row r="5029" spans="1:187" ht="11.25" customHeight="1">
      <c r="A5029" s="1" t="s">
        <v>7138</v>
      </c>
      <c r="B5029" s="1" t="str">
        <f ca="1">IFERROR(__xludf.DUMMYFUNCTION("GOOGLETRANSLATE(A5029, ""en"", ""fr"")"),"High # 3")</f>
        <v>High # 3</v>
      </c>
      <c r="C5029" s="1" t="s">
        <v>185</v>
      </c>
      <c r="J5029" s="1" t="s">
        <v>6</v>
      </c>
      <c r="W5029" s="1" t="s">
        <v>19</v>
      </c>
      <c r="CS5029" s="1" t="s">
        <v>93</v>
      </c>
      <c r="GD5029" s="1" t="s">
        <v>236</v>
      </c>
      <c r="GE5029" s="1" t="s">
        <v>7139</v>
      </c>
    </row>
    <row r="5030" spans="1:187" ht="11.25" customHeight="1">
      <c r="A5030" s="1" t="s">
        <v>7140</v>
      </c>
      <c r="B5030" s="1" t="str">
        <f ca="1">IFERROR(__xludf.DUMMYFUNCTION("GOOGLETRANSLATE(A5030, ""en"", ""fr"")"),"High # 4")</f>
        <v>High # 4</v>
      </c>
      <c r="C5030" s="1" t="s">
        <v>185</v>
      </c>
      <c r="J5030" s="1" t="s">
        <v>6</v>
      </c>
      <c r="DA5030" s="1" t="s">
        <v>101</v>
      </c>
      <c r="DB5030" s="1" t="s">
        <v>102</v>
      </c>
      <c r="DC5030" s="1" t="s">
        <v>103</v>
      </c>
      <c r="GD5030" s="1" t="s">
        <v>202</v>
      </c>
      <c r="GE5030" s="1" t="s">
        <v>7141</v>
      </c>
    </row>
    <row r="5031" spans="1:187" ht="11.25" customHeight="1">
      <c r="A5031" s="1" t="s">
        <v>7142</v>
      </c>
      <c r="B5031" s="1" t="str">
        <f ca="1">IFERROR(__xludf.DUMMYFUNCTION("GOOGLETRANSLATE(A5031, ""en"", ""fr"")"),"High # 5")</f>
        <v>High # 5</v>
      </c>
      <c r="C5031" s="1" t="s">
        <v>185</v>
      </c>
      <c r="J5031" s="1" t="s">
        <v>6</v>
      </c>
      <c r="DA5031" s="1" t="s">
        <v>101</v>
      </c>
      <c r="DB5031" s="1" t="s">
        <v>102</v>
      </c>
      <c r="DC5031" s="1" t="s">
        <v>103</v>
      </c>
      <c r="GD5031" s="1" t="s">
        <v>202</v>
      </c>
      <c r="GE5031" s="1" t="s">
        <v>7143</v>
      </c>
    </row>
    <row r="5032" spans="1:187" ht="11.25" customHeight="1">
      <c r="A5032" s="1" t="s">
        <v>7144</v>
      </c>
      <c r="B5032" s="1" t="str">
        <f ca="1">IFERROR(__xludf.DUMMYFUNCTION("GOOGLETRANSLATE(A5032, ""en"", ""fr"")"),"High # 6")</f>
        <v>High # 6</v>
      </c>
      <c r="C5032" s="1" t="s">
        <v>185</v>
      </c>
      <c r="W5032" s="1" t="s">
        <v>19</v>
      </c>
      <c r="CY5032" s="1" t="s">
        <v>99</v>
      </c>
      <c r="GD5032" s="1" t="s">
        <v>193</v>
      </c>
      <c r="GE5032" s="1" t="s">
        <v>7145</v>
      </c>
    </row>
    <row r="5033" spans="1:187" ht="11.25" customHeight="1">
      <c r="A5033" s="1" t="s">
        <v>7146</v>
      </c>
      <c r="B5033" s="1" t="str">
        <f ca="1">IFERROR(__xludf.DUMMYFUNCTION("GOOGLETRANSLATE(A5033, ""en"", ""fr"")"),"SOULIGNER")</f>
        <v>SOULIGNER</v>
      </c>
      <c r="C5033" s="1" t="s">
        <v>192</v>
      </c>
      <c r="D5033" s="1" t="s">
        <v>16612</v>
      </c>
      <c r="N5033" s="1" t="s">
        <v>10</v>
      </c>
      <c r="W5033" s="1" t="s">
        <v>19</v>
      </c>
      <c r="DN5033" s="1" t="s">
        <v>114</v>
      </c>
      <c r="GD5033" s="1" t="s">
        <v>189</v>
      </c>
      <c r="GE5033" s="1" t="s">
        <v>190</v>
      </c>
    </row>
    <row r="5034" spans="1:187" ht="11.25" customHeight="1">
      <c r="A5034" s="1" t="s">
        <v>7147</v>
      </c>
      <c r="B5034" s="1" t="str">
        <f ca="1">IFERROR(__xludf.DUMMYFUNCTION("GOOGLETRANSLATE(A5034, ""en"", ""fr"")"),"AUTOROUTE")</f>
        <v>AUTOROUTE</v>
      </c>
      <c r="C5034" s="1" t="s">
        <v>185</v>
      </c>
      <c r="AV5034" s="1" t="s">
        <v>44</v>
      </c>
      <c r="AY5034" s="1" t="s">
        <v>47</v>
      </c>
      <c r="EV5034" s="1" t="s">
        <v>148</v>
      </c>
      <c r="EW5034" s="1" t="s">
        <v>149</v>
      </c>
      <c r="GD5034" s="1" t="s">
        <v>193</v>
      </c>
      <c r="GE5034" s="1" t="s">
        <v>190</v>
      </c>
    </row>
    <row r="5035" spans="1:187" ht="11.25" customHeight="1">
      <c r="A5035" s="1" t="s">
        <v>7148</v>
      </c>
      <c r="B5035" s="1" t="str">
        <f ca="1">IFERROR(__xludf.DUMMYFUNCTION("GOOGLETRANSLATE(A5035, ""en"", ""fr"")"),"HILARANT")</f>
        <v>HILARANT</v>
      </c>
      <c r="C5035" s="1" t="s">
        <v>192</v>
      </c>
      <c r="D5035" s="1" t="s">
        <v>16612</v>
      </c>
      <c r="P5035" s="1" t="s">
        <v>12</v>
      </c>
      <c r="CM5035" s="1" t="s">
        <v>87</v>
      </c>
      <c r="CR5035" s="1" t="s">
        <v>92</v>
      </c>
      <c r="DR5035" s="1" t="s">
        <v>118</v>
      </c>
      <c r="GD5035" s="1" t="s">
        <v>202</v>
      </c>
      <c r="GE5035" s="1" t="s">
        <v>190</v>
      </c>
    </row>
    <row r="5036" spans="1:187" ht="11.25" customHeight="1">
      <c r="A5036" s="1" t="s">
        <v>7149</v>
      </c>
      <c r="B5036" s="1" t="str">
        <f ca="1">IFERROR(__xludf.DUMMYFUNCTION("GOOGLETRANSLATE(A5036, ""en"", ""fr"")"),"COLLINE")</f>
        <v>COLLINE</v>
      </c>
      <c r="C5036" s="1" t="s">
        <v>185</v>
      </c>
      <c r="AV5036" s="1" t="s">
        <v>44</v>
      </c>
      <c r="BA5036" s="1" t="s">
        <v>49</v>
      </c>
      <c r="GD5036" s="1" t="s">
        <v>193</v>
      </c>
      <c r="GE5036" s="1" t="s">
        <v>7150</v>
      </c>
    </row>
    <row r="5037" spans="1:187" ht="11.25" customHeight="1">
      <c r="A5037" s="1" t="s">
        <v>7151</v>
      </c>
      <c r="B5037" s="1" t="str">
        <f ca="1">IFERROR(__xludf.DUMMYFUNCTION("GOOGLETRANSLATE(A5037, ""en"", ""fr"")"),"FLANC DE COTEAU")</f>
        <v>FLANC DE COTEAU</v>
      </c>
      <c r="C5037" s="1" t="s">
        <v>185</v>
      </c>
      <c r="AV5037" s="1" t="s">
        <v>44</v>
      </c>
      <c r="BA5037" s="1" t="s">
        <v>49</v>
      </c>
      <c r="GD5037" s="1" t="s">
        <v>193</v>
      </c>
      <c r="GE5037" s="1" t="s">
        <v>190</v>
      </c>
    </row>
    <row r="5038" spans="1:187" ht="11.25" customHeight="1">
      <c r="A5038" s="1" t="s">
        <v>7152</v>
      </c>
      <c r="B5038" s="1" t="str">
        <f ca="1">IFERROR(__xludf.DUMMYFUNCTION("GOOGLETRANSLATE(A5038, ""en"", ""fr"")"),"VALLONNÉ")</f>
        <v>VALLONNÉ</v>
      </c>
      <c r="C5038" s="1" t="s">
        <v>185</v>
      </c>
      <c r="AV5038" s="1" t="s">
        <v>44</v>
      </c>
      <c r="BA5038" s="1" t="s">
        <v>49</v>
      </c>
      <c r="GD5038" s="1" t="s">
        <v>202</v>
      </c>
      <c r="GE5038" s="1" t="s">
        <v>190</v>
      </c>
    </row>
    <row r="5039" spans="1:187" ht="11.25" customHeight="1">
      <c r="A5039" s="1" t="s">
        <v>7153</v>
      </c>
      <c r="B5039" s="1" t="str">
        <f ca="1">IFERROR(__xludf.DUMMYFUNCTION("GOOGLETRANSLATE(A5039, ""en"", ""fr"")"),"LUI")</f>
        <v>LUI</v>
      </c>
      <c r="C5039" s="1" t="s">
        <v>185</v>
      </c>
      <c r="AQ5039" s="1" t="s">
        <v>39</v>
      </c>
      <c r="GD5039" s="1" t="s">
        <v>7154</v>
      </c>
      <c r="GE5039" s="1" t="s">
        <v>7155</v>
      </c>
    </row>
    <row r="5040" spans="1:187" ht="11.25" customHeight="1">
      <c r="A5040" s="1" t="s">
        <v>7156</v>
      </c>
      <c r="B5040" s="1" t="str">
        <f ca="1">IFERROR(__xludf.DUMMYFUNCTION("GOOGLETRANSLATE(A5040, ""en"", ""fr"")"),"Lui-même # 1")</f>
        <v>Lui-même # 1</v>
      </c>
      <c r="C5040" s="1" t="s">
        <v>185</v>
      </c>
      <c r="AQ5040" s="1" t="s">
        <v>39</v>
      </c>
      <c r="GD5040" s="1" t="s">
        <v>7111</v>
      </c>
      <c r="GE5040" s="1" t="s">
        <v>190</v>
      </c>
    </row>
    <row r="5041" spans="1:187" ht="11.25" customHeight="1">
      <c r="A5041" s="1" t="s">
        <v>7157</v>
      </c>
      <c r="B5041" s="1" t="str">
        <f ca="1">IFERROR(__xludf.DUMMYFUNCTION("GOOGLETRANSLATE(A5041, ""en"", ""fr"")"),"DE DERRIÈRE")</f>
        <v>DE DERRIÈRE</v>
      </c>
      <c r="C5041" s="1" t="s">
        <v>185</v>
      </c>
      <c r="DA5041" s="1" t="s">
        <v>101</v>
      </c>
      <c r="GD5041" s="1" t="s">
        <v>202</v>
      </c>
      <c r="GE5041" s="1" t="s">
        <v>190</v>
      </c>
    </row>
    <row r="5042" spans="1:187" ht="11.25" customHeight="1">
      <c r="A5042" s="1" t="s">
        <v>7158</v>
      </c>
      <c r="B5042" s="1" t="str">
        <f ca="1">IFERROR(__xludf.DUMMYFUNCTION("GOOGLETRANSLATE(A5042, ""en"", ""fr"")"),"ENTRAVER")</f>
        <v>ENTRAVER</v>
      </c>
      <c r="C5042" s="1" t="s">
        <v>185</v>
      </c>
      <c r="E5042" s="1" t="s">
        <v>16613</v>
      </c>
      <c r="H5042" s="1" t="s">
        <v>4</v>
      </c>
      <c r="I5042" s="1" t="s">
        <v>5</v>
      </c>
      <c r="J5042" s="1" t="s">
        <v>6</v>
      </c>
      <c r="AN5042" s="1" t="s">
        <v>36</v>
      </c>
      <c r="DN5042" s="1" t="s">
        <v>114</v>
      </c>
      <c r="FO5042" s="1" t="s">
        <v>167</v>
      </c>
      <c r="GD5042" s="1" t="s">
        <v>189</v>
      </c>
      <c r="GE5042" s="1" t="s">
        <v>190</v>
      </c>
    </row>
    <row r="5043" spans="1:187" ht="11.25" customHeight="1">
      <c r="A5043" s="1" t="s">
        <v>7159</v>
      </c>
      <c r="B5043" s="1" t="str">
        <f ca="1">IFERROR(__xludf.DUMMYFUNCTION("GOOGLETRANSLATE(A5043, ""en"", ""fr"")"),"OBSTACLE")</f>
        <v>OBSTACLE</v>
      </c>
      <c r="C5043" s="1" t="s">
        <v>185</v>
      </c>
      <c r="E5043" s="1" t="s">
        <v>16613</v>
      </c>
      <c r="H5043" s="1" t="s">
        <v>4</v>
      </c>
      <c r="I5043" s="1" t="s">
        <v>5</v>
      </c>
      <c r="V5043" s="1" t="s">
        <v>18</v>
      </c>
      <c r="FO5043" s="1" t="s">
        <v>167</v>
      </c>
      <c r="GD5043" s="1" t="s">
        <v>193</v>
      </c>
      <c r="GE5043" s="1" t="s">
        <v>190</v>
      </c>
    </row>
    <row r="5044" spans="1:187" ht="11.25" customHeight="1">
      <c r="A5044" s="1" t="s">
        <v>7160</v>
      </c>
      <c r="B5044" s="1" t="str">
        <f ca="1">IFERROR(__xludf.DUMMYFUNCTION("GOOGLETRANSLATE(A5044, ""en"", ""fr"")"),"Hinge # 1")</f>
        <v>Hinge # 1</v>
      </c>
      <c r="C5044" s="1" t="s">
        <v>185</v>
      </c>
      <c r="BC5044" s="1" t="s">
        <v>51</v>
      </c>
      <c r="BD5044" s="1" t="s">
        <v>52</v>
      </c>
      <c r="GD5044" s="1" t="s">
        <v>193</v>
      </c>
      <c r="GE5044" s="1" t="s">
        <v>190</v>
      </c>
    </row>
    <row r="5045" spans="1:187" ht="11.25" customHeight="1">
      <c r="A5045" s="1" t="s">
        <v>7161</v>
      </c>
      <c r="B5045" s="1" t="str">
        <f ca="1">IFERROR(__xludf.DUMMYFUNCTION("GOOGLETRANSLATE(A5045, ""en"", ""fr"")"),"Hinge # 2")</f>
        <v>Hinge # 2</v>
      </c>
      <c r="C5045" s="1" t="s">
        <v>185</v>
      </c>
      <c r="DD5045" s="1" t="s">
        <v>104</v>
      </c>
      <c r="DN5045" s="1" t="s">
        <v>114</v>
      </c>
      <c r="GD5045" s="1" t="s">
        <v>189</v>
      </c>
      <c r="GE5045" s="1" t="s">
        <v>190</v>
      </c>
    </row>
    <row r="5046" spans="1:187" ht="11.25" customHeight="1">
      <c r="A5046" s="1" t="s">
        <v>7162</v>
      </c>
      <c r="B5046" s="1" t="str">
        <f ca="1">IFERROR(__xludf.DUMMYFUNCTION("GOOGLETRANSLATE(A5046, ""en"", ""fr"")"),"HANCHE")</f>
        <v>HANCHE</v>
      </c>
      <c r="C5046" s="1" t="s">
        <v>185</v>
      </c>
      <c r="BJ5046" s="1" t="s">
        <v>58</v>
      </c>
      <c r="GD5046" s="1" t="s">
        <v>193</v>
      </c>
      <c r="GE5046" s="1" t="s">
        <v>190</v>
      </c>
    </row>
    <row r="5047" spans="1:187" ht="11.25" customHeight="1">
      <c r="A5047" s="1" t="s">
        <v>7163</v>
      </c>
      <c r="B5047" s="1" t="str">
        <f ca="1">IFERROR(__xludf.DUMMYFUNCTION("GOOGLETRANSLATE(A5047, ""en"", ""fr"")"),"EMBAUCHER")</f>
        <v>EMBAUCHER</v>
      </c>
      <c r="C5047" s="1" t="s">
        <v>185</v>
      </c>
      <c r="J5047" s="1" t="s">
        <v>6</v>
      </c>
      <c r="K5047" s="1" t="s">
        <v>7</v>
      </c>
      <c r="N5047" s="1" t="s">
        <v>10</v>
      </c>
      <c r="AA5047" s="1" t="s">
        <v>23</v>
      </c>
      <c r="AB5047" s="1" t="s">
        <v>24</v>
      </c>
      <c r="DN5047" s="1" t="s">
        <v>114</v>
      </c>
      <c r="EU5047" s="1" t="s">
        <v>147</v>
      </c>
      <c r="EW5047" s="1" t="s">
        <v>149</v>
      </c>
      <c r="GD5047" s="1" t="s">
        <v>189</v>
      </c>
      <c r="GE5047" s="1" t="s">
        <v>190</v>
      </c>
    </row>
    <row r="5048" spans="1:187" ht="11.25" customHeight="1">
      <c r="A5048" s="1" t="s">
        <v>7164</v>
      </c>
      <c r="B5048" s="1" t="str">
        <f ca="1">IFERROR(__xludf.DUMMYFUNCTION("GOOGLETRANSLATE(A5048, ""en"", ""fr"")"),"SON")</f>
        <v>SON</v>
      </c>
      <c r="C5048" s="1" t="s">
        <v>185</v>
      </c>
      <c r="AQ5048" s="1" t="s">
        <v>39</v>
      </c>
      <c r="GD5048" s="1" t="s">
        <v>7165</v>
      </c>
      <c r="GE5048" s="1" t="s">
        <v>7166</v>
      </c>
    </row>
    <row r="5049" spans="1:187" ht="11.25" customHeight="1">
      <c r="A5049" s="1" t="s">
        <v>7167</v>
      </c>
      <c r="B5049" s="1" t="str">
        <f ca="1">IFERROR(__xludf.DUMMYFUNCTION("GOOGLETRANSLATE(A5049, ""en"", ""fr"")"),"HISTORIEN")</f>
        <v>HISTORIEN</v>
      </c>
      <c r="C5049" s="1" t="s">
        <v>185</v>
      </c>
      <c r="Y5049" s="1" t="s">
        <v>21</v>
      </c>
      <c r="AJ5049" s="1" t="s">
        <v>32</v>
      </c>
      <c r="AT5049" s="1" t="s">
        <v>42</v>
      </c>
      <c r="FG5049" s="1" t="s">
        <v>159</v>
      </c>
      <c r="FI5049" s="1" t="s">
        <v>161</v>
      </c>
      <c r="GD5049" s="1" t="s">
        <v>193</v>
      </c>
      <c r="GE5049" s="1" t="s">
        <v>190</v>
      </c>
    </row>
    <row r="5050" spans="1:187" ht="11.25" customHeight="1">
      <c r="A5050" s="1" t="s">
        <v>7168</v>
      </c>
      <c r="B5050" s="1" t="str">
        <f ca="1">IFERROR(__xludf.DUMMYFUNCTION("GOOGLETRANSLATE(A5050, ""en"", ""fr"")"),"HISTORIQUE")</f>
        <v>HISTORIQUE</v>
      </c>
      <c r="C5050" s="1" t="s">
        <v>185</v>
      </c>
      <c r="Y5050" s="1" t="s">
        <v>21</v>
      </c>
      <c r="Z5050" s="1" t="s">
        <v>22</v>
      </c>
      <c r="FH5050" s="1" t="s">
        <v>160</v>
      </c>
      <c r="FI5050" s="1" t="s">
        <v>161</v>
      </c>
      <c r="GD5050" s="1" t="s">
        <v>202</v>
      </c>
      <c r="GE5050" s="1" t="s">
        <v>190</v>
      </c>
    </row>
    <row r="5051" spans="1:187" ht="11.25" customHeight="1">
      <c r="A5051" s="1" t="s">
        <v>7169</v>
      </c>
      <c r="B5051" s="1" t="str">
        <f ca="1">IFERROR(__xludf.DUMMYFUNCTION("GOOGLETRANSLATE(A5051, ""en"", ""fr"")"),"HISTORIQUE")</f>
        <v>HISTORIQUE</v>
      </c>
      <c r="C5051" s="1" t="s">
        <v>185</v>
      </c>
      <c r="Y5051" s="1" t="s">
        <v>21</v>
      </c>
      <c r="Z5051" s="1" t="s">
        <v>22</v>
      </c>
      <c r="FH5051" s="1" t="s">
        <v>160</v>
      </c>
      <c r="FI5051" s="1" t="s">
        <v>161</v>
      </c>
      <c r="GD5051" s="1" t="s">
        <v>202</v>
      </c>
      <c r="GE5051" s="1" t="s">
        <v>190</v>
      </c>
    </row>
    <row r="5052" spans="1:187" ht="11.25" customHeight="1">
      <c r="A5052" s="1" t="s">
        <v>7170</v>
      </c>
      <c r="B5052" s="1" t="str">
        <f ca="1">IFERROR(__xludf.DUMMYFUNCTION("GOOGLETRANSLATE(A5052, ""en"", ""fr"")"),"HISTOIRE")</f>
        <v>HISTOIRE</v>
      </c>
      <c r="C5052" s="1" t="s">
        <v>185</v>
      </c>
      <c r="Y5052" s="1" t="s">
        <v>21</v>
      </c>
      <c r="Z5052" s="1" t="s">
        <v>22</v>
      </c>
      <c r="CP5052" s="1" t="s">
        <v>90</v>
      </c>
      <c r="CQ5052" s="1" t="s">
        <v>91</v>
      </c>
      <c r="FH5052" s="1" t="s">
        <v>160</v>
      </c>
      <c r="FI5052" s="1" t="s">
        <v>161</v>
      </c>
      <c r="GD5052" s="1" t="s">
        <v>193</v>
      </c>
      <c r="GE5052" s="1" t="s">
        <v>7171</v>
      </c>
    </row>
    <row r="5053" spans="1:187" ht="11.25" customHeight="1">
      <c r="A5053" s="1" t="s">
        <v>7172</v>
      </c>
      <c r="B5053" s="1" t="str">
        <f ca="1">IFERROR(__xludf.DUMMYFUNCTION("GOOGLETRANSLATE(A5053, ""en"", ""fr"")"),"Hit # 1")</f>
        <v>Hit # 1</v>
      </c>
      <c r="C5053" s="1" t="s">
        <v>185</v>
      </c>
      <c r="E5053" s="1" t="s">
        <v>16613</v>
      </c>
      <c r="H5053" s="1" t="s">
        <v>4</v>
      </c>
      <c r="I5053" s="1" t="s">
        <v>5</v>
      </c>
      <c r="J5053" s="1" t="s">
        <v>6</v>
      </c>
      <c r="N5053" s="1" t="s">
        <v>10</v>
      </c>
      <c r="CC5053" s="1" t="s">
        <v>77</v>
      </c>
      <c r="DO5053" s="1" t="s">
        <v>115</v>
      </c>
      <c r="FO5053" s="1" t="s">
        <v>167</v>
      </c>
      <c r="GD5053" s="1" t="s">
        <v>400</v>
      </c>
      <c r="GE5053" s="1" t="s">
        <v>7173</v>
      </c>
    </row>
    <row r="5054" spans="1:187" ht="11.25" customHeight="1">
      <c r="A5054" s="1" t="s">
        <v>7174</v>
      </c>
      <c r="B5054" s="1" t="str">
        <f ca="1">IFERROR(__xludf.DUMMYFUNCTION("GOOGLETRANSLATE(A5054, ""en"", ""fr"")"),"Hit # 2")</f>
        <v>Hit # 2</v>
      </c>
      <c r="C5054" s="1" t="s">
        <v>185</v>
      </c>
      <c r="J5054" s="1" t="s">
        <v>6</v>
      </c>
      <c r="U5054" s="1" t="s">
        <v>17</v>
      </c>
      <c r="GD5054" s="1" t="s">
        <v>193</v>
      </c>
      <c r="GE5054" s="1" t="s">
        <v>7175</v>
      </c>
    </row>
    <row r="5055" spans="1:187" ht="11.25" customHeight="1">
      <c r="A5055" s="1" t="s">
        <v>7176</v>
      </c>
      <c r="B5055" s="1" t="str">
        <f ca="1">IFERROR(__xludf.DUMMYFUNCTION("GOOGLETRANSLATE(A5055, ""en"", ""fr"")"),"Hit # 3")</f>
        <v>Hit # 3</v>
      </c>
      <c r="C5055" s="1" t="s">
        <v>185</v>
      </c>
      <c r="N5055" s="1" t="s">
        <v>10</v>
      </c>
      <c r="CO5055" s="1" t="s">
        <v>89</v>
      </c>
      <c r="DN5055" s="1" t="s">
        <v>114</v>
      </c>
      <c r="FD5055" s="1" t="s">
        <v>156</v>
      </c>
      <c r="FI5055" s="1" t="s">
        <v>161</v>
      </c>
      <c r="GD5055" s="1" t="s">
        <v>189</v>
      </c>
      <c r="GE5055" s="1" t="s">
        <v>7177</v>
      </c>
    </row>
    <row r="5056" spans="1:187" ht="11.25" customHeight="1">
      <c r="A5056" s="1" t="s">
        <v>7178</v>
      </c>
      <c r="B5056" s="1" t="str">
        <f ca="1">IFERROR(__xludf.DUMMYFUNCTION("GOOGLETRANSLATE(A5056, ""en"", ""fr"")"),"Hit # 4")</f>
        <v>Hit # 4</v>
      </c>
      <c r="C5056" s="1" t="s">
        <v>185</v>
      </c>
      <c r="E5056" s="1" t="s">
        <v>16613</v>
      </c>
      <c r="H5056" s="1" t="s">
        <v>4</v>
      </c>
      <c r="O5056" s="1" t="s">
        <v>11</v>
      </c>
      <c r="BW5056" s="1" t="s">
        <v>71</v>
      </c>
      <c r="FZ5056" s="1" t="s">
        <v>178</v>
      </c>
      <c r="GD5056" s="1" t="s">
        <v>202</v>
      </c>
      <c r="GE5056" s="1" t="s">
        <v>7179</v>
      </c>
    </row>
    <row r="5057" spans="1:187" ht="11.25" customHeight="1">
      <c r="A5057" s="1" t="s">
        <v>7180</v>
      </c>
      <c r="B5057" s="1" t="str">
        <f ca="1">IFERROR(__xludf.DUMMYFUNCTION("GOOGLETRANSLATE(A5057, ""en"", ""fr"")"),"Hit # 5")</f>
        <v>Hit # 5</v>
      </c>
      <c r="C5057" s="1" t="s">
        <v>185</v>
      </c>
      <c r="D5057" s="1" t="s">
        <v>16612</v>
      </c>
      <c r="F5057" s="1" t="s">
        <v>2</v>
      </c>
      <c r="G5057" s="1" t="s">
        <v>3</v>
      </c>
      <c r="AN5057" s="1" t="s">
        <v>36</v>
      </c>
      <c r="DN5057" s="1" t="s">
        <v>114</v>
      </c>
      <c r="EO5057" s="1" t="s">
        <v>141</v>
      </c>
      <c r="ES5057" s="1" t="s">
        <v>145</v>
      </c>
      <c r="GD5057" s="1" t="s">
        <v>189</v>
      </c>
      <c r="GE5057" s="1" t="s">
        <v>7181</v>
      </c>
    </row>
    <row r="5058" spans="1:187" ht="11.25" customHeight="1">
      <c r="A5058" s="1" t="s">
        <v>7182</v>
      </c>
      <c r="B5058" s="1" t="str">
        <f ca="1">IFERROR(__xludf.DUMMYFUNCTION("GOOGLETRANSLATE(A5058, ""en"", ""fr"")"),"Jusque-là")</f>
        <v>Jusque-là</v>
      </c>
      <c r="C5058" s="1" t="s">
        <v>196</v>
      </c>
      <c r="GB5058" s="1" t="s">
        <v>180</v>
      </c>
      <c r="GD5058" s="1" t="s">
        <v>7183</v>
      </c>
    </row>
    <row r="5059" spans="1:187" ht="11.25" customHeight="1">
      <c r="A5059" s="1" t="s">
        <v>7184</v>
      </c>
      <c r="B5059" s="1" t="str">
        <f ca="1">IFERROR(__xludf.DUMMYFUNCTION("GOOGLETRANSLATE(A5059, ""en"", ""fr"")"),"MAGOT")</f>
        <v>MAGOT</v>
      </c>
      <c r="C5059" s="1" t="s">
        <v>192</v>
      </c>
      <c r="E5059" s="1" t="s">
        <v>16613</v>
      </c>
      <c r="BX5059" s="1" t="s">
        <v>72</v>
      </c>
      <c r="CD5059" s="1" t="s">
        <v>78</v>
      </c>
      <c r="DN5059" s="1" t="s">
        <v>114</v>
      </c>
      <c r="GD5059" s="1" t="s">
        <v>189</v>
      </c>
      <c r="GE5059" s="1" t="s">
        <v>190</v>
      </c>
    </row>
    <row r="5060" spans="1:187" ht="11.25" customHeight="1">
      <c r="A5060" s="1" t="s">
        <v>7185</v>
      </c>
      <c r="B5060" s="1" t="str">
        <f ca="1">IFERROR(__xludf.DUMMYFUNCTION("GOOGLETRANSLATE(A5060, ""en"", ""fr"")"),"ENTRAVER")</f>
        <v>ENTRAVER</v>
      </c>
      <c r="C5060" s="1" t="s">
        <v>192</v>
      </c>
      <c r="E5060" s="1" t="s">
        <v>16613</v>
      </c>
      <c r="L5060" s="1" t="s">
        <v>8</v>
      </c>
      <c r="N5060" s="1" t="s">
        <v>10</v>
      </c>
      <c r="DN5060" s="1" t="s">
        <v>114</v>
      </c>
      <c r="GD5060" s="1" t="s">
        <v>189</v>
      </c>
      <c r="GE5060" s="1" t="s">
        <v>190</v>
      </c>
    </row>
    <row r="5061" spans="1:187" ht="11.25" customHeight="1">
      <c r="A5061" s="1" t="s">
        <v>7186</v>
      </c>
      <c r="B5061" s="1" t="str">
        <f ca="1">IFERROR(__xludf.DUMMYFUNCTION("GOOGLETRANSLATE(A5061, ""en"", ""fr"")"),"Tenir # 1")</f>
        <v>Tenir # 1</v>
      </c>
      <c r="C5061" s="1" t="s">
        <v>185</v>
      </c>
      <c r="N5061" s="1" t="s">
        <v>10</v>
      </c>
      <c r="AL5061" s="1" t="s">
        <v>34</v>
      </c>
      <c r="DO5061" s="1" t="s">
        <v>115</v>
      </c>
      <c r="EC5061" s="1" t="s">
        <v>129</v>
      </c>
      <c r="ED5061" s="1" t="s">
        <v>130</v>
      </c>
      <c r="GD5061" s="1" t="s">
        <v>189</v>
      </c>
      <c r="GE5061" s="1" t="s">
        <v>7187</v>
      </c>
    </row>
    <row r="5062" spans="1:187" ht="11.25" customHeight="1">
      <c r="A5062" s="1" t="s">
        <v>7188</v>
      </c>
      <c r="B5062" s="1" t="str">
        <f ca="1">IFERROR(__xludf.DUMMYFUNCTION("GOOGLETRANSLATE(A5062, ""en"", ""fr"")"),"Hold # 2")</f>
        <v>Hold # 2</v>
      </c>
      <c r="C5062" s="1" t="s">
        <v>185</v>
      </c>
      <c r="O5062" s="1" t="s">
        <v>11</v>
      </c>
      <c r="CO5062" s="1" t="s">
        <v>89</v>
      </c>
      <c r="DN5062" s="1" t="s">
        <v>114</v>
      </c>
      <c r="EC5062" s="1" t="s">
        <v>129</v>
      </c>
      <c r="ED5062" s="1" t="s">
        <v>130</v>
      </c>
      <c r="GD5062" s="1" t="s">
        <v>189</v>
      </c>
      <c r="GE5062" s="1" t="s">
        <v>7189</v>
      </c>
    </row>
    <row r="5063" spans="1:187" ht="11.25" customHeight="1">
      <c r="A5063" s="1" t="s">
        <v>7190</v>
      </c>
      <c r="B5063" s="1" t="str">
        <f ca="1">IFERROR(__xludf.DUMMYFUNCTION("GOOGLETRANSLATE(A5063, ""en"", ""fr"")"),"Hold # 3")</f>
        <v>Hold # 3</v>
      </c>
      <c r="C5063" s="1" t="s">
        <v>185</v>
      </c>
      <c r="J5063" s="1" t="s">
        <v>6</v>
      </c>
      <c r="K5063" s="1" t="s">
        <v>7</v>
      </c>
      <c r="CD5063" s="1" t="s">
        <v>78</v>
      </c>
      <c r="EC5063" s="1" t="s">
        <v>129</v>
      </c>
      <c r="ED5063" s="1" t="s">
        <v>130</v>
      </c>
      <c r="GD5063" s="1" t="s">
        <v>193</v>
      </c>
      <c r="GE5063" s="1" t="s">
        <v>7191</v>
      </c>
    </row>
    <row r="5064" spans="1:187" ht="11.25" customHeight="1">
      <c r="A5064" s="1" t="s">
        <v>7192</v>
      </c>
      <c r="B5064" s="1" t="str">
        <f ca="1">IFERROR(__xludf.DUMMYFUNCTION("GOOGLETRANSLATE(A5064, ""en"", ""fr"")"),"Hold # 4")</f>
        <v>Hold # 4</v>
      </c>
      <c r="C5064" s="1" t="s">
        <v>185</v>
      </c>
      <c r="AC5064" s="1" t="s">
        <v>25</v>
      </c>
      <c r="BC5064" s="1" t="s">
        <v>51</v>
      </c>
      <c r="BD5064" s="1" t="s">
        <v>52</v>
      </c>
      <c r="EV5064" s="1" t="s">
        <v>148</v>
      </c>
      <c r="EW5064" s="1" t="s">
        <v>149</v>
      </c>
      <c r="GD5064" s="1" t="s">
        <v>193</v>
      </c>
      <c r="GE5064" s="1" t="s">
        <v>7193</v>
      </c>
    </row>
    <row r="5065" spans="1:187" ht="11.25" customHeight="1">
      <c r="A5065" s="1" t="s">
        <v>7194</v>
      </c>
      <c r="B5065" s="1" t="str">
        <f ca="1">IFERROR(__xludf.DUMMYFUNCTION("GOOGLETRANSLATE(A5065, ""en"", ""fr"")"),"Hold # 5")</f>
        <v>Hold # 5</v>
      </c>
      <c r="C5065" s="1" t="s">
        <v>185</v>
      </c>
      <c r="I5065" s="1" t="s">
        <v>5</v>
      </c>
      <c r="J5065" s="1" t="s">
        <v>6</v>
      </c>
      <c r="N5065" s="1" t="s">
        <v>10</v>
      </c>
      <c r="CA5065" s="1" t="s">
        <v>75</v>
      </c>
      <c r="DN5065" s="1" t="s">
        <v>114</v>
      </c>
      <c r="DW5065" s="1" t="s">
        <v>123</v>
      </c>
      <c r="ED5065" s="1" t="s">
        <v>130</v>
      </c>
      <c r="GD5065" s="1" t="s">
        <v>189</v>
      </c>
      <c r="GE5065" s="1" t="s">
        <v>7195</v>
      </c>
    </row>
    <row r="5066" spans="1:187" ht="11.25" customHeight="1">
      <c r="A5066" s="1" t="s">
        <v>7196</v>
      </c>
      <c r="B5066" s="1" t="str">
        <f ca="1">IFERROR(__xludf.DUMMYFUNCTION("GOOGLETRANSLATE(A5066, ""en"", ""fr"")"),"TITULAIRE")</f>
        <v>TITULAIRE</v>
      </c>
      <c r="C5066" s="1" t="s">
        <v>185</v>
      </c>
      <c r="J5066" s="1" t="s">
        <v>6</v>
      </c>
      <c r="BC5066" s="1" t="s">
        <v>51</v>
      </c>
      <c r="BD5066" s="1" t="s">
        <v>52</v>
      </c>
      <c r="DZ5066" s="1" t="s">
        <v>126</v>
      </c>
      <c r="ED5066" s="1" t="s">
        <v>130</v>
      </c>
      <c r="GD5066" s="1" t="s">
        <v>193</v>
      </c>
      <c r="GE5066" s="1" t="s">
        <v>190</v>
      </c>
    </row>
    <row r="5067" spans="1:187" ht="11.25" customHeight="1">
      <c r="A5067" s="1" t="s">
        <v>7197</v>
      </c>
      <c r="B5067" s="1" t="str">
        <f ca="1">IFERROR(__xludf.DUMMYFUNCTION("GOOGLETRANSLATE(A5067, ""en"", ""fr"")"),"Trou n ° 1")</f>
        <v>Trou n ° 1</v>
      </c>
      <c r="C5067" s="1" t="s">
        <v>185</v>
      </c>
      <c r="AV5067" s="1" t="s">
        <v>44</v>
      </c>
      <c r="BA5067" s="1" t="s">
        <v>49</v>
      </c>
      <c r="GD5067" s="1" t="s">
        <v>849</v>
      </c>
      <c r="GE5067" s="1" t="s">
        <v>7198</v>
      </c>
    </row>
    <row r="5068" spans="1:187" ht="11.25" customHeight="1">
      <c r="A5068" s="1" t="s">
        <v>7199</v>
      </c>
      <c r="B5068" s="1" t="str">
        <f ca="1">IFERROR(__xludf.DUMMYFUNCTION("GOOGLETRANSLATE(A5068, ""en"", ""fr"")"),"Trou n ° 2")</f>
        <v>Trou n ° 2</v>
      </c>
      <c r="C5068" s="1" t="s">
        <v>185</v>
      </c>
      <c r="E5068" s="1" t="s">
        <v>16613</v>
      </c>
      <c r="H5068" s="1" t="s">
        <v>4</v>
      </c>
      <c r="L5068" s="1" t="s">
        <v>8</v>
      </c>
      <c r="V5068" s="1" t="s">
        <v>18</v>
      </c>
      <c r="AA5068" s="1" t="s">
        <v>23</v>
      </c>
      <c r="EV5068" s="1" t="s">
        <v>148</v>
      </c>
      <c r="EW5068" s="1" t="s">
        <v>149</v>
      </c>
      <c r="GD5068" s="1" t="s">
        <v>202</v>
      </c>
      <c r="GE5068" s="1" t="s">
        <v>7200</v>
      </c>
    </row>
    <row r="5069" spans="1:187" ht="11.25" customHeight="1">
      <c r="A5069" s="1" t="s">
        <v>7201</v>
      </c>
      <c r="B5069" s="1" t="str">
        <f ca="1">IFERROR(__xludf.DUMMYFUNCTION("GOOGLETRANSLATE(A5069, ""en"", ""fr"")"),"Trou n ° 3")</f>
        <v>Trou n ° 3</v>
      </c>
      <c r="C5069" s="1" t="s">
        <v>185</v>
      </c>
      <c r="E5069" s="1" t="s">
        <v>16613</v>
      </c>
      <c r="H5069" s="1" t="s">
        <v>4</v>
      </c>
      <c r="L5069" s="1" t="s">
        <v>8</v>
      </c>
      <c r="O5069" s="1" t="s">
        <v>11</v>
      </c>
      <c r="V5069" s="1" t="s">
        <v>18</v>
      </c>
      <c r="CP5069" s="1" t="s">
        <v>90</v>
      </c>
      <c r="CQ5069" s="1" t="s">
        <v>91</v>
      </c>
      <c r="EU5069" s="1" t="s">
        <v>147</v>
      </c>
      <c r="EW5069" s="1" t="s">
        <v>149</v>
      </c>
      <c r="GD5069" s="1" t="s">
        <v>193</v>
      </c>
      <c r="GE5069" s="1" t="s">
        <v>7202</v>
      </c>
    </row>
    <row r="5070" spans="1:187" ht="11.25" customHeight="1">
      <c r="A5070" s="1" t="s">
        <v>7203</v>
      </c>
      <c r="B5070" s="1" t="str">
        <f ca="1">IFERROR(__xludf.DUMMYFUNCTION("GOOGLETRANSLATE(A5070, ""en"", ""fr"")"),"VACANCES")</f>
        <v>VACANCES</v>
      </c>
      <c r="C5070" s="1" t="s">
        <v>185</v>
      </c>
      <c r="AM5070" s="1" t="s">
        <v>35</v>
      </c>
      <c r="CQ5070" s="1" t="s">
        <v>91</v>
      </c>
      <c r="CZ5070" s="1" t="s">
        <v>100</v>
      </c>
      <c r="ER5070" s="1" t="s">
        <v>144</v>
      </c>
      <c r="ES5070" s="1" t="s">
        <v>145</v>
      </c>
      <c r="GD5070" s="1" t="s">
        <v>193</v>
      </c>
      <c r="GE5070" s="1" t="s">
        <v>190</v>
      </c>
    </row>
    <row r="5071" spans="1:187" ht="11.25" customHeight="1">
      <c r="A5071" s="1" t="s">
        <v>7204</v>
      </c>
      <c r="B5071" s="1" t="str">
        <f ca="1">IFERROR(__xludf.DUMMYFUNCTION("GOOGLETRANSLATE(A5071, ""en"", ""fr"")"),"HOLLANDE")</f>
        <v>HOLLANDE</v>
      </c>
      <c r="C5071" s="1" t="s">
        <v>196</v>
      </c>
      <c r="FU5071" s="1" t="s">
        <v>173</v>
      </c>
      <c r="GD5071" s="1" t="s">
        <v>545</v>
      </c>
    </row>
    <row r="5072" spans="1:187" ht="11.25" customHeight="1">
      <c r="A5072" s="1" t="s">
        <v>7205</v>
      </c>
      <c r="B5072" s="1" t="str">
        <f ca="1">IFERROR(__xludf.DUMMYFUNCTION("GOOGLETRANSLATE(A5072, ""en"", ""fr"")"),"CREUX")</f>
        <v>CREUX</v>
      </c>
      <c r="C5072" s="1" t="s">
        <v>185</v>
      </c>
      <c r="E5072" s="1" t="s">
        <v>16613</v>
      </c>
      <c r="H5072" s="1" t="s">
        <v>4</v>
      </c>
      <c r="L5072" s="1" t="s">
        <v>8</v>
      </c>
      <c r="CR5072" s="1" t="s">
        <v>92</v>
      </c>
      <c r="GD5072" s="1" t="s">
        <v>202</v>
      </c>
      <c r="GE5072" s="1" t="s">
        <v>190</v>
      </c>
    </row>
    <row r="5073" spans="1:187" ht="11.25" customHeight="1">
      <c r="A5073" s="1" t="s">
        <v>7206</v>
      </c>
      <c r="B5073" s="1" t="str">
        <f ca="1">IFERROR(__xludf.DUMMYFUNCTION("GOOGLETRANSLATE(A5073, ""en"", ""fr"")"),"HOUX")</f>
        <v>HOUX</v>
      </c>
      <c r="C5073" s="1" t="s">
        <v>185</v>
      </c>
      <c r="BC5073" s="1" t="s">
        <v>51</v>
      </c>
      <c r="BI5073" s="1" t="s">
        <v>57</v>
      </c>
      <c r="GD5073" s="1" t="s">
        <v>193</v>
      </c>
      <c r="GE5073" s="1" t="s">
        <v>190</v>
      </c>
    </row>
    <row r="5074" spans="1:187" ht="11.25" customHeight="1">
      <c r="A5074" s="1" t="s">
        <v>7207</v>
      </c>
      <c r="B5074" s="1" t="str">
        <f ca="1">IFERROR(__xludf.DUMMYFUNCTION("GOOGLETRANSLATE(A5074, ""en"", ""fr"")"),"SAINT")</f>
        <v>SAINT</v>
      </c>
      <c r="C5074" s="1" t="s">
        <v>185</v>
      </c>
      <c r="D5074" s="1" t="s">
        <v>16612</v>
      </c>
      <c r="F5074" s="1" t="s">
        <v>2</v>
      </c>
      <c r="U5074" s="1" t="s">
        <v>17</v>
      </c>
      <c r="AI5074" s="1" t="s">
        <v>31</v>
      </c>
      <c r="CN5074" s="1" t="s">
        <v>88</v>
      </c>
      <c r="EF5074" s="1" t="s">
        <v>132</v>
      </c>
      <c r="EJ5074" s="1" t="s">
        <v>136</v>
      </c>
      <c r="GD5074" s="1" t="s">
        <v>202</v>
      </c>
      <c r="GE5074" s="1" t="s">
        <v>7208</v>
      </c>
    </row>
    <row r="5075" spans="1:187" ht="11.25" customHeight="1">
      <c r="A5075" s="1" t="s">
        <v>7209</v>
      </c>
      <c r="B5075" s="1" t="str">
        <f ca="1">IFERROR(__xludf.DUMMYFUNCTION("GOOGLETRANSLATE(A5075, ""en"", ""fr"")"),"HOMMAGE")</f>
        <v>HOMMAGE</v>
      </c>
      <c r="C5075" s="1" t="s">
        <v>185</v>
      </c>
      <c r="D5075" s="1" t="s">
        <v>16612</v>
      </c>
      <c r="M5075" s="1" t="s">
        <v>9</v>
      </c>
      <c r="O5075" s="1" t="s">
        <v>11</v>
      </c>
      <c r="S5075" s="1" t="s">
        <v>15</v>
      </c>
      <c r="EM5075" s="1" t="s">
        <v>139</v>
      </c>
      <c r="EN5075" s="1" t="s">
        <v>140</v>
      </c>
      <c r="GD5075" s="1" t="s">
        <v>193</v>
      </c>
      <c r="GE5075" s="1" t="s">
        <v>190</v>
      </c>
    </row>
    <row r="5076" spans="1:187" ht="11.25" customHeight="1">
      <c r="A5076" s="1" t="s">
        <v>7210</v>
      </c>
      <c r="B5076" s="1" t="str">
        <f ca="1">IFERROR(__xludf.DUMMYFUNCTION("GOOGLETRANSLATE(A5076, ""en"", ""fr"")"),"MAISON")</f>
        <v>MAISON</v>
      </c>
      <c r="C5076" s="1" t="s">
        <v>185</v>
      </c>
      <c r="D5076" s="1" t="s">
        <v>16612</v>
      </c>
      <c r="F5076" s="1" t="s">
        <v>2</v>
      </c>
      <c r="AV5076" s="1" t="s">
        <v>44</v>
      </c>
      <c r="AW5076" s="1" t="s">
        <v>45</v>
      </c>
      <c r="ER5076" s="1" t="s">
        <v>144</v>
      </c>
      <c r="ES5076" s="1" t="s">
        <v>145</v>
      </c>
      <c r="GD5076" s="1" t="s">
        <v>193</v>
      </c>
      <c r="GE5076" s="1" t="s">
        <v>7211</v>
      </c>
    </row>
    <row r="5077" spans="1:187" ht="11.25" customHeight="1">
      <c r="A5077" s="1" t="s">
        <v>7212</v>
      </c>
      <c r="B5077" s="1" t="str">
        <f ca="1">IFERROR(__xludf.DUMMYFUNCTION("GOOGLETRANSLATE(A5077, ""en"", ""fr"")"),"SIMPLE")</f>
        <v>SIMPLE</v>
      </c>
      <c r="C5077" s="1" t="s">
        <v>185</v>
      </c>
      <c r="E5077" s="1" t="s">
        <v>16613</v>
      </c>
      <c r="H5077" s="1" t="s">
        <v>4</v>
      </c>
      <c r="V5077" s="1" t="s">
        <v>18</v>
      </c>
      <c r="CN5077" s="1" t="s">
        <v>88</v>
      </c>
      <c r="FJ5077" s="1" t="s">
        <v>162</v>
      </c>
      <c r="FM5077" s="1" t="s">
        <v>418</v>
      </c>
      <c r="GD5077" s="1" t="s">
        <v>202</v>
      </c>
      <c r="GE5077" s="1" t="s">
        <v>190</v>
      </c>
    </row>
    <row r="5078" spans="1:187" ht="11.25" customHeight="1">
      <c r="A5078" s="1" t="s">
        <v>7213</v>
      </c>
      <c r="B5078" s="1" t="str">
        <f ca="1">IFERROR(__xludf.DUMMYFUNCTION("GOOGLETRANSLATE(A5078, ""en"", ""fr"")"),"DU RETOUR")</f>
        <v>DU RETOUR</v>
      </c>
      <c r="C5078" s="1" t="s">
        <v>185</v>
      </c>
      <c r="DA5078" s="1" t="s">
        <v>101</v>
      </c>
      <c r="EZ5078" s="1" t="s">
        <v>152</v>
      </c>
      <c r="FC5078" s="1" t="s">
        <v>155</v>
      </c>
      <c r="GD5078" s="1" t="s">
        <v>236</v>
      </c>
      <c r="GE5078" s="1" t="s">
        <v>7214</v>
      </c>
    </row>
    <row r="5079" spans="1:187" ht="11.25" customHeight="1">
      <c r="A5079" s="1" t="s">
        <v>7215</v>
      </c>
      <c r="B5079" s="1" t="str">
        <f ca="1">IFERROR(__xludf.DUMMYFUNCTION("GOOGLETRANSLATE(A5079, ""en"", ""fr"")"),"HOMOGÈNE")</f>
        <v>HOMOGÈNE</v>
      </c>
      <c r="C5079" s="1" t="s">
        <v>185</v>
      </c>
      <c r="CR5079" s="1" t="s">
        <v>92</v>
      </c>
      <c r="GD5079" s="1" t="s">
        <v>202</v>
      </c>
      <c r="GE5079" s="1" t="s">
        <v>190</v>
      </c>
    </row>
    <row r="5080" spans="1:187" ht="11.25" customHeight="1">
      <c r="A5080" s="1" t="s">
        <v>7216</v>
      </c>
      <c r="B5080" s="1" t="str">
        <f ca="1">IFERROR(__xludf.DUMMYFUNCTION("GOOGLETRANSLATE(A5080, ""en"", ""fr"")"),"HONDURAS")</f>
        <v>HONDURAS</v>
      </c>
      <c r="C5080" s="1" t="s">
        <v>196</v>
      </c>
      <c r="FU5080" s="1" t="s">
        <v>173</v>
      </c>
      <c r="GD5080" s="1" t="s">
        <v>545</v>
      </c>
    </row>
    <row r="5081" spans="1:187" ht="11.25" customHeight="1">
      <c r="A5081" s="1" t="s">
        <v>7217</v>
      </c>
      <c r="B5081" s="1" t="str">
        <f ca="1">IFERROR(__xludf.DUMMYFUNCTION("GOOGLETRANSLATE(A5081, ""en"", ""fr"")"),"Honnête # 1")</f>
        <v>Honnête # 1</v>
      </c>
      <c r="C5081" s="1" t="s">
        <v>185</v>
      </c>
      <c r="D5081" s="1" t="s">
        <v>16612</v>
      </c>
      <c r="F5081" s="1" t="s">
        <v>2</v>
      </c>
      <c r="U5081" s="1" t="s">
        <v>17</v>
      </c>
      <c r="CN5081" s="1" t="s">
        <v>88</v>
      </c>
      <c r="EE5081" s="1" t="s">
        <v>131</v>
      </c>
      <c r="EJ5081" s="1" t="s">
        <v>136</v>
      </c>
      <c r="GD5081" s="1" t="s">
        <v>202</v>
      </c>
      <c r="GE5081" s="1" t="s">
        <v>7218</v>
      </c>
    </row>
    <row r="5082" spans="1:187" ht="11.25" customHeight="1">
      <c r="A5082" s="1" t="s">
        <v>7219</v>
      </c>
      <c r="B5082" s="1" t="str">
        <f ca="1">IFERROR(__xludf.DUMMYFUNCTION("GOOGLETRANSLATE(A5082, ""en"", ""fr"")"),"Honnête # 2")</f>
        <v>Honnête # 2</v>
      </c>
      <c r="C5082" s="1" t="s">
        <v>185</v>
      </c>
      <c r="D5082" s="1" t="s">
        <v>16612</v>
      </c>
      <c r="F5082" s="1" t="s">
        <v>2</v>
      </c>
      <c r="U5082" s="1" t="s">
        <v>17</v>
      </c>
      <c r="EE5082" s="1" t="s">
        <v>131</v>
      </c>
      <c r="EJ5082" s="1" t="s">
        <v>136</v>
      </c>
      <c r="GD5082" s="1" t="s">
        <v>236</v>
      </c>
      <c r="GE5082" s="1" t="s">
        <v>7220</v>
      </c>
    </row>
    <row r="5083" spans="1:187" ht="11.25" customHeight="1">
      <c r="A5083" s="1" t="s">
        <v>7221</v>
      </c>
      <c r="B5083" s="1" t="str">
        <f ca="1">IFERROR(__xludf.DUMMYFUNCTION("GOOGLETRANSLATE(A5083, ""en"", ""fr"")"),"Honnête # 3")</f>
        <v>Honnête # 3</v>
      </c>
      <c r="C5083" s="1" t="s">
        <v>185</v>
      </c>
      <c r="D5083" s="1" t="s">
        <v>16612</v>
      </c>
      <c r="F5083" s="1" t="s">
        <v>2</v>
      </c>
      <c r="U5083" s="1" t="s">
        <v>17</v>
      </c>
      <c r="FY5083" s="1" t="s">
        <v>177</v>
      </c>
      <c r="GD5083" s="1" t="s">
        <v>236</v>
      </c>
      <c r="GE5083" s="1" t="s">
        <v>7222</v>
      </c>
    </row>
    <row r="5084" spans="1:187" ht="11.25" customHeight="1">
      <c r="A5084" s="1" t="s">
        <v>7223</v>
      </c>
      <c r="B5084" s="1" t="str">
        <f ca="1">IFERROR(__xludf.DUMMYFUNCTION("GOOGLETRANSLATE(A5084, ""en"", ""fr"")"),"CHÉRI")</f>
        <v>CHÉRI</v>
      </c>
      <c r="C5084" s="1" t="s">
        <v>196</v>
      </c>
      <c r="GD5084" s="1" t="s">
        <v>193</v>
      </c>
    </row>
    <row r="5085" spans="1:187" ht="11.25" customHeight="1">
      <c r="A5085" s="1" t="s">
        <v>7224</v>
      </c>
      <c r="B5085" s="1" t="str">
        <f ca="1">IFERROR(__xludf.DUMMYFUNCTION("GOOGLETRANSLATE(A5085, ""en"", ""fr"")"),"VOYAGE DE NOCES")</f>
        <v>VOYAGE DE NOCES</v>
      </c>
      <c r="C5085" s="1" t="s">
        <v>185</v>
      </c>
      <c r="D5085" s="1" t="s">
        <v>16612</v>
      </c>
      <c r="F5085" s="1" t="s">
        <v>2</v>
      </c>
      <c r="G5085" s="1" t="s">
        <v>3</v>
      </c>
      <c r="AM5085" s="1" t="s">
        <v>35</v>
      </c>
      <c r="AP5085" s="1" t="s">
        <v>38</v>
      </c>
      <c r="GD5085" s="1" t="s">
        <v>193</v>
      </c>
      <c r="GE5085" s="1" t="s">
        <v>190</v>
      </c>
    </row>
    <row r="5086" spans="1:187" ht="11.25" customHeight="1">
      <c r="A5086" s="1" t="s">
        <v>7225</v>
      </c>
      <c r="B5086" s="1" t="str">
        <f ca="1">IFERROR(__xludf.DUMMYFUNCTION("GOOGLETRANSLATE(A5086, ""en"", ""fr"")"),"HONG KONG")</f>
        <v>HONG KONG</v>
      </c>
      <c r="C5086" s="1" t="s">
        <v>196</v>
      </c>
      <c r="FU5086" s="1" t="s">
        <v>173</v>
      </c>
      <c r="GD5086" s="1" t="s">
        <v>545</v>
      </c>
    </row>
    <row r="5087" spans="1:187" ht="11.25" customHeight="1">
      <c r="A5087" s="1" t="s">
        <v>7226</v>
      </c>
      <c r="B5087" s="1" t="str">
        <f ca="1">IFERROR(__xludf.DUMMYFUNCTION("GOOGLETRANSLATE(A5087, ""en"", ""fr"")"),"Honor # 1")</f>
        <v>Honor # 1</v>
      </c>
      <c r="C5087" s="1" t="s">
        <v>185</v>
      </c>
      <c r="D5087" s="1" t="s">
        <v>16612</v>
      </c>
      <c r="F5087" s="1" t="s">
        <v>2</v>
      </c>
      <c r="M5087" s="1" t="s">
        <v>9</v>
      </c>
      <c r="O5087" s="1" t="s">
        <v>11</v>
      </c>
      <c r="AN5087" s="1" t="s">
        <v>36</v>
      </c>
      <c r="DN5087" s="1" t="s">
        <v>114</v>
      </c>
      <c r="EK5087" s="1" t="s">
        <v>137</v>
      </c>
      <c r="EN5087" s="1" t="s">
        <v>140</v>
      </c>
      <c r="GD5087" s="1" t="s">
        <v>189</v>
      </c>
      <c r="GE5087" s="1" t="s">
        <v>7227</v>
      </c>
    </row>
    <row r="5088" spans="1:187" ht="11.25" customHeight="1">
      <c r="A5088" s="1" t="s">
        <v>7228</v>
      </c>
      <c r="B5088" s="1" t="str">
        <f ca="1">IFERROR(__xludf.DUMMYFUNCTION("GOOGLETRANSLATE(A5088, ""en"", ""fr"")"),"Honor # 2")</f>
        <v>Honor # 2</v>
      </c>
      <c r="C5088" s="1" t="s">
        <v>185</v>
      </c>
      <c r="D5088" s="1" t="s">
        <v>16612</v>
      </c>
      <c r="F5088" s="1" t="s">
        <v>2</v>
      </c>
      <c r="Z5088" s="1" t="s">
        <v>22</v>
      </c>
      <c r="CP5088" s="1" t="s">
        <v>90</v>
      </c>
      <c r="CQ5088" s="1" t="s">
        <v>91</v>
      </c>
      <c r="EM5088" s="1" t="s">
        <v>139</v>
      </c>
      <c r="EN5088" s="1" t="s">
        <v>140</v>
      </c>
      <c r="GD5088" s="1" t="s">
        <v>193</v>
      </c>
      <c r="GE5088" s="1" t="s">
        <v>7229</v>
      </c>
    </row>
    <row r="5089" spans="1:187" ht="11.25" customHeight="1">
      <c r="A5089" s="1" t="s">
        <v>7230</v>
      </c>
      <c r="B5089" s="1" t="str">
        <f ca="1">IFERROR(__xludf.DUMMYFUNCTION("GOOGLETRANSLATE(A5089, ""en"", ""fr"")"),"Honor # 3")</f>
        <v>Honor # 3</v>
      </c>
      <c r="C5089" s="1" t="s">
        <v>185</v>
      </c>
      <c r="D5089" s="1" t="s">
        <v>16612</v>
      </c>
      <c r="F5089" s="1" t="s">
        <v>2</v>
      </c>
      <c r="O5089" s="1" t="s">
        <v>11</v>
      </c>
      <c r="U5089" s="1" t="s">
        <v>17</v>
      </c>
      <c r="EK5089" s="1" t="s">
        <v>137</v>
      </c>
      <c r="EN5089" s="1" t="s">
        <v>140</v>
      </c>
      <c r="GD5089" s="1" t="s">
        <v>202</v>
      </c>
      <c r="GE5089" s="1" t="s">
        <v>7231</v>
      </c>
    </row>
    <row r="5090" spans="1:187" ht="11.25" customHeight="1">
      <c r="A5090" s="1" t="s">
        <v>7232</v>
      </c>
      <c r="B5090" s="1" t="str">
        <f ca="1">IFERROR(__xludf.DUMMYFUNCTION("GOOGLETRANSLATE(A5090, ""en"", ""fr"")"),"HONORABLE")</f>
        <v>HONORABLE</v>
      </c>
      <c r="C5090" s="1" t="s">
        <v>185</v>
      </c>
      <c r="D5090" s="1" t="s">
        <v>16612</v>
      </c>
      <c r="F5090" s="1" t="s">
        <v>2</v>
      </c>
      <c r="U5090" s="1" t="s">
        <v>17</v>
      </c>
      <c r="EM5090" s="1" t="s">
        <v>139</v>
      </c>
      <c r="EN5090" s="1" t="s">
        <v>140</v>
      </c>
      <c r="GD5090" s="1" t="s">
        <v>202</v>
      </c>
      <c r="GE5090" s="1" t="s">
        <v>190</v>
      </c>
    </row>
    <row r="5091" spans="1:187" ht="11.25" customHeight="1">
      <c r="A5091" s="1" t="s">
        <v>7233</v>
      </c>
      <c r="B5091" s="1" t="str">
        <f ca="1">IFERROR(__xludf.DUMMYFUNCTION("GOOGLETRANSLATE(A5091, ""en"", ""fr"")"),"Honor # 1")</f>
        <v>Honor # 1</v>
      </c>
      <c r="C5091" s="1" t="s">
        <v>192</v>
      </c>
      <c r="GE5091" s="1" t="s">
        <v>190</v>
      </c>
    </row>
    <row r="5092" spans="1:187" ht="11.25" customHeight="1">
      <c r="A5092" s="1" t="s">
        <v>7234</v>
      </c>
      <c r="B5092" s="1" t="str">
        <f ca="1">IFERROR(__xludf.DUMMYFUNCTION("GOOGLETRANSLATE(A5092, ""en"", ""fr"")"),"Honorable # 1")</f>
        <v>Honorable # 1</v>
      </c>
      <c r="C5092" s="1" t="s">
        <v>192</v>
      </c>
      <c r="GE5092" s="1" t="s">
        <v>190</v>
      </c>
    </row>
    <row r="5093" spans="1:187" ht="11.25" customHeight="1">
      <c r="A5093" s="1" t="s">
        <v>7235</v>
      </c>
      <c r="B5093" s="1" t="str">
        <f ca="1">IFERROR(__xludf.DUMMYFUNCTION("GOOGLETRANSLATE(A5093, ""en"", ""fr"")"),"Hop n ° 1")</f>
        <v>Hop n ° 1</v>
      </c>
      <c r="C5093" s="1" t="s">
        <v>185</v>
      </c>
      <c r="N5093" s="1" t="s">
        <v>10</v>
      </c>
      <c r="AD5093" s="1" t="s">
        <v>26</v>
      </c>
      <c r="CE5093" s="1" t="s">
        <v>79</v>
      </c>
      <c r="GD5093" s="1" t="s">
        <v>193</v>
      </c>
      <c r="GE5093" s="1" t="s">
        <v>190</v>
      </c>
    </row>
    <row r="5094" spans="1:187" ht="11.25" customHeight="1">
      <c r="A5094" s="1" t="s">
        <v>7236</v>
      </c>
      <c r="B5094" s="1" t="str">
        <f ca="1">IFERROR(__xludf.DUMMYFUNCTION("GOOGLETRANSLATE(A5094, ""en"", ""fr"")"),"Hop n ° 2")</f>
        <v>Hop n ° 2</v>
      </c>
      <c r="C5094" s="1" t="s">
        <v>185</v>
      </c>
      <c r="N5094" s="1" t="s">
        <v>10</v>
      </c>
      <c r="CE5094" s="1" t="s">
        <v>79</v>
      </c>
      <c r="DO5094" s="1" t="s">
        <v>115</v>
      </c>
      <c r="GD5094" s="1" t="s">
        <v>189</v>
      </c>
      <c r="GE5094" s="1" t="s">
        <v>190</v>
      </c>
    </row>
    <row r="5095" spans="1:187" ht="11.25" customHeight="1">
      <c r="A5095" s="1" t="s">
        <v>7237</v>
      </c>
      <c r="B5095" s="1" t="str">
        <f ca="1">IFERROR(__xludf.DUMMYFUNCTION("GOOGLETRANSLATE(A5095, ""en"", ""fr"")"),"Hope # 1")</f>
        <v>Hope # 1</v>
      </c>
      <c r="C5095" s="1" t="s">
        <v>185</v>
      </c>
      <c r="D5095" s="1" t="s">
        <v>16612</v>
      </c>
      <c r="F5095" s="1" t="s">
        <v>2</v>
      </c>
      <c r="O5095" s="1" t="s">
        <v>11</v>
      </c>
      <c r="BN5095" s="1" t="s">
        <v>62</v>
      </c>
      <c r="DN5095" s="1" t="s">
        <v>114</v>
      </c>
      <c r="FR5095" s="1" t="s">
        <v>170</v>
      </c>
      <c r="GD5095" s="1" t="s">
        <v>189</v>
      </c>
      <c r="GE5095" s="1" t="s">
        <v>7238</v>
      </c>
    </row>
    <row r="5096" spans="1:187" ht="11.25" customHeight="1">
      <c r="A5096" s="1" t="s">
        <v>7239</v>
      </c>
      <c r="B5096" s="1" t="str">
        <f ca="1">IFERROR(__xludf.DUMMYFUNCTION("GOOGLETRANSLATE(A5096, ""en"", ""fr"")"),"Hope # 2")</f>
        <v>Hope # 2</v>
      </c>
      <c r="C5096" s="1" t="s">
        <v>185</v>
      </c>
      <c r="D5096" s="1" t="s">
        <v>16612</v>
      </c>
      <c r="F5096" s="1" t="s">
        <v>2</v>
      </c>
      <c r="O5096" s="1" t="s">
        <v>11</v>
      </c>
      <c r="BN5096" s="1" t="s">
        <v>62</v>
      </c>
      <c r="FR5096" s="1" t="s">
        <v>170</v>
      </c>
      <c r="GD5096" s="1" t="s">
        <v>193</v>
      </c>
      <c r="GE5096" s="1" t="s">
        <v>7240</v>
      </c>
    </row>
    <row r="5097" spans="1:187" ht="11.25" customHeight="1">
      <c r="A5097" s="1" t="s">
        <v>7241</v>
      </c>
      <c r="B5097" s="1" t="str">
        <f ca="1">IFERROR(__xludf.DUMMYFUNCTION("GOOGLETRANSLATE(A5097, ""en"", ""fr"")"),"OPTIMISTE")</f>
        <v>OPTIMISTE</v>
      </c>
      <c r="C5097" s="1" t="s">
        <v>185</v>
      </c>
      <c r="D5097" s="1" t="s">
        <v>16612</v>
      </c>
      <c r="F5097" s="1" t="s">
        <v>2</v>
      </c>
      <c r="O5097" s="1" t="s">
        <v>11</v>
      </c>
      <c r="T5097" s="1" t="s">
        <v>16</v>
      </c>
      <c r="BN5097" s="1" t="s">
        <v>62</v>
      </c>
      <c r="FR5097" s="1" t="s">
        <v>170</v>
      </c>
      <c r="GD5097" s="1" t="s">
        <v>202</v>
      </c>
      <c r="GE5097" s="1" t="s">
        <v>190</v>
      </c>
    </row>
    <row r="5098" spans="1:187" ht="11.25" customHeight="1">
      <c r="A5098" s="1" t="s">
        <v>7242</v>
      </c>
      <c r="B5098" s="1" t="str">
        <f ca="1">IFERROR(__xludf.DUMMYFUNCTION("GOOGLETRANSLATE(A5098, ""en"", ""fr"")"),"DÉSESPÉRÉ")</f>
        <v>DÉSESPÉRÉ</v>
      </c>
      <c r="C5098" s="1" t="s">
        <v>185</v>
      </c>
      <c r="E5098" s="1" t="s">
        <v>16613</v>
      </c>
      <c r="H5098" s="1" t="s">
        <v>4</v>
      </c>
      <c r="L5098" s="1" t="s">
        <v>8</v>
      </c>
      <c r="O5098" s="1" t="s">
        <v>11</v>
      </c>
      <c r="Q5098" s="1" t="s">
        <v>13</v>
      </c>
      <c r="W5098" s="1" t="s">
        <v>19</v>
      </c>
      <c r="FQ5098" s="1" t="s">
        <v>169</v>
      </c>
      <c r="GD5098" s="1" t="s">
        <v>202</v>
      </c>
      <c r="GE5098" s="1" t="s">
        <v>190</v>
      </c>
    </row>
    <row r="5099" spans="1:187" ht="11.25" customHeight="1">
      <c r="A5099" s="1" t="s">
        <v>7243</v>
      </c>
      <c r="B5099" s="1" t="str">
        <f ca="1">IFERROR(__xludf.DUMMYFUNCTION("GOOGLETRANSLATE(A5099, ""en"", ""fr"")"),"HORDE")</f>
        <v>HORDE</v>
      </c>
      <c r="C5099" s="1" t="s">
        <v>192</v>
      </c>
      <c r="E5099" s="1" t="s">
        <v>16613</v>
      </c>
      <c r="AK5099" s="1" t="s">
        <v>33</v>
      </c>
      <c r="GD5099" s="1" t="s">
        <v>193</v>
      </c>
      <c r="GE5099" s="1" t="s">
        <v>190</v>
      </c>
    </row>
    <row r="5100" spans="1:187" ht="11.25" customHeight="1">
      <c r="A5100" s="1" t="s">
        <v>7244</v>
      </c>
      <c r="B5100" s="1" t="str">
        <f ca="1">IFERROR(__xludf.DUMMYFUNCTION("GOOGLETRANSLATE(A5100, ""en"", ""fr"")"),"HORIZON")</f>
        <v>HORIZON</v>
      </c>
      <c r="C5100" s="1" t="s">
        <v>185</v>
      </c>
      <c r="AV5100" s="1" t="s">
        <v>44</v>
      </c>
      <c r="BB5100" s="1" t="s">
        <v>50</v>
      </c>
      <c r="GD5100" s="1" t="s">
        <v>193</v>
      </c>
      <c r="GE5100" s="1" t="s">
        <v>190</v>
      </c>
    </row>
    <row r="5101" spans="1:187" ht="11.25" customHeight="1">
      <c r="A5101" s="1" t="s">
        <v>7245</v>
      </c>
      <c r="B5101" s="1" t="str">
        <f ca="1">IFERROR(__xludf.DUMMYFUNCTION("GOOGLETRANSLATE(A5101, ""en"", ""fr"")"),"HORIZONTAL")</f>
        <v>HORIZONTAL</v>
      </c>
      <c r="C5101" s="1" t="s">
        <v>185</v>
      </c>
      <c r="DA5101" s="1" t="s">
        <v>101</v>
      </c>
      <c r="DB5101" s="1" t="s">
        <v>102</v>
      </c>
      <c r="GD5101" s="1" t="s">
        <v>202</v>
      </c>
      <c r="GE5101" s="1" t="s">
        <v>190</v>
      </c>
    </row>
    <row r="5102" spans="1:187" ht="11.25" customHeight="1">
      <c r="A5102" s="1" t="s">
        <v>7246</v>
      </c>
      <c r="B5102" s="1" t="str">
        <f ca="1">IFERROR(__xludf.DUMMYFUNCTION("GOOGLETRANSLATE(A5102, ""en"", ""fr"")"),"Corne # 1")</f>
        <v>Corne # 1</v>
      </c>
      <c r="C5102" s="1" t="s">
        <v>185</v>
      </c>
      <c r="AD5102" s="1" t="s">
        <v>26</v>
      </c>
      <c r="BC5102" s="1" t="s">
        <v>51</v>
      </c>
      <c r="BD5102" s="1" t="s">
        <v>52</v>
      </c>
      <c r="GD5102" s="1" t="s">
        <v>849</v>
      </c>
      <c r="GE5102" s="1" t="s">
        <v>7247</v>
      </c>
    </row>
    <row r="5103" spans="1:187" ht="11.25" customHeight="1">
      <c r="A5103" s="1" t="s">
        <v>7248</v>
      </c>
      <c r="B5103" s="1" t="str">
        <f ca="1">IFERROR(__xludf.DUMMYFUNCTION("GOOGLETRANSLATE(A5103, ""en"", ""fr"")"),"Corne n ° 2")</f>
        <v>Corne n ° 2</v>
      </c>
      <c r="C5103" s="1" t="s">
        <v>185</v>
      </c>
      <c r="BJ5103" s="1" t="s">
        <v>58</v>
      </c>
      <c r="GD5103" s="1" t="s">
        <v>202</v>
      </c>
      <c r="GE5103" s="1" t="s">
        <v>7249</v>
      </c>
    </row>
    <row r="5104" spans="1:187" ht="11.25" customHeight="1">
      <c r="A5104" s="1" t="s">
        <v>7250</v>
      </c>
      <c r="B5104" s="1" t="str">
        <f ca="1">IFERROR(__xludf.DUMMYFUNCTION("GOOGLETRANSLATE(A5104, ""en"", ""fr"")"),"Horn # 3")</f>
        <v>Horn # 3</v>
      </c>
      <c r="C5104" s="1" t="s">
        <v>185</v>
      </c>
      <c r="E5104" s="1" t="s">
        <v>16613</v>
      </c>
      <c r="H5104" s="1" t="s">
        <v>4</v>
      </c>
      <c r="V5104" s="1" t="s">
        <v>18</v>
      </c>
      <c r="FZ5104" s="1" t="s">
        <v>178</v>
      </c>
      <c r="GD5104" s="1" t="s">
        <v>236</v>
      </c>
      <c r="GE5104" s="1" t="s">
        <v>7251</v>
      </c>
    </row>
    <row r="5105" spans="1:187" ht="11.25" customHeight="1">
      <c r="A5105" s="1" t="s">
        <v>7252</v>
      </c>
      <c r="B5105" s="1" t="str">
        <f ca="1">IFERROR(__xludf.DUMMYFUNCTION("GOOGLETRANSLATE(A5105, ""en"", ""fr"")"),"HORRIBLE")</f>
        <v>HORRIBLE</v>
      </c>
      <c r="C5105" s="1" t="s">
        <v>185</v>
      </c>
      <c r="E5105" s="1" t="s">
        <v>16613</v>
      </c>
      <c r="H5105" s="1" t="s">
        <v>4</v>
      </c>
      <c r="V5105" s="1" t="s">
        <v>18</v>
      </c>
      <c r="CN5105" s="1" t="s">
        <v>88</v>
      </c>
      <c r="FW5105" s="1" t="s">
        <v>175</v>
      </c>
      <c r="GD5105" s="1" t="s">
        <v>421</v>
      </c>
      <c r="GE5105" s="1" t="s">
        <v>7253</v>
      </c>
    </row>
    <row r="5106" spans="1:187" ht="11.25" customHeight="1">
      <c r="A5106" s="1" t="s">
        <v>7254</v>
      </c>
      <c r="B5106" s="1" t="str">
        <f ca="1">IFERROR(__xludf.DUMMYFUNCTION("GOOGLETRANSLATE(A5106, ""en"", ""fr"")"),"AFFREUX")</f>
        <v>AFFREUX</v>
      </c>
      <c r="C5106" s="1" t="s">
        <v>192</v>
      </c>
      <c r="E5106" s="1" t="s">
        <v>16613</v>
      </c>
      <c r="V5106" s="1" t="s">
        <v>18</v>
      </c>
      <c r="CM5106" s="1" t="s">
        <v>87</v>
      </c>
      <c r="DR5106" s="1" t="s">
        <v>118</v>
      </c>
      <c r="GD5106" s="1" t="s">
        <v>202</v>
      </c>
      <c r="GE5106" s="1" t="s">
        <v>190</v>
      </c>
    </row>
    <row r="5107" spans="1:187" ht="11.25" customHeight="1">
      <c r="A5107" s="1" t="s">
        <v>7255</v>
      </c>
      <c r="B5107" s="1" t="str">
        <f ca="1">IFERROR(__xludf.DUMMYFUNCTION("GOOGLETRANSLATE(A5107, ""en"", ""fr"")"),"Horrifier")</f>
        <v>Horrifier</v>
      </c>
      <c r="C5107" s="1" t="s">
        <v>196</v>
      </c>
      <c r="FO5107" s="1" t="s">
        <v>167</v>
      </c>
      <c r="GD5107" s="1" t="s">
        <v>189</v>
      </c>
    </row>
    <row r="5108" spans="1:187" ht="11.25" customHeight="1">
      <c r="A5108" s="1" t="s">
        <v>7256</v>
      </c>
      <c r="B5108" s="1" t="str">
        <f ca="1">IFERROR(__xludf.DUMMYFUNCTION("GOOGLETRANSLATE(A5108, ""en"", ""fr"")"),"HORRIFIER")</f>
        <v>HORRIFIER</v>
      </c>
      <c r="C5108" s="1" t="s">
        <v>192</v>
      </c>
      <c r="E5108" s="1" t="s">
        <v>16613</v>
      </c>
      <c r="I5108" s="1" t="s">
        <v>5</v>
      </c>
      <c r="N5108" s="1" t="s">
        <v>10</v>
      </c>
      <c r="DN5108" s="1" t="s">
        <v>114</v>
      </c>
      <c r="GD5108" s="1" t="s">
        <v>670</v>
      </c>
      <c r="GE5108" s="1" t="s">
        <v>190</v>
      </c>
    </row>
    <row r="5109" spans="1:187" ht="11.25" customHeight="1">
      <c r="A5109" s="1" t="s">
        <v>7257</v>
      </c>
      <c r="B5109" s="1" t="str">
        <f ca="1">IFERROR(__xludf.DUMMYFUNCTION("GOOGLETRANSLATE(A5109, ""en"", ""fr"")"),"HORREUR")</f>
        <v>HORREUR</v>
      </c>
      <c r="C5109" s="1" t="s">
        <v>185</v>
      </c>
      <c r="E5109" s="1" t="s">
        <v>16613</v>
      </c>
      <c r="H5109" s="1" t="s">
        <v>4</v>
      </c>
      <c r="I5109" s="1" t="s">
        <v>5</v>
      </c>
      <c r="Q5109" s="1" t="s">
        <v>13</v>
      </c>
      <c r="T5109" s="1" t="s">
        <v>16</v>
      </c>
      <c r="FW5109" s="1" t="s">
        <v>175</v>
      </c>
      <c r="GD5109" s="1" t="s">
        <v>193</v>
      </c>
      <c r="GE5109" s="1" t="s">
        <v>190</v>
      </c>
    </row>
    <row r="5110" spans="1:187" ht="11.25" customHeight="1">
      <c r="A5110" s="1" t="s">
        <v>7258</v>
      </c>
      <c r="B5110" s="1" t="str">
        <f ca="1">IFERROR(__xludf.DUMMYFUNCTION("GOOGLETRANSLATE(A5110, ""en"", ""fr"")"),"CHEVAL")</f>
        <v>CHEVAL</v>
      </c>
      <c r="C5110" s="1" t="s">
        <v>185</v>
      </c>
      <c r="AU5110" s="1" t="s">
        <v>43</v>
      </c>
      <c r="GD5110" s="1" t="s">
        <v>193</v>
      </c>
      <c r="GE5110" s="1" t="s">
        <v>7259</v>
      </c>
    </row>
    <row r="5111" spans="1:187" ht="11.25" customHeight="1">
      <c r="A5111" s="1" t="s">
        <v>7260</v>
      </c>
      <c r="B5111" s="1" t="str">
        <f ca="1">IFERROR(__xludf.DUMMYFUNCTION("GOOGLETRANSLATE(A5111, ""en"", ""fr"")"),"Cavaliers")</f>
        <v>Cavaliers</v>
      </c>
      <c r="C5111" s="1" t="s">
        <v>185</v>
      </c>
      <c r="AJ5111" s="1" t="s">
        <v>32</v>
      </c>
      <c r="AQ5111" s="1" t="s">
        <v>39</v>
      </c>
      <c r="AT5111" s="1" t="s">
        <v>42</v>
      </c>
      <c r="DZ5111" s="1" t="s">
        <v>126</v>
      </c>
      <c r="ED5111" s="1" t="s">
        <v>130</v>
      </c>
      <c r="GD5111" s="1" t="s">
        <v>576</v>
      </c>
      <c r="GE5111" s="1" t="s">
        <v>190</v>
      </c>
    </row>
    <row r="5112" spans="1:187" ht="11.25" customHeight="1">
      <c r="A5112" s="1" t="s">
        <v>7261</v>
      </c>
      <c r="B5112" s="1" t="str">
        <f ca="1">IFERROR(__xludf.DUMMYFUNCTION("GOOGLETRANSLATE(A5112, ""en"", ""fr"")"),"HORTICULTURE")</f>
        <v>HORTICULTURE</v>
      </c>
      <c r="C5112" s="1" t="s">
        <v>196</v>
      </c>
      <c r="EV5112" s="1" t="s">
        <v>148</v>
      </c>
      <c r="EW5112" s="1" t="s">
        <v>149</v>
      </c>
      <c r="GD5112" s="1" t="s">
        <v>193</v>
      </c>
    </row>
    <row r="5113" spans="1:187" ht="11.25" customHeight="1">
      <c r="A5113" s="1" t="s">
        <v>7262</v>
      </c>
      <c r="B5113" s="1" t="str">
        <f ca="1">IFERROR(__xludf.DUMMYFUNCTION("GOOGLETRANSLATE(A5113, ""en"", ""fr"")"),"HOSPITALIER")</f>
        <v>HOSPITALIER</v>
      </c>
      <c r="C5113" s="1" t="s">
        <v>185</v>
      </c>
      <c r="D5113" s="1" t="s">
        <v>16612</v>
      </c>
      <c r="F5113" s="1" t="s">
        <v>2</v>
      </c>
      <c r="G5113" s="1" t="s">
        <v>3</v>
      </c>
      <c r="U5113" s="1" t="s">
        <v>17</v>
      </c>
      <c r="CN5113" s="1" t="s">
        <v>88</v>
      </c>
      <c r="ER5113" s="1" t="s">
        <v>144</v>
      </c>
      <c r="ES5113" s="1" t="s">
        <v>145</v>
      </c>
      <c r="GD5113" s="1" t="s">
        <v>202</v>
      </c>
      <c r="GE5113" s="1" t="s">
        <v>190</v>
      </c>
    </row>
    <row r="5114" spans="1:187" ht="11.25" customHeight="1">
      <c r="A5114" s="1" t="s">
        <v>7263</v>
      </c>
      <c r="B5114" s="1" t="str">
        <f ca="1">IFERROR(__xludf.DUMMYFUNCTION("GOOGLETRANSLATE(A5114, ""en"", ""fr"")"),"HÔPITAL")</f>
        <v>HÔPITAL</v>
      </c>
      <c r="C5114" s="1" t="s">
        <v>185</v>
      </c>
      <c r="AV5114" s="1" t="s">
        <v>44</v>
      </c>
      <c r="AW5114" s="1" t="s">
        <v>45</v>
      </c>
      <c r="FB5114" s="1" t="s">
        <v>154</v>
      </c>
      <c r="FC5114" s="1" t="s">
        <v>155</v>
      </c>
      <c r="GD5114" s="1" t="s">
        <v>193</v>
      </c>
      <c r="GE5114" s="1" t="s">
        <v>7264</v>
      </c>
    </row>
    <row r="5115" spans="1:187" ht="11.25" customHeight="1">
      <c r="A5115" s="1" t="s">
        <v>7265</v>
      </c>
      <c r="B5115" s="1" t="str">
        <f ca="1">IFERROR(__xludf.DUMMYFUNCTION("GOOGLETRANSLATE(A5115, ""en"", ""fr"")"),"HOSPITALITÉ")</f>
        <v>HOSPITALITÉ</v>
      </c>
      <c r="C5115" s="1" t="s">
        <v>196</v>
      </c>
      <c r="ER5115" s="1" t="s">
        <v>144</v>
      </c>
      <c r="ES5115" s="1" t="s">
        <v>145</v>
      </c>
      <c r="GD5115" s="1" t="s">
        <v>193</v>
      </c>
    </row>
    <row r="5116" spans="1:187" ht="11.25" customHeight="1">
      <c r="A5116" s="1" t="s">
        <v>7266</v>
      </c>
      <c r="B5116" s="1" t="str">
        <f ca="1">IFERROR(__xludf.DUMMYFUNCTION("GOOGLETRANSLATE(A5116, ""en"", ""fr"")"),"HÔTE")</f>
        <v>HÔTE</v>
      </c>
      <c r="C5116" s="1" t="s">
        <v>185</v>
      </c>
      <c r="G5116" s="1" t="s">
        <v>3</v>
      </c>
      <c r="AJ5116" s="1" t="s">
        <v>32</v>
      </c>
      <c r="AQ5116" s="1" t="s">
        <v>39</v>
      </c>
      <c r="AT5116" s="1" t="s">
        <v>42</v>
      </c>
      <c r="EM5116" s="1" t="s">
        <v>139</v>
      </c>
      <c r="EN5116" s="1" t="s">
        <v>140</v>
      </c>
      <c r="GD5116" s="1" t="s">
        <v>193</v>
      </c>
      <c r="GE5116" s="1" t="s">
        <v>190</v>
      </c>
    </row>
    <row r="5117" spans="1:187" ht="11.25" customHeight="1">
      <c r="A5117" s="1" t="s">
        <v>7267</v>
      </c>
      <c r="B5117" s="1" t="str">
        <f ca="1">IFERROR(__xludf.DUMMYFUNCTION("GOOGLETRANSLATE(A5117, ""en"", ""fr"")"),"HÔTESSE")</f>
        <v>HÔTESSE</v>
      </c>
      <c r="C5117" s="1" t="s">
        <v>196</v>
      </c>
      <c r="EM5117" s="1" t="s">
        <v>139</v>
      </c>
      <c r="EN5117" s="1" t="s">
        <v>140</v>
      </c>
      <c r="GD5117" s="1" t="s">
        <v>193</v>
      </c>
    </row>
    <row r="5118" spans="1:187" ht="11.25" customHeight="1">
      <c r="A5118" s="1" t="s">
        <v>7268</v>
      </c>
      <c r="B5118" s="1" t="str">
        <f ca="1">IFERROR(__xludf.DUMMYFUNCTION("GOOGLETRANSLATE(A5118, ""en"", ""fr"")"),"HOSTILE")</f>
        <v>HOSTILE</v>
      </c>
      <c r="C5118" s="1" t="s">
        <v>185</v>
      </c>
      <c r="E5118" s="1" t="s">
        <v>16613</v>
      </c>
      <c r="H5118" s="1" t="s">
        <v>4</v>
      </c>
      <c r="I5118" s="1" t="s">
        <v>5</v>
      </c>
      <c r="Q5118" s="1" t="s">
        <v>13</v>
      </c>
      <c r="S5118" s="1" t="s">
        <v>15</v>
      </c>
      <c r="T5118" s="1" t="s">
        <v>16</v>
      </c>
      <c r="DW5118" s="1" t="s">
        <v>123</v>
      </c>
      <c r="ED5118" s="1" t="s">
        <v>130</v>
      </c>
      <c r="GD5118" s="1" t="s">
        <v>202</v>
      </c>
      <c r="GE5118" s="1" t="s">
        <v>190</v>
      </c>
    </row>
    <row r="5119" spans="1:187" ht="11.25" customHeight="1">
      <c r="A5119" s="1" t="s">
        <v>7269</v>
      </c>
      <c r="B5119" s="1" t="str">
        <f ca="1">IFERROR(__xludf.DUMMYFUNCTION("GOOGLETRANSLATE(A5119, ""en"", ""fr"")"),"HOSTILITÉ")</f>
        <v>HOSTILITÉ</v>
      </c>
      <c r="C5119" s="1" t="s">
        <v>185</v>
      </c>
      <c r="E5119" s="1" t="s">
        <v>16613</v>
      </c>
      <c r="H5119" s="1" t="s">
        <v>4</v>
      </c>
      <c r="I5119" s="1" t="s">
        <v>5</v>
      </c>
      <c r="Q5119" s="1" t="s">
        <v>13</v>
      </c>
      <c r="S5119" s="1" t="s">
        <v>15</v>
      </c>
      <c r="T5119" s="1" t="s">
        <v>16</v>
      </c>
      <c r="DW5119" s="1" t="s">
        <v>123</v>
      </c>
      <c r="ED5119" s="1" t="s">
        <v>130</v>
      </c>
      <c r="GD5119" s="1" t="s">
        <v>193</v>
      </c>
      <c r="GE5119" s="1" t="s">
        <v>190</v>
      </c>
    </row>
    <row r="5120" spans="1:187" ht="11.25" customHeight="1">
      <c r="A5120" s="1" t="s">
        <v>7270</v>
      </c>
      <c r="B5120" s="1" t="str">
        <f ca="1">IFERROR(__xludf.DUMMYFUNCTION("GOOGLETRANSLATE(A5120, ""en"", ""fr"")"),"Chaud # 1")</f>
        <v>Chaud # 1</v>
      </c>
      <c r="C5120" s="1" t="s">
        <v>185</v>
      </c>
      <c r="CR5120" s="1" t="s">
        <v>92</v>
      </c>
      <c r="GD5120" s="1" t="s">
        <v>202</v>
      </c>
      <c r="GE5120" s="1" t="s">
        <v>7271</v>
      </c>
    </row>
    <row r="5121" spans="1:187" ht="11.25" customHeight="1">
      <c r="A5121" s="1" t="s">
        <v>7272</v>
      </c>
      <c r="B5121" s="1" t="str">
        <f ca="1">IFERROR(__xludf.DUMMYFUNCTION("GOOGLETRANSLATE(A5121, ""en"", ""fr"")"),"Chaud # 2")</f>
        <v>Chaud # 2</v>
      </c>
      <c r="C5121" s="1" t="s">
        <v>185</v>
      </c>
      <c r="P5121" s="1" t="s">
        <v>12</v>
      </c>
      <c r="S5121" s="1" t="s">
        <v>15</v>
      </c>
      <c r="GD5121" s="1" t="s">
        <v>202</v>
      </c>
      <c r="GE5121" s="1" t="s">
        <v>7273</v>
      </c>
    </row>
    <row r="5122" spans="1:187" ht="11.25" customHeight="1">
      <c r="A5122" s="1" t="s">
        <v>7274</v>
      </c>
      <c r="B5122" s="1" t="str">
        <f ca="1">IFERROR(__xludf.DUMMYFUNCTION("GOOGLETRANSLATE(A5122, ""en"", ""fr"")"),"Chaud # 3")</f>
        <v>Chaud # 3</v>
      </c>
      <c r="C5122" s="1" t="s">
        <v>185</v>
      </c>
      <c r="P5122" s="1" t="s">
        <v>12</v>
      </c>
      <c r="S5122" s="1" t="s">
        <v>15</v>
      </c>
      <c r="GD5122" s="1" t="s">
        <v>236</v>
      </c>
      <c r="GE5122" s="1" t="s">
        <v>7275</v>
      </c>
    </row>
    <row r="5123" spans="1:187" ht="11.25" customHeight="1">
      <c r="A5123" s="1" t="s">
        <v>7276</v>
      </c>
      <c r="B5123" s="1" t="str">
        <f ca="1">IFERROR(__xludf.DUMMYFUNCTION("GOOGLETRANSLATE(A5123, ""en"", ""fr"")"),"Chaud # 4")</f>
        <v>Chaud # 4</v>
      </c>
      <c r="C5123" s="1" t="s">
        <v>185</v>
      </c>
      <c r="BC5123" s="1" t="s">
        <v>51</v>
      </c>
      <c r="BE5123" s="1" t="s">
        <v>53</v>
      </c>
      <c r="GD5123" s="1" t="s">
        <v>193</v>
      </c>
      <c r="GE5123" s="1" t="s">
        <v>7277</v>
      </c>
    </row>
    <row r="5124" spans="1:187" ht="11.25" customHeight="1">
      <c r="A5124" s="1" t="s">
        <v>7278</v>
      </c>
      <c r="B5124" s="1" t="str">
        <f ca="1">IFERROR(__xludf.DUMMYFUNCTION("GOOGLETRANSLATE(A5124, ""en"", ""fr"")"),"Chaud # 5")</f>
        <v>Chaud # 5</v>
      </c>
      <c r="C5124" s="1" t="s">
        <v>185</v>
      </c>
      <c r="BC5124" s="1" t="s">
        <v>51</v>
      </c>
      <c r="BF5124" s="1" t="s">
        <v>54</v>
      </c>
      <c r="GD5124" s="1" t="s">
        <v>193</v>
      </c>
      <c r="GE5124" s="1" t="s">
        <v>7279</v>
      </c>
    </row>
    <row r="5125" spans="1:187" ht="11.25" customHeight="1">
      <c r="A5125" s="1" t="s">
        <v>7280</v>
      </c>
      <c r="B5125" s="1" t="str">
        <f ca="1">IFERROR(__xludf.DUMMYFUNCTION("GOOGLETRANSLATE(A5125, ""en"", ""fr"")"),"Chaud # 6")</f>
        <v>Chaud # 6</v>
      </c>
      <c r="C5125" s="1" t="s">
        <v>185</v>
      </c>
      <c r="E5125" s="1" t="s">
        <v>16613</v>
      </c>
      <c r="H5125" s="1" t="s">
        <v>4</v>
      </c>
      <c r="V5125" s="1" t="s">
        <v>18</v>
      </c>
      <c r="FW5125" s="1" t="s">
        <v>175</v>
      </c>
      <c r="GD5125" s="1" t="s">
        <v>202</v>
      </c>
      <c r="GE5125" s="1" t="s">
        <v>7281</v>
      </c>
    </row>
    <row r="5126" spans="1:187" ht="11.25" customHeight="1">
      <c r="A5126" s="1" t="s">
        <v>7282</v>
      </c>
      <c r="B5126" s="1" t="str">
        <f ca="1">IFERROR(__xludf.DUMMYFUNCTION("GOOGLETRANSLATE(A5126, ""en"", ""fr"")"),"HÔTEL")</f>
        <v>HÔTEL</v>
      </c>
      <c r="C5126" s="1" t="s">
        <v>185</v>
      </c>
      <c r="AA5126" s="1" t="s">
        <v>23</v>
      </c>
      <c r="AC5126" s="1" t="s">
        <v>25</v>
      </c>
      <c r="AV5126" s="1" t="s">
        <v>44</v>
      </c>
      <c r="AW5126" s="1" t="s">
        <v>45</v>
      </c>
      <c r="GD5126" s="1" t="s">
        <v>193</v>
      </c>
      <c r="GE5126" s="1" t="s">
        <v>7283</v>
      </c>
    </row>
    <row r="5127" spans="1:187" ht="11.25" customHeight="1">
      <c r="A5127" s="1" t="s">
        <v>7284</v>
      </c>
      <c r="B5127" s="1" t="str">
        <f ca="1">IFERROR(__xludf.DUMMYFUNCTION("GOOGLETRANSLATE(A5127, ""en"", ""fr"")"),"HEURE")</f>
        <v>HEURE</v>
      </c>
      <c r="C5127" s="1" t="s">
        <v>185</v>
      </c>
      <c r="CQ5127" s="1" t="s">
        <v>91</v>
      </c>
      <c r="CY5127" s="1" t="s">
        <v>99</v>
      </c>
      <c r="CZ5127" s="1" t="s">
        <v>100</v>
      </c>
      <c r="GB5127" s="1" t="s">
        <v>180</v>
      </c>
      <c r="GD5127" s="1" t="s">
        <v>193</v>
      </c>
      <c r="GE5127" s="1" t="s">
        <v>7285</v>
      </c>
    </row>
    <row r="5128" spans="1:187" ht="11.25" customHeight="1">
      <c r="A5128" s="1" t="s">
        <v>7286</v>
      </c>
      <c r="B5128" s="1" t="str">
        <f ca="1">IFERROR(__xludf.DUMMYFUNCTION("GOOGLETRANSLATE(A5128, ""en"", ""fr"")"),"Maison n ° 1")</f>
        <v>Maison n ° 1</v>
      </c>
      <c r="C5128" s="1" t="s">
        <v>185</v>
      </c>
      <c r="AV5128" s="1" t="s">
        <v>44</v>
      </c>
      <c r="AW5128" s="1" t="s">
        <v>45</v>
      </c>
      <c r="GD5128" s="1" t="s">
        <v>849</v>
      </c>
      <c r="GE5128" s="1" t="s">
        <v>7287</v>
      </c>
    </row>
    <row r="5129" spans="1:187" ht="11.25" customHeight="1">
      <c r="A5129" s="1" t="s">
        <v>7288</v>
      </c>
      <c r="B5129" s="1" t="str">
        <f ca="1">IFERROR(__xludf.DUMMYFUNCTION("GOOGLETRANSLATE(A5129, ""en"", ""fr"")"),"Maison n ° 2")</f>
        <v>Maison n ° 2</v>
      </c>
      <c r="C5129" s="1" t="s">
        <v>185</v>
      </c>
      <c r="K5129" s="1" t="s">
        <v>7</v>
      </c>
      <c r="AG5129" s="1" t="s">
        <v>29</v>
      </c>
      <c r="AH5129" s="1" t="s">
        <v>30</v>
      </c>
      <c r="AK5129" s="1" t="s">
        <v>33</v>
      </c>
      <c r="AT5129" s="1" t="s">
        <v>42</v>
      </c>
      <c r="DY5129" s="1" t="s">
        <v>125</v>
      </c>
      <c r="ED5129" s="1" t="s">
        <v>130</v>
      </c>
      <c r="GD5129" s="1" t="s">
        <v>193</v>
      </c>
      <c r="GE5129" s="1" t="s">
        <v>7289</v>
      </c>
    </row>
    <row r="5130" spans="1:187" ht="11.25" customHeight="1">
      <c r="A5130" s="1" t="s">
        <v>7290</v>
      </c>
      <c r="B5130" s="1" t="str">
        <f ca="1">IFERROR(__xludf.DUMMYFUNCTION("GOOGLETRANSLATE(A5130, ""en"", ""fr"")"),"Maison n ° 3")</f>
        <v>Maison n ° 3</v>
      </c>
      <c r="C5130" s="1" t="s">
        <v>185</v>
      </c>
      <c r="AG5130" s="1" t="s">
        <v>29</v>
      </c>
      <c r="AV5130" s="1" t="s">
        <v>44</v>
      </c>
      <c r="AW5130" s="1" t="s">
        <v>45</v>
      </c>
      <c r="GD5130" s="1" t="s">
        <v>5405</v>
      </c>
      <c r="GE5130" s="1" t="s">
        <v>7291</v>
      </c>
    </row>
    <row r="5131" spans="1:187" ht="11.25" customHeight="1">
      <c r="A5131" s="1" t="s">
        <v>7292</v>
      </c>
      <c r="B5131" s="1" t="str">
        <f ca="1">IFERROR(__xludf.DUMMYFUNCTION("GOOGLETRANSLATE(A5131, ""en"", ""fr"")"),"Maison n ° 4")</f>
        <v>Maison n ° 4</v>
      </c>
      <c r="C5131" s="1" t="s">
        <v>185</v>
      </c>
      <c r="AC5131" s="1" t="s">
        <v>25</v>
      </c>
      <c r="AV5131" s="1" t="s">
        <v>44</v>
      </c>
      <c r="AW5131" s="1" t="s">
        <v>45</v>
      </c>
      <c r="EZ5131" s="1" t="s">
        <v>152</v>
      </c>
      <c r="FC5131" s="1" t="s">
        <v>155</v>
      </c>
      <c r="GD5131" s="1" t="s">
        <v>193</v>
      </c>
      <c r="GE5131" s="1" t="s">
        <v>7293</v>
      </c>
    </row>
    <row r="5132" spans="1:187" ht="11.25" customHeight="1">
      <c r="A5132" s="1" t="s">
        <v>7294</v>
      </c>
      <c r="B5132" s="1" t="str">
        <f ca="1">IFERROR(__xludf.DUMMYFUNCTION("GOOGLETRANSLATE(A5132, ""en"", ""fr"")"),"Maison n ° 5")</f>
        <v>Maison n ° 5</v>
      </c>
      <c r="C5132" s="1" t="s">
        <v>185</v>
      </c>
      <c r="G5132" s="1" t="s">
        <v>3</v>
      </c>
      <c r="AN5132" s="1" t="s">
        <v>36</v>
      </c>
      <c r="DO5132" s="1" t="s">
        <v>115</v>
      </c>
      <c r="EZ5132" s="1" t="s">
        <v>152</v>
      </c>
      <c r="FC5132" s="1" t="s">
        <v>155</v>
      </c>
      <c r="GD5132" s="1" t="s">
        <v>189</v>
      </c>
      <c r="GE5132" s="1" t="s">
        <v>7295</v>
      </c>
    </row>
    <row r="5133" spans="1:187" ht="11.25" customHeight="1">
      <c r="A5133" s="1" t="s">
        <v>7296</v>
      </c>
      <c r="B5133" s="1" t="str">
        <f ca="1">IFERROR(__xludf.DUMMYFUNCTION("GOOGLETRANSLATE(A5133, ""en"", ""fr"")"),"Maison n ° 6")</f>
        <v>Maison n ° 6</v>
      </c>
      <c r="C5133" s="1" t="s">
        <v>185</v>
      </c>
      <c r="GD5133" s="1" t="s">
        <v>225</v>
      </c>
      <c r="GE5133" s="1" t="s">
        <v>7297</v>
      </c>
    </row>
    <row r="5134" spans="1:187" ht="11.25" customHeight="1">
      <c r="A5134" s="1" t="s">
        <v>7298</v>
      </c>
      <c r="B5134" s="1" t="str">
        <f ca="1">IFERROR(__xludf.DUMMYFUNCTION("GOOGLETRANSLATE(A5134, ""en"", ""fr"")"),"MÉNAGE")</f>
        <v>MÉNAGE</v>
      </c>
      <c r="C5134" s="1" t="s">
        <v>185</v>
      </c>
      <c r="AV5134" s="1" t="s">
        <v>44</v>
      </c>
      <c r="AW5134" s="1" t="s">
        <v>45</v>
      </c>
      <c r="EV5134" s="1" t="s">
        <v>148</v>
      </c>
      <c r="EW5134" s="1" t="s">
        <v>149</v>
      </c>
      <c r="GD5134" s="1" t="s">
        <v>193</v>
      </c>
      <c r="GE5134" s="1" t="s">
        <v>190</v>
      </c>
    </row>
    <row r="5135" spans="1:187" ht="11.25" customHeight="1">
      <c r="A5135" s="1" t="s">
        <v>7299</v>
      </c>
      <c r="B5135" s="1" t="str">
        <f ca="1">IFERROR(__xludf.DUMMYFUNCTION("GOOGLETRANSLATE(A5135, ""en"", ""fr"")"),"GOUVERNANTE")</f>
        <v>GOUVERNANTE</v>
      </c>
      <c r="C5135" s="1" t="s">
        <v>196</v>
      </c>
      <c r="FK5135" s="1" t="s">
        <v>163</v>
      </c>
      <c r="FM5135" s="1" t="s">
        <v>418</v>
      </c>
      <c r="GD5135" s="1" t="s">
        <v>193</v>
      </c>
    </row>
    <row r="5136" spans="1:187" ht="11.25" customHeight="1">
      <c r="A5136" s="1" t="s">
        <v>7300</v>
      </c>
      <c r="B5136" s="1" t="str">
        <f ca="1">IFERROR(__xludf.DUMMYFUNCTION("GOOGLETRANSLATE(A5136, ""en"", ""fr"")"),"COMMENT")</f>
        <v>COMMENT</v>
      </c>
      <c r="C5136" s="1" t="s">
        <v>185</v>
      </c>
      <c r="CR5136" s="1" t="s">
        <v>92</v>
      </c>
      <c r="GD5136" s="1" t="s">
        <v>7301</v>
      </c>
      <c r="GE5136" s="1" t="s">
        <v>7302</v>
      </c>
    </row>
    <row r="5137" spans="1:187" ht="11.25" customHeight="1">
      <c r="A5137" s="1" t="s">
        <v>7303</v>
      </c>
      <c r="B5137" s="1" t="str">
        <f ca="1">IFERROR(__xludf.DUMMYFUNCTION("GOOGLETRANSLATE(A5137, ""en"", ""fr"")"),"CEPENDANT")</f>
        <v>CEPENDANT</v>
      </c>
      <c r="C5137" s="1" t="s">
        <v>185</v>
      </c>
      <c r="FZ5137" s="1" t="s">
        <v>178</v>
      </c>
      <c r="GD5137" s="1" t="s">
        <v>763</v>
      </c>
      <c r="GE5137" s="1" t="s">
        <v>7304</v>
      </c>
    </row>
    <row r="5138" spans="1:187" ht="11.25" customHeight="1">
      <c r="A5138" s="1" t="s">
        <v>7305</v>
      </c>
      <c r="B5138" s="1" t="str">
        <f ca="1">IFERROR(__xludf.DUMMYFUNCTION("GOOGLETRANSLATE(A5138, ""en"", ""fr"")"),"Huddle # 1")</f>
        <v>Huddle # 1</v>
      </c>
      <c r="C5138" s="1" t="s">
        <v>185</v>
      </c>
      <c r="AK5138" s="1" t="s">
        <v>33</v>
      </c>
      <c r="AT5138" s="1" t="s">
        <v>42</v>
      </c>
      <c r="GD5138" s="1" t="s">
        <v>193</v>
      </c>
      <c r="GE5138" s="1" t="s">
        <v>190</v>
      </c>
    </row>
    <row r="5139" spans="1:187" ht="11.25" customHeight="1">
      <c r="A5139" s="1" t="s">
        <v>7306</v>
      </c>
      <c r="B5139" s="1" t="str">
        <f ca="1">IFERROR(__xludf.DUMMYFUNCTION("GOOGLETRANSLATE(A5139, ""en"", ""fr"")"),"Huddle # 2")</f>
        <v>Huddle # 2</v>
      </c>
      <c r="C5139" s="1" t="s">
        <v>185</v>
      </c>
      <c r="L5139" s="1" t="s">
        <v>8</v>
      </c>
      <c r="O5139" s="1" t="s">
        <v>11</v>
      </c>
      <c r="CA5139" s="1" t="s">
        <v>75</v>
      </c>
      <c r="DO5139" s="1" t="s">
        <v>115</v>
      </c>
      <c r="GD5139" s="1" t="s">
        <v>189</v>
      </c>
      <c r="GE5139" s="1" t="s">
        <v>190</v>
      </c>
    </row>
    <row r="5140" spans="1:187" ht="11.25" customHeight="1">
      <c r="A5140" s="1" t="s">
        <v>7307</v>
      </c>
      <c r="B5140" s="1" t="str">
        <f ca="1">IFERROR(__xludf.DUMMYFUNCTION("GOOGLETRANSLATE(A5140, ""en"", ""fr"")"),"CÂLIN")</f>
        <v>CÂLIN</v>
      </c>
      <c r="C5140" s="1" t="s">
        <v>192</v>
      </c>
      <c r="D5140" s="1" t="s">
        <v>16612</v>
      </c>
      <c r="N5140" s="1" t="s">
        <v>10</v>
      </c>
      <c r="AN5140" s="1" t="s">
        <v>36</v>
      </c>
      <c r="DO5140" s="1" t="s">
        <v>115</v>
      </c>
      <c r="GD5140" s="1" t="s">
        <v>670</v>
      </c>
      <c r="GE5140" s="1" t="s">
        <v>190</v>
      </c>
    </row>
    <row r="5141" spans="1:187" ht="11.25" customHeight="1">
      <c r="A5141" s="1" t="s">
        <v>7308</v>
      </c>
      <c r="B5141" s="1" t="str">
        <f ca="1">IFERROR(__xludf.DUMMYFUNCTION("GOOGLETRANSLATE(A5141, ""en"", ""fr"")"),"ÉNORME")</f>
        <v>ÉNORME</v>
      </c>
      <c r="C5141" s="1" t="s">
        <v>185</v>
      </c>
      <c r="J5141" s="1" t="s">
        <v>6</v>
      </c>
      <c r="W5141" s="1" t="s">
        <v>19</v>
      </c>
      <c r="CS5141" s="1" t="s">
        <v>93</v>
      </c>
      <c r="DC5141" s="1" t="s">
        <v>103</v>
      </c>
      <c r="GD5141" s="1" t="s">
        <v>202</v>
      </c>
      <c r="GE5141" s="1" t="s">
        <v>7309</v>
      </c>
    </row>
    <row r="5142" spans="1:187" ht="11.25" customHeight="1">
      <c r="A5142" s="1" t="s">
        <v>7310</v>
      </c>
      <c r="B5142" s="1" t="str">
        <f ca="1">IFERROR(__xludf.DUMMYFUNCTION("GOOGLETRANSLATE(A5142, ""en"", ""fr"")"),"COQUE")</f>
        <v>COQUE</v>
      </c>
      <c r="C5142" s="1" t="s">
        <v>185</v>
      </c>
      <c r="BC5142" s="1" t="s">
        <v>51</v>
      </c>
      <c r="BD5142" s="1" t="s">
        <v>52</v>
      </c>
      <c r="GD5142" s="1" t="s">
        <v>193</v>
      </c>
      <c r="GE5142" s="1" t="s">
        <v>190</v>
      </c>
    </row>
    <row r="5143" spans="1:187" ht="11.25" customHeight="1">
      <c r="A5143" s="1" t="s">
        <v>7311</v>
      </c>
      <c r="B5143" s="1" t="str">
        <f ca="1">IFERROR(__xludf.DUMMYFUNCTION("GOOGLETRANSLATE(A5143, ""en"", ""fr"")"),"HUMAIN")</f>
        <v>HUMAIN</v>
      </c>
      <c r="C5143" s="1" t="s">
        <v>185</v>
      </c>
      <c r="D5143" s="1" t="s">
        <v>16612</v>
      </c>
      <c r="F5143" s="1" t="s">
        <v>2</v>
      </c>
      <c r="AJ5143" s="1" t="s">
        <v>32</v>
      </c>
      <c r="AT5143" s="1" t="s">
        <v>42</v>
      </c>
      <c r="EQ5143" s="1" t="s">
        <v>143</v>
      </c>
      <c r="ES5143" s="1" t="s">
        <v>145</v>
      </c>
      <c r="GD5143" s="1" t="s">
        <v>193</v>
      </c>
      <c r="GE5143" s="1" t="s">
        <v>7312</v>
      </c>
    </row>
    <row r="5144" spans="1:187" ht="11.25" customHeight="1">
      <c r="A5144" s="1" t="s">
        <v>7313</v>
      </c>
      <c r="B5144" s="1" t="str">
        <f ca="1">IFERROR(__xludf.DUMMYFUNCTION("GOOGLETRANSLATE(A5144, ""en"", ""fr"")"),"HUMANITAIRE")</f>
        <v>HUMANITAIRE</v>
      </c>
      <c r="C5144" s="1" t="s">
        <v>192</v>
      </c>
      <c r="D5144" s="1" t="s">
        <v>16612</v>
      </c>
      <c r="U5144" s="1" t="s">
        <v>17</v>
      </c>
      <c r="AG5144" s="1" t="s">
        <v>29</v>
      </c>
      <c r="DR5144" s="1" t="s">
        <v>118</v>
      </c>
      <c r="GD5144" s="1" t="s">
        <v>202</v>
      </c>
      <c r="GE5144" s="1" t="s">
        <v>190</v>
      </c>
    </row>
    <row r="5145" spans="1:187" ht="11.25" customHeight="1">
      <c r="A5145" s="1" t="s">
        <v>7314</v>
      </c>
      <c r="B5145" s="1" t="str">
        <f ca="1">IFERROR(__xludf.DUMMYFUNCTION("GOOGLETRANSLATE(A5145, ""en"", ""fr"")"),"HUMANITÉ")</f>
        <v>HUMANITÉ</v>
      </c>
      <c r="C5145" s="1" t="s">
        <v>185</v>
      </c>
      <c r="D5145" s="1" t="s">
        <v>16612</v>
      </c>
      <c r="F5145" s="1" t="s">
        <v>2</v>
      </c>
      <c r="AK5145" s="1" t="s">
        <v>33</v>
      </c>
      <c r="AT5145" s="1" t="s">
        <v>42</v>
      </c>
      <c r="CQ5145" s="1" t="s">
        <v>91</v>
      </c>
      <c r="EQ5145" s="1" t="s">
        <v>143</v>
      </c>
      <c r="ES5145" s="1" t="s">
        <v>145</v>
      </c>
      <c r="GD5145" s="1" t="s">
        <v>193</v>
      </c>
      <c r="GE5145" s="1" t="s">
        <v>190</v>
      </c>
    </row>
    <row r="5146" spans="1:187" ht="11.25" customHeight="1">
      <c r="A5146" s="1" t="s">
        <v>7315</v>
      </c>
      <c r="B5146" s="1" t="str">
        <f ca="1">IFERROR(__xludf.DUMMYFUNCTION("GOOGLETRANSLATE(A5146, ""en"", ""fr"")"),"HUMBLE")</f>
        <v>HUMBLE</v>
      </c>
      <c r="C5146" s="1" t="s">
        <v>185</v>
      </c>
      <c r="D5146" s="1" t="s">
        <v>16612</v>
      </c>
      <c r="F5146" s="1" t="s">
        <v>2</v>
      </c>
      <c r="L5146" s="1" t="s">
        <v>8</v>
      </c>
      <c r="M5146" s="1" t="s">
        <v>9</v>
      </c>
      <c r="O5146" s="1" t="s">
        <v>11</v>
      </c>
      <c r="U5146" s="1" t="s">
        <v>17</v>
      </c>
      <c r="EM5146" s="1" t="s">
        <v>139</v>
      </c>
      <c r="EN5146" s="1" t="s">
        <v>140</v>
      </c>
      <c r="GD5146" s="1" t="s">
        <v>202</v>
      </c>
      <c r="GE5146" s="1" t="s">
        <v>190</v>
      </c>
    </row>
    <row r="5147" spans="1:187" ht="11.25" customHeight="1">
      <c r="A5147" s="1" t="s">
        <v>7316</v>
      </c>
      <c r="B5147" s="1" t="str">
        <f ca="1">IFERROR(__xludf.DUMMYFUNCTION("GOOGLETRANSLATE(A5147, ""en"", ""fr"")"),"HUMIDITÉ")</f>
        <v>HUMIDITÉ</v>
      </c>
      <c r="C5147" s="1" t="s">
        <v>185</v>
      </c>
      <c r="BU5147" s="1" t="s">
        <v>69</v>
      </c>
      <c r="GD5147" s="1" t="s">
        <v>193</v>
      </c>
      <c r="GE5147" s="1" t="s">
        <v>190</v>
      </c>
    </row>
    <row r="5148" spans="1:187" ht="11.25" customHeight="1">
      <c r="A5148" s="1" t="s">
        <v>7317</v>
      </c>
      <c r="B5148" s="1" t="str">
        <f ca="1">IFERROR(__xludf.DUMMYFUNCTION("GOOGLETRANSLATE(A5148, ""en"", ""fr"")"),"HUMILIER")</f>
        <v>HUMILIER</v>
      </c>
      <c r="C5148" s="1" t="s">
        <v>185</v>
      </c>
      <c r="E5148" s="1" t="s">
        <v>16613</v>
      </c>
      <c r="I5148" s="1" t="s">
        <v>5</v>
      </c>
      <c r="N5148" s="1" t="s">
        <v>10</v>
      </c>
      <c r="DN5148" s="1" t="s">
        <v>114</v>
      </c>
      <c r="FW5148" s="1" t="s">
        <v>175</v>
      </c>
      <c r="GD5148" s="1" t="s">
        <v>670</v>
      </c>
      <c r="GE5148" s="1" t="s">
        <v>190</v>
      </c>
    </row>
    <row r="5149" spans="1:187" ht="11.25" customHeight="1">
      <c r="A5149" s="1" t="s">
        <v>7318</v>
      </c>
      <c r="B5149" s="1" t="str">
        <f ca="1">IFERROR(__xludf.DUMMYFUNCTION("GOOGLETRANSLATE(A5149, ""en"", ""fr"")"),"HUMILIATION")</f>
        <v>HUMILIATION</v>
      </c>
      <c r="C5149" s="1" t="s">
        <v>192</v>
      </c>
      <c r="E5149" s="1" t="s">
        <v>16613</v>
      </c>
      <c r="Q5149" s="1" t="s">
        <v>13</v>
      </c>
      <c r="T5149" s="1" t="s">
        <v>16</v>
      </c>
      <c r="GD5149" s="1" t="s">
        <v>193</v>
      </c>
      <c r="GE5149" s="1" t="s">
        <v>190</v>
      </c>
    </row>
    <row r="5150" spans="1:187" ht="11.25" customHeight="1">
      <c r="A5150" s="1" t="s">
        <v>7319</v>
      </c>
      <c r="B5150" s="1" t="str">
        <f ca="1">IFERROR(__xludf.DUMMYFUNCTION("GOOGLETRANSLATE(A5150, ""en"", ""fr"")"),"HUMILITÉ")</f>
        <v>HUMILITÉ</v>
      </c>
      <c r="C5150" s="1" t="s">
        <v>185</v>
      </c>
      <c r="D5150" s="1" t="s">
        <v>16612</v>
      </c>
      <c r="U5150" s="1" t="s">
        <v>17</v>
      </c>
      <c r="EM5150" s="1" t="s">
        <v>139</v>
      </c>
      <c r="EN5150" s="1" t="s">
        <v>140</v>
      </c>
      <c r="GD5150" s="1" t="s">
        <v>193</v>
      </c>
      <c r="GE5150" s="1" t="s">
        <v>190</v>
      </c>
    </row>
    <row r="5151" spans="1:187" ht="11.25" customHeight="1">
      <c r="A5151" s="1" t="s">
        <v>7320</v>
      </c>
      <c r="B5151" s="1" t="str">
        <f ca="1">IFERROR(__xludf.DUMMYFUNCTION("GOOGLETRANSLATE(A5151, ""en"", ""fr"")"),"HUMOUR")</f>
        <v>HUMOUR</v>
      </c>
      <c r="C5151" s="1" t="s">
        <v>185</v>
      </c>
      <c r="D5151" s="1" t="s">
        <v>16612</v>
      </c>
      <c r="F5151" s="1" t="s">
        <v>2</v>
      </c>
      <c r="P5151" s="1" t="s">
        <v>12</v>
      </c>
      <c r="CP5151" s="1" t="s">
        <v>90</v>
      </c>
      <c r="CQ5151" s="1" t="s">
        <v>91</v>
      </c>
      <c r="DN5151" s="1" t="s">
        <v>114</v>
      </c>
      <c r="FA5151" s="1" t="s">
        <v>153</v>
      </c>
      <c r="FC5151" s="1" t="s">
        <v>155</v>
      </c>
      <c r="GD5151" s="1" t="s">
        <v>193</v>
      </c>
      <c r="GE5151" s="1" t="s">
        <v>190</v>
      </c>
    </row>
    <row r="5152" spans="1:187" ht="11.25" customHeight="1">
      <c r="A5152" s="1" t="s">
        <v>7321</v>
      </c>
      <c r="B5152" s="1" t="str">
        <f ca="1">IFERROR(__xludf.DUMMYFUNCTION("GOOGLETRANSLATE(A5152, ""en"", ""fr"")"),"HUMORISTIQUE")</f>
        <v>HUMORISTIQUE</v>
      </c>
      <c r="C5152" s="1" t="s">
        <v>185</v>
      </c>
      <c r="D5152" s="1" t="s">
        <v>16612</v>
      </c>
      <c r="F5152" s="1" t="s">
        <v>2</v>
      </c>
      <c r="P5152" s="1" t="s">
        <v>12</v>
      </c>
      <c r="DR5152" s="1" t="s">
        <v>118</v>
      </c>
      <c r="FA5152" s="1" t="s">
        <v>153</v>
      </c>
      <c r="FC5152" s="1" t="s">
        <v>155</v>
      </c>
      <c r="GD5152" s="1" t="s">
        <v>202</v>
      </c>
      <c r="GE5152" s="1" t="s">
        <v>190</v>
      </c>
    </row>
    <row r="5153" spans="1:187" ht="11.25" customHeight="1">
      <c r="A5153" s="1" t="s">
        <v>7322</v>
      </c>
      <c r="B5153" s="1" t="str">
        <f ca="1">IFERROR(__xludf.DUMMYFUNCTION("GOOGLETRANSLATE(A5153, ""en"", ""fr"")"),"Humour # 1")</f>
        <v>Humour # 1</v>
      </c>
      <c r="C5153" s="1" t="s">
        <v>192</v>
      </c>
      <c r="GE5153" s="1" t="s">
        <v>190</v>
      </c>
    </row>
    <row r="5154" spans="1:187" ht="11.25" customHeight="1">
      <c r="A5154" s="1" t="s">
        <v>7323</v>
      </c>
      <c r="B5154" s="1" t="str">
        <f ca="1">IFERROR(__xludf.DUMMYFUNCTION("GOOGLETRANSLATE(A5154, ""en"", ""fr"")"),"PRESSENTIMENT")</f>
        <v>PRESSENTIMENT</v>
      </c>
      <c r="C5154" s="1" t="s">
        <v>185</v>
      </c>
      <c r="O5154" s="1" t="s">
        <v>11</v>
      </c>
      <c r="CH5154" s="1" t="s">
        <v>82</v>
      </c>
      <c r="FD5154" s="1" t="s">
        <v>156</v>
      </c>
      <c r="FI5154" s="1" t="s">
        <v>161</v>
      </c>
      <c r="GD5154" s="1" t="s">
        <v>193</v>
      </c>
      <c r="GE5154" s="1" t="s">
        <v>190</v>
      </c>
    </row>
    <row r="5155" spans="1:187" ht="11.25" customHeight="1">
      <c r="A5155" s="1" t="s">
        <v>7324</v>
      </c>
      <c r="B5155" s="1" t="str">
        <f ca="1">IFERROR(__xludf.DUMMYFUNCTION("GOOGLETRANSLATE(A5155, ""en"", ""fr"")"),"Cent # 1")</f>
        <v>Cent # 1</v>
      </c>
      <c r="C5155" s="1" t="s">
        <v>185</v>
      </c>
      <c r="W5155" s="1" t="s">
        <v>19</v>
      </c>
      <c r="CS5155" s="1" t="s">
        <v>93</v>
      </c>
      <c r="CT5155" s="1" t="s">
        <v>94</v>
      </c>
      <c r="CV5155" s="1" t="s">
        <v>96</v>
      </c>
      <c r="GD5155" s="1" t="s">
        <v>4831</v>
      </c>
      <c r="GE5155" s="1" t="s">
        <v>7325</v>
      </c>
    </row>
    <row r="5156" spans="1:187" ht="11.25" customHeight="1">
      <c r="A5156" s="1" t="s">
        <v>7326</v>
      </c>
      <c r="B5156" s="1" t="str">
        <f ca="1">IFERROR(__xludf.DUMMYFUNCTION("GOOGLETRANSLATE(A5156, ""en"", ""fr"")"),"Cent # 2")</f>
        <v>Cent # 2</v>
      </c>
      <c r="C5156" s="1" t="s">
        <v>185</v>
      </c>
      <c r="W5156" s="1" t="s">
        <v>19</v>
      </c>
      <c r="CS5156" s="1" t="s">
        <v>93</v>
      </c>
      <c r="GD5156" s="1" t="s">
        <v>1957</v>
      </c>
      <c r="GE5156" s="1" t="s">
        <v>7327</v>
      </c>
    </row>
    <row r="5157" spans="1:187" ht="11.25" customHeight="1">
      <c r="A5157" s="1" t="s">
        <v>7328</v>
      </c>
      <c r="B5157" s="1" t="str">
        <f ca="1">IFERROR(__xludf.DUMMYFUNCTION("GOOGLETRANSLATE(A5157, ""en"", ""fr"")"),"Centième # 1")</f>
        <v>Centième # 1</v>
      </c>
      <c r="C5157" s="1" t="s">
        <v>192</v>
      </c>
      <c r="GE5157" s="1" t="s">
        <v>190</v>
      </c>
    </row>
    <row r="5158" spans="1:187" ht="11.25" customHeight="1">
      <c r="A5158" s="1" t="s">
        <v>7329</v>
      </c>
      <c r="B5158" s="1" t="str">
        <f ca="1">IFERROR(__xludf.DUMMYFUNCTION("GOOGLETRANSLATE(A5158, ""en"", ""fr"")"),"Hung # 1")</f>
        <v>Hung # 1</v>
      </c>
      <c r="C5158" s="1" t="s">
        <v>185</v>
      </c>
      <c r="O5158" s="1" t="s">
        <v>11</v>
      </c>
      <c r="CA5158" s="1" t="s">
        <v>75</v>
      </c>
      <c r="DO5158" s="1" t="s">
        <v>115</v>
      </c>
      <c r="EY5158" s="1" t="s">
        <v>151</v>
      </c>
      <c r="FC5158" s="1" t="s">
        <v>155</v>
      </c>
      <c r="GD5158" s="1" t="s">
        <v>1076</v>
      </c>
      <c r="GE5158" s="1" t="s">
        <v>7330</v>
      </c>
    </row>
    <row r="5159" spans="1:187" ht="11.25" customHeight="1">
      <c r="A5159" s="1" t="s">
        <v>7331</v>
      </c>
      <c r="B5159" s="1" t="str">
        <f ca="1">IFERROR(__xludf.DUMMYFUNCTION("GOOGLETRANSLATE(A5159, ""en"", ""fr"")"),"Hung # 2")</f>
        <v>Hung # 2</v>
      </c>
      <c r="C5159" s="1" t="s">
        <v>185</v>
      </c>
      <c r="O5159" s="1" t="s">
        <v>11</v>
      </c>
      <c r="DD5159" s="1" t="s">
        <v>104</v>
      </c>
      <c r="DN5159" s="1" t="s">
        <v>114</v>
      </c>
      <c r="FP5159" s="1" t="s">
        <v>168</v>
      </c>
      <c r="GD5159" s="1" t="s">
        <v>1076</v>
      </c>
      <c r="GE5159" s="1" t="s">
        <v>7332</v>
      </c>
    </row>
    <row r="5160" spans="1:187" ht="11.25" customHeight="1">
      <c r="A5160" s="1" t="s">
        <v>7333</v>
      </c>
      <c r="B5160" s="1" t="str">
        <f ca="1">IFERROR(__xludf.DUMMYFUNCTION("GOOGLETRANSLATE(A5160, ""en"", ""fr"")"),"Hung # 3")</f>
        <v>Hung # 3</v>
      </c>
      <c r="C5160" s="1" t="s">
        <v>185</v>
      </c>
      <c r="E5160" s="1" t="s">
        <v>16613</v>
      </c>
      <c r="H5160" s="1" t="s">
        <v>4</v>
      </c>
      <c r="O5160" s="1" t="s">
        <v>11</v>
      </c>
      <c r="Q5160" s="1" t="s">
        <v>13</v>
      </c>
      <c r="FP5160" s="1" t="s">
        <v>168</v>
      </c>
      <c r="GD5160" s="1" t="s">
        <v>202</v>
      </c>
      <c r="GE5160" s="1" t="s">
        <v>7334</v>
      </c>
    </row>
    <row r="5161" spans="1:187" ht="11.25" customHeight="1">
      <c r="A5161" s="1" t="s">
        <v>7335</v>
      </c>
      <c r="B5161" s="1" t="str">
        <f ca="1">IFERROR(__xludf.DUMMYFUNCTION("GOOGLETRANSLATE(A5161, ""en"", ""fr"")"),"Hung # 4")</f>
        <v>Hung # 4</v>
      </c>
      <c r="C5161" s="1" t="s">
        <v>185</v>
      </c>
      <c r="L5161" s="1" t="s">
        <v>8</v>
      </c>
      <c r="N5161" s="1" t="s">
        <v>10</v>
      </c>
      <c r="BP5161" s="1" t="s">
        <v>64</v>
      </c>
      <c r="DN5161" s="1" t="s">
        <v>114</v>
      </c>
      <c r="FP5161" s="1" t="s">
        <v>168</v>
      </c>
      <c r="GD5161" s="1" t="s">
        <v>189</v>
      </c>
      <c r="GE5161" s="1" t="s">
        <v>7336</v>
      </c>
    </row>
    <row r="5162" spans="1:187" ht="11.25" customHeight="1">
      <c r="A5162" s="1" t="s">
        <v>7337</v>
      </c>
      <c r="B5162" s="1" t="str">
        <f ca="1">IFERROR(__xludf.DUMMYFUNCTION("GOOGLETRANSLATE(A5162, ""en"", ""fr"")"),"HONGRIE")</f>
        <v>HONGRIE</v>
      </c>
      <c r="C5162" s="1" t="s">
        <v>196</v>
      </c>
      <c r="FU5162" s="1" t="s">
        <v>173</v>
      </c>
      <c r="GD5162" s="1" t="s">
        <v>545</v>
      </c>
    </row>
    <row r="5163" spans="1:187" ht="11.25" customHeight="1">
      <c r="A5163" s="1" t="s">
        <v>7338</v>
      </c>
      <c r="B5163" s="1" t="str">
        <f ca="1">IFERROR(__xludf.DUMMYFUNCTION("GOOGLETRANSLATE(A5163, ""en"", ""fr"")"),"FAIM")</f>
        <v>FAIM</v>
      </c>
      <c r="C5163" s="1" t="s">
        <v>185</v>
      </c>
      <c r="E5163" s="1" t="s">
        <v>16613</v>
      </c>
      <c r="H5163" s="1" t="s">
        <v>4</v>
      </c>
      <c r="BU5163" s="1" t="s">
        <v>69</v>
      </c>
      <c r="EZ5163" s="1" t="s">
        <v>152</v>
      </c>
      <c r="FC5163" s="1" t="s">
        <v>155</v>
      </c>
      <c r="GD5163" s="1" t="s">
        <v>193</v>
      </c>
      <c r="GE5163" s="1" t="s">
        <v>190</v>
      </c>
    </row>
    <row r="5164" spans="1:187" ht="11.25" customHeight="1">
      <c r="A5164" s="1" t="s">
        <v>7339</v>
      </c>
      <c r="B5164" s="1" t="str">
        <f ca="1">IFERROR(__xludf.DUMMYFUNCTION("GOOGLETRANSLATE(A5164, ""en"", ""fr"")"),"AFFAMÉ")</f>
        <v>AFFAMÉ</v>
      </c>
      <c r="C5164" s="1" t="s">
        <v>185</v>
      </c>
      <c r="E5164" s="1" t="s">
        <v>16613</v>
      </c>
      <c r="H5164" s="1" t="s">
        <v>4</v>
      </c>
      <c r="BU5164" s="1" t="s">
        <v>69</v>
      </c>
      <c r="EZ5164" s="1" t="s">
        <v>152</v>
      </c>
      <c r="FC5164" s="1" t="s">
        <v>155</v>
      </c>
      <c r="GD5164" s="1" t="s">
        <v>202</v>
      </c>
      <c r="GE5164" s="1" t="s">
        <v>7340</v>
      </c>
    </row>
    <row r="5165" spans="1:187" ht="11.25" customHeight="1">
      <c r="A5165" s="1" t="s">
        <v>7341</v>
      </c>
      <c r="B5165" s="1" t="str">
        <f ca="1">IFERROR(__xludf.DUMMYFUNCTION("GOOGLETRANSLATE(A5165, ""en"", ""fr"")"),"Chasse n ° 1")</f>
        <v>Chasse n ° 1</v>
      </c>
      <c r="C5165" s="1" t="s">
        <v>185</v>
      </c>
      <c r="E5165" s="1" t="s">
        <v>16613</v>
      </c>
      <c r="H5165" s="1" t="s">
        <v>4</v>
      </c>
      <c r="I5165" s="1" t="s">
        <v>5</v>
      </c>
      <c r="N5165" s="1" t="s">
        <v>10</v>
      </c>
      <c r="CC5165" s="1" t="s">
        <v>77</v>
      </c>
      <c r="FH5165" s="1" t="s">
        <v>160</v>
      </c>
      <c r="FI5165" s="1" t="s">
        <v>161</v>
      </c>
      <c r="GD5165" s="1" t="s">
        <v>193</v>
      </c>
      <c r="GE5165" s="1" t="s">
        <v>7342</v>
      </c>
    </row>
    <row r="5166" spans="1:187" ht="11.25" customHeight="1">
      <c r="A5166" s="1" t="s">
        <v>7343</v>
      </c>
      <c r="B5166" s="1" t="str">
        <f ca="1">IFERROR(__xludf.DUMMYFUNCTION("GOOGLETRANSLATE(A5166, ""en"", ""fr"")"),"Chasse n ° 2")</f>
        <v>Chasse n ° 2</v>
      </c>
      <c r="C5166" s="1" t="s">
        <v>185</v>
      </c>
      <c r="E5166" s="1" t="s">
        <v>16613</v>
      </c>
      <c r="H5166" s="1" t="s">
        <v>4</v>
      </c>
      <c r="I5166" s="1" t="s">
        <v>5</v>
      </c>
      <c r="N5166" s="1" t="s">
        <v>10</v>
      </c>
      <c r="CC5166" s="1" t="s">
        <v>77</v>
      </c>
      <c r="DN5166" s="1" t="s">
        <v>114</v>
      </c>
      <c r="FH5166" s="1" t="s">
        <v>160</v>
      </c>
      <c r="FI5166" s="1" t="s">
        <v>161</v>
      </c>
      <c r="GD5166" s="1" t="s">
        <v>400</v>
      </c>
      <c r="GE5166" s="1" t="s">
        <v>7344</v>
      </c>
    </row>
    <row r="5167" spans="1:187" ht="11.25" customHeight="1">
      <c r="A5167" s="1" t="s">
        <v>7345</v>
      </c>
      <c r="B5167" s="1" t="str">
        <f ca="1">IFERROR(__xludf.DUMMYFUNCTION("GOOGLETRANSLATE(A5167, ""en"", ""fr"")"),"Chasser # 3")</f>
        <v>Chasser # 3</v>
      </c>
      <c r="C5167" s="1" t="s">
        <v>185</v>
      </c>
      <c r="E5167" s="1" t="s">
        <v>16613</v>
      </c>
      <c r="H5167" s="1" t="s">
        <v>4</v>
      </c>
      <c r="N5167" s="1" t="s">
        <v>10</v>
      </c>
      <c r="CC5167" s="1" t="s">
        <v>77</v>
      </c>
      <c r="FH5167" s="1" t="s">
        <v>160</v>
      </c>
      <c r="FI5167" s="1" t="s">
        <v>161</v>
      </c>
      <c r="GD5167" s="1" t="s">
        <v>202</v>
      </c>
      <c r="GE5167" s="1" t="s">
        <v>7346</v>
      </c>
    </row>
    <row r="5168" spans="1:187" ht="11.25" customHeight="1">
      <c r="A5168" s="1" t="s">
        <v>7347</v>
      </c>
      <c r="B5168" s="1" t="str">
        <f ca="1">IFERROR(__xludf.DUMMYFUNCTION("GOOGLETRANSLATE(A5168, ""en"", ""fr"")"),"CHASSEUR")</f>
        <v>CHASSEUR</v>
      </c>
      <c r="C5168" s="1" t="s">
        <v>185</v>
      </c>
      <c r="E5168" s="1" t="s">
        <v>16613</v>
      </c>
      <c r="H5168" s="1" t="s">
        <v>4</v>
      </c>
      <c r="I5168" s="1" t="s">
        <v>5</v>
      </c>
      <c r="N5168" s="1" t="s">
        <v>10</v>
      </c>
      <c r="AD5168" s="1" t="s">
        <v>26</v>
      </c>
      <c r="AJ5168" s="1" t="s">
        <v>32</v>
      </c>
      <c r="AT5168" s="1" t="s">
        <v>42</v>
      </c>
      <c r="FK5168" s="1" t="s">
        <v>163</v>
      </c>
      <c r="FM5168" s="1" t="s">
        <v>418</v>
      </c>
      <c r="GD5168" s="1" t="s">
        <v>193</v>
      </c>
      <c r="GE5168" s="1" t="s">
        <v>7348</v>
      </c>
    </row>
    <row r="5169" spans="1:187" ht="11.25" customHeight="1">
      <c r="A5169" s="1" t="s">
        <v>7349</v>
      </c>
      <c r="B5169" s="1" t="str">
        <f ca="1">IFERROR(__xludf.DUMMYFUNCTION("GOOGLETRANSLATE(A5169, ""en"", ""fr"")"),"LANCER")</f>
        <v>LANCER</v>
      </c>
      <c r="C5169" s="1" t="s">
        <v>196</v>
      </c>
      <c r="EC5169" s="1" t="s">
        <v>129</v>
      </c>
      <c r="ED5169" s="1" t="s">
        <v>130</v>
      </c>
      <c r="GD5169" s="1" t="s">
        <v>189</v>
      </c>
    </row>
    <row r="5170" spans="1:187" ht="11.25" customHeight="1">
      <c r="A5170" s="1" t="s">
        <v>7350</v>
      </c>
      <c r="B5170" s="1" t="str">
        <f ca="1">IFERROR(__xludf.DUMMYFUNCTION("GOOGLETRANSLATE(A5170, ""en"", ""fr"")"),"HOURRA")</f>
        <v>HOURRA</v>
      </c>
      <c r="C5170" s="1" t="s">
        <v>192</v>
      </c>
      <c r="DJ5170" s="1" t="s">
        <v>110</v>
      </c>
      <c r="DM5170" s="1" t="s">
        <v>113</v>
      </c>
      <c r="GE5170" s="1" t="s">
        <v>190</v>
      </c>
    </row>
    <row r="5171" spans="1:187" ht="11.25" customHeight="1">
      <c r="A5171" s="1" t="s">
        <v>7351</v>
      </c>
      <c r="B5171" s="1" t="str">
        <f ca="1">IFERROR(__xludf.DUMMYFUNCTION("GOOGLETRANSLATE(A5171, ""en"", ""fr"")"),"OURAGAN")</f>
        <v>OURAGAN</v>
      </c>
      <c r="C5171" s="1" t="s">
        <v>185</v>
      </c>
      <c r="AV5171" s="1" t="s">
        <v>44</v>
      </c>
      <c r="BB5171" s="1" t="s">
        <v>50</v>
      </c>
      <c r="GD5171" s="1" t="s">
        <v>193</v>
      </c>
      <c r="GE5171" s="1" t="s">
        <v>190</v>
      </c>
    </row>
    <row r="5172" spans="1:187" ht="11.25" customHeight="1">
      <c r="A5172" s="1" t="s">
        <v>7352</v>
      </c>
      <c r="B5172" s="1" t="str">
        <f ca="1">IFERROR(__xludf.DUMMYFUNCTION("GOOGLETRANSLATE(A5172, ""en"", ""fr"")"),"Dépêchez-vous # 1")</f>
        <v>Dépêchez-vous # 1</v>
      </c>
      <c r="C5172" s="1" t="s">
        <v>185</v>
      </c>
      <c r="N5172" s="1" t="s">
        <v>10</v>
      </c>
      <c r="CE5172" s="1" t="s">
        <v>79</v>
      </c>
      <c r="GD5172" s="1" t="s">
        <v>193</v>
      </c>
      <c r="GE5172" s="1" t="s">
        <v>7353</v>
      </c>
    </row>
    <row r="5173" spans="1:187" ht="11.25" customHeight="1">
      <c r="A5173" s="1" t="s">
        <v>7354</v>
      </c>
      <c r="B5173" s="1" t="str">
        <f ca="1">IFERROR(__xludf.DUMMYFUNCTION("GOOGLETRANSLATE(A5173, ""en"", ""fr"")"),"Dépêchez-vous # 2")</f>
        <v>Dépêchez-vous # 2</v>
      </c>
      <c r="C5173" s="1" t="s">
        <v>185</v>
      </c>
      <c r="N5173" s="1" t="s">
        <v>10</v>
      </c>
      <c r="CC5173" s="1" t="s">
        <v>77</v>
      </c>
      <c r="DN5173" s="1" t="s">
        <v>114</v>
      </c>
      <c r="GD5173" s="1" t="s">
        <v>189</v>
      </c>
      <c r="GE5173" s="1" t="s">
        <v>7355</v>
      </c>
    </row>
    <row r="5174" spans="1:187" ht="11.25" customHeight="1">
      <c r="A5174" s="1" t="s">
        <v>7356</v>
      </c>
      <c r="B5174" s="1" t="str">
        <f ca="1">IFERROR(__xludf.DUMMYFUNCTION("GOOGLETRANSLATE(A5174, ""en"", ""fr"")"),"Dépêchez-vous # 3")</f>
        <v>Dépêchez-vous # 3</v>
      </c>
      <c r="C5174" s="1" t="s">
        <v>185</v>
      </c>
      <c r="N5174" s="1" t="s">
        <v>10</v>
      </c>
      <c r="CY5174" s="1" t="s">
        <v>99</v>
      </c>
      <c r="GD5174" s="1" t="s">
        <v>236</v>
      </c>
      <c r="GE5174" s="1" t="s">
        <v>7357</v>
      </c>
    </row>
    <row r="5175" spans="1:187" ht="11.25" customHeight="1">
      <c r="A5175" s="1" t="s">
        <v>7358</v>
      </c>
      <c r="B5175" s="1" t="str">
        <f ca="1">IFERROR(__xludf.DUMMYFUNCTION("GOOGLETRANSLATE(A5175, ""en"", ""fr"")"),"Dépêchez-vous # 4")</f>
        <v>Dépêchez-vous # 4</v>
      </c>
      <c r="C5175" s="1" t="s">
        <v>185</v>
      </c>
      <c r="N5175" s="1" t="s">
        <v>10</v>
      </c>
      <c r="CY5175" s="1" t="s">
        <v>99</v>
      </c>
      <c r="GD5175" s="1" t="s">
        <v>202</v>
      </c>
      <c r="GE5175" s="1" t="s">
        <v>7359</v>
      </c>
    </row>
    <row r="5176" spans="1:187" ht="11.25" customHeight="1">
      <c r="A5176" s="1" t="s">
        <v>7360</v>
      </c>
      <c r="B5176" s="1" t="str">
        <f ca="1">IFERROR(__xludf.DUMMYFUNCTION("GOOGLETRANSLATE(A5176, ""en"", ""fr"")"),"Dépêchez-vous # 5")</f>
        <v>Dépêchez-vous # 5</v>
      </c>
      <c r="C5176" s="1" t="s">
        <v>185</v>
      </c>
      <c r="N5176" s="1" t="s">
        <v>10</v>
      </c>
      <c r="CY5176" s="1" t="s">
        <v>99</v>
      </c>
      <c r="GD5176" s="1" t="s">
        <v>202</v>
      </c>
      <c r="GE5176" s="1" t="s">
        <v>7361</v>
      </c>
    </row>
    <row r="5177" spans="1:187" ht="11.25" customHeight="1">
      <c r="A5177" s="1" t="s">
        <v>7362</v>
      </c>
      <c r="B5177" s="1" t="str">
        <f ca="1">IFERROR(__xludf.DUMMYFUNCTION("GOOGLETRANSLATE(A5177, ""en"", ""fr"")"),"Blesser # 1")</f>
        <v>Blesser # 1</v>
      </c>
      <c r="C5177" s="1" t="s">
        <v>185</v>
      </c>
      <c r="E5177" s="1" t="s">
        <v>16613</v>
      </c>
      <c r="H5177" s="1" t="s">
        <v>4</v>
      </c>
      <c r="I5177" s="1" t="s">
        <v>5</v>
      </c>
      <c r="J5177" s="1" t="s">
        <v>6</v>
      </c>
      <c r="N5177" s="1" t="s">
        <v>10</v>
      </c>
      <c r="AN5177" s="1" t="s">
        <v>36</v>
      </c>
      <c r="DN5177" s="1" t="s">
        <v>114</v>
      </c>
      <c r="EY5177" s="1" t="s">
        <v>151</v>
      </c>
      <c r="FC5177" s="1" t="s">
        <v>155</v>
      </c>
      <c r="GD5177" s="1" t="s">
        <v>400</v>
      </c>
      <c r="GE5177" s="1" t="s">
        <v>7363</v>
      </c>
    </row>
    <row r="5178" spans="1:187" ht="11.25" customHeight="1">
      <c r="A5178" s="1" t="s">
        <v>7364</v>
      </c>
      <c r="B5178" s="1" t="str">
        <f ca="1">IFERROR(__xludf.DUMMYFUNCTION("GOOGLETRANSLATE(A5178, ""en"", ""fr"")"),"Blesser # 2")</f>
        <v>Blesser # 2</v>
      </c>
      <c r="C5178" s="1" t="s">
        <v>185</v>
      </c>
      <c r="E5178" s="1" t="s">
        <v>16613</v>
      </c>
      <c r="H5178" s="1" t="s">
        <v>4</v>
      </c>
      <c r="O5178" s="1" t="s">
        <v>11</v>
      </c>
      <c r="Q5178" s="1" t="s">
        <v>13</v>
      </c>
      <c r="T5178" s="1" t="s">
        <v>16</v>
      </c>
      <c r="EZ5178" s="1" t="s">
        <v>152</v>
      </c>
      <c r="FC5178" s="1" t="s">
        <v>155</v>
      </c>
      <c r="GD5178" s="1" t="s">
        <v>193</v>
      </c>
      <c r="GE5178" s="1" t="s">
        <v>7365</v>
      </c>
    </row>
    <row r="5179" spans="1:187" ht="11.25" customHeight="1">
      <c r="A5179" s="1" t="s">
        <v>7366</v>
      </c>
      <c r="B5179" s="1" t="str">
        <f ca="1">IFERROR(__xludf.DUMMYFUNCTION("GOOGLETRANSLATE(A5179, ""en"", ""fr"")"),"NUISIBLE")</f>
        <v>NUISIBLE</v>
      </c>
      <c r="C5179" s="1" t="s">
        <v>192</v>
      </c>
      <c r="E5179" s="1" t="s">
        <v>16613</v>
      </c>
      <c r="Q5179" s="1" t="s">
        <v>13</v>
      </c>
      <c r="T5179" s="1" t="s">
        <v>16</v>
      </c>
      <c r="V5179" s="1" t="s">
        <v>18</v>
      </c>
      <c r="DQ5179" s="1" t="s">
        <v>117</v>
      </c>
      <c r="GD5179" s="1" t="s">
        <v>202</v>
      </c>
      <c r="GE5179" s="1" t="s">
        <v>190</v>
      </c>
    </row>
    <row r="5180" spans="1:187" ht="11.25" customHeight="1">
      <c r="A5180" s="1" t="s">
        <v>7367</v>
      </c>
      <c r="B5180" s="1" t="str">
        <f ca="1">IFERROR(__xludf.DUMMYFUNCTION("GOOGLETRANSLATE(A5180, ""en"", ""fr"")"),"Faire un coup de pouce")</f>
        <v>Faire un coup de pouce</v>
      </c>
      <c r="C5180" s="1" t="s">
        <v>185</v>
      </c>
      <c r="N5180" s="1" t="s">
        <v>10</v>
      </c>
      <c r="CC5180" s="1" t="s">
        <v>77</v>
      </c>
      <c r="DN5180" s="1" t="s">
        <v>114</v>
      </c>
      <c r="GD5180" s="1" t="s">
        <v>189</v>
      </c>
      <c r="GE5180" s="1" t="s">
        <v>190</v>
      </c>
    </row>
    <row r="5181" spans="1:187" ht="11.25" customHeight="1">
      <c r="A5181" s="1" t="s">
        <v>7368</v>
      </c>
      <c r="B5181" s="1" t="str">
        <f ca="1">IFERROR(__xludf.DUMMYFUNCTION("GOOGLETRANSLATE(A5181, ""en"", ""fr"")"),"MARI")</f>
        <v>MARI</v>
      </c>
      <c r="C5181" s="1" t="s">
        <v>185</v>
      </c>
      <c r="AJ5181" s="1" t="s">
        <v>32</v>
      </c>
      <c r="AP5181" s="1" t="s">
        <v>38</v>
      </c>
      <c r="AQ5181" s="1" t="s">
        <v>39</v>
      </c>
      <c r="AT5181" s="1" t="s">
        <v>42</v>
      </c>
      <c r="EQ5181" s="1" t="s">
        <v>143</v>
      </c>
      <c r="ES5181" s="1" t="s">
        <v>145</v>
      </c>
      <c r="GD5181" s="1" t="s">
        <v>837</v>
      </c>
      <c r="GE5181" s="1" t="s">
        <v>7369</v>
      </c>
    </row>
    <row r="5182" spans="1:187" ht="11.25" customHeight="1">
      <c r="A5182" s="1" t="s">
        <v>7370</v>
      </c>
      <c r="B5182" s="1" t="str">
        <f ca="1">IFERROR(__xludf.DUMMYFUNCTION("GOOGLETRANSLATE(A5182, ""en"", ""fr"")"),"AGITATION")</f>
        <v>AGITATION</v>
      </c>
      <c r="C5182" s="1" t="s">
        <v>192</v>
      </c>
      <c r="E5182" s="1" t="s">
        <v>16613</v>
      </c>
      <c r="I5182" s="1" t="s">
        <v>5</v>
      </c>
      <c r="N5182" s="1" t="s">
        <v>10</v>
      </c>
      <c r="W5182" s="1" t="s">
        <v>19</v>
      </c>
      <c r="AA5182" s="1" t="s">
        <v>23</v>
      </c>
      <c r="BK5182" s="1" t="s">
        <v>59</v>
      </c>
      <c r="DN5182" s="1" t="s">
        <v>114</v>
      </c>
      <c r="GD5182" s="1" t="s">
        <v>189</v>
      </c>
      <c r="GE5182" s="1" t="s">
        <v>190</v>
      </c>
    </row>
    <row r="5183" spans="1:187" ht="11.25" customHeight="1">
      <c r="A5183" s="1" t="s">
        <v>7371</v>
      </c>
      <c r="B5183" s="1" t="str">
        <f ca="1">IFERROR(__xludf.DUMMYFUNCTION("GOOGLETRANSLATE(A5183, ""en"", ""fr"")"),"Braquier")</f>
        <v>Braquier</v>
      </c>
      <c r="C5183" s="1" t="s">
        <v>192</v>
      </c>
      <c r="E5183" s="1" t="s">
        <v>16613</v>
      </c>
      <c r="I5183" s="1" t="s">
        <v>5</v>
      </c>
      <c r="AA5183" s="1" t="s">
        <v>23</v>
      </c>
      <c r="AJ5183" s="1" t="s">
        <v>32</v>
      </c>
      <c r="AT5183" s="1" t="s">
        <v>42</v>
      </c>
      <c r="BK5183" s="1" t="s">
        <v>59</v>
      </c>
      <c r="GD5183" s="1" t="s">
        <v>193</v>
      </c>
      <c r="GE5183" s="1" t="s">
        <v>190</v>
      </c>
    </row>
    <row r="5184" spans="1:187" ht="11.25" customHeight="1">
      <c r="A5184" s="1" t="s">
        <v>7372</v>
      </c>
      <c r="B5184" s="1" t="str">
        <f ca="1">IFERROR(__xludf.DUMMYFUNCTION("GOOGLETRANSLATE(A5184, ""en"", ""fr"")"),"CABANE")</f>
        <v>CABANE</v>
      </c>
      <c r="C5184" s="1" t="s">
        <v>185</v>
      </c>
      <c r="AV5184" s="1" t="s">
        <v>44</v>
      </c>
      <c r="AW5184" s="1" t="s">
        <v>45</v>
      </c>
      <c r="GD5184" s="1" t="s">
        <v>193</v>
      </c>
      <c r="GE5184" s="1" t="s">
        <v>7373</v>
      </c>
    </row>
    <row r="5185" spans="1:187" ht="11.25" customHeight="1">
      <c r="A5185" s="1" t="s">
        <v>7374</v>
      </c>
      <c r="B5185" s="1" t="str">
        <f ca="1">IFERROR(__xludf.DUMMYFUNCTION("GOOGLETRANSLATE(A5185, ""en"", ""fr"")"),"HYDROGÈNE")</f>
        <v>HYDROGÈNE</v>
      </c>
      <c r="C5185" s="1" t="s">
        <v>185</v>
      </c>
      <c r="BU5185" s="1" t="s">
        <v>69</v>
      </c>
      <c r="GD5185" s="1" t="s">
        <v>193</v>
      </c>
      <c r="GE5185" s="1" t="s">
        <v>190</v>
      </c>
    </row>
    <row r="5186" spans="1:187" ht="11.25" customHeight="1">
      <c r="A5186" s="1" t="s">
        <v>7375</v>
      </c>
      <c r="B5186" s="1" t="str">
        <f ca="1">IFERROR(__xludf.DUMMYFUNCTION("GOOGLETRANSLATE(A5186, ""en"", ""fr"")"),"HYGIÈNE")</f>
        <v>HYGIÈNE</v>
      </c>
      <c r="C5186" s="1" t="s">
        <v>192</v>
      </c>
      <c r="D5186" s="1" t="s">
        <v>16612</v>
      </c>
      <c r="GD5186" s="1" t="s">
        <v>193</v>
      </c>
      <c r="GE5186" s="1" t="s">
        <v>190</v>
      </c>
    </row>
    <row r="5187" spans="1:187" ht="11.25" customHeight="1">
      <c r="A5187" s="1" t="s">
        <v>7376</v>
      </c>
      <c r="B5187" s="1" t="str">
        <f ca="1">IFERROR(__xludf.DUMMYFUNCTION("GOOGLETRANSLATE(A5187, ""en"", ""fr"")"),"HYMNE")</f>
        <v>HYMNE</v>
      </c>
      <c r="C5187" s="1" t="s">
        <v>185</v>
      </c>
      <c r="AI5187" s="1" t="s">
        <v>31</v>
      </c>
      <c r="BK5187" s="1" t="s">
        <v>59</v>
      </c>
      <c r="BL5187" s="1" t="s">
        <v>60</v>
      </c>
      <c r="EF5187" s="1" t="s">
        <v>132</v>
      </c>
      <c r="EJ5187" s="1" t="s">
        <v>136</v>
      </c>
      <c r="GC5187" s="1" t="s">
        <v>181</v>
      </c>
      <c r="GD5187" s="1" t="s">
        <v>193</v>
      </c>
      <c r="GE5187" s="1" t="s">
        <v>190</v>
      </c>
    </row>
    <row r="5188" spans="1:187" ht="11.25" customHeight="1">
      <c r="A5188" s="1" t="s">
        <v>7377</v>
      </c>
      <c r="B5188" s="1" t="str">
        <f ca="1">IFERROR(__xludf.DUMMYFUNCTION("GOOGLETRANSLATE(A5188, ""en"", ""fr"")"),"HYPOCRISIE")</f>
        <v>HYPOCRISIE</v>
      </c>
      <c r="C5188" s="1" t="s">
        <v>192</v>
      </c>
      <c r="E5188" s="1" t="s">
        <v>16613</v>
      </c>
      <c r="V5188" s="1" t="s">
        <v>18</v>
      </c>
      <c r="BK5188" s="1" t="s">
        <v>59</v>
      </c>
      <c r="GD5188" s="1" t="s">
        <v>193</v>
      </c>
      <c r="GE5188" s="1" t="s">
        <v>190</v>
      </c>
    </row>
    <row r="5189" spans="1:187" ht="11.25" customHeight="1">
      <c r="A5189" s="1" t="s">
        <v>7378</v>
      </c>
      <c r="B5189" s="1" t="str">
        <f ca="1">IFERROR(__xludf.DUMMYFUNCTION("GOOGLETRANSLATE(A5189, ""en"", ""fr"")"),"HYPOCRITE")</f>
        <v>HYPOCRITE</v>
      </c>
      <c r="C5189" s="1" t="s">
        <v>192</v>
      </c>
      <c r="E5189" s="1" t="s">
        <v>16613</v>
      </c>
      <c r="V5189" s="1" t="s">
        <v>18</v>
      </c>
      <c r="BK5189" s="1" t="s">
        <v>59</v>
      </c>
      <c r="GD5189" s="1" t="s">
        <v>193</v>
      </c>
      <c r="GE5189" s="1" t="s">
        <v>190</v>
      </c>
    </row>
    <row r="5190" spans="1:187" ht="11.25" customHeight="1">
      <c r="A5190" s="1" t="s">
        <v>7379</v>
      </c>
      <c r="B5190" s="1" t="str">
        <f ca="1">IFERROR(__xludf.DUMMYFUNCTION("GOOGLETRANSLATE(A5190, ""en"", ""fr"")"),"HYPOTHÈSE")</f>
        <v>HYPOTHÈSE</v>
      </c>
      <c r="C5190" s="1" t="s">
        <v>196</v>
      </c>
      <c r="FH5190" s="1" t="s">
        <v>160</v>
      </c>
      <c r="FI5190" s="1" t="s">
        <v>161</v>
      </c>
      <c r="GD5190" s="1" t="s">
        <v>193</v>
      </c>
    </row>
    <row r="5191" spans="1:187" ht="11.25" customHeight="1">
      <c r="A5191" s="1" t="s">
        <v>7380</v>
      </c>
      <c r="B5191" s="1" t="str">
        <f ca="1">IFERROR(__xludf.DUMMYFUNCTION("GOOGLETRANSLATE(A5191, ""en"", ""fr"")"),"HYSTÉRIE")</f>
        <v>HYSTÉRIE</v>
      </c>
      <c r="C5191" s="1" t="s">
        <v>192</v>
      </c>
      <c r="E5191" s="1" t="s">
        <v>16613</v>
      </c>
      <c r="Q5191" s="1" t="s">
        <v>13</v>
      </c>
      <c r="T5191" s="1" t="s">
        <v>16</v>
      </c>
      <c r="V5191" s="1" t="s">
        <v>18</v>
      </c>
      <c r="GD5191" s="1" t="s">
        <v>193</v>
      </c>
      <c r="GE5191" s="1" t="s">
        <v>190</v>
      </c>
    </row>
    <row r="5192" spans="1:187" ht="11.25" customHeight="1">
      <c r="A5192" s="1" t="s">
        <v>7381</v>
      </c>
      <c r="B5192" s="1" t="str">
        <f ca="1">IFERROR(__xludf.DUMMYFUNCTION("GOOGLETRANSLATE(A5192, ""en"", ""fr"")"),"HYSTÉRIQUE")</f>
        <v>HYSTÉRIQUE</v>
      </c>
      <c r="C5192" s="1" t="s">
        <v>185</v>
      </c>
      <c r="E5192" s="1" t="s">
        <v>16613</v>
      </c>
      <c r="H5192" s="1" t="s">
        <v>4</v>
      </c>
      <c r="L5192" s="1" t="s">
        <v>8</v>
      </c>
      <c r="O5192" s="1" t="s">
        <v>11</v>
      </c>
      <c r="Q5192" s="1" t="s">
        <v>13</v>
      </c>
      <c r="T5192" s="1" t="s">
        <v>16</v>
      </c>
      <c r="FA5192" s="1" t="s">
        <v>153</v>
      </c>
      <c r="FC5192" s="1" t="s">
        <v>155</v>
      </c>
      <c r="GD5192" s="1" t="s">
        <v>202</v>
      </c>
      <c r="GE5192" s="1" t="s">
        <v>190</v>
      </c>
    </row>
    <row r="5193" spans="1:187" ht="11.25" customHeight="1">
      <c r="A5193" s="1" t="s">
        <v>7382</v>
      </c>
      <c r="B5193" s="1" t="str">
        <f ca="1">IFERROR(__xludf.DUMMYFUNCTION("GOOGLETRANSLATE(A5193, ""en"", ""fr"")"),"je")</f>
        <v>je</v>
      </c>
      <c r="C5193" s="1" t="s">
        <v>185</v>
      </c>
      <c r="DF5193" s="1" t="s">
        <v>106</v>
      </c>
      <c r="GD5193" s="1" t="s">
        <v>7383</v>
      </c>
      <c r="GE5193" s="1" t="s">
        <v>7384</v>
      </c>
    </row>
    <row r="5194" spans="1:187" ht="11.25" customHeight="1">
      <c r="A5194" s="1" t="s">
        <v>7385</v>
      </c>
      <c r="B5194" s="1" t="str">
        <f ca="1">IFERROR(__xludf.DUMMYFUNCTION("GOOGLETRANSLATE(A5194, ""en"", ""fr"")"),"JE SUIS")</f>
        <v>JE SUIS</v>
      </c>
      <c r="C5194" s="1" t="s">
        <v>185</v>
      </c>
      <c r="DF5194" s="1" t="s">
        <v>106</v>
      </c>
      <c r="GD5194" s="1" t="s">
        <v>7386</v>
      </c>
      <c r="GE5194" s="1" t="s">
        <v>190</v>
      </c>
    </row>
    <row r="5195" spans="1:187" ht="11.25" customHeight="1">
      <c r="A5195" s="1" t="s">
        <v>7387</v>
      </c>
      <c r="B5195" s="1" t="str">
        <f ca="1">IFERROR(__xludf.DUMMYFUNCTION("GOOGLETRANSLATE(A5195, ""en"", ""fr"")"),"Ice # 1")</f>
        <v>Ice # 1</v>
      </c>
      <c r="C5195" s="1" t="s">
        <v>185</v>
      </c>
      <c r="BC5195" s="1" t="s">
        <v>51</v>
      </c>
      <c r="BI5195" s="1" t="s">
        <v>57</v>
      </c>
      <c r="GD5195" s="1" t="s">
        <v>193</v>
      </c>
      <c r="GE5195" s="1" t="s">
        <v>7388</v>
      </c>
    </row>
    <row r="5196" spans="1:187" ht="11.25" customHeight="1">
      <c r="A5196" s="1" t="s">
        <v>7389</v>
      </c>
      <c r="B5196" s="1" t="str">
        <f ca="1">IFERROR(__xludf.DUMMYFUNCTION("GOOGLETRANSLATE(A5196, ""en"", ""fr"")"),"Ice # 2")</f>
        <v>Ice # 2</v>
      </c>
      <c r="C5196" s="1" t="s">
        <v>185</v>
      </c>
      <c r="BC5196" s="1" t="s">
        <v>51</v>
      </c>
      <c r="BE5196" s="1" t="s">
        <v>53</v>
      </c>
      <c r="GD5196" s="1" t="s">
        <v>193</v>
      </c>
      <c r="GE5196" s="1" t="s">
        <v>7390</v>
      </c>
    </row>
    <row r="5197" spans="1:187" ht="11.25" customHeight="1">
      <c r="A5197" s="1" t="s">
        <v>7391</v>
      </c>
      <c r="B5197" s="1" t="str">
        <f ca="1">IFERROR(__xludf.DUMMYFUNCTION("GOOGLETRANSLATE(A5197, ""en"", ""fr"")"),"Ice # 3")</f>
        <v>Ice # 3</v>
      </c>
      <c r="C5197" s="1" t="s">
        <v>185</v>
      </c>
      <c r="CR5197" s="1" t="s">
        <v>92</v>
      </c>
      <c r="GD5197" s="1" t="s">
        <v>202</v>
      </c>
      <c r="GE5197" s="1" t="s">
        <v>7392</v>
      </c>
    </row>
    <row r="5198" spans="1:187" ht="11.25" customHeight="1">
      <c r="A5198" s="1" t="s">
        <v>7393</v>
      </c>
      <c r="B5198" s="1" t="str">
        <f ca="1">IFERROR(__xludf.DUMMYFUNCTION("GOOGLETRANSLATE(A5198, ""en"", ""fr"")"),"Ice # 4")</f>
        <v>Ice # 4</v>
      </c>
      <c r="C5198" s="1" t="s">
        <v>185</v>
      </c>
      <c r="BC5198" s="1" t="s">
        <v>51</v>
      </c>
      <c r="BE5198" s="1" t="s">
        <v>53</v>
      </c>
      <c r="GD5198" s="1" t="s">
        <v>193</v>
      </c>
      <c r="GE5198" s="1" t="s">
        <v>7394</v>
      </c>
    </row>
    <row r="5199" spans="1:187" ht="11.25" customHeight="1">
      <c r="A5199" s="1" t="s">
        <v>7395</v>
      </c>
      <c r="B5199" s="1" t="str">
        <f ca="1">IFERROR(__xludf.DUMMYFUNCTION("GOOGLETRANSLATE(A5199, ""en"", ""fr"")"),"ISLANDE")</f>
        <v>ISLANDE</v>
      </c>
      <c r="C5199" s="1" t="s">
        <v>196</v>
      </c>
      <c r="FU5199" s="1" t="s">
        <v>173</v>
      </c>
      <c r="GD5199" s="1" t="s">
        <v>545</v>
      </c>
    </row>
    <row r="5200" spans="1:187" ht="11.25" customHeight="1">
      <c r="A5200" s="1" t="s">
        <v>7396</v>
      </c>
      <c r="B5200" s="1" t="str">
        <f ca="1">IFERROR(__xludf.DUMMYFUNCTION("GOOGLETRANSLATE(A5200, ""en"", ""fr"")"),"GLACÉ")</f>
        <v>GLACÉ</v>
      </c>
      <c r="C5200" s="1" t="s">
        <v>185</v>
      </c>
      <c r="CR5200" s="1" t="s">
        <v>92</v>
      </c>
      <c r="GD5200" s="1" t="s">
        <v>202</v>
      </c>
      <c r="GE5200" s="1" t="s">
        <v>190</v>
      </c>
    </row>
    <row r="5201" spans="1:187" ht="11.25" customHeight="1">
      <c r="A5201" s="1" t="s">
        <v>7397</v>
      </c>
      <c r="B5201" s="1" t="str">
        <f ca="1">IFERROR(__xludf.DUMMYFUNCTION("GOOGLETRANSLATE(A5201, ""en"", ""fr"")"),"IDAHO")</f>
        <v>IDAHO</v>
      </c>
      <c r="C5201" s="1" t="s">
        <v>196</v>
      </c>
      <c r="GD5201" s="1" t="s">
        <v>653</v>
      </c>
    </row>
    <row r="5202" spans="1:187" ht="11.25" customHeight="1">
      <c r="A5202" s="1" t="s">
        <v>7398</v>
      </c>
      <c r="B5202" s="1" t="str">
        <f ca="1">IFERROR(__xludf.DUMMYFUNCTION("GOOGLETRANSLATE(A5202, ""en"", ""fr"")"),"IDÉE")</f>
        <v>IDÉE</v>
      </c>
      <c r="C5202" s="1" t="s">
        <v>185</v>
      </c>
      <c r="BL5202" s="1" t="s">
        <v>60</v>
      </c>
      <c r="CH5202" s="1" t="s">
        <v>82</v>
      </c>
      <c r="CP5202" s="1" t="s">
        <v>90</v>
      </c>
      <c r="CQ5202" s="1" t="s">
        <v>91</v>
      </c>
      <c r="FH5202" s="1" t="s">
        <v>160</v>
      </c>
      <c r="FI5202" s="1" t="s">
        <v>161</v>
      </c>
      <c r="GD5202" s="1" t="s">
        <v>193</v>
      </c>
      <c r="GE5202" s="1" t="s">
        <v>7399</v>
      </c>
    </row>
    <row r="5203" spans="1:187" ht="11.25" customHeight="1">
      <c r="A5203" s="1" t="s">
        <v>7400</v>
      </c>
      <c r="B5203" s="1" t="str">
        <f ca="1">IFERROR(__xludf.DUMMYFUNCTION("GOOGLETRANSLATE(A5203, ""en"", ""fr"")"),"Idéal n ° 1")</f>
        <v>Idéal n ° 1</v>
      </c>
      <c r="C5203" s="1" t="s">
        <v>185</v>
      </c>
      <c r="D5203" s="1" t="s">
        <v>16612</v>
      </c>
      <c r="F5203" s="1" t="s">
        <v>2</v>
      </c>
      <c r="W5203" s="1" t="s">
        <v>19</v>
      </c>
      <c r="Z5203" s="1" t="s">
        <v>22</v>
      </c>
      <c r="CP5203" s="1" t="s">
        <v>90</v>
      </c>
      <c r="CQ5203" s="1" t="s">
        <v>91</v>
      </c>
      <c r="FR5203" s="1" t="s">
        <v>170</v>
      </c>
      <c r="GD5203" s="1" t="s">
        <v>193</v>
      </c>
      <c r="GE5203" s="1" t="s">
        <v>7401</v>
      </c>
    </row>
    <row r="5204" spans="1:187" ht="11.25" customHeight="1">
      <c r="A5204" s="1" t="s">
        <v>7402</v>
      </c>
      <c r="B5204" s="1" t="str">
        <f ca="1">IFERROR(__xludf.DUMMYFUNCTION("GOOGLETRANSLATE(A5204, ""en"", ""fr"")"),"Idéal n ° 2")</f>
        <v>Idéal n ° 2</v>
      </c>
      <c r="C5204" s="1" t="s">
        <v>185</v>
      </c>
      <c r="D5204" s="1" t="s">
        <v>16612</v>
      </c>
      <c r="F5204" s="1" t="s">
        <v>2</v>
      </c>
      <c r="U5204" s="1" t="s">
        <v>17</v>
      </c>
      <c r="W5204" s="1" t="s">
        <v>19</v>
      </c>
      <c r="FR5204" s="1" t="s">
        <v>170</v>
      </c>
      <c r="GD5204" s="1" t="s">
        <v>202</v>
      </c>
      <c r="GE5204" s="1" t="s">
        <v>7403</v>
      </c>
    </row>
    <row r="5205" spans="1:187" ht="11.25" customHeight="1">
      <c r="A5205" s="1" t="s">
        <v>7404</v>
      </c>
      <c r="B5205" s="1" t="str">
        <f ca="1">IFERROR(__xludf.DUMMYFUNCTION("GOOGLETRANSLATE(A5205, ""en"", ""fr"")"),"Idéal # 3")</f>
        <v>Idéal # 3</v>
      </c>
      <c r="C5205" s="1" t="s">
        <v>185</v>
      </c>
      <c r="D5205" s="1" t="s">
        <v>16612</v>
      </c>
      <c r="F5205" s="1" t="s">
        <v>2</v>
      </c>
      <c r="U5205" s="1" t="s">
        <v>17</v>
      </c>
      <c r="W5205" s="1" t="s">
        <v>19</v>
      </c>
      <c r="FR5205" s="1" t="s">
        <v>170</v>
      </c>
      <c r="GD5205" s="1" t="s">
        <v>236</v>
      </c>
      <c r="GE5205" s="1" t="s">
        <v>7405</v>
      </c>
    </row>
    <row r="5206" spans="1:187" ht="11.25" customHeight="1">
      <c r="A5206" s="1" t="s">
        <v>7406</v>
      </c>
      <c r="B5206" s="1" t="str">
        <f ca="1">IFERROR(__xludf.DUMMYFUNCTION("GOOGLETRANSLATE(A5206, ""en"", ""fr"")"),"IDÉALISME")</f>
        <v>IDÉALISME</v>
      </c>
      <c r="C5206" s="1" t="s">
        <v>192</v>
      </c>
      <c r="D5206" s="1" t="s">
        <v>16612</v>
      </c>
      <c r="Z5206" s="1" t="s">
        <v>22</v>
      </c>
      <c r="CG5206" s="1" t="s">
        <v>81</v>
      </c>
      <c r="GD5206" s="1" t="s">
        <v>193</v>
      </c>
      <c r="GE5206" s="1" t="s">
        <v>190</v>
      </c>
    </row>
    <row r="5207" spans="1:187" ht="11.25" customHeight="1">
      <c r="A5207" s="1" t="s">
        <v>7407</v>
      </c>
      <c r="B5207" s="1" t="str">
        <f ca="1">IFERROR(__xludf.DUMMYFUNCTION("GOOGLETRANSLATE(A5207, ""en"", ""fr"")"),"IDENTIQUE")</f>
        <v>IDENTIQUE</v>
      </c>
      <c r="C5207" s="1" t="s">
        <v>185</v>
      </c>
      <c r="DD5207" s="1" t="s">
        <v>104</v>
      </c>
      <c r="GD5207" s="1" t="s">
        <v>202</v>
      </c>
      <c r="GE5207" s="1" t="s">
        <v>190</v>
      </c>
    </row>
    <row r="5208" spans="1:187" ht="11.25" customHeight="1">
      <c r="A5208" s="1" t="s">
        <v>7408</v>
      </c>
      <c r="B5208" s="1" t="str">
        <f ca="1">IFERROR(__xludf.DUMMYFUNCTION("GOOGLETRANSLATE(A5208, ""en"", ""fr"")"),"IDENTIFICATION")</f>
        <v>IDENTIFICATION</v>
      </c>
      <c r="C5208" s="1" t="s">
        <v>185</v>
      </c>
      <c r="O5208" s="1" t="s">
        <v>11</v>
      </c>
      <c r="BQ5208" s="1" t="s">
        <v>65</v>
      </c>
      <c r="FH5208" s="1" t="s">
        <v>160</v>
      </c>
      <c r="FI5208" s="1" t="s">
        <v>161</v>
      </c>
      <c r="GD5208" s="1" t="s">
        <v>193</v>
      </c>
      <c r="GE5208" s="1" t="s">
        <v>190</v>
      </c>
    </row>
    <row r="5209" spans="1:187" ht="11.25" customHeight="1">
      <c r="A5209" s="1" t="s">
        <v>7409</v>
      </c>
      <c r="B5209" s="1" t="str">
        <f ca="1">IFERROR(__xludf.DUMMYFUNCTION("GOOGLETRANSLATE(A5209, ""en"", ""fr"")"),"IDENTIFIER")</f>
        <v>IDENTIFIER</v>
      </c>
      <c r="C5209" s="1" t="s">
        <v>185</v>
      </c>
      <c r="O5209" s="1" t="s">
        <v>11</v>
      </c>
      <c r="CK5209" s="1" t="s">
        <v>85</v>
      </c>
      <c r="DN5209" s="1" t="s">
        <v>114</v>
      </c>
      <c r="FD5209" s="1" t="s">
        <v>156</v>
      </c>
      <c r="FI5209" s="1" t="s">
        <v>161</v>
      </c>
      <c r="GD5209" s="1" t="s">
        <v>189</v>
      </c>
      <c r="GE5209" s="1" t="s">
        <v>190</v>
      </c>
    </row>
    <row r="5210" spans="1:187" ht="11.25" customHeight="1">
      <c r="A5210" s="1" t="s">
        <v>7410</v>
      </c>
      <c r="B5210" s="1" t="str">
        <f ca="1">IFERROR(__xludf.DUMMYFUNCTION("GOOGLETRANSLATE(A5210, ""en"", ""fr"")"),"IDENTITÉ")</f>
        <v>IDENTITÉ</v>
      </c>
      <c r="C5210" s="1" t="s">
        <v>185</v>
      </c>
      <c r="CH5210" s="1" t="s">
        <v>82</v>
      </c>
      <c r="CP5210" s="1" t="s">
        <v>90</v>
      </c>
      <c r="CQ5210" s="1" t="s">
        <v>91</v>
      </c>
      <c r="FH5210" s="1" t="s">
        <v>160</v>
      </c>
      <c r="FI5210" s="1" t="s">
        <v>161</v>
      </c>
      <c r="GD5210" s="1" t="s">
        <v>193</v>
      </c>
      <c r="GE5210" s="1" t="s">
        <v>190</v>
      </c>
    </row>
    <row r="5211" spans="1:187" ht="11.25" customHeight="1">
      <c r="A5211" s="1" t="s">
        <v>7411</v>
      </c>
      <c r="B5211" s="1" t="str">
        <f ca="1">IFERROR(__xludf.DUMMYFUNCTION("GOOGLETRANSLATE(A5211, ""en"", ""fr"")"),"IDÉOLOGIQUE")</f>
        <v>IDÉOLOGIQUE</v>
      </c>
      <c r="C5211" s="1" t="s">
        <v>185</v>
      </c>
      <c r="Z5211" s="1" t="s">
        <v>22</v>
      </c>
      <c r="AG5211" s="1" t="s">
        <v>29</v>
      </c>
      <c r="AH5211" s="1" t="s">
        <v>30</v>
      </c>
      <c r="EA5211" s="1" t="s">
        <v>127</v>
      </c>
      <c r="ED5211" s="1" t="s">
        <v>130</v>
      </c>
      <c r="GD5211" s="1" t="s">
        <v>193</v>
      </c>
      <c r="GE5211" s="1" t="s">
        <v>190</v>
      </c>
    </row>
    <row r="5212" spans="1:187" ht="11.25" customHeight="1">
      <c r="A5212" s="1" t="s">
        <v>7412</v>
      </c>
      <c r="B5212" s="1" t="str">
        <f ca="1">IFERROR(__xludf.DUMMYFUNCTION("GOOGLETRANSLATE(A5212, ""en"", ""fr"")"),"IDÉOLOGIE")</f>
        <v>IDÉOLOGIE</v>
      </c>
      <c r="C5212" s="1" t="s">
        <v>185</v>
      </c>
      <c r="Z5212" s="1" t="s">
        <v>22</v>
      </c>
      <c r="AG5212" s="1" t="s">
        <v>29</v>
      </c>
      <c r="AH5212" s="1" t="s">
        <v>30</v>
      </c>
      <c r="CP5212" s="1" t="s">
        <v>90</v>
      </c>
      <c r="CQ5212" s="1" t="s">
        <v>91</v>
      </c>
      <c r="EA5212" s="1" t="s">
        <v>127</v>
      </c>
      <c r="ED5212" s="1" t="s">
        <v>130</v>
      </c>
      <c r="GD5212" s="1" t="s">
        <v>193</v>
      </c>
      <c r="GE5212" s="1" t="s">
        <v>190</v>
      </c>
    </row>
    <row r="5213" spans="1:187" ht="11.25" customHeight="1">
      <c r="A5213" s="1" t="s">
        <v>7413</v>
      </c>
      <c r="B5213" s="1" t="str">
        <f ca="1">IFERROR(__xludf.DUMMYFUNCTION("GOOGLETRANSLATE(A5213, ""en"", ""fr"")"),"IDIOT")</f>
        <v>IDIOT</v>
      </c>
      <c r="C5213" s="1" t="s">
        <v>192</v>
      </c>
      <c r="E5213" s="1" t="s">
        <v>16613</v>
      </c>
      <c r="V5213" s="1" t="s">
        <v>18</v>
      </c>
      <c r="CM5213" s="1" t="s">
        <v>87</v>
      </c>
      <c r="GD5213" s="1" t="s">
        <v>193</v>
      </c>
      <c r="GE5213" s="1" t="s">
        <v>190</v>
      </c>
    </row>
    <row r="5214" spans="1:187" ht="11.25" customHeight="1">
      <c r="A5214" s="1" t="s">
        <v>7414</v>
      </c>
      <c r="B5214" s="1" t="str">
        <f ca="1">IFERROR(__xludf.DUMMYFUNCTION("GOOGLETRANSLATE(A5214, ""en"", ""fr"")"),"IDIOT")</f>
        <v>IDIOT</v>
      </c>
      <c r="C5214" s="1" t="s">
        <v>192</v>
      </c>
      <c r="E5214" s="1" t="s">
        <v>16613</v>
      </c>
      <c r="V5214" s="1" t="s">
        <v>18</v>
      </c>
      <c r="CM5214" s="1" t="s">
        <v>87</v>
      </c>
      <c r="DR5214" s="1" t="s">
        <v>118</v>
      </c>
      <c r="GD5214" s="1" t="s">
        <v>202</v>
      </c>
      <c r="GE5214" s="1" t="s">
        <v>190</v>
      </c>
    </row>
    <row r="5215" spans="1:187" ht="11.25" customHeight="1">
      <c r="A5215" s="1" t="s">
        <v>7415</v>
      </c>
      <c r="B5215" s="1" t="str">
        <f ca="1">IFERROR(__xludf.DUMMYFUNCTION("GOOGLETRANSLATE(A5215, ""en"", ""fr"")"),"# # 1")</f>
        <v># # 1</v>
      </c>
      <c r="C5215" s="1" t="s">
        <v>185</v>
      </c>
      <c r="O5215" s="1" t="s">
        <v>11</v>
      </c>
      <c r="V5215" s="1" t="s">
        <v>18</v>
      </c>
      <c r="GD5215" s="1" t="s">
        <v>202</v>
      </c>
      <c r="GE5215" s="1" t="s">
        <v>190</v>
      </c>
    </row>
    <row r="5216" spans="1:187" ht="11.25" customHeight="1">
      <c r="A5216" s="1" t="s">
        <v>7416</v>
      </c>
      <c r="B5216" s="1" t="str">
        <f ca="1">IFERROR(__xludf.DUMMYFUNCTION("GOOGLETRANSLATE(A5216, ""en"", ""fr"")"),"# 2")</f>
        <v># 2</v>
      </c>
      <c r="C5216" s="1" t="s">
        <v>185</v>
      </c>
      <c r="O5216" s="1" t="s">
        <v>11</v>
      </c>
      <c r="CA5216" s="1" t="s">
        <v>75</v>
      </c>
      <c r="DN5216" s="1" t="s">
        <v>114</v>
      </c>
      <c r="GD5216" s="1" t="s">
        <v>189</v>
      </c>
      <c r="GE5216" s="1" t="s">
        <v>190</v>
      </c>
    </row>
    <row r="5217" spans="1:187" ht="11.25" customHeight="1">
      <c r="A5217" s="1" t="s">
        <v>7417</v>
      </c>
      <c r="B5217" s="1" t="str">
        <f ca="1">IFERROR(__xludf.DUMMYFUNCTION("GOOGLETRANSLATE(A5217, ""en"", ""fr"")"),"OISIVETÉ")</f>
        <v>OISIVETÉ</v>
      </c>
      <c r="C5217" s="1" t="s">
        <v>192</v>
      </c>
      <c r="E5217" s="1" t="s">
        <v>16613</v>
      </c>
      <c r="V5217" s="1" t="s">
        <v>18</v>
      </c>
      <c r="AL5217" s="1" t="s">
        <v>34</v>
      </c>
      <c r="CA5217" s="1" t="s">
        <v>75</v>
      </c>
      <c r="GD5217" s="1" t="s">
        <v>193</v>
      </c>
      <c r="GE5217" s="1" t="s">
        <v>190</v>
      </c>
    </row>
    <row r="5218" spans="1:187" ht="11.25" customHeight="1">
      <c r="A5218" s="1" t="s">
        <v>7418</v>
      </c>
      <c r="B5218" s="1" t="str">
        <f ca="1">IFERROR(__xludf.DUMMYFUNCTION("GOOGLETRANSLATE(A5218, ""en"", ""fr"")"),"IDOLE")</f>
        <v>IDOLE</v>
      </c>
      <c r="C5218" s="1" t="s">
        <v>192</v>
      </c>
      <c r="D5218" s="1" t="s">
        <v>16612</v>
      </c>
      <c r="AJ5218" s="1" t="s">
        <v>32</v>
      </c>
      <c r="AT5218" s="1" t="s">
        <v>42</v>
      </c>
      <c r="BO5218" s="1" t="s">
        <v>63</v>
      </c>
      <c r="GD5218" s="1" t="s">
        <v>193</v>
      </c>
      <c r="GE5218" s="1" t="s">
        <v>190</v>
      </c>
    </row>
    <row r="5219" spans="1:187" ht="11.25" customHeight="1">
      <c r="A5219" s="1" t="s">
        <v>7419</v>
      </c>
      <c r="B5219" s="1" t="str">
        <f ca="1">IFERROR(__xludf.DUMMYFUNCTION("GOOGLETRANSLATE(A5219, ""en"", ""fr"")"),"IDOLÂTRER")</f>
        <v>IDOLÂTRER</v>
      </c>
      <c r="C5219" s="1" t="s">
        <v>192</v>
      </c>
      <c r="D5219" s="1" t="s">
        <v>16612</v>
      </c>
      <c r="N5219" s="1" t="s">
        <v>10</v>
      </c>
      <c r="BO5219" s="1" t="s">
        <v>63</v>
      </c>
      <c r="DP5219" s="1" t="s">
        <v>116</v>
      </c>
      <c r="GD5219" s="1" t="s">
        <v>670</v>
      </c>
      <c r="GE5219" s="1" t="s">
        <v>190</v>
      </c>
    </row>
    <row r="5220" spans="1:187" ht="11.25" customHeight="1">
      <c r="A5220" s="1" t="s">
        <v>7420</v>
      </c>
      <c r="B5220" s="1" t="str">
        <f ca="1">IFERROR(__xludf.DUMMYFUNCTION("GOOGLETRANSLATE(A5220, ""en"", ""fr"")"),"SI")</f>
        <v>SI</v>
      </c>
      <c r="C5220" s="1" t="s">
        <v>185</v>
      </c>
      <c r="FZ5220" s="1" t="s">
        <v>178</v>
      </c>
      <c r="GD5220" s="1" t="s">
        <v>763</v>
      </c>
      <c r="GE5220" s="1" t="s">
        <v>7421</v>
      </c>
    </row>
    <row r="5221" spans="1:187" ht="11.25" customHeight="1">
      <c r="A5221" s="1" t="s">
        <v>7422</v>
      </c>
      <c r="B5221" s="1" t="str">
        <f ca="1">IFERROR(__xludf.DUMMYFUNCTION("GOOGLETRANSLATE(A5221, ""en"", ""fr"")"),"ALLUMAGE")</f>
        <v>ALLUMAGE</v>
      </c>
      <c r="C5221" s="1" t="s">
        <v>185</v>
      </c>
      <c r="BU5221" s="1" t="s">
        <v>69</v>
      </c>
      <c r="GD5221" s="1" t="s">
        <v>193</v>
      </c>
      <c r="GE5221" s="1" t="s">
        <v>190</v>
      </c>
    </row>
    <row r="5222" spans="1:187" ht="11.25" customHeight="1">
      <c r="A5222" s="1" t="s">
        <v>7423</v>
      </c>
      <c r="B5222" s="1" t="str">
        <f ca="1">IFERROR(__xludf.DUMMYFUNCTION("GOOGLETRANSLATE(A5222, ""en"", ""fr"")"),"IGNOBLE")</f>
        <v>IGNOBLE</v>
      </c>
      <c r="C5222" s="1" t="s">
        <v>192</v>
      </c>
      <c r="E5222" s="1" t="s">
        <v>16613</v>
      </c>
      <c r="V5222" s="1" t="s">
        <v>18</v>
      </c>
      <c r="CM5222" s="1" t="s">
        <v>87</v>
      </c>
      <c r="DR5222" s="1" t="s">
        <v>118</v>
      </c>
      <c r="GD5222" s="1" t="s">
        <v>202</v>
      </c>
      <c r="GE5222" s="1" t="s">
        <v>190</v>
      </c>
    </row>
    <row r="5223" spans="1:187" ht="11.25" customHeight="1">
      <c r="A5223" s="1" t="s">
        <v>7424</v>
      </c>
      <c r="B5223" s="1" t="str">
        <f ca="1">IFERROR(__xludf.DUMMYFUNCTION("GOOGLETRANSLATE(A5223, ""en"", ""fr"")"),"IGNORANCE")</f>
        <v>IGNORANCE</v>
      </c>
      <c r="C5223" s="1" t="s">
        <v>185</v>
      </c>
      <c r="E5223" s="1" t="s">
        <v>16613</v>
      </c>
      <c r="H5223" s="1" t="s">
        <v>4</v>
      </c>
      <c r="L5223" s="1" t="s">
        <v>8</v>
      </c>
      <c r="V5223" s="1" t="s">
        <v>18</v>
      </c>
      <c r="FH5223" s="1" t="s">
        <v>160</v>
      </c>
      <c r="FI5223" s="1" t="s">
        <v>161</v>
      </c>
      <c r="GD5223" s="1" t="s">
        <v>193</v>
      </c>
      <c r="GE5223" s="1" t="s">
        <v>190</v>
      </c>
    </row>
    <row r="5224" spans="1:187" ht="11.25" customHeight="1">
      <c r="A5224" s="1" t="s">
        <v>7425</v>
      </c>
      <c r="B5224" s="1" t="str">
        <f ca="1">IFERROR(__xludf.DUMMYFUNCTION("GOOGLETRANSLATE(A5224, ""en"", ""fr"")"),"IGNORANT")</f>
        <v>IGNORANT</v>
      </c>
      <c r="C5224" s="1" t="s">
        <v>185</v>
      </c>
      <c r="E5224" s="1" t="s">
        <v>16613</v>
      </c>
      <c r="H5224" s="1" t="s">
        <v>4</v>
      </c>
      <c r="L5224" s="1" t="s">
        <v>8</v>
      </c>
      <c r="V5224" s="1" t="s">
        <v>18</v>
      </c>
      <c r="CN5224" s="1" t="s">
        <v>88</v>
      </c>
      <c r="FH5224" s="1" t="s">
        <v>160</v>
      </c>
      <c r="FI5224" s="1" t="s">
        <v>161</v>
      </c>
      <c r="GD5224" s="1" t="s">
        <v>202</v>
      </c>
      <c r="GE5224" s="1" t="s">
        <v>190</v>
      </c>
    </row>
    <row r="5225" spans="1:187" ht="11.25" customHeight="1">
      <c r="A5225" s="1" t="s">
        <v>7426</v>
      </c>
      <c r="B5225" s="1" t="str">
        <f ca="1">IFERROR(__xludf.DUMMYFUNCTION("GOOGLETRANSLATE(A5225, ""en"", ""fr"")"),"IGNORER")</f>
        <v>IGNORER</v>
      </c>
      <c r="C5225" s="1" t="s">
        <v>185</v>
      </c>
      <c r="N5225" s="1" t="s">
        <v>10</v>
      </c>
      <c r="CO5225" s="1" t="s">
        <v>89</v>
      </c>
      <c r="DN5225" s="1" t="s">
        <v>114</v>
      </c>
      <c r="FE5225" s="1" t="s">
        <v>157</v>
      </c>
      <c r="FI5225" s="1" t="s">
        <v>161</v>
      </c>
      <c r="GD5225" s="1" t="s">
        <v>189</v>
      </c>
      <c r="GE5225" s="1" t="s">
        <v>190</v>
      </c>
    </row>
    <row r="5226" spans="1:187" ht="11.25" customHeight="1">
      <c r="A5226" s="1" t="s">
        <v>7427</v>
      </c>
      <c r="B5226" s="1" t="str">
        <f ca="1">IFERROR(__xludf.DUMMYFUNCTION("GOOGLETRANSLATE(A5226, ""en"", ""fr"")"),"Malade # 1")</f>
        <v>Malade # 1</v>
      </c>
      <c r="C5226" s="1" t="s">
        <v>185</v>
      </c>
      <c r="E5226" s="1" t="s">
        <v>16613</v>
      </c>
      <c r="H5226" s="1" t="s">
        <v>4</v>
      </c>
      <c r="L5226" s="1" t="s">
        <v>8</v>
      </c>
      <c r="O5226" s="1" t="s">
        <v>11</v>
      </c>
      <c r="V5226" s="1" t="s">
        <v>18</v>
      </c>
      <c r="EY5226" s="1" t="s">
        <v>151</v>
      </c>
      <c r="FC5226" s="1" t="s">
        <v>155</v>
      </c>
      <c r="GD5226" s="1" t="s">
        <v>202</v>
      </c>
      <c r="GE5226" s="1" t="s">
        <v>7428</v>
      </c>
    </row>
    <row r="5227" spans="1:187" ht="11.25" customHeight="1">
      <c r="A5227" s="1" t="s">
        <v>7429</v>
      </c>
      <c r="B5227" s="1" t="str">
        <f ca="1">IFERROR(__xludf.DUMMYFUNCTION("GOOGLETRANSLATE(A5227, ""en"", ""fr"")"),"Ill # 2")</f>
        <v>Ill # 2</v>
      </c>
      <c r="C5227" s="1" t="s">
        <v>185</v>
      </c>
      <c r="E5227" s="1" t="s">
        <v>16613</v>
      </c>
      <c r="H5227" s="1" t="s">
        <v>4</v>
      </c>
      <c r="V5227" s="1" t="s">
        <v>18</v>
      </c>
      <c r="FW5227" s="1" t="s">
        <v>175</v>
      </c>
      <c r="GD5227" s="1" t="s">
        <v>236</v>
      </c>
      <c r="GE5227" s="1" t="s">
        <v>7430</v>
      </c>
    </row>
    <row r="5228" spans="1:187" ht="11.25" customHeight="1">
      <c r="A5228" s="1" t="s">
        <v>7431</v>
      </c>
      <c r="B5228" s="1" t="str">
        <f ca="1">IFERROR(__xludf.DUMMYFUNCTION("GOOGLETRANSLATE(A5228, ""en"", ""fr"")"),"Malade # 3")</f>
        <v>Malade # 3</v>
      </c>
      <c r="C5228" s="1" t="s">
        <v>185</v>
      </c>
      <c r="E5228" s="1" t="s">
        <v>16613</v>
      </c>
      <c r="H5228" s="1" t="s">
        <v>4</v>
      </c>
      <c r="V5228" s="1" t="s">
        <v>18</v>
      </c>
      <c r="EY5228" s="1" t="s">
        <v>151</v>
      </c>
      <c r="FC5228" s="1" t="s">
        <v>155</v>
      </c>
      <c r="GD5228" s="1" t="s">
        <v>193</v>
      </c>
      <c r="GE5228" s="1" t="s">
        <v>7432</v>
      </c>
    </row>
    <row r="5229" spans="1:187" ht="11.25" customHeight="1">
      <c r="A5229" s="1" t="s">
        <v>7433</v>
      </c>
      <c r="B5229" s="1" t="str">
        <f ca="1">IFERROR(__xludf.DUMMYFUNCTION("GOOGLETRANSLATE(A5229, ""en"", ""fr"")"),"Ill # 4")</f>
        <v>Ill # 4</v>
      </c>
      <c r="C5229" s="1" t="s">
        <v>185</v>
      </c>
      <c r="E5229" s="1" t="s">
        <v>16613</v>
      </c>
      <c r="H5229" s="1" t="s">
        <v>4</v>
      </c>
      <c r="O5229" s="1" t="s">
        <v>11</v>
      </c>
      <c r="Q5229" s="1" t="s">
        <v>13</v>
      </c>
      <c r="FA5229" s="1" t="s">
        <v>153</v>
      </c>
      <c r="FC5229" s="1" t="s">
        <v>155</v>
      </c>
      <c r="GD5229" s="1" t="s">
        <v>202</v>
      </c>
      <c r="GE5229" s="1" t="s">
        <v>7434</v>
      </c>
    </row>
    <row r="5230" spans="1:187" ht="11.25" customHeight="1">
      <c r="A5230" s="1" t="s">
        <v>7435</v>
      </c>
      <c r="B5230" s="1" t="str">
        <f ca="1">IFERROR(__xludf.DUMMYFUNCTION("GOOGLETRANSLATE(A5230, ""en"", ""fr"")"),"Mal défini")</f>
        <v>Mal défini</v>
      </c>
      <c r="C5230" s="1" t="s">
        <v>196</v>
      </c>
      <c r="FH5230" s="1" t="s">
        <v>160</v>
      </c>
      <c r="FI5230" s="1" t="s">
        <v>161</v>
      </c>
      <c r="GD5230" s="1" t="s">
        <v>202</v>
      </c>
    </row>
    <row r="5231" spans="1:187" ht="11.25" customHeight="1">
      <c r="A5231" s="1" t="s">
        <v>7436</v>
      </c>
      <c r="B5231" s="1" t="str">
        <f ca="1">IFERROR(__xludf.DUMMYFUNCTION("GOOGLETRANSLATE(A5231, ""en"", ""fr"")"),"ILLÉGAL")</f>
        <v>ILLÉGAL</v>
      </c>
      <c r="C5231" s="1" t="s">
        <v>185</v>
      </c>
      <c r="E5231" s="1" t="s">
        <v>16613</v>
      </c>
      <c r="V5231" s="1" t="s">
        <v>18</v>
      </c>
      <c r="AE5231" s="1" t="s">
        <v>27</v>
      </c>
      <c r="CM5231" s="1" t="s">
        <v>87</v>
      </c>
      <c r="DR5231" s="1" t="s">
        <v>118</v>
      </c>
      <c r="EB5231" s="1" t="s">
        <v>128</v>
      </c>
      <c r="ED5231" s="1" t="s">
        <v>130</v>
      </c>
      <c r="GD5231" s="1" t="s">
        <v>202</v>
      </c>
      <c r="GE5231" s="1" t="s">
        <v>190</v>
      </c>
    </row>
    <row r="5232" spans="1:187" ht="11.25" customHeight="1">
      <c r="A5232" s="1" t="s">
        <v>7437</v>
      </c>
      <c r="B5232" s="1" t="str">
        <f ca="1">IFERROR(__xludf.DUMMYFUNCTION("GOOGLETRANSLATE(A5232, ""en"", ""fr"")"),"ILLÉGALITÉ")</f>
        <v>ILLÉGALITÉ</v>
      </c>
      <c r="C5232" s="1" t="s">
        <v>192</v>
      </c>
      <c r="E5232" s="1" t="s">
        <v>16613</v>
      </c>
      <c r="V5232" s="1" t="s">
        <v>18</v>
      </c>
      <c r="AE5232" s="1" t="s">
        <v>27</v>
      </c>
      <c r="CM5232" s="1" t="s">
        <v>87</v>
      </c>
      <c r="GD5232" s="1" t="s">
        <v>193</v>
      </c>
      <c r="GE5232" s="1" t="s">
        <v>190</v>
      </c>
    </row>
    <row r="5233" spans="1:187" ht="11.25" customHeight="1">
      <c r="A5233" s="1" t="s">
        <v>7438</v>
      </c>
      <c r="B5233" s="1" t="str">
        <f ca="1">IFERROR(__xludf.DUMMYFUNCTION("GOOGLETRANSLATE(A5233, ""en"", ""fr"")"),"ILLINOIS")</f>
        <v>ILLINOIS</v>
      </c>
      <c r="C5233" s="1" t="s">
        <v>196</v>
      </c>
      <c r="GD5233" s="1" t="s">
        <v>653</v>
      </c>
    </row>
    <row r="5234" spans="1:187" ht="11.25" customHeight="1">
      <c r="A5234" s="1" t="s">
        <v>7439</v>
      </c>
      <c r="B5234" s="1" t="str">
        <f ca="1">IFERROR(__xludf.DUMMYFUNCTION("GOOGLETRANSLATE(A5234, ""en"", ""fr"")"),"ANALPHABÈTE")</f>
        <v>ANALPHABÈTE</v>
      </c>
      <c r="C5234" s="1" t="s">
        <v>192</v>
      </c>
      <c r="E5234" s="1" t="s">
        <v>16613</v>
      </c>
      <c r="L5234" s="1" t="s">
        <v>8</v>
      </c>
      <c r="BT5234" s="1" t="s">
        <v>68</v>
      </c>
      <c r="DR5234" s="1" t="s">
        <v>118</v>
      </c>
      <c r="GD5234" s="1" t="s">
        <v>202</v>
      </c>
      <c r="GE5234" s="1" t="s">
        <v>190</v>
      </c>
    </row>
    <row r="5235" spans="1:187" ht="11.25" customHeight="1">
      <c r="A5235" s="1" t="s">
        <v>7440</v>
      </c>
      <c r="B5235" s="1" t="str">
        <f ca="1">IFERROR(__xludf.DUMMYFUNCTION("GOOGLETRANSLATE(A5235, ""en"", ""fr"")"),"MALADIE")</f>
        <v>MALADIE</v>
      </c>
      <c r="C5235" s="1" t="s">
        <v>185</v>
      </c>
      <c r="E5235" s="1" t="s">
        <v>16613</v>
      </c>
      <c r="H5235" s="1" t="s">
        <v>4</v>
      </c>
      <c r="L5235" s="1" t="s">
        <v>8</v>
      </c>
      <c r="O5235" s="1" t="s">
        <v>11</v>
      </c>
      <c r="V5235" s="1" t="s">
        <v>18</v>
      </c>
      <c r="EZ5235" s="1" t="s">
        <v>152</v>
      </c>
      <c r="FC5235" s="1" t="s">
        <v>155</v>
      </c>
      <c r="GD5235" s="1" t="s">
        <v>193</v>
      </c>
      <c r="GE5235" s="1" t="s">
        <v>7441</v>
      </c>
    </row>
    <row r="5236" spans="1:187" ht="11.25" customHeight="1">
      <c r="A5236" s="1" t="s">
        <v>7442</v>
      </c>
      <c r="B5236" s="1" t="str">
        <f ca="1">IFERROR(__xludf.DUMMYFUNCTION("GOOGLETRANSLATE(A5236, ""en"", ""fr"")"),"ILLOGIQUE")</f>
        <v>ILLOGIQUE</v>
      </c>
      <c r="C5236" s="1" t="s">
        <v>192</v>
      </c>
      <c r="E5236" s="1" t="s">
        <v>16613</v>
      </c>
      <c r="L5236" s="1" t="s">
        <v>8</v>
      </c>
      <c r="BT5236" s="1" t="s">
        <v>68</v>
      </c>
      <c r="DR5236" s="1" t="s">
        <v>118</v>
      </c>
      <c r="GD5236" s="1" t="s">
        <v>202</v>
      </c>
      <c r="GE5236" s="1" t="s">
        <v>190</v>
      </c>
    </row>
    <row r="5237" spans="1:187" ht="11.25" customHeight="1">
      <c r="A5237" s="1" t="s">
        <v>7443</v>
      </c>
      <c r="B5237" s="1" t="str">
        <f ca="1">IFERROR(__xludf.DUMMYFUNCTION("GOOGLETRANSLATE(A5237, ""en"", ""fr"")"),"ÉCLAIRER")</f>
        <v>ÉCLAIRER</v>
      </c>
      <c r="C5237" s="1" t="s">
        <v>192</v>
      </c>
      <c r="D5237" s="1" t="s">
        <v>16612</v>
      </c>
      <c r="N5237" s="1" t="s">
        <v>10</v>
      </c>
      <c r="W5237" s="1" t="s">
        <v>19</v>
      </c>
      <c r="BK5237" s="1" t="s">
        <v>59</v>
      </c>
      <c r="DN5237" s="1" t="s">
        <v>114</v>
      </c>
      <c r="GD5237" s="1" t="s">
        <v>189</v>
      </c>
      <c r="GE5237" s="1" t="s">
        <v>190</v>
      </c>
    </row>
    <row r="5238" spans="1:187" ht="11.25" customHeight="1">
      <c r="A5238" s="1" t="s">
        <v>7444</v>
      </c>
      <c r="B5238" s="1" t="str">
        <f ca="1">IFERROR(__xludf.DUMMYFUNCTION("GOOGLETRANSLATE(A5238, ""en"", ""fr"")"),"ÉCLAIRAGE")</f>
        <v>ÉCLAIRAGE</v>
      </c>
      <c r="C5238" s="1" t="s">
        <v>185</v>
      </c>
      <c r="CR5238" s="1" t="s">
        <v>92</v>
      </c>
      <c r="GD5238" s="1" t="s">
        <v>193</v>
      </c>
      <c r="GE5238" s="1" t="s">
        <v>190</v>
      </c>
    </row>
    <row r="5239" spans="1:187" ht="11.25" customHeight="1">
      <c r="A5239" s="1" t="s">
        <v>7445</v>
      </c>
      <c r="B5239" s="1" t="str">
        <f ca="1">IFERROR(__xludf.DUMMYFUNCTION("GOOGLETRANSLATE(A5239, ""en"", ""fr"")"),"ILLUSION")</f>
        <v>ILLUSION</v>
      </c>
      <c r="C5239" s="1" t="s">
        <v>185</v>
      </c>
      <c r="O5239" s="1" t="s">
        <v>11</v>
      </c>
      <c r="CH5239" s="1" t="s">
        <v>82</v>
      </c>
      <c r="CP5239" s="1" t="s">
        <v>90</v>
      </c>
      <c r="CQ5239" s="1" t="s">
        <v>91</v>
      </c>
      <c r="FH5239" s="1" t="s">
        <v>160</v>
      </c>
      <c r="FI5239" s="1" t="s">
        <v>161</v>
      </c>
      <c r="GD5239" s="1" t="s">
        <v>193</v>
      </c>
      <c r="GE5239" s="1" t="s">
        <v>190</v>
      </c>
    </row>
    <row r="5240" spans="1:187" ht="11.25" customHeight="1">
      <c r="A5240" s="1" t="s">
        <v>7446</v>
      </c>
      <c r="B5240" s="1" t="str">
        <f ca="1">IFERROR(__xludf.DUMMYFUNCTION("GOOGLETRANSLATE(A5240, ""en"", ""fr"")"),"Illusion")</f>
        <v>Illusion</v>
      </c>
      <c r="C5240" s="1" t="s">
        <v>196</v>
      </c>
      <c r="FH5240" s="1" t="s">
        <v>160</v>
      </c>
      <c r="FI5240" s="1" t="s">
        <v>161</v>
      </c>
      <c r="GD5240" s="1" t="s">
        <v>193</v>
      </c>
    </row>
    <row r="5241" spans="1:187" ht="11.25" customHeight="1">
      <c r="A5241" s="1" t="s">
        <v>7447</v>
      </c>
      <c r="B5241" s="1" t="str">
        <f ca="1">IFERROR(__xludf.DUMMYFUNCTION("GOOGLETRANSLATE(A5241, ""en"", ""fr"")"),"ILLUSTRER")</f>
        <v>ILLUSTRER</v>
      </c>
      <c r="C5241" s="1" t="s">
        <v>185</v>
      </c>
      <c r="N5241" s="1" t="s">
        <v>10</v>
      </c>
      <c r="BK5241" s="1" t="s">
        <v>59</v>
      </c>
      <c r="DN5241" s="1" t="s">
        <v>114</v>
      </c>
      <c r="FD5241" s="1" t="s">
        <v>156</v>
      </c>
      <c r="FI5241" s="1" t="s">
        <v>161</v>
      </c>
      <c r="GD5241" s="1" t="s">
        <v>189</v>
      </c>
      <c r="GE5241" s="1" t="s">
        <v>190</v>
      </c>
    </row>
    <row r="5242" spans="1:187" ht="11.25" customHeight="1">
      <c r="A5242" s="1" t="s">
        <v>7448</v>
      </c>
      <c r="B5242" s="1" t="str">
        <f ca="1">IFERROR(__xludf.DUMMYFUNCTION("GOOGLETRANSLATE(A5242, ""en"", ""fr"")"),"ILLUSTRATION")</f>
        <v>ILLUSTRATION</v>
      </c>
      <c r="C5242" s="1" t="s">
        <v>185</v>
      </c>
      <c r="BC5242" s="1" t="s">
        <v>51</v>
      </c>
      <c r="BH5242" s="1" t="s">
        <v>56</v>
      </c>
      <c r="BL5242" s="1" t="s">
        <v>60</v>
      </c>
      <c r="FD5242" s="1" t="s">
        <v>156</v>
      </c>
      <c r="FI5242" s="1" t="s">
        <v>161</v>
      </c>
      <c r="GD5242" s="1" t="s">
        <v>193</v>
      </c>
      <c r="GE5242" s="1" t="s">
        <v>190</v>
      </c>
    </row>
    <row r="5243" spans="1:187" ht="11.25" customHeight="1">
      <c r="A5243" s="1" t="s">
        <v>7449</v>
      </c>
      <c r="B5243" s="1" t="str">
        <f ca="1">IFERROR(__xludf.DUMMYFUNCTION("GOOGLETRANSLATE(A5243, ""en"", ""fr"")"),"ILLUSTRE")</f>
        <v>ILLUSTRE</v>
      </c>
      <c r="C5243" s="1" t="s">
        <v>192</v>
      </c>
      <c r="D5243" s="1" t="s">
        <v>16612</v>
      </c>
      <c r="W5243" s="1" t="s">
        <v>19</v>
      </c>
      <c r="CM5243" s="1" t="s">
        <v>87</v>
      </c>
      <c r="CR5243" s="1" t="s">
        <v>92</v>
      </c>
      <c r="DR5243" s="1" t="s">
        <v>118</v>
      </c>
      <c r="GD5243" s="1" t="s">
        <v>202</v>
      </c>
      <c r="GE5243" s="1" t="s">
        <v>190</v>
      </c>
    </row>
    <row r="5244" spans="1:187" ht="11.25" customHeight="1">
      <c r="A5244" s="1" t="s">
        <v>7450</v>
      </c>
      <c r="B5244" s="1" t="str">
        <f ca="1">IFERROR(__xludf.DUMMYFUNCTION("GOOGLETRANSLATE(A5244, ""en"", ""fr"")"),"Image n ° 1")</f>
        <v>Image n ° 1</v>
      </c>
      <c r="C5244" s="1" t="s">
        <v>185</v>
      </c>
      <c r="BQ5244" s="1" t="s">
        <v>65</v>
      </c>
      <c r="GD5244" s="1" t="s">
        <v>193</v>
      </c>
      <c r="GE5244" s="1" t="s">
        <v>7451</v>
      </c>
    </row>
    <row r="5245" spans="1:187" ht="11.25" customHeight="1">
      <c r="A5245" s="1" t="s">
        <v>7452</v>
      </c>
      <c r="B5245" s="1" t="str">
        <f ca="1">IFERROR(__xludf.DUMMYFUNCTION("GOOGLETRANSLATE(A5245, ""en"", ""fr"")"),"Image n ° 2")</f>
        <v>Image n ° 2</v>
      </c>
      <c r="C5245" s="1" t="s">
        <v>185</v>
      </c>
      <c r="AD5245" s="1" t="s">
        <v>26</v>
      </c>
      <c r="BK5245" s="1" t="s">
        <v>59</v>
      </c>
      <c r="BL5245" s="1" t="s">
        <v>60</v>
      </c>
      <c r="GD5245" s="1" t="s">
        <v>193</v>
      </c>
      <c r="GE5245" s="1" t="s">
        <v>7453</v>
      </c>
    </row>
    <row r="5246" spans="1:187" ht="11.25" customHeight="1">
      <c r="A5246" s="1" t="s">
        <v>7454</v>
      </c>
      <c r="B5246" s="1" t="str">
        <f ca="1">IFERROR(__xludf.DUMMYFUNCTION("GOOGLETRANSLATE(A5246, ""en"", ""fr"")"),"IMAGERIE")</f>
        <v>IMAGERIE</v>
      </c>
      <c r="C5246" s="1" t="s">
        <v>185</v>
      </c>
      <c r="AD5246" s="1" t="s">
        <v>26</v>
      </c>
      <c r="BK5246" s="1" t="s">
        <v>59</v>
      </c>
      <c r="BL5246" s="1" t="s">
        <v>60</v>
      </c>
      <c r="GC5246" s="1" t="s">
        <v>181</v>
      </c>
      <c r="GD5246" s="1" t="s">
        <v>193</v>
      </c>
      <c r="GE5246" s="1" t="s">
        <v>190</v>
      </c>
    </row>
    <row r="5247" spans="1:187" ht="11.25" customHeight="1">
      <c r="A5247" s="1" t="s">
        <v>7455</v>
      </c>
      <c r="B5247" s="1" t="str">
        <f ca="1">IFERROR(__xludf.DUMMYFUNCTION("GOOGLETRANSLATE(A5247, ""en"", ""fr"")"),"IMAGINABLE")</f>
        <v>IMAGINABLE</v>
      </c>
      <c r="C5247" s="1" t="s">
        <v>185</v>
      </c>
      <c r="AD5247" s="1" t="s">
        <v>26</v>
      </c>
      <c r="CH5247" s="1" t="s">
        <v>82</v>
      </c>
      <c r="FL5247" s="1" t="s">
        <v>164</v>
      </c>
      <c r="FM5247" s="1" t="s">
        <v>418</v>
      </c>
      <c r="GD5247" s="1" t="s">
        <v>202</v>
      </c>
      <c r="GE5247" s="1" t="s">
        <v>190</v>
      </c>
    </row>
    <row r="5248" spans="1:187" ht="11.25" customHeight="1">
      <c r="A5248" s="1" t="s">
        <v>7456</v>
      </c>
      <c r="B5248" s="1" t="str">
        <f ca="1">IFERROR(__xludf.DUMMYFUNCTION("GOOGLETRANSLATE(A5248, ""en"", ""fr"")"),"IMAGINAIRE")</f>
        <v>IMAGINAIRE</v>
      </c>
      <c r="C5248" s="1" t="s">
        <v>185</v>
      </c>
      <c r="O5248" s="1" t="s">
        <v>11</v>
      </c>
      <c r="AD5248" s="1" t="s">
        <v>26</v>
      </c>
      <c r="CH5248" s="1" t="s">
        <v>82</v>
      </c>
      <c r="GD5248" s="1" t="s">
        <v>202</v>
      </c>
      <c r="GE5248" s="1" t="s">
        <v>190</v>
      </c>
    </row>
    <row r="5249" spans="1:187" ht="11.25" customHeight="1">
      <c r="A5249" s="1" t="s">
        <v>7457</v>
      </c>
      <c r="B5249" s="1" t="str">
        <f ca="1">IFERROR(__xludf.DUMMYFUNCTION("GOOGLETRANSLATE(A5249, ""en"", ""fr"")"),"IMAGINATION")</f>
        <v>IMAGINATION</v>
      </c>
      <c r="C5249" s="1" t="s">
        <v>185</v>
      </c>
      <c r="D5249" s="1" t="s">
        <v>16612</v>
      </c>
      <c r="F5249" s="1" t="s">
        <v>2</v>
      </c>
      <c r="O5249" s="1" t="s">
        <v>11</v>
      </c>
      <c r="AD5249" s="1" t="s">
        <v>26</v>
      </c>
      <c r="CH5249" s="1" t="s">
        <v>82</v>
      </c>
      <c r="FL5249" s="1" t="s">
        <v>164</v>
      </c>
      <c r="FM5249" s="1" t="s">
        <v>418</v>
      </c>
      <c r="GD5249" s="1" t="s">
        <v>193</v>
      </c>
      <c r="GE5249" s="1" t="s">
        <v>190</v>
      </c>
    </row>
    <row r="5250" spans="1:187" ht="11.25" customHeight="1">
      <c r="A5250" s="1" t="s">
        <v>7458</v>
      </c>
      <c r="B5250" s="1" t="str">
        <f ca="1">IFERROR(__xludf.DUMMYFUNCTION("GOOGLETRANSLATE(A5250, ""en"", ""fr"")"),"IMAGINATIF")</f>
        <v>IMAGINATIF</v>
      </c>
      <c r="C5250" s="1" t="s">
        <v>185</v>
      </c>
      <c r="D5250" s="1" t="s">
        <v>16612</v>
      </c>
      <c r="F5250" s="1" t="s">
        <v>2</v>
      </c>
      <c r="U5250" s="1" t="s">
        <v>17</v>
      </c>
      <c r="AD5250" s="1" t="s">
        <v>26</v>
      </c>
      <c r="CN5250" s="1" t="s">
        <v>88</v>
      </c>
      <c r="FL5250" s="1" t="s">
        <v>164</v>
      </c>
      <c r="FM5250" s="1" t="s">
        <v>418</v>
      </c>
      <c r="GD5250" s="1" t="s">
        <v>202</v>
      </c>
      <c r="GE5250" s="1" t="s">
        <v>190</v>
      </c>
    </row>
    <row r="5251" spans="1:187" ht="11.25" customHeight="1">
      <c r="A5251" s="1" t="s">
        <v>7459</v>
      </c>
      <c r="B5251" s="1" t="str">
        <f ca="1">IFERROR(__xludf.DUMMYFUNCTION("GOOGLETRANSLATE(A5251, ""en"", ""fr"")"),"IMAGINER")</f>
        <v>IMAGINER</v>
      </c>
      <c r="C5251" s="1" t="s">
        <v>185</v>
      </c>
      <c r="O5251" s="1" t="s">
        <v>11</v>
      </c>
      <c r="AD5251" s="1" t="s">
        <v>26</v>
      </c>
      <c r="CO5251" s="1" t="s">
        <v>89</v>
      </c>
      <c r="DN5251" s="1" t="s">
        <v>114</v>
      </c>
      <c r="GD5251" s="1" t="s">
        <v>189</v>
      </c>
      <c r="GE5251" s="1" t="s">
        <v>7460</v>
      </c>
    </row>
    <row r="5252" spans="1:187" ht="11.25" customHeight="1">
      <c r="A5252" s="1" t="s">
        <v>7461</v>
      </c>
      <c r="B5252" s="1" t="str">
        <f ca="1">IFERROR(__xludf.DUMMYFUNCTION("GOOGLETRANSLATE(A5252, ""en"", ""fr"")"),"IMITER")</f>
        <v>IMITER</v>
      </c>
      <c r="C5252" s="1" t="s">
        <v>196</v>
      </c>
      <c r="GD5252" s="1" t="s">
        <v>189</v>
      </c>
    </row>
    <row r="5253" spans="1:187" ht="11.25" customHeight="1">
      <c r="A5253" s="1" t="s">
        <v>7462</v>
      </c>
      <c r="B5253" s="1" t="str">
        <f ca="1">IFERROR(__xludf.DUMMYFUNCTION("GOOGLETRANSLATE(A5253, ""en"", ""fr"")"),"IMITATION")</f>
        <v>IMITATION</v>
      </c>
      <c r="C5253" s="1" t="s">
        <v>185</v>
      </c>
      <c r="L5253" s="1" t="s">
        <v>8</v>
      </c>
      <c r="M5253" s="1" t="s">
        <v>9</v>
      </c>
      <c r="N5253" s="1" t="s">
        <v>10</v>
      </c>
      <c r="AN5253" s="1" t="s">
        <v>36</v>
      </c>
      <c r="GD5253" s="1" t="s">
        <v>193</v>
      </c>
      <c r="GE5253" s="1" t="s">
        <v>190</v>
      </c>
    </row>
    <row r="5254" spans="1:187" ht="11.25" customHeight="1">
      <c r="A5254" s="1" t="s">
        <v>7463</v>
      </c>
      <c r="B5254" s="1" t="str">
        <f ca="1">IFERROR(__xludf.DUMMYFUNCTION("GOOGLETRANSLATE(A5254, ""en"", ""fr"")"),"IMMACULÉ")</f>
        <v>IMMACULÉ</v>
      </c>
      <c r="C5254" s="1" t="s">
        <v>192</v>
      </c>
      <c r="D5254" s="1" t="s">
        <v>16612</v>
      </c>
      <c r="U5254" s="1" t="s">
        <v>17</v>
      </c>
      <c r="W5254" s="1" t="s">
        <v>19</v>
      </c>
      <c r="DR5254" s="1" t="s">
        <v>118</v>
      </c>
      <c r="GD5254" s="1" t="s">
        <v>202</v>
      </c>
      <c r="GE5254" s="1" t="s">
        <v>190</v>
      </c>
    </row>
    <row r="5255" spans="1:187" ht="11.25" customHeight="1">
      <c r="A5255" s="1" t="s">
        <v>7464</v>
      </c>
      <c r="B5255" s="1" t="str">
        <f ca="1">IFERROR(__xludf.DUMMYFUNCTION("GOOGLETRANSLATE(A5255, ""en"", ""fr"")"),"IMMATURE")</f>
        <v>IMMATURE</v>
      </c>
      <c r="C5255" s="1" t="s">
        <v>185</v>
      </c>
      <c r="E5255" s="1" t="s">
        <v>16613</v>
      </c>
      <c r="L5255" s="1" t="s">
        <v>8</v>
      </c>
      <c r="AS5255" s="1" t="s">
        <v>41</v>
      </c>
      <c r="DR5255" s="1" t="s">
        <v>118</v>
      </c>
      <c r="EM5255" s="1" t="s">
        <v>139</v>
      </c>
      <c r="EN5255" s="1" t="s">
        <v>140</v>
      </c>
      <c r="GD5255" s="1" t="s">
        <v>202</v>
      </c>
      <c r="GE5255" s="1" t="s">
        <v>190</v>
      </c>
    </row>
    <row r="5256" spans="1:187" ht="11.25" customHeight="1">
      <c r="A5256" s="1" t="s">
        <v>7465</v>
      </c>
      <c r="B5256" s="1" t="str">
        <f ca="1">IFERROR(__xludf.DUMMYFUNCTION("GOOGLETRANSLATE(A5256, ""en"", ""fr"")"),"IMMATURITÉ")</f>
        <v>IMMATURITÉ</v>
      </c>
      <c r="C5256" s="1" t="s">
        <v>196</v>
      </c>
      <c r="EM5256" s="1" t="s">
        <v>139</v>
      </c>
      <c r="EN5256" s="1" t="s">
        <v>140</v>
      </c>
      <c r="GD5256" s="1" t="s">
        <v>202</v>
      </c>
    </row>
    <row r="5257" spans="1:187" ht="11.25" customHeight="1">
      <c r="A5257" s="1" t="s">
        <v>7466</v>
      </c>
      <c r="B5257" s="1" t="str">
        <f ca="1">IFERROR(__xludf.DUMMYFUNCTION("GOOGLETRANSLATE(A5257, ""en"", ""fr"")"),"IMMÉDIATETÉ")</f>
        <v>IMMÉDIATETÉ</v>
      </c>
      <c r="C5257" s="1" t="s">
        <v>185</v>
      </c>
      <c r="W5257" s="1" t="s">
        <v>19</v>
      </c>
      <c r="CY5257" s="1" t="s">
        <v>99</v>
      </c>
      <c r="GB5257" s="1" t="s">
        <v>180</v>
      </c>
      <c r="GD5257" s="1" t="s">
        <v>193</v>
      </c>
      <c r="GE5257" s="1" t="s">
        <v>190</v>
      </c>
    </row>
    <row r="5258" spans="1:187" ht="11.25" customHeight="1">
      <c r="A5258" s="1" t="s">
        <v>7467</v>
      </c>
      <c r="B5258" s="1" t="str">
        <f ca="1">IFERROR(__xludf.DUMMYFUNCTION("GOOGLETRANSLATE(A5258, ""en"", ""fr"")"),"Immédiat # 1")</f>
        <v>Immédiat # 1</v>
      </c>
      <c r="C5258" s="1" t="s">
        <v>185</v>
      </c>
      <c r="W5258" s="1" t="s">
        <v>19</v>
      </c>
      <c r="CY5258" s="1" t="s">
        <v>99</v>
      </c>
      <c r="GB5258" s="1" t="s">
        <v>180</v>
      </c>
      <c r="GD5258" s="1" t="s">
        <v>202</v>
      </c>
      <c r="GE5258" s="1" t="s">
        <v>7468</v>
      </c>
    </row>
    <row r="5259" spans="1:187" ht="11.25" customHeight="1">
      <c r="A5259" s="1" t="s">
        <v>7469</v>
      </c>
      <c r="B5259" s="1" t="str">
        <f ca="1">IFERROR(__xludf.DUMMYFUNCTION("GOOGLETRANSLATE(A5259, ""en"", ""fr"")"),"Immédiat # 2")</f>
        <v>Immédiat # 2</v>
      </c>
      <c r="C5259" s="1" t="s">
        <v>185</v>
      </c>
      <c r="W5259" s="1" t="s">
        <v>19</v>
      </c>
      <c r="CY5259" s="1" t="s">
        <v>99</v>
      </c>
      <c r="GB5259" s="1" t="s">
        <v>180</v>
      </c>
      <c r="GD5259" s="1" t="s">
        <v>236</v>
      </c>
      <c r="GE5259" s="1" t="s">
        <v>7470</v>
      </c>
    </row>
    <row r="5260" spans="1:187" ht="11.25" customHeight="1">
      <c r="A5260" s="1" t="s">
        <v>7471</v>
      </c>
      <c r="B5260" s="1" t="str">
        <f ca="1">IFERROR(__xludf.DUMMYFUNCTION("GOOGLETRANSLATE(A5260, ""en"", ""fr"")"),"IMMENSE")</f>
        <v>IMMENSE</v>
      </c>
      <c r="C5260" s="1" t="s">
        <v>185</v>
      </c>
      <c r="J5260" s="1" t="s">
        <v>6</v>
      </c>
      <c r="W5260" s="1" t="s">
        <v>19</v>
      </c>
      <c r="DA5260" s="1" t="s">
        <v>101</v>
      </c>
      <c r="GD5260" s="1" t="s">
        <v>202</v>
      </c>
      <c r="GE5260" s="1" t="s">
        <v>190</v>
      </c>
    </row>
    <row r="5261" spans="1:187" ht="11.25" customHeight="1">
      <c r="A5261" s="1" t="s">
        <v>7472</v>
      </c>
      <c r="B5261" s="1" t="str">
        <f ca="1">IFERROR(__xludf.DUMMYFUNCTION("GOOGLETRANSLATE(A5261, ""en"", ""fr"")"),"IMMIGRANT")</f>
        <v>IMMIGRANT</v>
      </c>
      <c r="C5261" s="1" t="s">
        <v>196</v>
      </c>
      <c r="FT5261" s="1" t="s">
        <v>172</v>
      </c>
      <c r="GD5261" s="1" t="s">
        <v>448</v>
      </c>
    </row>
    <row r="5262" spans="1:187" ht="11.25" customHeight="1">
      <c r="A5262" s="1" t="s">
        <v>7473</v>
      </c>
      <c r="B5262" s="1" t="str">
        <f ca="1">IFERROR(__xludf.DUMMYFUNCTION("GOOGLETRANSLATE(A5262, ""en"", ""fr"")"),"IMMIGRER")</f>
        <v>IMMIGRER</v>
      </c>
      <c r="C5262" s="1" t="s">
        <v>196</v>
      </c>
      <c r="GD5262" s="1" t="s">
        <v>189</v>
      </c>
    </row>
    <row r="5263" spans="1:187" ht="11.25" customHeight="1">
      <c r="A5263" s="1" t="s">
        <v>7474</v>
      </c>
      <c r="B5263" s="1" t="str">
        <f ca="1">IFERROR(__xludf.DUMMYFUNCTION("GOOGLETRANSLATE(A5263, ""en"", ""fr"")"),"IMMIGRATION")</f>
        <v>IMMIGRATION</v>
      </c>
      <c r="C5263" s="1" t="s">
        <v>196</v>
      </c>
      <c r="GD5263" s="1" t="s">
        <v>193</v>
      </c>
    </row>
    <row r="5264" spans="1:187" ht="11.25" customHeight="1">
      <c r="A5264" s="1" t="s">
        <v>7475</v>
      </c>
      <c r="B5264" s="1" t="str">
        <f ca="1">IFERROR(__xludf.DUMMYFUNCTION("GOOGLETRANSLATE(A5264, ""en"", ""fr"")"),"IMMINENT")</f>
        <v>IMMINENT</v>
      </c>
      <c r="C5264" s="1" t="s">
        <v>196</v>
      </c>
      <c r="GB5264" s="1" t="s">
        <v>180</v>
      </c>
      <c r="GD5264" s="1" t="s">
        <v>202</v>
      </c>
    </row>
    <row r="5265" spans="1:187" ht="11.25" customHeight="1">
      <c r="A5265" s="1" t="s">
        <v>7476</v>
      </c>
      <c r="B5265" s="1" t="str">
        <f ca="1">IFERROR(__xludf.DUMMYFUNCTION("GOOGLETRANSLATE(A5265, ""en"", ""fr"")"),"IMMOBILITÉ")</f>
        <v>IMMOBILITÉ</v>
      </c>
      <c r="C5265" s="1" t="s">
        <v>192</v>
      </c>
      <c r="E5265" s="1" t="s">
        <v>16613</v>
      </c>
      <c r="CA5265" s="1" t="s">
        <v>75</v>
      </c>
      <c r="GD5265" s="1" t="s">
        <v>193</v>
      </c>
      <c r="GE5265" s="1" t="s">
        <v>190</v>
      </c>
    </row>
    <row r="5266" spans="1:187" ht="11.25" customHeight="1">
      <c r="A5266" s="1" t="s">
        <v>7477</v>
      </c>
      <c r="B5266" s="1" t="str">
        <f ca="1">IFERROR(__xludf.DUMMYFUNCTION("GOOGLETRANSLATE(A5266, ""en"", ""fr"")"),"IMMODÉRÉ")</f>
        <v>IMMODÉRÉ</v>
      </c>
      <c r="C5266" s="1" t="s">
        <v>196</v>
      </c>
      <c r="FY5266" s="1" t="s">
        <v>177</v>
      </c>
      <c r="GD5266" s="1" t="s">
        <v>202</v>
      </c>
    </row>
    <row r="5267" spans="1:187" ht="11.25" customHeight="1">
      <c r="A5267" s="1" t="s">
        <v>7478</v>
      </c>
      <c r="B5267" s="1" t="str">
        <f ca="1">IFERROR(__xludf.DUMMYFUNCTION("GOOGLETRANSLATE(A5267, ""en"", ""fr"")"),"IMMORAL")</f>
        <v>IMMORAL</v>
      </c>
      <c r="C5267" s="1" t="s">
        <v>192</v>
      </c>
      <c r="E5267" s="1" t="s">
        <v>16613</v>
      </c>
      <c r="V5267" s="1" t="s">
        <v>18</v>
      </c>
      <c r="Z5267" s="1" t="s">
        <v>22</v>
      </c>
      <c r="CM5267" s="1" t="s">
        <v>87</v>
      </c>
      <c r="DR5267" s="1" t="s">
        <v>118</v>
      </c>
      <c r="GD5267" s="1" t="s">
        <v>202</v>
      </c>
      <c r="GE5267" s="1" t="s">
        <v>190</v>
      </c>
    </row>
    <row r="5268" spans="1:187" ht="11.25" customHeight="1">
      <c r="A5268" s="1" t="s">
        <v>7479</v>
      </c>
      <c r="B5268" s="1" t="str">
        <f ca="1">IFERROR(__xludf.DUMMYFUNCTION("GOOGLETRANSLATE(A5268, ""en"", ""fr"")"),"IMMORALITÉ")</f>
        <v>IMMORALITÉ</v>
      </c>
      <c r="C5268" s="1" t="s">
        <v>192</v>
      </c>
      <c r="E5268" s="1" t="s">
        <v>16613</v>
      </c>
      <c r="V5268" s="1" t="s">
        <v>18</v>
      </c>
      <c r="Z5268" s="1" t="s">
        <v>22</v>
      </c>
      <c r="CM5268" s="1" t="s">
        <v>87</v>
      </c>
      <c r="GD5268" s="1" t="s">
        <v>193</v>
      </c>
      <c r="GE5268" s="1" t="s">
        <v>190</v>
      </c>
    </row>
    <row r="5269" spans="1:187" ht="11.25" customHeight="1">
      <c r="A5269" s="1" t="s">
        <v>7480</v>
      </c>
      <c r="B5269" s="1" t="str">
        <f ca="1">IFERROR(__xludf.DUMMYFUNCTION("GOOGLETRANSLATE(A5269, ""en"", ""fr"")"),"IMMORTEL")</f>
        <v>IMMORTEL</v>
      </c>
      <c r="C5269" s="1" t="s">
        <v>192</v>
      </c>
      <c r="D5269" s="1" t="s">
        <v>16612</v>
      </c>
      <c r="K5269" s="1" t="s">
        <v>7</v>
      </c>
      <c r="W5269" s="1" t="s">
        <v>19</v>
      </c>
      <c r="CA5269" s="1" t="s">
        <v>75</v>
      </c>
      <c r="DR5269" s="1" t="s">
        <v>118</v>
      </c>
      <c r="GD5269" s="1" t="s">
        <v>202</v>
      </c>
      <c r="GE5269" s="1" t="s">
        <v>190</v>
      </c>
    </row>
    <row r="5270" spans="1:187" ht="11.25" customHeight="1">
      <c r="A5270" s="1" t="s">
        <v>7481</v>
      </c>
      <c r="B5270" s="1" t="str">
        <f ca="1">IFERROR(__xludf.DUMMYFUNCTION("GOOGLETRANSLATE(A5270, ""en"", ""fr"")"),"IMMEUBLE")</f>
        <v>IMMEUBLE</v>
      </c>
      <c r="C5270" s="1" t="s">
        <v>192</v>
      </c>
      <c r="E5270" s="1" t="s">
        <v>16613</v>
      </c>
      <c r="J5270" s="1" t="s">
        <v>6</v>
      </c>
      <c r="CA5270" s="1" t="s">
        <v>75</v>
      </c>
      <c r="DR5270" s="1" t="s">
        <v>118</v>
      </c>
      <c r="GD5270" s="1" t="s">
        <v>202</v>
      </c>
      <c r="GE5270" s="1" t="s">
        <v>190</v>
      </c>
    </row>
    <row r="5271" spans="1:187" ht="11.25" customHeight="1">
      <c r="A5271" s="1" t="s">
        <v>7482</v>
      </c>
      <c r="B5271" s="1" t="str">
        <f ca="1">IFERROR(__xludf.DUMMYFUNCTION("GOOGLETRANSLATE(A5271, ""en"", ""fr"")"),"IMPACT")</f>
        <v>IMPACT</v>
      </c>
      <c r="C5271" s="1" t="s">
        <v>185</v>
      </c>
      <c r="J5271" s="1" t="s">
        <v>6</v>
      </c>
      <c r="K5271" s="1" t="s">
        <v>7</v>
      </c>
      <c r="BU5271" s="1" t="s">
        <v>69</v>
      </c>
      <c r="GD5271" s="1" t="s">
        <v>193</v>
      </c>
      <c r="GE5271" s="1" t="s">
        <v>190</v>
      </c>
    </row>
    <row r="5272" spans="1:187" ht="11.25" customHeight="1">
      <c r="A5272" s="1" t="s">
        <v>7483</v>
      </c>
      <c r="B5272" s="1" t="str">
        <f ca="1">IFERROR(__xludf.DUMMYFUNCTION("GOOGLETRANSLATE(A5272, ""en"", ""fr"")"),"IMPAIR")</f>
        <v>IMPAIR</v>
      </c>
      <c r="C5272" s="1" t="s">
        <v>185</v>
      </c>
      <c r="E5272" s="1" t="s">
        <v>16613</v>
      </c>
      <c r="H5272" s="1" t="s">
        <v>4</v>
      </c>
      <c r="I5272" s="1" t="s">
        <v>5</v>
      </c>
      <c r="J5272" s="1" t="s">
        <v>6</v>
      </c>
      <c r="K5272" s="1" t="s">
        <v>7</v>
      </c>
      <c r="N5272" s="1" t="s">
        <v>10</v>
      </c>
      <c r="AN5272" s="1" t="s">
        <v>36</v>
      </c>
      <c r="DN5272" s="1" t="s">
        <v>114</v>
      </c>
      <c r="EY5272" s="1" t="s">
        <v>151</v>
      </c>
      <c r="FC5272" s="1" t="s">
        <v>155</v>
      </c>
      <c r="GD5272" s="1" t="s">
        <v>189</v>
      </c>
      <c r="GE5272" s="1" t="s">
        <v>190</v>
      </c>
    </row>
    <row r="5273" spans="1:187" ht="11.25" customHeight="1">
      <c r="A5273" s="1" t="s">
        <v>7484</v>
      </c>
      <c r="B5273" s="1" t="str">
        <f ca="1">IFERROR(__xludf.DUMMYFUNCTION("GOOGLETRANSLATE(A5273, ""en"", ""fr"")"),"IMPARTIAL")</f>
        <v>IMPARTIAL</v>
      </c>
      <c r="C5273" s="1" t="s">
        <v>185</v>
      </c>
      <c r="D5273" s="1" t="s">
        <v>16612</v>
      </c>
      <c r="S5273" s="1" t="s">
        <v>15</v>
      </c>
      <c r="CH5273" s="1" t="s">
        <v>82</v>
      </c>
      <c r="DR5273" s="1" t="s">
        <v>118</v>
      </c>
      <c r="EE5273" s="1" t="s">
        <v>131</v>
      </c>
      <c r="EJ5273" s="1" t="s">
        <v>136</v>
      </c>
      <c r="GD5273" s="1" t="s">
        <v>202</v>
      </c>
      <c r="GE5273" s="1" t="s">
        <v>190</v>
      </c>
    </row>
    <row r="5274" spans="1:187" ht="11.25" customHeight="1">
      <c r="A5274" s="1" t="s">
        <v>7485</v>
      </c>
      <c r="B5274" s="1" t="str">
        <f ca="1">IFERROR(__xludf.DUMMYFUNCTION("GOOGLETRANSLATE(A5274, ""en"", ""fr"")"),"IMPARTIALITÉ")</f>
        <v>IMPARTIALITÉ</v>
      </c>
      <c r="C5274" s="1" t="s">
        <v>192</v>
      </c>
      <c r="D5274" s="1" t="s">
        <v>16612</v>
      </c>
      <c r="S5274" s="1" t="s">
        <v>15</v>
      </c>
      <c r="CH5274" s="1" t="s">
        <v>82</v>
      </c>
      <c r="GD5274" s="1" t="s">
        <v>193</v>
      </c>
      <c r="GE5274" s="1" t="s">
        <v>190</v>
      </c>
    </row>
    <row r="5275" spans="1:187" ht="11.25" customHeight="1">
      <c r="A5275" s="1" t="s">
        <v>7486</v>
      </c>
      <c r="B5275" s="1" t="str">
        <f ca="1">IFERROR(__xludf.DUMMYFUNCTION("GOOGLETRANSLATE(A5275, ""en"", ""fr"")"),"INFRANCHISSABLE")</f>
        <v>INFRANCHISSABLE</v>
      </c>
      <c r="C5275" s="1" t="s">
        <v>196</v>
      </c>
      <c r="GD5275" s="1" t="s">
        <v>202</v>
      </c>
    </row>
    <row r="5276" spans="1:187" ht="11.25" customHeight="1">
      <c r="A5276" s="1" t="s">
        <v>7487</v>
      </c>
      <c r="B5276" s="1" t="str">
        <f ca="1">IFERROR(__xludf.DUMMYFUNCTION("GOOGLETRANSLATE(A5276, ""en"", ""fr"")"),"IMPASSE")</f>
        <v>IMPASSE</v>
      </c>
      <c r="C5276" s="1" t="s">
        <v>192</v>
      </c>
      <c r="E5276" s="1" t="s">
        <v>16613</v>
      </c>
      <c r="AN5276" s="1" t="s">
        <v>36</v>
      </c>
      <c r="BK5276" s="1" t="s">
        <v>59</v>
      </c>
      <c r="CA5276" s="1" t="s">
        <v>75</v>
      </c>
      <c r="GD5276" s="1" t="s">
        <v>193</v>
      </c>
      <c r="GE5276" s="1" t="s">
        <v>190</v>
      </c>
    </row>
    <row r="5277" spans="1:187" ht="11.25" customHeight="1">
      <c r="A5277" s="1" t="s">
        <v>7488</v>
      </c>
      <c r="B5277" s="1" t="str">
        <f ca="1">IFERROR(__xludf.DUMMYFUNCTION("GOOGLETRANSLATE(A5277, ""en"", ""fr"")"),"IMPATIENCE")</f>
        <v>IMPATIENCE</v>
      </c>
      <c r="C5277" s="1" t="s">
        <v>185</v>
      </c>
      <c r="E5277" s="1" t="s">
        <v>16613</v>
      </c>
      <c r="H5277" s="1" t="s">
        <v>4</v>
      </c>
      <c r="I5277" s="1" t="s">
        <v>5</v>
      </c>
      <c r="O5277" s="1" t="s">
        <v>11</v>
      </c>
      <c r="S5277" s="1" t="s">
        <v>15</v>
      </c>
      <c r="DL5277" s="1" t="s">
        <v>112</v>
      </c>
      <c r="FA5277" s="1" t="s">
        <v>153</v>
      </c>
      <c r="FC5277" s="1" t="s">
        <v>155</v>
      </c>
      <c r="GD5277" s="1" t="s">
        <v>193</v>
      </c>
      <c r="GE5277" s="1" t="s">
        <v>190</v>
      </c>
    </row>
    <row r="5278" spans="1:187" ht="11.25" customHeight="1">
      <c r="A5278" s="1" t="s">
        <v>7489</v>
      </c>
      <c r="B5278" s="1" t="str">
        <f ca="1">IFERROR(__xludf.DUMMYFUNCTION("GOOGLETRANSLATE(A5278, ""en"", ""fr"")"),"IMPATIENT")</f>
        <v>IMPATIENT</v>
      </c>
      <c r="C5278" s="1" t="s">
        <v>185</v>
      </c>
      <c r="E5278" s="1" t="s">
        <v>16613</v>
      </c>
      <c r="V5278" s="1" t="s">
        <v>18</v>
      </c>
      <c r="BN5278" s="1" t="s">
        <v>62</v>
      </c>
      <c r="DR5278" s="1" t="s">
        <v>118</v>
      </c>
      <c r="FA5278" s="1" t="s">
        <v>153</v>
      </c>
      <c r="FC5278" s="1" t="s">
        <v>155</v>
      </c>
      <c r="GD5278" s="1" t="s">
        <v>202</v>
      </c>
      <c r="GE5278" s="1" t="s">
        <v>190</v>
      </c>
    </row>
    <row r="5279" spans="1:187" ht="11.25" customHeight="1">
      <c r="A5279" s="1" t="s">
        <v>7490</v>
      </c>
      <c r="B5279" s="1" t="str">
        <f ca="1">IFERROR(__xludf.DUMMYFUNCTION("GOOGLETRANSLATE(A5279, ""en"", ""fr"")"),"ENTRAVER")</f>
        <v>ENTRAVER</v>
      </c>
      <c r="C5279" s="1" t="s">
        <v>185</v>
      </c>
      <c r="E5279" s="1" t="s">
        <v>16613</v>
      </c>
      <c r="H5279" s="1" t="s">
        <v>4</v>
      </c>
      <c r="I5279" s="1" t="s">
        <v>5</v>
      </c>
      <c r="J5279" s="1" t="s">
        <v>6</v>
      </c>
      <c r="N5279" s="1" t="s">
        <v>10</v>
      </c>
      <c r="AN5279" s="1" t="s">
        <v>36</v>
      </c>
      <c r="DN5279" s="1" t="s">
        <v>114</v>
      </c>
      <c r="EC5279" s="1" t="s">
        <v>129</v>
      </c>
      <c r="ED5279" s="1" t="s">
        <v>130</v>
      </c>
      <c r="GD5279" s="1" t="s">
        <v>189</v>
      </c>
      <c r="GE5279" s="1" t="s">
        <v>190</v>
      </c>
    </row>
    <row r="5280" spans="1:187" ht="11.25" customHeight="1">
      <c r="A5280" s="1" t="s">
        <v>7491</v>
      </c>
      <c r="B5280" s="1" t="str">
        <f ca="1">IFERROR(__xludf.DUMMYFUNCTION("GOOGLETRANSLATE(A5280, ""en"", ""fr"")"),"OBSTACLE")</f>
        <v>OBSTACLE</v>
      </c>
      <c r="C5280" s="1" t="s">
        <v>185</v>
      </c>
      <c r="E5280" s="1" t="s">
        <v>16613</v>
      </c>
      <c r="H5280" s="1" t="s">
        <v>4</v>
      </c>
      <c r="I5280" s="1" t="s">
        <v>5</v>
      </c>
      <c r="V5280" s="1" t="s">
        <v>18</v>
      </c>
      <c r="EC5280" s="1" t="s">
        <v>129</v>
      </c>
      <c r="ED5280" s="1" t="s">
        <v>130</v>
      </c>
      <c r="GD5280" s="1" t="s">
        <v>193</v>
      </c>
      <c r="GE5280" s="1" t="s">
        <v>190</v>
      </c>
    </row>
    <row r="5281" spans="1:187" ht="11.25" customHeight="1">
      <c r="A5281" s="1" t="s">
        <v>7492</v>
      </c>
      <c r="B5281" s="1" t="str">
        <f ca="1">IFERROR(__xludf.DUMMYFUNCTION("GOOGLETRANSLATE(A5281, ""en"", ""fr"")"),"POUSSER")</f>
        <v>POUSSER</v>
      </c>
      <c r="C5281" s="1" t="s">
        <v>185</v>
      </c>
      <c r="J5281" s="1" t="s">
        <v>6</v>
      </c>
      <c r="K5281" s="1" t="s">
        <v>7</v>
      </c>
      <c r="N5281" s="1" t="s">
        <v>10</v>
      </c>
      <c r="CC5281" s="1" t="s">
        <v>77</v>
      </c>
      <c r="DN5281" s="1" t="s">
        <v>114</v>
      </c>
      <c r="EC5281" s="1" t="s">
        <v>129</v>
      </c>
      <c r="ED5281" s="1" t="s">
        <v>130</v>
      </c>
      <c r="GD5281" s="1" t="s">
        <v>189</v>
      </c>
      <c r="GE5281" s="1" t="s">
        <v>190</v>
      </c>
    </row>
    <row r="5282" spans="1:187" ht="11.25" customHeight="1">
      <c r="A5282" s="1" t="s">
        <v>7493</v>
      </c>
      <c r="B5282" s="1" t="str">
        <f ca="1">IFERROR(__xludf.DUMMYFUNCTION("GOOGLETRANSLATE(A5282, ""en"", ""fr"")"),"IMPÉRATIF")</f>
        <v>IMPÉRATIF</v>
      </c>
      <c r="C5282" s="1" t="s">
        <v>185</v>
      </c>
      <c r="D5282" s="1" t="s">
        <v>16612</v>
      </c>
      <c r="CJ5282" s="1" t="s">
        <v>84</v>
      </c>
      <c r="CM5282" s="1" t="s">
        <v>87</v>
      </c>
      <c r="DR5282" s="1" t="s">
        <v>118</v>
      </c>
      <c r="FR5282" s="1" t="s">
        <v>170</v>
      </c>
      <c r="GD5282" s="1" t="s">
        <v>202</v>
      </c>
      <c r="GE5282" s="1" t="s">
        <v>190</v>
      </c>
    </row>
    <row r="5283" spans="1:187" ht="11.25" customHeight="1">
      <c r="A5283" s="1" t="s">
        <v>7494</v>
      </c>
      <c r="B5283" s="1" t="str">
        <f ca="1">IFERROR(__xludf.DUMMYFUNCTION("GOOGLETRANSLATE(A5283, ""en"", ""fr"")"),"IMPERCEPTIBLE")</f>
        <v>IMPERCEPTIBLE</v>
      </c>
      <c r="C5283" s="1" t="s">
        <v>196</v>
      </c>
      <c r="FH5283" s="1" t="s">
        <v>160</v>
      </c>
      <c r="FI5283" s="1" t="s">
        <v>161</v>
      </c>
      <c r="GD5283" s="1" t="s">
        <v>202</v>
      </c>
    </row>
    <row r="5284" spans="1:187" ht="11.25" customHeight="1">
      <c r="A5284" s="1" t="s">
        <v>7495</v>
      </c>
      <c r="B5284" s="1" t="str">
        <f ca="1">IFERROR(__xludf.DUMMYFUNCTION("GOOGLETRANSLATE(A5284, ""en"", ""fr"")"),"IMPARFAIT")</f>
        <v>IMPARFAIT</v>
      </c>
      <c r="C5284" s="1" t="s">
        <v>192</v>
      </c>
      <c r="E5284" s="1" t="s">
        <v>16613</v>
      </c>
      <c r="V5284" s="1" t="s">
        <v>18</v>
      </c>
      <c r="BT5284" s="1" t="s">
        <v>68</v>
      </c>
      <c r="DR5284" s="1" t="s">
        <v>118</v>
      </c>
      <c r="GD5284" s="1" t="s">
        <v>202</v>
      </c>
      <c r="GE5284" s="1" t="s">
        <v>190</v>
      </c>
    </row>
    <row r="5285" spans="1:187" ht="11.25" customHeight="1">
      <c r="A5285" s="1" t="s">
        <v>7496</v>
      </c>
      <c r="B5285" s="1" t="str">
        <f ca="1">IFERROR(__xludf.DUMMYFUNCTION("GOOGLETRANSLATE(A5285, ""en"", ""fr"")"),"IMPÉRIAL")</f>
        <v>IMPÉRIAL</v>
      </c>
      <c r="C5285" s="1" t="s">
        <v>185</v>
      </c>
      <c r="J5285" s="1" t="s">
        <v>6</v>
      </c>
      <c r="AG5285" s="1" t="s">
        <v>29</v>
      </c>
      <c r="AH5285" s="1" t="s">
        <v>30</v>
      </c>
      <c r="AV5285" s="1" t="s">
        <v>44</v>
      </c>
      <c r="AX5285" s="1" t="s">
        <v>46</v>
      </c>
      <c r="EB5285" s="1" t="s">
        <v>128</v>
      </c>
      <c r="ED5285" s="1" t="s">
        <v>130</v>
      </c>
      <c r="GD5285" s="1" t="s">
        <v>202</v>
      </c>
      <c r="GE5285" s="1" t="s">
        <v>190</v>
      </c>
    </row>
    <row r="5286" spans="1:187" ht="11.25" customHeight="1">
      <c r="A5286" s="1" t="s">
        <v>7497</v>
      </c>
      <c r="B5286" s="1" t="str">
        <f ca="1">IFERROR(__xludf.DUMMYFUNCTION("GOOGLETRANSLATE(A5286, ""en"", ""fr"")"),"IMPÉRIALISME")</f>
        <v>IMPÉRIALISME</v>
      </c>
      <c r="C5286" s="1" t="s">
        <v>196</v>
      </c>
      <c r="EA5286" s="1" t="s">
        <v>127</v>
      </c>
      <c r="ED5286" s="1" t="s">
        <v>130</v>
      </c>
      <c r="GD5286" s="1" t="s">
        <v>193</v>
      </c>
    </row>
    <row r="5287" spans="1:187" ht="11.25" customHeight="1">
      <c r="A5287" s="1" t="s">
        <v>7498</v>
      </c>
      <c r="B5287" s="1" t="str">
        <f ca="1">IFERROR(__xludf.DUMMYFUNCTION("GOOGLETRANSLATE(A5287, ""en"", ""fr"")"),"IMPÉRIALISTE")</f>
        <v>IMPÉRIALISTE</v>
      </c>
      <c r="C5287" s="1" t="s">
        <v>185</v>
      </c>
      <c r="J5287" s="1" t="s">
        <v>6</v>
      </c>
      <c r="Z5287" s="1" t="s">
        <v>22</v>
      </c>
      <c r="AG5287" s="1" t="s">
        <v>29</v>
      </c>
      <c r="DZ5287" s="1" t="s">
        <v>126</v>
      </c>
      <c r="EA5287" s="1" t="s">
        <v>127</v>
      </c>
      <c r="ED5287" s="1" t="s">
        <v>130</v>
      </c>
      <c r="GD5287" s="1" t="s">
        <v>202</v>
      </c>
      <c r="GE5287" s="1" t="s">
        <v>190</v>
      </c>
    </row>
    <row r="5288" spans="1:187" ht="11.25" customHeight="1">
      <c r="A5288" s="1" t="s">
        <v>7499</v>
      </c>
      <c r="B5288" s="1" t="str">
        <f ca="1">IFERROR(__xludf.DUMMYFUNCTION("GOOGLETRANSLATE(A5288, ""en"", ""fr"")"),"IMPÉRISSABLE")</f>
        <v>IMPÉRISSABLE</v>
      </c>
      <c r="C5288" s="1" t="s">
        <v>196</v>
      </c>
      <c r="EZ5288" s="1" t="s">
        <v>152</v>
      </c>
      <c r="FC5288" s="1" t="s">
        <v>155</v>
      </c>
      <c r="GD5288" s="1" t="s">
        <v>202</v>
      </c>
    </row>
    <row r="5289" spans="1:187" ht="11.25" customHeight="1">
      <c r="A5289" s="1" t="s">
        <v>7500</v>
      </c>
      <c r="B5289" s="1" t="str">
        <f ca="1">IFERROR(__xludf.DUMMYFUNCTION("GOOGLETRANSLATE(A5289, ""en"", ""fr"")"),"IMPERSONNEL")</f>
        <v>IMPERSONNEL</v>
      </c>
      <c r="C5289" s="1" t="s">
        <v>185</v>
      </c>
      <c r="E5289" s="1" t="s">
        <v>16613</v>
      </c>
      <c r="H5289" s="1" t="s">
        <v>4</v>
      </c>
      <c r="V5289" s="1" t="s">
        <v>18</v>
      </c>
      <c r="EP5289" s="1" t="s">
        <v>142</v>
      </c>
      <c r="ES5289" s="1" t="s">
        <v>145</v>
      </c>
      <c r="GD5289" s="1" t="s">
        <v>202</v>
      </c>
      <c r="GE5289" s="1" t="s">
        <v>190</v>
      </c>
    </row>
    <row r="5290" spans="1:187" ht="11.25" customHeight="1">
      <c r="A5290" s="1" t="s">
        <v>7501</v>
      </c>
      <c r="B5290" s="1" t="str">
        <f ca="1">IFERROR(__xludf.DUMMYFUNCTION("GOOGLETRANSLATE(A5290, ""en"", ""fr"")"),"IMPERMÉABLE")</f>
        <v>IMPERMÉABLE</v>
      </c>
      <c r="C5290" s="1" t="s">
        <v>192</v>
      </c>
      <c r="D5290" s="1" t="s">
        <v>16612</v>
      </c>
      <c r="J5290" s="1" t="s">
        <v>6</v>
      </c>
      <c r="CR5290" s="1" t="s">
        <v>92</v>
      </c>
      <c r="DR5290" s="1" t="s">
        <v>118</v>
      </c>
      <c r="GD5290" s="1" t="s">
        <v>202</v>
      </c>
      <c r="GE5290" s="1" t="s">
        <v>190</v>
      </c>
    </row>
    <row r="5291" spans="1:187" ht="11.25" customHeight="1">
      <c r="A5291" s="1" t="s">
        <v>7502</v>
      </c>
      <c r="B5291" s="1" t="str">
        <f ca="1">IFERROR(__xludf.DUMMYFUNCTION("GOOGLETRANSLATE(A5291, ""en"", ""fr"")"),"IMPÉTUEUX")</f>
        <v>IMPÉTUEUX</v>
      </c>
      <c r="C5291" s="1" t="s">
        <v>192</v>
      </c>
      <c r="E5291" s="1" t="s">
        <v>16613</v>
      </c>
      <c r="V5291" s="1" t="s">
        <v>18</v>
      </c>
      <c r="BW5291" s="1" t="s">
        <v>71</v>
      </c>
      <c r="CG5291" s="1" t="s">
        <v>81</v>
      </c>
      <c r="DR5291" s="1" t="s">
        <v>118</v>
      </c>
      <c r="GD5291" s="1" t="s">
        <v>202</v>
      </c>
      <c r="GE5291" s="1" t="s">
        <v>190</v>
      </c>
    </row>
    <row r="5292" spans="1:187" ht="11.25" customHeight="1">
      <c r="A5292" s="1" t="s">
        <v>7503</v>
      </c>
      <c r="B5292" s="1" t="str">
        <f ca="1">IFERROR(__xludf.DUMMYFUNCTION("GOOGLETRANSLATE(A5292, ""en"", ""fr"")"),"ÉLAN")</f>
        <v>ÉLAN</v>
      </c>
      <c r="C5292" s="1" t="s">
        <v>192</v>
      </c>
      <c r="D5292" s="1" t="s">
        <v>16612</v>
      </c>
      <c r="J5292" s="1" t="s">
        <v>6</v>
      </c>
      <c r="CI5292" s="1" t="s">
        <v>83</v>
      </c>
      <c r="GD5292" s="1" t="s">
        <v>193</v>
      </c>
      <c r="GE5292" s="1" t="s">
        <v>190</v>
      </c>
    </row>
    <row r="5293" spans="1:187" ht="11.25" customHeight="1">
      <c r="A5293" s="1" t="s">
        <v>7504</v>
      </c>
      <c r="B5293" s="1" t="str">
        <f ca="1">IFERROR(__xludf.DUMMYFUNCTION("GOOGLETRANSLATE(A5293, ""en"", ""fr"")"),"Invalidité")</f>
        <v>Invalidité</v>
      </c>
      <c r="C5293" s="1" t="s">
        <v>185</v>
      </c>
      <c r="CI5293" s="1" t="s">
        <v>83</v>
      </c>
      <c r="DL5293" s="1" t="s">
        <v>112</v>
      </c>
      <c r="GD5293" s="1" t="s">
        <v>193</v>
      </c>
      <c r="GE5293" s="1" t="s">
        <v>190</v>
      </c>
    </row>
    <row r="5294" spans="1:187" ht="11.25" customHeight="1">
      <c r="A5294" s="1" t="s">
        <v>7505</v>
      </c>
      <c r="B5294" s="1" t="str">
        <f ca="1">IFERROR(__xludf.DUMMYFUNCTION("GOOGLETRANSLATE(A5294, ""en"", ""fr"")"),"PEU PLAUSIBLE")</f>
        <v>PEU PLAUSIBLE</v>
      </c>
      <c r="C5294" s="1" t="s">
        <v>185</v>
      </c>
      <c r="CI5294" s="1" t="s">
        <v>83</v>
      </c>
      <c r="DL5294" s="1" t="s">
        <v>112</v>
      </c>
      <c r="GD5294" s="1" t="s">
        <v>202</v>
      </c>
      <c r="GE5294" s="1" t="s">
        <v>190</v>
      </c>
    </row>
    <row r="5295" spans="1:187" ht="11.25" customHeight="1">
      <c r="A5295" s="1" t="s">
        <v>7506</v>
      </c>
      <c r="B5295" s="1" t="str">
        <f ca="1">IFERROR(__xludf.DUMMYFUNCTION("GOOGLETRANSLATE(A5295, ""en"", ""fr"")"),"METTRE EN ŒUVRE")</f>
        <v>METTRE EN ŒUVRE</v>
      </c>
      <c r="C5295" s="1" t="s">
        <v>185</v>
      </c>
      <c r="J5295" s="1" t="s">
        <v>6</v>
      </c>
      <c r="N5295" s="1" t="s">
        <v>10</v>
      </c>
      <c r="BS5295" s="1" t="s">
        <v>67</v>
      </c>
      <c r="DN5295" s="1" t="s">
        <v>114</v>
      </c>
      <c r="FR5295" s="1" t="s">
        <v>170</v>
      </c>
      <c r="GD5295" s="1" t="s">
        <v>189</v>
      </c>
      <c r="GE5295" s="1" t="s">
        <v>190</v>
      </c>
    </row>
    <row r="5296" spans="1:187" ht="11.25" customHeight="1">
      <c r="A5296" s="1" t="s">
        <v>7507</v>
      </c>
      <c r="B5296" s="1" t="str">
        <f ca="1">IFERROR(__xludf.DUMMYFUNCTION("GOOGLETRANSLATE(A5296, ""en"", ""fr"")"),"MISE EN ŒUVRE")</f>
        <v>MISE EN ŒUVRE</v>
      </c>
      <c r="C5296" s="1" t="s">
        <v>185</v>
      </c>
      <c r="J5296" s="1" t="s">
        <v>6</v>
      </c>
      <c r="K5296" s="1" t="s">
        <v>7</v>
      </c>
      <c r="N5296" s="1" t="s">
        <v>10</v>
      </c>
      <c r="BQ5296" s="1" t="s">
        <v>65</v>
      </c>
      <c r="FR5296" s="1" t="s">
        <v>170</v>
      </c>
      <c r="GD5296" s="1" t="s">
        <v>193</v>
      </c>
      <c r="GE5296" s="1" t="s">
        <v>190</v>
      </c>
    </row>
    <row r="5297" spans="1:187" ht="11.25" customHeight="1">
      <c r="A5297" s="1" t="s">
        <v>7508</v>
      </c>
      <c r="B5297" s="1" t="str">
        <f ca="1">IFERROR(__xludf.DUMMYFUNCTION("GOOGLETRANSLATE(A5297, ""en"", ""fr"")"),"IMPLIQUER")</f>
        <v>IMPLIQUER</v>
      </c>
      <c r="C5297" s="1" t="s">
        <v>185</v>
      </c>
      <c r="E5297" s="1" t="s">
        <v>16613</v>
      </c>
      <c r="I5297" s="1" t="s">
        <v>5</v>
      </c>
      <c r="N5297" s="1" t="s">
        <v>10</v>
      </c>
      <c r="BK5297" s="1" t="s">
        <v>59</v>
      </c>
      <c r="CI5297" s="1" t="s">
        <v>83</v>
      </c>
      <c r="DN5297" s="1" t="s">
        <v>114</v>
      </c>
      <c r="EH5297" s="1" t="s">
        <v>134</v>
      </c>
      <c r="EJ5297" s="1" t="s">
        <v>136</v>
      </c>
      <c r="GD5297" s="1" t="s">
        <v>670</v>
      </c>
      <c r="GE5297" s="1" t="s">
        <v>190</v>
      </c>
    </row>
    <row r="5298" spans="1:187" ht="11.25" customHeight="1">
      <c r="A5298" s="1" t="s">
        <v>7509</v>
      </c>
      <c r="B5298" s="1" t="str">
        <f ca="1">IFERROR(__xludf.DUMMYFUNCTION("GOOGLETRANSLATE(A5298, ""en"", ""fr"")"),"IMPLICATION")</f>
        <v>IMPLICATION</v>
      </c>
      <c r="C5298" s="1" t="s">
        <v>185</v>
      </c>
      <c r="CH5298" s="1" t="s">
        <v>82</v>
      </c>
      <c r="FR5298" s="1" t="s">
        <v>170</v>
      </c>
      <c r="GD5298" s="1" t="s">
        <v>193</v>
      </c>
      <c r="GE5298" s="1" t="s">
        <v>190</v>
      </c>
    </row>
    <row r="5299" spans="1:187" ht="11.25" customHeight="1">
      <c r="A5299" s="1" t="s">
        <v>7510</v>
      </c>
      <c r="B5299" s="1" t="str">
        <f ca="1">IFERROR(__xludf.DUMMYFUNCTION("GOOGLETRANSLATE(A5299, ""en"", ""fr"")"),"IMPLORER")</f>
        <v>IMPLORER</v>
      </c>
      <c r="C5299" s="1" t="s">
        <v>192</v>
      </c>
      <c r="E5299" s="1" t="s">
        <v>16613</v>
      </c>
      <c r="L5299" s="1" t="s">
        <v>8</v>
      </c>
      <c r="M5299" s="1" t="s">
        <v>9</v>
      </c>
      <c r="N5299" s="1" t="s">
        <v>10</v>
      </c>
      <c r="BN5299" s="1" t="s">
        <v>62</v>
      </c>
      <c r="DN5299" s="1" t="s">
        <v>114</v>
      </c>
      <c r="GD5299" s="1" t="s">
        <v>189</v>
      </c>
      <c r="GE5299" s="1" t="s">
        <v>190</v>
      </c>
    </row>
    <row r="5300" spans="1:187" ht="11.25" customHeight="1">
      <c r="A5300" s="1" t="s">
        <v>7511</v>
      </c>
      <c r="B5300" s="1" t="str">
        <f ca="1">IFERROR(__xludf.DUMMYFUNCTION("GOOGLETRANSLATE(A5300, ""en"", ""fr"")"),"IMPLIQUER")</f>
        <v>IMPLIQUER</v>
      </c>
      <c r="C5300" s="1" t="s">
        <v>185</v>
      </c>
      <c r="O5300" s="1" t="s">
        <v>11</v>
      </c>
      <c r="BK5300" s="1" t="s">
        <v>59</v>
      </c>
      <c r="DN5300" s="1" t="s">
        <v>114</v>
      </c>
      <c r="GD5300" s="1" t="s">
        <v>189</v>
      </c>
      <c r="GE5300" s="1" t="s">
        <v>190</v>
      </c>
    </row>
    <row r="5301" spans="1:187" ht="11.25" customHeight="1">
      <c r="A5301" s="1" t="s">
        <v>7512</v>
      </c>
      <c r="B5301" s="1" t="str">
        <f ca="1">IFERROR(__xludf.DUMMYFUNCTION("GOOGLETRANSLATE(A5301, ""en"", ""fr"")"),"IMPORTER")</f>
        <v>IMPORTER</v>
      </c>
      <c r="C5301" s="1" t="s">
        <v>185</v>
      </c>
      <c r="N5301" s="1" t="s">
        <v>10</v>
      </c>
      <c r="AA5301" s="1" t="s">
        <v>23</v>
      </c>
      <c r="AB5301" s="1" t="s">
        <v>24</v>
      </c>
      <c r="DN5301" s="1" t="s">
        <v>114</v>
      </c>
      <c r="EU5301" s="1" t="s">
        <v>147</v>
      </c>
      <c r="EW5301" s="1" t="s">
        <v>149</v>
      </c>
      <c r="GD5301" s="1" t="s">
        <v>189</v>
      </c>
      <c r="GE5301" s="1" t="s">
        <v>190</v>
      </c>
    </row>
    <row r="5302" spans="1:187" ht="11.25" customHeight="1">
      <c r="A5302" s="1" t="s">
        <v>7513</v>
      </c>
      <c r="B5302" s="1" t="str">
        <f ca="1">IFERROR(__xludf.DUMMYFUNCTION("GOOGLETRANSLATE(A5302, ""en"", ""fr"")"),"IMPORTANCE")</f>
        <v>IMPORTANCE</v>
      </c>
      <c r="C5302" s="1" t="s">
        <v>185</v>
      </c>
      <c r="D5302" s="1" t="s">
        <v>16612</v>
      </c>
      <c r="F5302" s="1" t="s">
        <v>2</v>
      </c>
      <c r="W5302" s="1" t="s">
        <v>19</v>
      </c>
      <c r="CH5302" s="1" t="s">
        <v>82</v>
      </c>
      <c r="FR5302" s="1" t="s">
        <v>170</v>
      </c>
      <c r="GD5302" s="1" t="s">
        <v>193</v>
      </c>
      <c r="GE5302" s="1" t="s">
        <v>7514</v>
      </c>
    </row>
    <row r="5303" spans="1:187" ht="11.25" customHeight="1">
      <c r="A5303" s="1" t="s">
        <v>7515</v>
      </c>
      <c r="B5303" s="1" t="str">
        <f ca="1">IFERROR(__xludf.DUMMYFUNCTION("GOOGLETRANSLATE(A5303, ""en"", ""fr"")"),"IMPORTANT")</f>
        <v>IMPORTANT</v>
      </c>
      <c r="C5303" s="1" t="s">
        <v>185</v>
      </c>
      <c r="D5303" s="1" t="s">
        <v>16612</v>
      </c>
      <c r="F5303" s="1" t="s">
        <v>2</v>
      </c>
      <c r="U5303" s="1" t="s">
        <v>17</v>
      </c>
      <c r="W5303" s="1" t="s">
        <v>19</v>
      </c>
      <c r="CN5303" s="1" t="s">
        <v>88</v>
      </c>
      <c r="FR5303" s="1" t="s">
        <v>170</v>
      </c>
      <c r="GD5303" s="1" t="s">
        <v>202</v>
      </c>
      <c r="GE5303" s="1" t="s">
        <v>7516</v>
      </c>
    </row>
    <row r="5304" spans="1:187" ht="11.25" customHeight="1">
      <c r="A5304" s="1" t="s">
        <v>7517</v>
      </c>
      <c r="B5304" s="1" t="str">
        <f ca="1">IFERROR(__xludf.DUMMYFUNCTION("GOOGLETRANSLATE(A5304, ""en"", ""fr"")"),"IMPOSER")</f>
        <v>IMPOSER</v>
      </c>
      <c r="C5304" s="1" t="s">
        <v>185</v>
      </c>
      <c r="E5304" s="1" t="s">
        <v>16613</v>
      </c>
      <c r="H5304" s="1" t="s">
        <v>4</v>
      </c>
      <c r="J5304" s="1" t="s">
        <v>6</v>
      </c>
      <c r="K5304" s="1" t="s">
        <v>7</v>
      </c>
      <c r="N5304" s="1" t="s">
        <v>10</v>
      </c>
      <c r="AN5304" s="1" t="s">
        <v>36</v>
      </c>
      <c r="DN5304" s="1" t="s">
        <v>114</v>
      </c>
      <c r="EC5304" s="1" t="s">
        <v>129</v>
      </c>
      <c r="ED5304" s="1" t="s">
        <v>130</v>
      </c>
      <c r="GD5304" s="1" t="s">
        <v>189</v>
      </c>
      <c r="GE5304" s="1" t="s">
        <v>190</v>
      </c>
    </row>
    <row r="5305" spans="1:187" ht="11.25" customHeight="1">
      <c r="A5305" s="1" t="s">
        <v>7518</v>
      </c>
      <c r="B5305" s="1" t="str">
        <f ca="1">IFERROR(__xludf.DUMMYFUNCTION("GOOGLETRANSLATE(A5305, ""en"", ""fr"")"),"IMPOSITION")</f>
        <v>IMPOSITION</v>
      </c>
      <c r="C5305" s="1" t="s">
        <v>196</v>
      </c>
      <c r="EC5305" s="1" t="s">
        <v>129</v>
      </c>
      <c r="ED5305" s="1" t="s">
        <v>130</v>
      </c>
      <c r="GD5305" s="1" t="s">
        <v>193</v>
      </c>
    </row>
    <row r="5306" spans="1:187" ht="11.25" customHeight="1">
      <c r="A5306" s="1" t="s">
        <v>7519</v>
      </c>
      <c r="B5306" s="1" t="str">
        <f ca="1">IFERROR(__xludf.DUMMYFUNCTION("GOOGLETRANSLATE(A5306, ""en"", ""fr"")"),"IMPOSSIBILITÉ")</f>
        <v>IMPOSSIBILITÉ</v>
      </c>
      <c r="C5306" s="1" t="s">
        <v>185</v>
      </c>
      <c r="X5306" s="1" t="s">
        <v>20</v>
      </c>
      <c r="CI5306" s="1" t="s">
        <v>83</v>
      </c>
      <c r="DL5306" s="1" t="s">
        <v>112</v>
      </c>
      <c r="FR5306" s="1" t="s">
        <v>170</v>
      </c>
      <c r="GD5306" s="1" t="s">
        <v>193</v>
      </c>
      <c r="GE5306" s="1" t="s">
        <v>190</v>
      </c>
    </row>
    <row r="5307" spans="1:187" ht="11.25" customHeight="1">
      <c r="A5307" s="1" t="s">
        <v>7520</v>
      </c>
      <c r="B5307" s="1" t="str">
        <f ca="1">IFERROR(__xludf.DUMMYFUNCTION("GOOGLETRANSLATE(A5307, ""en"", ""fr"")"),"Impossible # 1")</f>
        <v>Impossible # 1</v>
      </c>
      <c r="C5307" s="1" t="s">
        <v>185</v>
      </c>
      <c r="X5307" s="1" t="s">
        <v>20</v>
      </c>
      <c r="CI5307" s="1" t="s">
        <v>83</v>
      </c>
      <c r="DL5307" s="1" t="s">
        <v>112</v>
      </c>
      <c r="FL5307" s="1" t="s">
        <v>164</v>
      </c>
      <c r="FM5307" s="1" t="s">
        <v>418</v>
      </c>
      <c r="GD5307" s="1" t="s">
        <v>421</v>
      </c>
      <c r="GE5307" s="1" t="s">
        <v>7521</v>
      </c>
    </row>
    <row r="5308" spans="1:187" ht="11.25" customHeight="1">
      <c r="A5308" s="1" t="s">
        <v>7522</v>
      </c>
      <c r="B5308" s="1" t="str">
        <f ca="1">IFERROR(__xludf.DUMMYFUNCTION("GOOGLETRANSLATE(A5308, ""en"", ""fr"")"),"Impossible # 2")</f>
        <v>Impossible # 2</v>
      </c>
      <c r="C5308" s="1" t="s">
        <v>185</v>
      </c>
      <c r="M5308" s="1" t="s">
        <v>9</v>
      </c>
      <c r="CI5308" s="1" t="s">
        <v>83</v>
      </c>
      <c r="DL5308" s="1" t="s">
        <v>112</v>
      </c>
      <c r="FR5308" s="1" t="s">
        <v>170</v>
      </c>
      <c r="GD5308" s="1" t="s">
        <v>193</v>
      </c>
      <c r="GE5308" s="1" t="s">
        <v>7523</v>
      </c>
    </row>
    <row r="5309" spans="1:187" ht="11.25" customHeight="1">
      <c r="A5309" s="1" t="s">
        <v>7524</v>
      </c>
      <c r="B5309" s="1" t="str">
        <f ca="1">IFERROR(__xludf.DUMMYFUNCTION("GOOGLETRANSLATE(A5309, ""en"", ""fr"")"),"IMPOSTEUR")</f>
        <v>IMPOSTEUR</v>
      </c>
      <c r="C5309" s="1" t="s">
        <v>196</v>
      </c>
      <c r="EE5309" s="1" t="s">
        <v>131</v>
      </c>
      <c r="EJ5309" s="1" t="s">
        <v>136</v>
      </c>
      <c r="GD5309" s="1" t="s">
        <v>448</v>
      </c>
    </row>
    <row r="5310" spans="1:187" ht="11.25" customHeight="1">
      <c r="A5310" s="1" t="s">
        <v>7525</v>
      </c>
      <c r="B5310" s="1" t="str">
        <f ca="1">IFERROR(__xludf.DUMMYFUNCTION("GOOGLETRANSLATE(A5310, ""en"", ""fr"")"),"IMPOSTURE")</f>
        <v>IMPOSTURE</v>
      </c>
      <c r="C5310" s="1" t="s">
        <v>196</v>
      </c>
      <c r="EH5310" s="1" t="s">
        <v>134</v>
      </c>
      <c r="EJ5310" s="1" t="s">
        <v>136</v>
      </c>
      <c r="GD5310" s="1" t="s">
        <v>193</v>
      </c>
    </row>
    <row r="5311" spans="1:187" ht="11.25" customHeight="1">
      <c r="A5311" s="1" t="s">
        <v>7526</v>
      </c>
      <c r="B5311" s="1" t="str">
        <f ca="1">IFERROR(__xludf.DUMMYFUNCTION("GOOGLETRANSLATE(A5311, ""en"", ""fr"")"),"IMPUISSANCE")</f>
        <v>IMPUISSANCE</v>
      </c>
      <c r="C5311" s="1" t="s">
        <v>196</v>
      </c>
      <c r="FQ5311" s="1" t="s">
        <v>169</v>
      </c>
      <c r="GD5311" s="1" t="s">
        <v>193</v>
      </c>
    </row>
    <row r="5312" spans="1:187" ht="11.25" customHeight="1">
      <c r="A5312" s="1" t="s">
        <v>7527</v>
      </c>
      <c r="B5312" s="1" t="str">
        <f ca="1">IFERROR(__xludf.DUMMYFUNCTION("GOOGLETRANSLATE(A5312, ""en"", ""fr"")"),"IMPUISSANT")</f>
        <v>IMPUISSANT</v>
      </c>
      <c r="C5312" s="1" t="s">
        <v>196</v>
      </c>
      <c r="FQ5312" s="1" t="s">
        <v>169</v>
      </c>
      <c r="GD5312" s="1" t="s">
        <v>202</v>
      </c>
    </row>
    <row r="5313" spans="1:187" ht="11.25" customHeight="1">
      <c r="A5313" s="1" t="s">
        <v>7528</v>
      </c>
      <c r="B5313" s="1" t="str">
        <f ca="1">IFERROR(__xludf.DUMMYFUNCTION("GOOGLETRANSLATE(A5313, ""en"", ""fr"")"),"APPAUVRIR")</f>
        <v>APPAUVRIR</v>
      </c>
      <c r="C5313" s="1" t="s">
        <v>196</v>
      </c>
      <c r="EU5313" s="1" t="s">
        <v>147</v>
      </c>
      <c r="EW5313" s="1" t="s">
        <v>149</v>
      </c>
      <c r="GD5313" s="1" t="s">
        <v>202</v>
      </c>
    </row>
    <row r="5314" spans="1:187" ht="11.25" customHeight="1">
      <c r="A5314" s="1" t="s">
        <v>7529</v>
      </c>
      <c r="B5314" s="1" t="str">
        <f ca="1">IFERROR(__xludf.DUMMYFUNCTION("GOOGLETRANSLATE(A5314, ""en"", ""fr"")"),"PAS PRATIQUE")</f>
        <v>PAS PRATIQUE</v>
      </c>
      <c r="C5314" s="1" t="s">
        <v>196</v>
      </c>
      <c r="FL5314" s="1" t="s">
        <v>164</v>
      </c>
      <c r="FM5314" s="1" t="s">
        <v>418</v>
      </c>
      <c r="GD5314" s="1" t="s">
        <v>202</v>
      </c>
    </row>
    <row r="5315" spans="1:187" ht="11.25" customHeight="1">
      <c r="A5315" s="1" t="s">
        <v>7530</v>
      </c>
      <c r="B5315" s="1" t="str">
        <f ca="1">IFERROR(__xludf.DUMMYFUNCTION("GOOGLETRANSLATE(A5315, ""en"", ""fr"")"),"IMPRÉCISION")</f>
        <v>IMPRÉCISION</v>
      </c>
      <c r="C5315" s="1" t="s">
        <v>192</v>
      </c>
      <c r="E5315" s="1" t="s">
        <v>16613</v>
      </c>
      <c r="W5315" s="1" t="s">
        <v>19</v>
      </c>
      <c r="DR5315" s="1" t="s">
        <v>118</v>
      </c>
      <c r="GD5315" s="1" t="s">
        <v>202</v>
      </c>
      <c r="GE5315" s="1" t="s">
        <v>190</v>
      </c>
    </row>
    <row r="5316" spans="1:187" ht="11.25" customHeight="1">
      <c r="A5316" s="1" t="s">
        <v>7531</v>
      </c>
      <c r="B5316" s="1" t="str">
        <f ca="1">IFERROR(__xludf.DUMMYFUNCTION("GOOGLETRANSLATE(A5316, ""en"", ""fr"")"),"Impressionnez # 1")</f>
        <v>Impressionnez # 1</v>
      </c>
      <c r="C5316" s="1" t="s">
        <v>185</v>
      </c>
      <c r="D5316" s="1" t="s">
        <v>16612</v>
      </c>
      <c r="F5316" s="1" t="s">
        <v>2</v>
      </c>
      <c r="J5316" s="1" t="s">
        <v>6</v>
      </c>
      <c r="N5316" s="1" t="s">
        <v>10</v>
      </c>
      <c r="CK5316" s="1" t="s">
        <v>85</v>
      </c>
      <c r="DN5316" s="1" t="s">
        <v>114</v>
      </c>
      <c r="EM5316" s="1" t="s">
        <v>139</v>
      </c>
      <c r="EN5316" s="1" t="s">
        <v>140</v>
      </c>
      <c r="GD5316" s="1" t="s">
        <v>400</v>
      </c>
      <c r="GE5316" s="1" t="s">
        <v>7532</v>
      </c>
    </row>
    <row r="5317" spans="1:187" ht="11.25" customHeight="1">
      <c r="A5317" s="1" t="s">
        <v>7533</v>
      </c>
      <c r="B5317" s="1" t="str">
        <f ca="1">IFERROR(__xludf.DUMMYFUNCTION("GOOGLETRANSLATE(A5317, ""en"", ""fr"")"),"Impressionnez # 2")</f>
        <v>Impressionnez # 2</v>
      </c>
      <c r="C5317" s="1" t="s">
        <v>185</v>
      </c>
      <c r="O5317" s="1" t="s">
        <v>11</v>
      </c>
      <c r="CK5317" s="1" t="s">
        <v>85</v>
      </c>
      <c r="FR5317" s="1" t="s">
        <v>170</v>
      </c>
      <c r="GD5317" s="1" t="s">
        <v>193</v>
      </c>
      <c r="GE5317" s="1" t="s">
        <v>7534</v>
      </c>
    </row>
    <row r="5318" spans="1:187" ht="11.25" customHeight="1">
      <c r="A5318" s="1" t="s">
        <v>7535</v>
      </c>
      <c r="B5318" s="1" t="str">
        <f ca="1">IFERROR(__xludf.DUMMYFUNCTION("GOOGLETRANSLATE(A5318, ""en"", ""fr"")"),"IMPRESSION")</f>
        <v>IMPRESSION</v>
      </c>
      <c r="C5318" s="1" t="s">
        <v>185</v>
      </c>
      <c r="CK5318" s="1" t="s">
        <v>85</v>
      </c>
      <c r="GD5318" s="1" t="s">
        <v>193</v>
      </c>
      <c r="GE5318" s="1" t="s">
        <v>7536</v>
      </c>
    </row>
    <row r="5319" spans="1:187" ht="11.25" customHeight="1">
      <c r="A5319" s="1" t="s">
        <v>7537</v>
      </c>
      <c r="B5319" s="1" t="str">
        <f ca="1">IFERROR(__xludf.DUMMYFUNCTION("GOOGLETRANSLATE(A5319, ""en"", ""fr"")"),"IMPRESSIONNANT")</f>
        <v>IMPRESSIONNANT</v>
      </c>
      <c r="C5319" s="1" t="s">
        <v>185</v>
      </c>
      <c r="D5319" s="1" t="s">
        <v>16612</v>
      </c>
      <c r="F5319" s="1" t="s">
        <v>2</v>
      </c>
      <c r="J5319" s="1" t="s">
        <v>6</v>
      </c>
      <c r="U5319" s="1" t="s">
        <v>17</v>
      </c>
      <c r="W5319" s="1" t="s">
        <v>19</v>
      </c>
      <c r="CN5319" s="1" t="s">
        <v>88</v>
      </c>
      <c r="EM5319" s="1" t="s">
        <v>139</v>
      </c>
      <c r="EN5319" s="1" t="s">
        <v>140</v>
      </c>
      <c r="GD5319" s="1" t="s">
        <v>202</v>
      </c>
      <c r="GE5319" s="1" t="s">
        <v>190</v>
      </c>
    </row>
    <row r="5320" spans="1:187" ht="11.25" customHeight="1">
      <c r="A5320" s="1" t="s">
        <v>7538</v>
      </c>
      <c r="B5320" s="1" t="str">
        <f ca="1">IFERROR(__xludf.DUMMYFUNCTION("GOOGLETRANSLATE(A5320, ""en"", ""fr"")"),"EMPRISONNER")</f>
        <v>EMPRISONNER</v>
      </c>
      <c r="C5320" s="1" t="s">
        <v>192</v>
      </c>
      <c r="E5320" s="1" t="s">
        <v>16613</v>
      </c>
      <c r="K5320" s="1" t="s">
        <v>7</v>
      </c>
      <c r="N5320" s="1" t="s">
        <v>10</v>
      </c>
      <c r="AE5320" s="1" t="s">
        <v>27</v>
      </c>
      <c r="DN5320" s="1" t="s">
        <v>114</v>
      </c>
      <c r="GD5320" s="1" t="s">
        <v>670</v>
      </c>
      <c r="GE5320" s="1" t="s">
        <v>190</v>
      </c>
    </row>
    <row r="5321" spans="1:187" ht="11.25" customHeight="1">
      <c r="A5321" s="1" t="s">
        <v>7539</v>
      </c>
      <c r="B5321" s="1" t="str">
        <f ca="1">IFERROR(__xludf.DUMMYFUNCTION("GOOGLETRANSLATE(A5321, ""en"", ""fr"")"),"EMPRISONNEMENT")</f>
        <v>EMPRISONNEMENT</v>
      </c>
      <c r="C5321" s="1" t="s">
        <v>192</v>
      </c>
      <c r="E5321" s="1" t="s">
        <v>16613</v>
      </c>
      <c r="L5321" s="1" t="s">
        <v>8</v>
      </c>
      <c r="M5321" s="1" t="s">
        <v>9</v>
      </c>
      <c r="AE5321" s="1" t="s">
        <v>27</v>
      </c>
      <c r="GD5321" s="1" t="s">
        <v>193</v>
      </c>
      <c r="GE5321" s="1" t="s">
        <v>190</v>
      </c>
    </row>
    <row r="5322" spans="1:187" ht="11.25" customHeight="1">
      <c r="A5322" s="1" t="s">
        <v>7540</v>
      </c>
      <c r="B5322" s="1" t="str">
        <f ca="1">IFERROR(__xludf.DUMMYFUNCTION("GOOGLETRANSLATE(A5322, ""en"", ""fr"")"),"IMPROBABILITÉ")</f>
        <v>IMPROBABILITÉ</v>
      </c>
      <c r="C5322" s="1" t="s">
        <v>185</v>
      </c>
      <c r="X5322" s="1" t="s">
        <v>20</v>
      </c>
      <c r="CI5322" s="1" t="s">
        <v>83</v>
      </c>
      <c r="DL5322" s="1" t="s">
        <v>112</v>
      </c>
      <c r="GD5322" s="1" t="s">
        <v>193</v>
      </c>
      <c r="GE5322" s="1" t="s">
        <v>190</v>
      </c>
    </row>
    <row r="5323" spans="1:187" ht="11.25" customHeight="1">
      <c r="A5323" s="1" t="s">
        <v>7541</v>
      </c>
      <c r="B5323" s="1" t="str">
        <f ca="1">IFERROR(__xludf.DUMMYFUNCTION("GOOGLETRANSLATE(A5323, ""en"", ""fr"")"),"IMPROBABLE")</f>
        <v>IMPROBABLE</v>
      </c>
      <c r="C5323" s="1" t="s">
        <v>185</v>
      </c>
      <c r="X5323" s="1" t="s">
        <v>20</v>
      </c>
      <c r="CI5323" s="1" t="s">
        <v>83</v>
      </c>
      <c r="DL5323" s="1" t="s">
        <v>112</v>
      </c>
      <c r="GD5323" s="1" t="s">
        <v>202</v>
      </c>
      <c r="GE5323" s="1" t="s">
        <v>190</v>
      </c>
    </row>
    <row r="5324" spans="1:187" ht="11.25" customHeight="1">
      <c r="A5324" s="1" t="s">
        <v>7542</v>
      </c>
      <c r="B5324" s="1" t="str">
        <f ca="1">IFERROR(__xludf.DUMMYFUNCTION("GOOGLETRANSLATE(A5324, ""en"", ""fr"")"),"NON CONFORME")</f>
        <v>NON CONFORME</v>
      </c>
      <c r="C5324" s="1" t="s">
        <v>192</v>
      </c>
      <c r="E5324" s="1" t="s">
        <v>16613</v>
      </c>
      <c r="V5324" s="1" t="s">
        <v>18</v>
      </c>
      <c r="CM5324" s="1" t="s">
        <v>87</v>
      </c>
      <c r="DR5324" s="1" t="s">
        <v>118</v>
      </c>
      <c r="GD5324" s="1" t="s">
        <v>202</v>
      </c>
      <c r="GE5324" s="1" t="s">
        <v>190</v>
      </c>
    </row>
    <row r="5325" spans="1:187" ht="11.25" customHeight="1">
      <c r="A5325" s="1" t="s">
        <v>7543</v>
      </c>
      <c r="B5325" s="1" t="str">
        <f ca="1">IFERROR(__xludf.DUMMYFUNCTION("GOOGLETRANSLATE(A5325, ""en"", ""fr"")"),"Améliorer le n ° 1")</f>
        <v>Améliorer le n ° 1</v>
      </c>
      <c r="C5325" s="1" t="s">
        <v>185</v>
      </c>
      <c r="D5325" s="1" t="s">
        <v>16612</v>
      </c>
      <c r="F5325" s="1" t="s">
        <v>2</v>
      </c>
      <c r="J5325" s="1" t="s">
        <v>6</v>
      </c>
      <c r="N5325" s="1" t="s">
        <v>10</v>
      </c>
      <c r="AL5325" s="1" t="s">
        <v>34</v>
      </c>
      <c r="DN5325" s="1" t="s">
        <v>114</v>
      </c>
      <c r="FN5325" s="1" t="s">
        <v>166</v>
      </c>
      <c r="GD5325" s="1" t="s">
        <v>189</v>
      </c>
      <c r="GE5325" s="1" t="s">
        <v>7544</v>
      </c>
    </row>
    <row r="5326" spans="1:187" ht="11.25" customHeight="1">
      <c r="A5326" s="1" t="s">
        <v>7545</v>
      </c>
      <c r="B5326" s="1" t="str">
        <f ca="1">IFERROR(__xludf.DUMMYFUNCTION("GOOGLETRANSLATE(A5326, ""en"", ""fr"")"),"Améliorer # 2")</f>
        <v>Améliorer # 2</v>
      </c>
      <c r="C5326" s="1" t="s">
        <v>185</v>
      </c>
      <c r="D5326" s="1" t="s">
        <v>16612</v>
      </c>
      <c r="F5326" s="1" t="s">
        <v>2</v>
      </c>
      <c r="J5326" s="1" t="s">
        <v>6</v>
      </c>
      <c r="N5326" s="1" t="s">
        <v>10</v>
      </c>
      <c r="BX5326" s="1" t="s">
        <v>72</v>
      </c>
      <c r="DN5326" s="1" t="s">
        <v>114</v>
      </c>
      <c r="FN5326" s="1" t="s">
        <v>166</v>
      </c>
      <c r="GD5326" s="1" t="s">
        <v>189</v>
      </c>
      <c r="GE5326" s="1" t="s">
        <v>7546</v>
      </c>
    </row>
    <row r="5327" spans="1:187" ht="11.25" customHeight="1">
      <c r="A5327" s="1" t="s">
        <v>7547</v>
      </c>
      <c r="B5327" s="1" t="str">
        <f ca="1">IFERROR(__xludf.DUMMYFUNCTION("GOOGLETRANSLATE(A5327, ""en"", ""fr"")"),"Améliorer # 3")</f>
        <v>Améliorer # 3</v>
      </c>
      <c r="C5327" s="1" t="s">
        <v>185</v>
      </c>
      <c r="D5327" s="1" t="s">
        <v>16612</v>
      </c>
      <c r="F5327" s="1" t="s">
        <v>2</v>
      </c>
      <c r="O5327" s="1" t="s">
        <v>11</v>
      </c>
      <c r="U5327" s="1" t="s">
        <v>17</v>
      </c>
      <c r="FN5327" s="1" t="s">
        <v>166</v>
      </c>
      <c r="GD5327" s="1" t="s">
        <v>202</v>
      </c>
      <c r="GE5327" s="1" t="s">
        <v>7548</v>
      </c>
    </row>
    <row r="5328" spans="1:187" ht="11.25" customHeight="1">
      <c r="A5328" s="1" t="s">
        <v>7549</v>
      </c>
      <c r="B5328" s="1" t="str">
        <f ca="1">IFERROR(__xludf.DUMMYFUNCTION("GOOGLETRANSLATE(A5328, ""en"", ""fr"")"),"AMÉLIORATION")</f>
        <v>AMÉLIORATION</v>
      </c>
      <c r="C5328" s="1" t="s">
        <v>185</v>
      </c>
      <c r="D5328" s="1" t="s">
        <v>16612</v>
      </c>
      <c r="F5328" s="1" t="s">
        <v>2</v>
      </c>
      <c r="J5328" s="1" t="s">
        <v>6</v>
      </c>
      <c r="N5328" s="1" t="s">
        <v>10</v>
      </c>
      <c r="U5328" s="1" t="s">
        <v>17</v>
      </c>
      <c r="FN5328" s="1" t="s">
        <v>166</v>
      </c>
      <c r="GD5328" s="1" t="s">
        <v>193</v>
      </c>
      <c r="GE5328" s="1" t="s">
        <v>190</v>
      </c>
    </row>
    <row r="5329" spans="1:187" ht="11.25" customHeight="1">
      <c r="A5329" s="1" t="s">
        <v>7550</v>
      </c>
      <c r="B5329" s="1" t="str">
        <f ca="1">IFERROR(__xludf.DUMMYFUNCTION("GOOGLETRANSLATE(A5329, ""en"", ""fr"")"),"IMPULSION")</f>
        <v>IMPULSION</v>
      </c>
      <c r="C5329" s="1" t="s">
        <v>185</v>
      </c>
      <c r="O5329" s="1" t="s">
        <v>11</v>
      </c>
      <c r="S5329" s="1" t="s">
        <v>15</v>
      </c>
      <c r="GD5329" s="1" t="s">
        <v>193</v>
      </c>
      <c r="GE5329" s="1" t="s">
        <v>190</v>
      </c>
    </row>
    <row r="5330" spans="1:187" ht="11.25" customHeight="1">
      <c r="A5330" s="1" t="s">
        <v>7551</v>
      </c>
      <c r="B5330" s="1" t="str">
        <f ca="1">IFERROR(__xludf.DUMMYFUNCTION("GOOGLETRANSLATE(A5330, ""en"", ""fr"")"),"IMPULSIF")</f>
        <v>IMPULSIF</v>
      </c>
      <c r="C5330" s="1" t="s">
        <v>192</v>
      </c>
      <c r="E5330" s="1" t="s">
        <v>16613</v>
      </c>
      <c r="V5330" s="1" t="s">
        <v>18</v>
      </c>
      <c r="BW5330" s="1" t="s">
        <v>71</v>
      </c>
      <c r="CG5330" s="1" t="s">
        <v>81</v>
      </c>
      <c r="CM5330" s="1" t="s">
        <v>87</v>
      </c>
      <c r="DR5330" s="1" t="s">
        <v>118</v>
      </c>
      <c r="GD5330" s="1" t="s">
        <v>202</v>
      </c>
      <c r="GE5330" s="1" t="s">
        <v>190</v>
      </c>
    </row>
    <row r="5331" spans="1:187" ht="11.25" customHeight="1">
      <c r="A5331" s="1" t="s">
        <v>7552</v>
      </c>
      <c r="B5331" s="1" t="str">
        <f ca="1">IFERROR(__xludf.DUMMYFUNCTION("GOOGLETRANSLATE(A5331, ""en"", ""fr"")"),"IMPUNITÉ")</f>
        <v>IMPUNITÉ</v>
      </c>
      <c r="C5331" s="1" t="s">
        <v>192</v>
      </c>
      <c r="D5331" s="1" t="s">
        <v>16612</v>
      </c>
      <c r="K5331" s="1" t="s">
        <v>7</v>
      </c>
      <c r="AE5331" s="1" t="s">
        <v>27</v>
      </c>
      <c r="GD5331" s="1" t="s">
        <v>193</v>
      </c>
      <c r="GE5331" s="1" t="s">
        <v>190</v>
      </c>
    </row>
    <row r="5332" spans="1:187" ht="11.25" customHeight="1">
      <c r="A5332" s="1" t="s">
        <v>7553</v>
      </c>
      <c r="B5332" s="1" t="str">
        <f ca="1">IFERROR(__xludf.DUMMYFUNCTION("GOOGLETRANSLATE(A5332, ""en"", ""fr"")"),"IMPUR")</f>
        <v>IMPUR</v>
      </c>
      <c r="C5332" s="1" t="s">
        <v>192</v>
      </c>
      <c r="E5332" s="1" t="s">
        <v>16613</v>
      </c>
      <c r="V5332" s="1" t="s">
        <v>18</v>
      </c>
      <c r="CM5332" s="1" t="s">
        <v>87</v>
      </c>
      <c r="DR5332" s="1" t="s">
        <v>118</v>
      </c>
      <c r="GD5332" s="1" t="s">
        <v>202</v>
      </c>
      <c r="GE5332" s="1" t="s">
        <v>190</v>
      </c>
    </row>
    <row r="5333" spans="1:187" ht="11.25" customHeight="1">
      <c r="A5333" s="1" t="s">
        <v>7554</v>
      </c>
      <c r="B5333" s="1" t="str">
        <f ca="1">IFERROR(__xludf.DUMMYFUNCTION("GOOGLETRANSLATE(A5333, ""en"", ""fr"")"),"IMPURETÉ")</f>
        <v>IMPURETÉ</v>
      </c>
      <c r="C5333" s="1" t="s">
        <v>192</v>
      </c>
      <c r="E5333" s="1" t="s">
        <v>16613</v>
      </c>
      <c r="V5333" s="1" t="s">
        <v>18</v>
      </c>
      <c r="BT5333" s="1" t="s">
        <v>68</v>
      </c>
      <c r="CM5333" s="1" t="s">
        <v>87</v>
      </c>
      <c r="GD5333" s="1" t="s">
        <v>193</v>
      </c>
      <c r="GE5333" s="1" t="s">
        <v>190</v>
      </c>
    </row>
    <row r="5334" spans="1:187" ht="11.25" customHeight="1">
      <c r="A5334" s="1" t="s">
        <v>7555</v>
      </c>
      <c r="B5334" s="1" t="str">
        <f ca="1">IFERROR(__xludf.DUMMYFUNCTION("GOOGLETRANSLATE(A5334, ""en"", ""fr"")"),"IMPUTER")</f>
        <v>IMPUTER</v>
      </c>
      <c r="C5334" s="1" t="s">
        <v>196</v>
      </c>
      <c r="GD5334" s="1" t="s">
        <v>189</v>
      </c>
    </row>
    <row r="5335" spans="1:187" ht="11.25" customHeight="1">
      <c r="A5335" s="1" t="s">
        <v>7556</v>
      </c>
      <c r="B5335" s="1" t="str">
        <f ca="1">IFERROR(__xludf.DUMMYFUNCTION("GOOGLETRANSLATE(A5335, ""en"", ""fr"")"),"DANS")</f>
        <v>DANS</v>
      </c>
      <c r="C5335" s="1" t="s">
        <v>185</v>
      </c>
      <c r="DA5335" s="1" t="s">
        <v>101</v>
      </c>
      <c r="GD5335" s="1" t="s">
        <v>207</v>
      </c>
      <c r="GE5335" s="1" t="s">
        <v>7557</v>
      </c>
    </row>
    <row r="5336" spans="1:187" ht="11.25" customHeight="1">
      <c r="A5336" s="1" t="s">
        <v>7558</v>
      </c>
      <c r="B5336" s="1" t="str">
        <f ca="1">IFERROR(__xludf.DUMMYFUNCTION("GOOGLETRANSLATE(A5336, ""en"", ""fr"")"),"INCAPACITÉ")</f>
        <v>INCAPACITÉ</v>
      </c>
      <c r="C5336" s="1" t="s">
        <v>185</v>
      </c>
      <c r="E5336" s="1" t="s">
        <v>16613</v>
      </c>
      <c r="H5336" s="1" t="s">
        <v>4</v>
      </c>
      <c r="L5336" s="1" t="s">
        <v>8</v>
      </c>
      <c r="O5336" s="1" t="s">
        <v>11</v>
      </c>
      <c r="V5336" s="1" t="s">
        <v>18</v>
      </c>
      <c r="DL5336" s="1" t="s">
        <v>112</v>
      </c>
      <c r="FQ5336" s="1" t="s">
        <v>169</v>
      </c>
      <c r="GD5336" s="1" t="s">
        <v>193</v>
      </c>
      <c r="GE5336" s="1" t="s">
        <v>190</v>
      </c>
    </row>
    <row r="5337" spans="1:187" ht="11.25" customHeight="1">
      <c r="A5337" s="1" t="s">
        <v>7559</v>
      </c>
      <c r="B5337" s="1" t="str">
        <f ca="1">IFERROR(__xludf.DUMMYFUNCTION("GOOGLETRANSLATE(A5337, ""en"", ""fr"")"),"INACCESSIBLE")</f>
        <v>INACCESSIBLE</v>
      </c>
      <c r="C5337" s="1" t="s">
        <v>192</v>
      </c>
      <c r="E5337" s="1" t="s">
        <v>16613</v>
      </c>
      <c r="V5337" s="1" t="s">
        <v>18</v>
      </c>
      <c r="CM5337" s="1" t="s">
        <v>87</v>
      </c>
      <c r="DL5337" s="1" t="s">
        <v>112</v>
      </c>
      <c r="DQ5337" s="1" t="s">
        <v>117</v>
      </c>
      <c r="GD5337" s="1" t="s">
        <v>202</v>
      </c>
      <c r="GE5337" s="1" t="s">
        <v>190</v>
      </c>
    </row>
    <row r="5338" spans="1:187" ht="11.25" customHeight="1">
      <c r="A5338" s="1" t="s">
        <v>7560</v>
      </c>
      <c r="B5338" s="1" t="str">
        <f ca="1">IFERROR(__xludf.DUMMYFUNCTION("GOOGLETRANSLATE(A5338, ""en"", ""fr"")"),"INEXACTITUDE")</f>
        <v>INEXACTITUDE</v>
      </c>
      <c r="C5338" s="1" t="s">
        <v>192</v>
      </c>
      <c r="E5338" s="1" t="s">
        <v>16613</v>
      </c>
      <c r="BT5338" s="1" t="s">
        <v>68</v>
      </c>
      <c r="CM5338" s="1" t="s">
        <v>87</v>
      </c>
      <c r="GD5338" s="1" t="s">
        <v>193</v>
      </c>
      <c r="GE5338" s="1" t="s">
        <v>190</v>
      </c>
    </row>
    <row r="5339" spans="1:187" ht="11.25" customHeight="1">
      <c r="A5339" s="1" t="s">
        <v>7561</v>
      </c>
      <c r="B5339" s="1" t="str">
        <f ca="1">IFERROR(__xludf.DUMMYFUNCTION("GOOGLETRANSLATE(A5339, ""en"", ""fr"")"),"INSUFFISANCE")</f>
        <v>INSUFFISANCE</v>
      </c>
      <c r="C5339" s="1" t="s">
        <v>196</v>
      </c>
      <c r="FQ5339" s="1" t="s">
        <v>169</v>
      </c>
      <c r="GD5339" s="1" t="s">
        <v>193</v>
      </c>
    </row>
    <row r="5340" spans="1:187" ht="11.25" customHeight="1">
      <c r="A5340" s="1" t="s">
        <v>7562</v>
      </c>
      <c r="B5340" s="1" t="str">
        <f ca="1">IFERROR(__xludf.DUMMYFUNCTION("GOOGLETRANSLATE(A5340, ""en"", ""fr"")"),"INADÉQUAT")</f>
        <v>INADÉQUAT</v>
      </c>
      <c r="C5340" s="1" t="s">
        <v>185</v>
      </c>
      <c r="E5340" s="1" t="s">
        <v>16613</v>
      </c>
      <c r="H5340" s="1" t="s">
        <v>4</v>
      </c>
      <c r="L5340" s="1" t="s">
        <v>8</v>
      </c>
      <c r="M5340" s="1" t="s">
        <v>9</v>
      </c>
      <c r="O5340" s="1" t="s">
        <v>11</v>
      </c>
      <c r="V5340" s="1" t="s">
        <v>18</v>
      </c>
      <c r="CN5340" s="1" t="s">
        <v>88</v>
      </c>
      <c r="DL5340" s="1" t="s">
        <v>112</v>
      </c>
      <c r="DR5340" s="1" t="s">
        <v>118</v>
      </c>
      <c r="FQ5340" s="1" t="s">
        <v>169</v>
      </c>
      <c r="GD5340" s="1" t="s">
        <v>202</v>
      </c>
      <c r="GE5340" s="1" t="s">
        <v>190</v>
      </c>
    </row>
    <row r="5341" spans="1:187" ht="11.25" customHeight="1">
      <c r="A5341" s="1" t="s">
        <v>7563</v>
      </c>
      <c r="B5341" s="1" t="str">
        <f ca="1">IFERROR(__xludf.DUMMYFUNCTION("GOOGLETRANSLATE(A5341, ""en"", ""fr"")"),"INEPTE")</f>
        <v>INEPTE</v>
      </c>
      <c r="C5341" s="1" t="s">
        <v>192</v>
      </c>
      <c r="E5341" s="1" t="s">
        <v>16613</v>
      </c>
      <c r="V5341" s="1" t="s">
        <v>18</v>
      </c>
      <c r="CM5341" s="1" t="s">
        <v>87</v>
      </c>
      <c r="DR5341" s="1" t="s">
        <v>118</v>
      </c>
      <c r="GD5341" s="1" t="s">
        <v>202</v>
      </c>
      <c r="GE5341" s="1" t="s">
        <v>190</v>
      </c>
    </row>
    <row r="5342" spans="1:187" ht="11.25" customHeight="1">
      <c r="A5342" s="1" t="s">
        <v>7564</v>
      </c>
      <c r="B5342" s="1" t="str">
        <f ca="1">IFERROR(__xludf.DUMMYFUNCTION("GOOGLETRANSLATE(A5342, ""en"", ""fr"")"),"Se mettre en gamme")</f>
        <v>Se mettre en gamme</v>
      </c>
      <c r="C5342" s="1" t="s">
        <v>196</v>
      </c>
      <c r="GD5342" s="1" t="s">
        <v>193</v>
      </c>
    </row>
    <row r="5343" spans="1:187" ht="11.25" customHeight="1">
      <c r="A5343" s="1" t="s">
        <v>7565</v>
      </c>
      <c r="B5343" s="1" t="str">
        <f ca="1">IFERROR(__xludf.DUMMYFUNCTION("GOOGLETRANSLATE(A5343, ""en"", ""fr"")"),"INAUGURER")</f>
        <v>INAUGURER</v>
      </c>
      <c r="C5343" s="1" t="s">
        <v>192</v>
      </c>
      <c r="D5343" s="1" t="s">
        <v>16612</v>
      </c>
      <c r="G5343" s="1" t="s">
        <v>3</v>
      </c>
      <c r="N5343" s="1" t="s">
        <v>10</v>
      </c>
      <c r="AM5343" s="1" t="s">
        <v>35</v>
      </c>
      <c r="BV5343" s="1" t="s">
        <v>70</v>
      </c>
      <c r="DN5343" s="1" t="s">
        <v>114</v>
      </c>
      <c r="GD5343" s="1" t="s">
        <v>189</v>
      </c>
      <c r="GE5343" s="1" t="s">
        <v>190</v>
      </c>
    </row>
    <row r="5344" spans="1:187" ht="11.25" customHeight="1">
      <c r="A5344" s="1" t="s">
        <v>7566</v>
      </c>
      <c r="B5344" s="1" t="str">
        <f ca="1">IFERROR(__xludf.DUMMYFUNCTION("GOOGLETRANSLATE(A5344, ""en"", ""fr"")"),"INAUGURATION")</f>
        <v>INAUGURATION</v>
      </c>
      <c r="C5344" s="1" t="s">
        <v>192</v>
      </c>
      <c r="D5344" s="1" t="s">
        <v>16612</v>
      </c>
      <c r="AM5344" s="1" t="s">
        <v>35</v>
      </c>
      <c r="GD5344" s="1" t="s">
        <v>193</v>
      </c>
      <c r="GE5344" s="1" t="s">
        <v>190</v>
      </c>
    </row>
    <row r="5345" spans="1:187" ht="11.25" customHeight="1">
      <c r="A5345" s="1" t="s">
        <v>7567</v>
      </c>
      <c r="B5345" s="1" t="str">
        <f ca="1">IFERROR(__xludf.DUMMYFUNCTION("GOOGLETRANSLATE(A5345, ""en"", ""fr"")"),"Inc.")</f>
        <v>Inc.</v>
      </c>
      <c r="C5345" s="1" t="s">
        <v>185</v>
      </c>
      <c r="AA5345" s="1" t="s">
        <v>23</v>
      </c>
      <c r="AC5345" s="1" t="s">
        <v>25</v>
      </c>
      <c r="AE5345" s="1" t="s">
        <v>27</v>
      </c>
      <c r="AK5345" s="1" t="s">
        <v>33</v>
      </c>
      <c r="AT5345" s="1" t="s">
        <v>42</v>
      </c>
      <c r="ET5345" s="1" t="s">
        <v>146</v>
      </c>
      <c r="EW5345" s="1" t="s">
        <v>149</v>
      </c>
      <c r="GD5345" s="1" t="s">
        <v>202</v>
      </c>
      <c r="GE5345" s="1" t="s">
        <v>190</v>
      </c>
    </row>
    <row r="5346" spans="1:187" ht="11.25" customHeight="1">
      <c r="A5346" s="1" t="s">
        <v>7568</v>
      </c>
      <c r="B5346" s="1" t="str">
        <f ca="1">IFERROR(__xludf.DUMMYFUNCTION("GOOGLETRANSLATE(A5346, ""en"", ""fr"")"),"INCALCULABLE")</f>
        <v>INCALCULABLE</v>
      </c>
      <c r="C5346" s="1" t="s">
        <v>185</v>
      </c>
      <c r="X5346" s="1" t="s">
        <v>20</v>
      </c>
      <c r="CS5346" s="1" t="s">
        <v>93</v>
      </c>
      <c r="DL5346" s="1" t="s">
        <v>112</v>
      </c>
      <c r="GD5346" s="1" t="s">
        <v>202</v>
      </c>
      <c r="GE5346" s="1" t="s">
        <v>190</v>
      </c>
    </row>
    <row r="5347" spans="1:187" ht="11.25" customHeight="1">
      <c r="A5347" s="1" t="s">
        <v>7569</v>
      </c>
      <c r="B5347" s="1" t="str">
        <f ca="1">IFERROR(__xludf.DUMMYFUNCTION("GOOGLETRANSLATE(A5347, ""en"", ""fr"")"),"INCAPABLE")</f>
        <v>INCAPABLE</v>
      </c>
      <c r="C5347" s="1" t="s">
        <v>185</v>
      </c>
      <c r="E5347" s="1" t="s">
        <v>16613</v>
      </c>
      <c r="H5347" s="1" t="s">
        <v>4</v>
      </c>
      <c r="L5347" s="1" t="s">
        <v>8</v>
      </c>
      <c r="M5347" s="1" t="s">
        <v>9</v>
      </c>
      <c r="O5347" s="1" t="s">
        <v>11</v>
      </c>
      <c r="V5347" s="1" t="s">
        <v>18</v>
      </c>
      <c r="CN5347" s="1" t="s">
        <v>88</v>
      </c>
      <c r="DL5347" s="1" t="s">
        <v>112</v>
      </c>
      <c r="FQ5347" s="1" t="s">
        <v>169</v>
      </c>
      <c r="GD5347" s="1" t="s">
        <v>202</v>
      </c>
      <c r="GE5347" s="1" t="s">
        <v>190</v>
      </c>
    </row>
    <row r="5348" spans="1:187" ht="11.25" customHeight="1">
      <c r="A5348" s="1" t="s">
        <v>7570</v>
      </c>
      <c r="B5348" s="1" t="str">
        <f ca="1">IFERROR(__xludf.DUMMYFUNCTION("GOOGLETRANSLATE(A5348, ""en"", ""fr"")"),"INCAPACITÉ")</f>
        <v>INCAPACITÉ</v>
      </c>
      <c r="C5348" s="1" t="s">
        <v>196</v>
      </c>
      <c r="FL5348" s="1" t="s">
        <v>164</v>
      </c>
      <c r="FM5348" s="1" t="s">
        <v>418</v>
      </c>
      <c r="GD5348" s="1" t="s">
        <v>193</v>
      </c>
    </row>
    <row r="5349" spans="1:187" ht="11.25" customHeight="1">
      <c r="A5349" s="1" t="s">
        <v>7571</v>
      </c>
      <c r="B5349" s="1" t="str">
        <f ca="1">IFERROR(__xludf.DUMMYFUNCTION("GOOGLETRANSLATE(A5349, ""en"", ""fr"")"),"INCITATION")</f>
        <v>INCITATION</v>
      </c>
      <c r="C5349" s="1" t="s">
        <v>185</v>
      </c>
      <c r="AC5349" s="1" t="s">
        <v>25</v>
      </c>
      <c r="BK5349" s="1" t="s">
        <v>59</v>
      </c>
      <c r="BL5349" s="1" t="s">
        <v>60</v>
      </c>
      <c r="EV5349" s="1" t="s">
        <v>148</v>
      </c>
      <c r="EW5349" s="1" t="s">
        <v>149</v>
      </c>
      <c r="GC5349" s="1" t="s">
        <v>181</v>
      </c>
      <c r="GD5349" s="1" t="s">
        <v>193</v>
      </c>
      <c r="GE5349" s="1" t="s">
        <v>190</v>
      </c>
    </row>
    <row r="5350" spans="1:187" ht="11.25" customHeight="1">
      <c r="A5350" s="1" t="s">
        <v>7572</v>
      </c>
      <c r="B5350" s="1" t="str">
        <f ca="1">IFERROR(__xludf.DUMMYFUNCTION("GOOGLETRANSLATE(A5350, ""en"", ""fr"")"),"INCESSANT")</f>
        <v>INCESSANT</v>
      </c>
      <c r="C5350" s="1" t="s">
        <v>185</v>
      </c>
      <c r="E5350" s="1" t="s">
        <v>16613</v>
      </c>
      <c r="H5350" s="1" t="s">
        <v>4</v>
      </c>
      <c r="J5350" s="1" t="s">
        <v>6</v>
      </c>
      <c r="W5350" s="1" t="s">
        <v>19</v>
      </c>
      <c r="BR5350" s="1" t="s">
        <v>66</v>
      </c>
      <c r="GD5350" s="1" t="s">
        <v>202</v>
      </c>
      <c r="GE5350" s="1" t="s">
        <v>190</v>
      </c>
    </row>
    <row r="5351" spans="1:187" ht="11.25" customHeight="1">
      <c r="A5351" s="1" t="s">
        <v>7573</v>
      </c>
      <c r="B5351" s="1" t="str">
        <f ca="1">IFERROR(__xludf.DUMMYFUNCTION("GOOGLETRANSLATE(A5351, ""en"", ""fr"")"),"INCESTE")</f>
        <v>INCESTE</v>
      </c>
      <c r="C5351" s="1" t="s">
        <v>196</v>
      </c>
      <c r="ER5351" s="1" t="s">
        <v>144</v>
      </c>
      <c r="ES5351" s="1" t="s">
        <v>145</v>
      </c>
      <c r="GD5351" s="1" t="s">
        <v>193</v>
      </c>
    </row>
    <row r="5352" spans="1:187" ht="11.25" customHeight="1">
      <c r="A5352" s="1" t="s">
        <v>7574</v>
      </c>
      <c r="B5352" s="1" t="str">
        <f ca="1">IFERROR(__xludf.DUMMYFUNCTION("GOOGLETRANSLATE(A5352, ""en"", ""fr"")"),"POUCE")</f>
        <v>POUCE</v>
      </c>
      <c r="C5352" s="1" t="s">
        <v>185</v>
      </c>
      <c r="CQ5352" s="1" t="s">
        <v>91</v>
      </c>
      <c r="CX5352" s="1" t="s">
        <v>98</v>
      </c>
      <c r="DA5352" s="1" t="s">
        <v>101</v>
      </c>
      <c r="GB5352" s="1" t="s">
        <v>180</v>
      </c>
      <c r="GD5352" s="1" t="s">
        <v>193</v>
      </c>
      <c r="GE5352" s="1" t="s">
        <v>190</v>
      </c>
    </row>
    <row r="5353" spans="1:187" ht="11.25" customHeight="1">
      <c r="A5353" s="1" t="s">
        <v>7575</v>
      </c>
      <c r="B5353" s="1" t="str">
        <f ca="1">IFERROR(__xludf.DUMMYFUNCTION("GOOGLETRANSLATE(A5353, ""en"", ""fr"")"),"INCIDENCE")</f>
        <v>INCIDENCE</v>
      </c>
      <c r="C5353" s="1" t="s">
        <v>196</v>
      </c>
      <c r="GD5353" s="1" t="s">
        <v>193</v>
      </c>
    </row>
    <row r="5354" spans="1:187" ht="11.25" customHeight="1">
      <c r="A5354" s="1" t="s">
        <v>7576</v>
      </c>
      <c r="B5354" s="1" t="str">
        <f ca="1">IFERROR(__xludf.DUMMYFUNCTION("GOOGLETRANSLATE(A5354, ""en"", ""fr"")"),"INCIDENT")</f>
        <v>INCIDENT</v>
      </c>
      <c r="C5354" s="1" t="s">
        <v>185</v>
      </c>
      <c r="CY5354" s="1" t="s">
        <v>99</v>
      </c>
      <c r="GD5354" s="1" t="s">
        <v>193</v>
      </c>
      <c r="GE5354" s="1" t="s">
        <v>190</v>
      </c>
    </row>
    <row r="5355" spans="1:187" ht="11.25" customHeight="1">
      <c r="A5355" s="1" t="s">
        <v>7577</v>
      </c>
      <c r="B5355" s="1" t="str">
        <f ca="1">IFERROR(__xludf.DUMMYFUNCTION("GOOGLETRANSLATE(A5355, ""en"", ""fr"")"),"ACCESSOIRE")</f>
        <v>ACCESSOIRE</v>
      </c>
      <c r="C5355" s="1" t="s">
        <v>185</v>
      </c>
      <c r="BQ5355" s="1" t="s">
        <v>65</v>
      </c>
      <c r="GD5355" s="1" t="s">
        <v>202</v>
      </c>
      <c r="GE5355" s="1" t="s">
        <v>190</v>
      </c>
    </row>
    <row r="5356" spans="1:187" ht="11.25" customHeight="1">
      <c r="A5356" s="1" t="s">
        <v>7578</v>
      </c>
      <c r="B5356" s="1" t="str">
        <f ca="1">IFERROR(__xludf.DUMMYFUNCTION("GOOGLETRANSLATE(A5356, ""en"", ""fr"")"),"NAISSANT")</f>
        <v>NAISSANT</v>
      </c>
      <c r="C5356" s="1" t="s">
        <v>196</v>
      </c>
      <c r="GD5356" s="1" t="s">
        <v>193</v>
      </c>
    </row>
    <row r="5357" spans="1:187" ht="11.25" customHeight="1">
      <c r="A5357" s="1" t="s">
        <v>7579</v>
      </c>
      <c r="B5357" s="1" t="str">
        <f ca="1">IFERROR(__xludf.DUMMYFUNCTION("GOOGLETRANSLATE(A5357, ""en"", ""fr"")"),"INCLINATION")</f>
        <v>INCLINATION</v>
      </c>
      <c r="C5357" s="1" t="s">
        <v>185</v>
      </c>
      <c r="O5357" s="1" t="s">
        <v>11</v>
      </c>
      <c r="BN5357" s="1" t="s">
        <v>62</v>
      </c>
      <c r="GD5357" s="1" t="s">
        <v>193</v>
      </c>
      <c r="GE5357" s="1" t="s">
        <v>190</v>
      </c>
    </row>
    <row r="5358" spans="1:187" ht="11.25" customHeight="1">
      <c r="A5358" s="1" t="s">
        <v>7580</v>
      </c>
      <c r="B5358" s="1" t="str">
        <f ca="1">IFERROR(__xludf.DUMMYFUNCTION("GOOGLETRANSLATE(A5358, ""en"", ""fr"")"),"Incline n ° 1")</f>
        <v>Incline n ° 1</v>
      </c>
      <c r="C5358" s="1" t="s">
        <v>185</v>
      </c>
      <c r="AV5358" s="1" t="s">
        <v>44</v>
      </c>
      <c r="BA5358" s="1" t="s">
        <v>49</v>
      </c>
      <c r="GD5358" s="1" t="s">
        <v>193</v>
      </c>
      <c r="GE5358" s="1" t="s">
        <v>190</v>
      </c>
    </row>
    <row r="5359" spans="1:187" ht="11.25" customHeight="1">
      <c r="A5359" s="1" t="s">
        <v>7581</v>
      </c>
      <c r="B5359" s="1" t="str">
        <f ca="1">IFERROR(__xludf.DUMMYFUNCTION("GOOGLETRANSLATE(A5359, ""en"", ""fr"")"),"Incline n ° 2")</f>
        <v>Incline n ° 2</v>
      </c>
      <c r="C5359" s="1" t="s">
        <v>185</v>
      </c>
      <c r="O5359" s="1" t="s">
        <v>11</v>
      </c>
      <c r="BN5359" s="1" t="s">
        <v>62</v>
      </c>
      <c r="DN5359" s="1" t="s">
        <v>114</v>
      </c>
      <c r="FP5359" s="1" t="s">
        <v>168</v>
      </c>
      <c r="GD5359" s="1" t="s">
        <v>189</v>
      </c>
      <c r="GE5359" s="1" t="s">
        <v>190</v>
      </c>
    </row>
    <row r="5360" spans="1:187" ht="11.25" customHeight="1">
      <c r="A5360" s="1" t="s">
        <v>7582</v>
      </c>
      <c r="B5360" s="1" t="str">
        <f ca="1">IFERROR(__xludf.DUMMYFUNCTION("GOOGLETRANSLATE(A5360, ""en"", ""fr"")"),"INCLURE")</f>
        <v>INCLURE</v>
      </c>
      <c r="C5360" s="1" t="s">
        <v>185</v>
      </c>
      <c r="J5360" s="1" t="s">
        <v>6</v>
      </c>
      <c r="DD5360" s="1" t="s">
        <v>104</v>
      </c>
      <c r="DN5360" s="1" t="s">
        <v>114</v>
      </c>
      <c r="FP5360" s="1" t="s">
        <v>168</v>
      </c>
      <c r="GD5360" s="1" t="s">
        <v>189</v>
      </c>
      <c r="GE5360" s="1" t="s">
        <v>7583</v>
      </c>
    </row>
    <row r="5361" spans="1:187" ht="11.25" customHeight="1">
      <c r="A5361" s="1" t="s">
        <v>7584</v>
      </c>
      <c r="B5361" s="1" t="str">
        <f ca="1">IFERROR(__xludf.DUMMYFUNCTION("GOOGLETRANSLATE(A5361, ""en"", ""fr"")"),"Revenu n ° 1")</f>
        <v>Revenu n ° 1</v>
      </c>
      <c r="C5361" s="1" t="s">
        <v>185</v>
      </c>
      <c r="AA5361" s="1" t="s">
        <v>23</v>
      </c>
      <c r="AC5361" s="1" t="s">
        <v>25</v>
      </c>
      <c r="BK5361" s="1" t="s">
        <v>59</v>
      </c>
      <c r="BL5361" s="1" t="s">
        <v>60</v>
      </c>
      <c r="EV5361" s="1" t="s">
        <v>148</v>
      </c>
      <c r="EW5361" s="1" t="s">
        <v>149</v>
      </c>
      <c r="GC5361" s="1" t="s">
        <v>181</v>
      </c>
      <c r="GD5361" s="1" t="s">
        <v>193</v>
      </c>
      <c r="GE5361" s="1" t="s">
        <v>7585</v>
      </c>
    </row>
    <row r="5362" spans="1:187" ht="11.25" customHeight="1">
      <c r="A5362" s="1" t="s">
        <v>7586</v>
      </c>
      <c r="B5362" s="1" t="str">
        <f ca="1">IFERROR(__xludf.DUMMYFUNCTION("GOOGLETRANSLATE(A5362, ""en"", ""fr"")"),"Revenu n ° 2")</f>
        <v>Revenu n ° 2</v>
      </c>
      <c r="C5362" s="1" t="s">
        <v>185</v>
      </c>
      <c r="CE5362" s="1" t="s">
        <v>79</v>
      </c>
      <c r="GB5362" s="1" t="s">
        <v>180</v>
      </c>
      <c r="GD5362" s="1" t="s">
        <v>202</v>
      </c>
      <c r="GE5362" s="1" t="s">
        <v>7587</v>
      </c>
    </row>
    <row r="5363" spans="1:187" ht="11.25" customHeight="1">
      <c r="A5363" s="1" t="s">
        <v>7588</v>
      </c>
      <c r="B5363" s="1" t="str">
        <f ca="1">IFERROR(__xludf.DUMMYFUNCTION("GOOGLETRANSLATE(A5363, ""en"", ""fr"")"),"Revenu n ° 3")</f>
        <v>Revenu n ° 3</v>
      </c>
      <c r="C5363" s="1" t="s">
        <v>185</v>
      </c>
      <c r="GD5363" s="1" t="s">
        <v>225</v>
      </c>
      <c r="GE5363" s="1" t="s">
        <v>7589</v>
      </c>
    </row>
    <row r="5364" spans="1:187" ht="11.25" customHeight="1">
      <c r="A5364" s="1" t="s">
        <v>7590</v>
      </c>
      <c r="B5364" s="1" t="str">
        <f ca="1">IFERROR(__xludf.DUMMYFUNCTION("GOOGLETRANSLATE(A5364, ""en"", ""fr"")"),"INCOMPARABLE")</f>
        <v>INCOMPARABLE</v>
      </c>
      <c r="C5364" s="1" t="s">
        <v>196</v>
      </c>
      <c r="FH5364" s="1" t="s">
        <v>160</v>
      </c>
      <c r="FI5364" s="1" t="s">
        <v>161</v>
      </c>
      <c r="GD5364" s="1" t="s">
        <v>202</v>
      </c>
    </row>
    <row r="5365" spans="1:187" ht="11.25" customHeight="1">
      <c r="A5365" s="1" t="s">
        <v>7591</v>
      </c>
      <c r="B5365" s="1" t="str">
        <f ca="1">IFERROR(__xludf.DUMMYFUNCTION("GOOGLETRANSLATE(A5365, ""en"", ""fr"")"),"INCOMPATIBILITÉ")</f>
        <v>INCOMPATIBILITÉ</v>
      </c>
      <c r="C5365" s="1" t="s">
        <v>185</v>
      </c>
      <c r="E5365" s="1" t="s">
        <v>16613</v>
      </c>
      <c r="H5365" s="1" t="s">
        <v>4</v>
      </c>
      <c r="V5365" s="1" t="s">
        <v>18</v>
      </c>
      <c r="DL5365" s="1" t="s">
        <v>112</v>
      </c>
      <c r="DW5365" s="1" t="s">
        <v>123</v>
      </c>
      <c r="ED5365" s="1" t="s">
        <v>130</v>
      </c>
      <c r="GD5365" s="1" t="s">
        <v>193</v>
      </c>
      <c r="GE5365" s="1" t="s">
        <v>190</v>
      </c>
    </row>
    <row r="5366" spans="1:187" ht="11.25" customHeight="1">
      <c r="A5366" s="1" t="s">
        <v>7592</v>
      </c>
      <c r="B5366" s="1" t="str">
        <f ca="1">IFERROR(__xludf.DUMMYFUNCTION("GOOGLETRANSLATE(A5366, ""en"", ""fr"")"),"INCOMPATIBLE")</f>
        <v>INCOMPATIBLE</v>
      </c>
      <c r="C5366" s="1" t="s">
        <v>185</v>
      </c>
      <c r="E5366" s="1" t="s">
        <v>16613</v>
      </c>
      <c r="H5366" s="1" t="s">
        <v>4</v>
      </c>
      <c r="V5366" s="1" t="s">
        <v>18</v>
      </c>
      <c r="DL5366" s="1" t="s">
        <v>112</v>
      </c>
      <c r="DW5366" s="1" t="s">
        <v>123</v>
      </c>
      <c r="ED5366" s="1" t="s">
        <v>130</v>
      </c>
      <c r="GD5366" s="1" t="s">
        <v>202</v>
      </c>
      <c r="GE5366" s="1" t="s">
        <v>190</v>
      </c>
    </row>
    <row r="5367" spans="1:187" ht="11.25" customHeight="1">
      <c r="A5367" s="1" t="s">
        <v>7593</v>
      </c>
      <c r="B5367" s="1" t="str">
        <f ca="1">IFERROR(__xludf.DUMMYFUNCTION("GOOGLETRANSLATE(A5367, ""en"", ""fr"")"),"INCOMPÉTENCE")</f>
        <v>INCOMPÉTENCE</v>
      </c>
      <c r="C5367" s="1" t="s">
        <v>185</v>
      </c>
      <c r="E5367" s="1" t="s">
        <v>16613</v>
      </c>
      <c r="BT5367" s="1" t="s">
        <v>68</v>
      </c>
      <c r="CM5367" s="1" t="s">
        <v>87</v>
      </c>
      <c r="FL5367" s="1" t="s">
        <v>164</v>
      </c>
      <c r="FM5367" s="1" t="s">
        <v>418</v>
      </c>
      <c r="GD5367" s="1" t="s">
        <v>193</v>
      </c>
      <c r="GE5367" s="1" t="s">
        <v>190</v>
      </c>
    </row>
    <row r="5368" spans="1:187" ht="11.25" customHeight="1">
      <c r="A5368" s="1" t="s">
        <v>7594</v>
      </c>
      <c r="B5368" s="1" t="str">
        <f ca="1">IFERROR(__xludf.DUMMYFUNCTION("GOOGLETRANSLATE(A5368, ""en"", ""fr"")"),"INCOMPÉTENT")</f>
        <v>INCOMPÉTENT</v>
      </c>
      <c r="C5368" s="1" t="s">
        <v>192</v>
      </c>
      <c r="E5368" s="1" t="s">
        <v>16613</v>
      </c>
      <c r="BT5368" s="1" t="s">
        <v>68</v>
      </c>
      <c r="CM5368" s="1" t="s">
        <v>87</v>
      </c>
      <c r="DR5368" s="1" t="s">
        <v>118</v>
      </c>
      <c r="GD5368" s="1" t="s">
        <v>202</v>
      </c>
      <c r="GE5368" s="1" t="s">
        <v>190</v>
      </c>
    </row>
    <row r="5369" spans="1:187" ht="11.25" customHeight="1">
      <c r="A5369" s="1" t="s">
        <v>7595</v>
      </c>
      <c r="B5369" s="1" t="str">
        <f ca="1">IFERROR(__xludf.DUMMYFUNCTION("GOOGLETRANSLATE(A5369, ""en"", ""fr"")"),"INCOMPLET")</f>
        <v>INCOMPLET</v>
      </c>
      <c r="C5369" s="1" t="s">
        <v>185</v>
      </c>
      <c r="L5369" s="1" t="s">
        <v>8</v>
      </c>
      <c r="CS5369" s="1" t="s">
        <v>93</v>
      </c>
      <c r="DL5369" s="1" t="s">
        <v>112</v>
      </c>
      <c r="GD5369" s="1" t="s">
        <v>202</v>
      </c>
      <c r="GE5369" s="1" t="s">
        <v>190</v>
      </c>
    </row>
    <row r="5370" spans="1:187" ht="11.25" customHeight="1">
      <c r="A5370" s="1" t="s">
        <v>7596</v>
      </c>
      <c r="B5370" s="1" t="str">
        <f ca="1">IFERROR(__xludf.DUMMYFUNCTION("GOOGLETRANSLATE(A5370, ""en"", ""fr"")"),"INCONCEVABLE")</f>
        <v>INCONCEVABLE</v>
      </c>
      <c r="C5370" s="1" t="s">
        <v>185</v>
      </c>
      <c r="W5370" s="1" t="s">
        <v>19</v>
      </c>
      <c r="CH5370" s="1" t="s">
        <v>82</v>
      </c>
      <c r="DL5370" s="1" t="s">
        <v>112</v>
      </c>
      <c r="FY5370" s="1" t="s">
        <v>177</v>
      </c>
      <c r="GD5370" s="1" t="s">
        <v>202</v>
      </c>
      <c r="GE5370" s="1" t="s">
        <v>190</v>
      </c>
    </row>
    <row r="5371" spans="1:187" ht="11.25" customHeight="1">
      <c r="A5371" s="1" t="s">
        <v>7597</v>
      </c>
      <c r="B5371" s="1" t="str">
        <f ca="1">IFERROR(__xludf.DUMMYFUNCTION("GOOGLETRANSLATE(A5371, ""en"", ""fr"")"),"NÉGLIGEABLE")</f>
        <v>NÉGLIGEABLE</v>
      </c>
      <c r="C5371" s="1" t="s">
        <v>196</v>
      </c>
      <c r="GD5371" s="1" t="s">
        <v>202</v>
      </c>
    </row>
    <row r="5372" spans="1:187" ht="11.25" customHeight="1">
      <c r="A5372" s="1" t="s">
        <v>7598</v>
      </c>
      <c r="B5372" s="1" t="str">
        <f ca="1">IFERROR(__xludf.DUMMYFUNCTION("GOOGLETRANSLATE(A5372, ""en"", ""fr"")"),"INCOHÉRENCE")</f>
        <v>INCOHÉRENCE</v>
      </c>
      <c r="C5372" s="1" t="s">
        <v>192</v>
      </c>
      <c r="E5372" s="1" t="s">
        <v>16613</v>
      </c>
      <c r="W5372" s="1" t="s">
        <v>19</v>
      </c>
      <c r="GD5372" s="1" t="s">
        <v>193</v>
      </c>
      <c r="GE5372" s="1" t="s">
        <v>190</v>
      </c>
    </row>
    <row r="5373" spans="1:187" ht="11.25" customHeight="1">
      <c r="A5373" s="1" t="s">
        <v>7599</v>
      </c>
      <c r="B5373" s="1" t="str">
        <f ca="1">IFERROR(__xludf.DUMMYFUNCTION("GOOGLETRANSLATE(A5373, ""en"", ""fr"")"),"INCONSISTANT")</f>
        <v>INCONSISTANT</v>
      </c>
      <c r="C5373" s="1" t="s">
        <v>196</v>
      </c>
      <c r="FH5373" s="1" t="s">
        <v>160</v>
      </c>
      <c r="FI5373" s="1" t="s">
        <v>161</v>
      </c>
      <c r="GD5373" s="1" t="s">
        <v>202</v>
      </c>
    </row>
    <row r="5374" spans="1:187" ht="11.25" customHeight="1">
      <c r="A5374" s="1" t="s">
        <v>7600</v>
      </c>
      <c r="B5374" s="1" t="str">
        <f ca="1">IFERROR(__xludf.DUMMYFUNCTION("GOOGLETRANSLATE(A5374, ""en"", ""fr"")"),"Incontestabilité")</f>
        <v>Incontestabilité</v>
      </c>
      <c r="C5374" s="1" t="s">
        <v>185</v>
      </c>
      <c r="W5374" s="1" t="s">
        <v>19</v>
      </c>
      <c r="CH5374" s="1" t="s">
        <v>82</v>
      </c>
      <c r="DL5374" s="1" t="s">
        <v>112</v>
      </c>
      <c r="GD5374" s="1" t="s">
        <v>193</v>
      </c>
      <c r="GE5374" s="1" t="s">
        <v>190</v>
      </c>
    </row>
    <row r="5375" spans="1:187" ht="11.25" customHeight="1">
      <c r="A5375" s="1" t="s">
        <v>7601</v>
      </c>
      <c r="B5375" s="1" t="str">
        <f ca="1">IFERROR(__xludf.DUMMYFUNCTION("GOOGLETRANSLATE(A5375, ""en"", ""fr"")"),"INCONTESTABLE")</f>
        <v>INCONTESTABLE</v>
      </c>
      <c r="C5375" s="1" t="s">
        <v>185</v>
      </c>
      <c r="W5375" s="1" t="s">
        <v>19</v>
      </c>
      <c r="CH5375" s="1" t="s">
        <v>82</v>
      </c>
      <c r="DL5375" s="1" t="s">
        <v>112</v>
      </c>
      <c r="FY5375" s="1" t="s">
        <v>177</v>
      </c>
      <c r="GD5375" s="1" t="s">
        <v>202</v>
      </c>
      <c r="GE5375" s="1" t="s">
        <v>190</v>
      </c>
    </row>
    <row r="5376" spans="1:187" ht="11.25" customHeight="1">
      <c r="A5376" s="1" t="s">
        <v>7602</v>
      </c>
      <c r="B5376" s="1" t="str">
        <f ca="1">IFERROR(__xludf.DUMMYFUNCTION("GOOGLETRANSLATE(A5376, ""en"", ""fr"")"),"DÉSAGRÉMENT")</f>
        <v>DÉSAGRÉMENT</v>
      </c>
      <c r="C5376" s="1" t="s">
        <v>196</v>
      </c>
      <c r="FW5376" s="1" t="s">
        <v>175</v>
      </c>
      <c r="GD5376" s="1" t="s">
        <v>193</v>
      </c>
    </row>
    <row r="5377" spans="1:187" ht="11.25" customHeight="1">
      <c r="A5377" s="1" t="s">
        <v>7603</v>
      </c>
      <c r="B5377" s="1" t="str">
        <f ca="1">IFERROR(__xludf.DUMMYFUNCTION("GOOGLETRANSLATE(A5377, ""en"", ""fr"")"),"INCOMMODE")</f>
        <v>INCOMMODE</v>
      </c>
      <c r="C5377" s="1" t="s">
        <v>185</v>
      </c>
      <c r="E5377" s="1" t="s">
        <v>16613</v>
      </c>
      <c r="CM5377" s="1" t="s">
        <v>87</v>
      </c>
      <c r="CR5377" s="1" t="s">
        <v>92</v>
      </c>
      <c r="DR5377" s="1" t="s">
        <v>118</v>
      </c>
      <c r="FW5377" s="1" t="s">
        <v>175</v>
      </c>
      <c r="GD5377" s="1" t="s">
        <v>202</v>
      </c>
      <c r="GE5377" s="1" t="s">
        <v>190</v>
      </c>
    </row>
    <row r="5378" spans="1:187" ht="11.25" customHeight="1">
      <c r="A5378" s="1" t="s">
        <v>7604</v>
      </c>
      <c r="B5378" s="1" t="str">
        <f ca="1">IFERROR(__xludf.DUMMYFUNCTION("GOOGLETRANSLATE(A5378, ""en"", ""fr"")"),"Incorporer n ° 1")</f>
        <v>Incorporer n ° 1</v>
      </c>
      <c r="C5378" s="1" t="s">
        <v>185</v>
      </c>
      <c r="AA5378" s="1" t="s">
        <v>23</v>
      </c>
      <c r="AK5378" s="1" t="s">
        <v>33</v>
      </c>
      <c r="AT5378" s="1" t="s">
        <v>42</v>
      </c>
      <c r="GD5378" s="1" t="s">
        <v>202</v>
      </c>
      <c r="GE5378" s="1" t="s">
        <v>190</v>
      </c>
    </row>
    <row r="5379" spans="1:187" ht="11.25" customHeight="1">
      <c r="A5379" s="1" t="s">
        <v>7605</v>
      </c>
      <c r="B5379" s="1" t="str">
        <f ca="1">IFERROR(__xludf.DUMMYFUNCTION("GOOGLETRANSLATE(A5379, ""en"", ""fr"")"),"Incorporer n ° 2")</f>
        <v>Incorporer n ° 2</v>
      </c>
      <c r="C5379" s="1" t="s">
        <v>185</v>
      </c>
      <c r="DD5379" s="1" t="s">
        <v>104</v>
      </c>
      <c r="DN5379" s="1" t="s">
        <v>114</v>
      </c>
      <c r="FP5379" s="1" t="s">
        <v>168</v>
      </c>
      <c r="GD5379" s="1" t="s">
        <v>189</v>
      </c>
      <c r="GE5379" s="1" t="s">
        <v>190</v>
      </c>
    </row>
    <row r="5380" spans="1:187" ht="11.25" customHeight="1">
      <c r="A5380" s="1" t="s">
        <v>7606</v>
      </c>
      <c r="B5380" s="1" t="str">
        <f ca="1">IFERROR(__xludf.DUMMYFUNCTION("GOOGLETRANSLATE(A5380, ""en"", ""fr"")"),"INCORRECT")</f>
        <v>INCORRECT</v>
      </c>
      <c r="C5380" s="1" t="s">
        <v>185</v>
      </c>
      <c r="E5380" s="1" t="s">
        <v>16613</v>
      </c>
      <c r="H5380" s="1" t="s">
        <v>4</v>
      </c>
      <c r="L5380" s="1" t="s">
        <v>8</v>
      </c>
      <c r="V5380" s="1" t="s">
        <v>18</v>
      </c>
      <c r="X5380" s="1" t="s">
        <v>20</v>
      </c>
      <c r="DL5380" s="1" t="s">
        <v>112</v>
      </c>
      <c r="FL5380" s="1" t="s">
        <v>164</v>
      </c>
      <c r="FM5380" s="1" t="s">
        <v>418</v>
      </c>
      <c r="GD5380" s="1" t="s">
        <v>202</v>
      </c>
      <c r="GE5380" s="1" t="s">
        <v>190</v>
      </c>
    </row>
    <row r="5381" spans="1:187" ht="11.25" customHeight="1">
      <c r="A5381" s="1" t="s">
        <v>7607</v>
      </c>
      <c r="B5381" s="1" t="str">
        <f ca="1">IFERROR(__xludf.DUMMYFUNCTION("GOOGLETRANSLATE(A5381, ""en"", ""fr"")"),"Augmenter # 1")</f>
        <v>Augmenter # 1</v>
      </c>
      <c r="C5381" s="1" t="s">
        <v>185</v>
      </c>
      <c r="J5381" s="1" t="s">
        <v>6</v>
      </c>
      <c r="N5381" s="1" t="s">
        <v>10</v>
      </c>
      <c r="BX5381" s="1" t="s">
        <v>72</v>
      </c>
      <c r="DO5381" s="1" t="s">
        <v>115</v>
      </c>
      <c r="FN5381" s="1" t="s">
        <v>166</v>
      </c>
      <c r="GD5381" s="1" t="s">
        <v>189</v>
      </c>
      <c r="GE5381" s="1" t="s">
        <v>7608</v>
      </c>
    </row>
    <row r="5382" spans="1:187" ht="11.25" customHeight="1">
      <c r="A5382" s="1" t="s">
        <v>7609</v>
      </c>
      <c r="B5382" s="1" t="str">
        <f ca="1">IFERROR(__xludf.DUMMYFUNCTION("GOOGLETRANSLATE(A5382, ""en"", ""fr"")"),"Augmenter # 2")</f>
        <v>Augmenter # 2</v>
      </c>
      <c r="C5382" s="1" t="s">
        <v>185</v>
      </c>
      <c r="J5382" s="1" t="s">
        <v>6</v>
      </c>
      <c r="BX5382" s="1" t="s">
        <v>72</v>
      </c>
      <c r="FR5382" s="1" t="s">
        <v>170</v>
      </c>
      <c r="GD5382" s="1" t="s">
        <v>193</v>
      </c>
      <c r="GE5382" s="1" t="s">
        <v>7610</v>
      </c>
    </row>
    <row r="5383" spans="1:187" ht="11.25" customHeight="1">
      <c r="A5383" s="1" t="s">
        <v>7611</v>
      </c>
      <c r="B5383" s="1" t="str">
        <f ca="1">IFERROR(__xludf.DUMMYFUNCTION("GOOGLETRANSLATE(A5383, ""en"", ""fr"")"),"Augmenter # 3")</f>
        <v>Augmenter # 3</v>
      </c>
      <c r="C5383" s="1" t="s">
        <v>185</v>
      </c>
      <c r="J5383" s="1" t="s">
        <v>6</v>
      </c>
      <c r="BX5383" s="1" t="s">
        <v>72</v>
      </c>
      <c r="FN5383" s="1" t="s">
        <v>166</v>
      </c>
      <c r="GD5383" s="1" t="s">
        <v>202</v>
      </c>
      <c r="GE5383" s="1" t="s">
        <v>7612</v>
      </c>
    </row>
    <row r="5384" spans="1:187" ht="11.25" customHeight="1">
      <c r="A5384" s="1" t="s">
        <v>7613</v>
      </c>
      <c r="B5384" s="1" t="str">
        <f ca="1">IFERROR(__xludf.DUMMYFUNCTION("GOOGLETRANSLATE(A5384, ""en"", ""fr"")"),"Augmenter # 4")</f>
        <v>Augmenter # 4</v>
      </c>
      <c r="C5384" s="1" t="s">
        <v>185</v>
      </c>
      <c r="J5384" s="1" t="s">
        <v>6</v>
      </c>
      <c r="BX5384" s="1" t="s">
        <v>72</v>
      </c>
      <c r="FN5384" s="1" t="s">
        <v>166</v>
      </c>
      <c r="GD5384" s="1" t="s">
        <v>202</v>
      </c>
      <c r="GE5384" s="1" t="s">
        <v>7614</v>
      </c>
    </row>
    <row r="5385" spans="1:187" ht="11.25" customHeight="1">
      <c r="A5385" s="1" t="s">
        <v>7615</v>
      </c>
      <c r="B5385" s="1" t="str">
        <f ca="1">IFERROR(__xludf.DUMMYFUNCTION("GOOGLETRANSLATE(A5385, ""en"", ""fr"")"),"Augmenter # 5")</f>
        <v>Augmenter # 5</v>
      </c>
      <c r="C5385" s="1" t="s">
        <v>185</v>
      </c>
      <c r="J5385" s="1" t="s">
        <v>6</v>
      </c>
      <c r="CS5385" s="1" t="s">
        <v>93</v>
      </c>
      <c r="FN5385" s="1" t="s">
        <v>166</v>
      </c>
      <c r="GD5385" s="1" t="s">
        <v>236</v>
      </c>
      <c r="GE5385" s="1" t="s">
        <v>7616</v>
      </c>
    </row>
    <row r="5386" spans="1:187" ht="11.25" customHeight="1">
      <c r="A5386" s="1" t="s">
        <v>7617</v>
      </c>
      <c r="B5386" s="1" t="str">
        <f ca="1">IFERROR(__xludf.DUMMYFUNCTION("GOOGLETRANSLATE(A5386, ""en"", ""fr"")"),"Incrétibilité")</f>
        <v>Incrétibilité</v>
      </c>
      <c r="C5386" s="1" t="s">
        <v>185</v>
      </c>
      <c r="W5386" s="1" t="s">
        <v>19</v>
      </c>
      <c r="CH5386" s="1" t="s">
        <v>82</v>
      </c>
      <c r="DL5386" s="1" t="s">
        <v>112</v>
      </c>
      <c r="GD5386" s="1" t="s">
        <v>202</v>
      </c>
      <c r="GE5386" s="1" t="s">
        <v>190</v>
      </c>
    </row>
    <row r="5387" spans="1:187" ht="11.25" customHeight="1">
      <c r="A5387" s="1" t="s">
        <v>7618</v>
      </c>
      <c r="B5387" s="1" t="str">
        <f ca="1">IFERROR(__xludf.DUMMYFUNCTION("GOOGLETRANSLATE(A5387, ""en"", ""fr"")"),"INCROYABLE")</f>
        <v>INCROYABLE</v>
      </c>
      <c r="C5387" s="1" t="s">
        <v>185</v>
      </c>
      <c r="E5387" s="1" t="s">
        <v>16613</v>
      </c>
      <c r="H5387" s="1" t="s">
        <v>4</v>
      </c>
      <c r="W5387" s="1" t="s">
        <v>19</v>
      </c>
      <c r="CH5387" s="1" t="s">
        <v>82</v>
      </c>
      <c r="CN5387" s="1" t="s">
        <v>88</v>
      </c>
      <c r="DL5387" s="1" t="s">
        <v>112</v>
      </c>
      <c r="GD5387" s="1" t="s">
        <v>202</v>
      </c>
      <c r="GE5387" s="1" t="s">
        <v>190</v>
      </c>
    </row>
    <row r="5388" spans="1:187" ht="11.25" customHeight="1">
      <c r="A5388" s="1" t="s">
        <v>7619</v>
      </c>
      <c r="B5388" s="1" t="str">
        <f ca="1">IFERROR(__xludf.DUMMYFUNCTION("GOOGLETRANSLATE(A5388, ""en"", ""fr"")"),"Sortant n ° 1")</f>
        <v>Sortant n ° 1</v>
      </c>
      <c r="C5388" s="1" t="s">
        <v>196</v>
      </c>
      <c r="DY5388" s="1" t="s">
        <v>125</v>
      </c>
      <c r="ED5388" s="1" t="s">
        <v>130</v>
      </c>
      <c r="GD5388" s="1" t="s">
        <v>448</v>
      </c>
    </row>
    <row r="5389" spans="1:187" ht="11.25" customHeight="1">
      <c r="A5389" s="1" t="s">
        <v>7620</v>
      </c>
      <c r="B5389" s="1" t="str">
        <f ca="1">IFERROR(__xludf.DUMMYFUNCTION("GOOGLETRANSLATE(A5389, ""en"", ""fr"")"),"Sortant # 2")</f>
        <v>Sortant # 2</v>
      </c>
      <c r="C5389" s="1" t="s">
        <v>196</v>
      </c>
      <c r="EE5389" s="1" t="s">
        <v>131</v>
      </c>
      <c r="EJ5389" s="1" t="s">
        <v>136</v>
      </c>
      <c r="GD5389" s="1" t="s">
        <v>193</v>
      </c>
    </row>
    <row r="5390" spans="1:187" ht="11.25" customHeight="1">
      <c r="A5390" s="1" t="s">
        <v>7621</v>
      </c>
      <c r="B5390" s="1" t="str">
        <f ca="1">IFERROR(__xludf.DUMMYFUNCTION("GOOGLETRANSLATE(A5390, ""en"", ""fr"")"),"ENCOURIR")</f>
        <v>ENCOURIR</v>
      </c>
      <c r="C5390" s="1" t="s">
        <v>185</v>
      </c>
      <c r="N5390" s="1" t="s">
        <v>10</v>
      </c>
      <c r="BV5390" s="1" t="s">
        <v>70</v>
      </c>
      <c r="DN5390" s="1" t="s">
        <v>114</v>
      </c>
      <c r="FP5390" s="1" t="s">
        <v>168</v>
      </c>
      <c r="GD5390" s="1" t="s">
        <v>189</v>
      </c>
      <c r="GE5390" s="1" t="s">
        <v>190</v>
      </c>
    </row>
    <row r="5391" spans="1:187" ht="11.25" customHeight="1">
      <c r="A5391" s="1" t="s">
        <v>7622</v>
      </c>
      <c r="B5391" s="1" t="str">
        <f ca="1">IFERROR(__xludf.DUMMYFUNCTION("GOOGLETRANSLATE(A5391, ""en"", ""fr"")"),"INCURABLE")</f>
        <v>INCURABLE</v>
      </c>
      <c r="C5391" s="1" t="s">
        <v>192</v>
      </c>
      <c r="E5391" s="1" t="s">
        <v>16613</v>
      </c>
      <c r="BT5391" s="1" t="s">
        <v>68</v>
      </c>
      <c r="CA5391" s="1" t="s">
        <v>75</v>
      </c>
      <c r="DR5391" s="1" t="s">
        <v>118</v>
      </c>
      <c r="GD5391" s="1" t="s">
        <v>202</v>
      </c>
      <c r="GE5391" s="1" t="s">
        <v>190</v>
      </c>
    </row>
    <row r="5392" spans="1:187" ht="11.25" customHeight="1">
      <c r="A5392" s="1" t="s">
        <v>7623</v>
      </c>
      <c r="B5392" s="1" t="str">
        <f ca="1">IFERROR(__xludf.DUMMYFUNCTION("GOOGLETRANSLATE(A5392, ""en"", ""fr"")"),"ENDETTÉ")</f>
        <v>ENDETTÉ</v>
      </c>
      <c r="C5392" s="1" t="s">
        <v>185</v>
      </c>
      <c r="L5392" s="1" t="s">
        <v>8</v>
      </c>
      <c r="M5392" s="1" t="s">
        <v>9</v>
      </c>
      <c r="O5392" s="1" t="s">
        <v>11</v>
      </c>
      <c r="AN5392" s="1" t="s">
        <v>36</v>
      </c>
      <c r="GD5392" s="1" t="s">
        <v>202</v>
      </c>
      <c r="GE5392" s="1" t="s">
        <v>190</v>
      </c>
    </row>
    <row r="5393" spans="1:187" ht="11.25" customHeight="1">
      <c r="A5393" s="1" t="s">
        <v>7624</v>
      </c>
      <c r="B5393" s="1" t="str">
        <f ca="1">IFERROR(__xludf.DUMMYFUNCTION("GOOGLETRANSLATE(A5393, ""en"", ""fr"")"),"INDÉCENT")</f>
        <v>INDÉCENT</v>
      </c>
      <c r="C5393" s="1" t="s">
        <v>192</v>
      </c>
      <c r="E5393" s="1" t="s">
        <v>16613</v>
      </c>
      <c r="V5393" s="1" t="s">
        <v>18</v>
      </c>
      <c r="CM5393" s="1" t="s">
        <v>87</v>
      </c>
      <c r="DR5393" s="1" t="s">
        <v>118</v>
      </c>
      <c r="GD5393" s="1" t="s">
        <v>202</v>
      </c>
      <c r="GE5393" s="1" t="s">
        <v>190</v>
      </c>
    </row>
    <row r="5394" spans="1:187" ht="11.25" customHeight="1">
      <c r="A5394" s="1" t="s">
        <v>7625</v>
      </c>
      <c r="B5394" s="1" t="str">
        <f ca="1">IFERROR(__xludf.DUMMYFUNCTION("GOOGLETRANSLATE(A5394, ""en"", ""fr"")"),"INDÉCISION")</f>
        <v>INDÉCISION</v>
      </c>
      <c r="C5394" s="1" t="s">
        <v>185</v>
      </c>
      <c r="L5394" s="1" t="s">
        <v>8</v>
      </c>
      <c r="O5394" s="1" t="s">
        <v>11</v>
      </c>
      <c r="V5394" s="1" t="s">
        <v>18</v>
      </c>
      <c r="X5394" s="1" t="s">
        <v>20</v>
      </c>
      <c r="DL5394" s="1" t="s">
        <v>112</v>
      </c>
      <c r="FZ5394" s="1" t="s">
        <v>178</v>
      </c>
      <c r="GD5394" s="1" t="s">
        <v>193</v>
      </c>
      <c r="GE5394" s="1" t="s">
        <v>190</v>
      </c>
    </row>
    <row r="5395" spans="1:187" ht="11.25" customHeight="1">
      <c r="A5395" s="1" t="s">
        <v>7626</v>
      </c>
      <c r="B5395" s="1" t="str">
        <f ca="1">IFERROR(__xludf.DUMMYFUNCTION("GOOGLETRANSLATE(A5395, ""en"", ""fr"")"),"INDÉCIS")</f>
        <v>INDÉCIS</v>
      </c>
      <c r="C5395" s="1" t="s">
        <v>185</v>
      </c>
      <c r="L5395" s="1" t="s">
        <v>8</v>
      </c>
      <c r="O5395" s="1" t="s">
        <v>11</v>
      </c>
      <c r="V5395" s="1" t="s">
        <v>18</v>
      </c>
      <c r="X5395" s="1" t="s">
        <v>20</v>
      </c>
      <c r="DL5395" s="1" t="s">
        <v>112</v>
      </c>
      <c r="FZ5395" s="1" t="s">
        <v>178</v>
      </c>
      <c r="GD5395" s="1" t="s">
        <v>202</v>
      </c>
      <c r="GE5395" s="1" t="s">
        <v>190</v>
      </c>
    </row>
    <row r="5396" spans="1:187" ht="11.25" customHeight="1">
      <c r="A5396" s="1" t="s">
        <v>7627</v>
      </c>
      <c r="B5396" s="1" t="str">
        <f ca="1">IFERROR(__xludf.DUMMYFUNCTION("GOOGLETRANSLATE(A5396, ""en"", ""fr"")"),"INDÉCISION")</f>
        <v>INDÉCISION</v>
      </c>
      <c r="C5396" s="1" t="s">
        <v>185</v>
      </c>
      <c r="L5396" s="1" t="s">
        <v>8</v>
      </c>
      <c r="O5396" s="1" t="s">
        <v>11</v>
      </c>
      <c r="V5396" s="1" t="s">
        <v>18</v>
      </c>
      <c r="X5396" s="1" t="s">
        <v>20</v>
      </c>
      <c r="DL5396" s="1" t="s">
        <v>112</v>
      </c>
      <c r="FZ5396" s="1" t="s">
        <v>178</v>
      </c>
      <c r="GD5396" s="1" t="s">
        <v>193</v>
      </c>
      <c r="GE5396" s="1" t="s">
        <v>190</v>
      </c>
    </row>
    <row r="5397" spans="1:187" ht="11.25" customHeight="1">
      <c r="A5397" s="1" t="s">
        <v>7628</v>
      </c>
      <c r="B5397" s="1" t="str">
        <f ca="1">IFERROR(__xludf.DUMMYFUNCTION("GOOGLETRANSLATE(A5397, ""en"", ""fr"")"),"EN EFFET")</f>
        <v>EN EFFET</v>
      </c>
      <c r="C5397" s="1" t="s">
        <v>185</v>
      </c>
      <c r="W5397" s="1" t="s">
        <v>19</v>
      </c>
      <c r="FY5397" s="1" t="s">
        <v>177</v>
      </c>
      <c r="GD5397" s="1" t="s">
        <v>236</v>
      </c>
      <c r="GE5397" s="1" t="s">
        <v>7629</v>
      </c>
    </row>
    <row r="5398" spans="1:187" ht="11.25" customHeight="1">
      <c r="A5398" s="1" t="s">
        <v>7630</v>
      </c>
      <c r="B5398" s="1" t="str">
        <f ca="1">IFERROR(__xludf.DUMMYFUNCTION("GOOGLETRANSLATE(A5398, ""en"", ""fr"")"),"INDÉFINI")</f>
        <v>INDÉFINI</v>
      </c>
      <c r="C5398" s="1" t="s">
        <v>185</v>
      </c>
      <c r="E5398" s="1" t="s">
        <v>16613</v>
      </c>
      <c r="H5398" s="1" t="s">
        <v>4</v>
      </c>
      <c r="O5398" s="1" t="s">
        <v>11</v>
      </c>
      <c r="V5398" s="1" t="s">
        <v>18</v>
      </c>
      <c r="X5398" s="1" t="s">
        <v>20</v>
      </c>
      <c r="DL5398" s="1" t="s">
        <v>112</v>
      </c>
      <c r="FZ5398" s="1" t="s">
        <v>178</v>
      </c>
      <c r="GD5398" s="1" t="s">
        <v>202</v>
      </c>
      <c r="GE5398" s="1" t="s">
        <v>190</v>
      </c>
    </row>
    <row r="5399" spans="1:187" ht="11.25" customHeight="1">
      <c r="A5399" s="1" t="s">
        <v>7631</v>
      </c>
      <c r="B5399" s="1" t="str">
        <f ca="1">IFERROR(__xludf.DUMMYFUNCTION("GOOGLETRANSLATE(A5399, ""en"", ""fr"")"),"INDEMNITÉ")</f>
        <v>INDEMNITÉ</v>
      </c>
      <c r="C5399" s="1" t="s">
        <v>196</v>
      </c>
      <c r="EV5399" s="1" t="s">
        <v>148</v>
      </c>
      <c r="EW5399" s="1" t="s">
        <v>149</v>
      </c>
      <c r="GD5399" s="1" t="s">
        <v>875</v>
      </c>
    </row>
    <row r="5400" spans="1:187" ht="11.25" customHeight="1">
      <c r="A5400" s="1" t="s">
        <v>7632</v>
      </c>
      <c r="B5400" s="1" t="str">
        <f ca="1">IFERROR(__xludf.DUMMYFUNCTION("GOOGLETRANSLATE(A5400, ""en"", ""fr"")"),"INDÉPENDANCE")</f>
        <v>INDÉPENDANCE</v>
      </c>
      <c r="C5400" s="1" t="s">
        <v>185</v>
      </c>
      <c r="D5400" s="1" t="s">
        <v>16612</v>
      </c>
      <c r="F5400" s="1" t="s">
        <v>2</v>
      </c>
      <c r="J5400" s="1" t="s">
        <v>6</v>
      </c>
      <c r="Z5400" s="1" t="s">
        <v>22</v>
      </c>
      <c r="AG5400" s="1" t="s">
        <v>29</v>
      </c>
      <c r="AH5400" s="1" t="s">
        <v>30</v>
      </c>
      <c r="CP5400" s="1" t="s">
        <v>90</v>
      </c>
      <c r="CQ5400" s="1" t="s">
        <v>91</v>
      </c>
      <c r="EC5400" s="1" t="s">
        <v>129</v>
      </c>
      <c r="ED5400" s="1" t="s">
        <v>130</v>
      </c>
      <c r="GD5400" s="1" t="s">
        <v>193</v>
      </c>
      <c r="GE5400" s="1" t="s">
        <v>7633</v>
      </c>
    </row>
    <row r="5401" spans="1:187" ht="11.25" customHeight="1">
      <c r="A5401" s="1" t="s">
        <v>7634</v>
      </c>
      <c r="B5401" s="1" t="str">
        <f ca="1">IFERROR(__xludf.DUMMYFUNCTION("GOOGLETRANSLATE(A5401, ""en"", ""fr"")"),"Indépendant n ° 1")</f>
        <v>Indépendant n ° 1</v>
      </c>
      <c r="C5401" s="1" t="s">
        <v>185</v>
      </c>
      <c r="D5401" s="1" t="s">
        <v>16612</v>
      </c>
      <c r="F5401" s="1" t="s">
        <v>2</v>
      </c>
      <c r="J5401" s="1" t="s">
        <v>6</v>
      </c>
      <c r="Z5401" s="1" t="s">
        <v>22</v>
      </c>
      <c r="AG5401" s="1" t="s">
        <v>29</v>
      </c>
      <c r="AH5401" s="1" t="s">
        <v>30</v>
      </c>
      <c r="EC5401" s="1" t="s">
        <v>129</v>
      </c>
      <c r="ED5401" s="1" t="s">
        <v>130</v>
      </c>
      <c r="GD5401" s="1" t="s">
        <v>202</v>
      </c>
      <c r="GE5401" s="1" t="s">
        <v>7635</v>
      </c>
    </row>
    <row r="5402" spans="1:187" ht="11.25" customHeight="1">
      <c r="A5402" s="1" t="s">
        <v>7636</v>
      </c>
      <c r="B5402" s="1" t="str">
        <f ca="1">IFERROR(__xludf.DUMMYFUNCTION("GOOGLETRANSLATE(A5402, ""en"", ""fr"")"),"Indépendant # 2")</f>
        <v>Indépendant # 2</v>
      </c>
      <c r="C5402" s="1" t="s">
        <v>185</v>
      </c>
      <c r="D5402" s="1" t="s">
        <v>16612</v>
      </c>
      <c r="F5402" s="1" t="s">
        <v>2</v>
      </c>
      <c r="J5402" s="1" t="s">
        <v>6</v>
      </c>
      <c r="K5402" s="1" t="s">
        <v>7</v>
      </c>
      <c r="U5402" s="1" t="s">
        <v>17</v>
      </c>
      <c r="EC5402" s="1" t="s">
        <v>129</v>
      </c>
      <c r="ED5402" s="1" t="s">
        <v>130</v>
      </c>
      <c r="GD5402" s="1" t="s">
        <v>202</v>
      </c>
      <c r="GE5402" s="1" t="s">
        <v>7637</v>
      </c>
    </row>
    <row r="5403" spans="1:187" ht="11.25" customHeight="1">
      <c r="A5403" s="1" t="s">
        <v>7638</v>
      </c>
      <c r="B5403" s="1" t="str">
        <f ca="1">IFERROR(__xludf.DUMMYFUNCTION("GOOGLETRANSLATE(A5403, ""en"", ""fr"")"),"Indépendant # 3")</f>
        <v>Indépendant # 3</v>
      </c>
      <c r="C5403" s="1" t="s">
        <v>185</v>
      </c>
      <c r="AG5403" s="1" t="s">
        <v>29</v>
      </c>
      <c r="AH5403" s="1" t="s">
        <v>30</v>
      </c>
      <c r="AJ5403" s="1" t="s">
        <v>32</v>
      </c>
      <c r="AT5403" s="1" t="s">
        <v>42</v>
      </c>
      <c r="DZ5403" s="1" t="s">
        <v>126</v>
      </c>
      <c r="ED5403" s="1" t="s">
        <v>130</v>
      </c>
      <c r="GD5403" s="1" t="s">
        <v>193</v>
      </c>
      <c r="GE5403" s="1" t="s">
        <v>7639</v>
      </c>
    </row>
    <row r="5404" spans="1:187" ht="11.25" customHeight="1">
      <c r="A5404" s="1" t="s">
        <v>7640</v>
      </c>
      <c r="B5404" s="1" t="str">
        <f ca="1">IFERROR(__xludf.DUMMYFUNCTION("GOOGLETRANSLATE(A5404, ""en"", ""fr"")"),"Indépendant n ° 4")</f>
        <v>Indépendant n ° 4</v>
      </c>
      <c r="C5404" s="1" t="s">
        <v>185</v>
      </c>
      <c r="J5404" s="1" t="s">
        <v>6</v>
      </c>
      <c r="U5404" s="1" t="s">
        <v>17</v>
      </c>
      <c r="EC5404" s="1" t="s">
        <v>129</v>
      </c>
      <c r="ED5404" s="1" t="s">
        <v>130</v>
      </c>
      <c r="GD5404" s="1" t="s">
        <v>236</v>
      </c>
      <c r="GE5404" s="1" t="s">
        <v>7641</v>
      </c>
    </row>
    <row r="5405" spans="1:187" ht="11.25" customHeight="1">
      <c r="A5405" s="1" t="s">
        <v>7642</v>
      </c>
      <c r="B5405" s="1" t="str">
        <f ca="1">IFERROR(__xludf.DUMMYFUNCTION("GOOGLETRANSLATE(A5405, ""en"", ""fr"")"),"INDESCRIPTIBLE")</f>
        <v>INDESCRIPTIBLE</v>
      </c>
      <c r="C5405" s="1" t="s">
        <v>192</v>
      </c>
      <c r="D5405" s="1" t="s">
        <v>16612</v>
      </c>
      <c r="BK5405" s="1" t="s">
        <v>59</v>
      </c>
      <c r="CM5405" s="1" t="s">
        <v>87</v>
      </c>
      <c r="CR5405" s="1" t="s">
        <v>92</v>
      </c>
      <c r="DL5405" s="1" t="s">
        <v>112</v>
      </c>
      <c r="DR5405" s="1" t="s">
        <v>118</v>
      </c>
      <c r="GD5405" s="1" t="s">
        <v>202</v>
      </c>
      <c r="GE5405" s="1" t="s">
        <v>190</v>
      </c>
    </row>
    <row r="5406" spans="1:187" ht="11.25" customHeight="1">
      <c r="A5406" s="1" t="s">
        <v>7643</v>
      </c>
      <c r="B5406" s="1" t="str">
        <f ca="1">IFERROR(__xludf.DUMMYFUNCTION("GOOGLETRANSLATE(A5406, ""en"", ""fr"")"),"INDÉTERMINABLE")</f>
        <v>INDÉTERMINABLE</v>
      </c>
      <c r="C5406" s="1" t="s">
        <v>192</v>
      </c>
      <c r="E5406" s="1" t="s">
        <v>16613</v>
      </c>
      <c r="W5406" s="1" t="s">
        <v>19</v>
      </c>
      <c r="CK5406" s="1" t="s">
        <v>85</v>
      </c>
      <c r="DR5406" s="1" t="s">
        <v>118</v>
      </c>
      <c r="GD5406" s="1" t="s">
        <v>202</v>
      </c>
      <c r="GE5406" s="1" t="s">
        <v>190</v>
      </c>
    </row>
    <row r="5407" spans="1:187" ht="11.25" customHeight="1">
      <c r="A5407" s="1" t="s">
        <v>7644</v>
      </c>
      <c r="B5407" s="1" t="str">
        <f ca="1">IFERROR(__xludf.DUMMYFUNCTION("GOOGLETRANSLATE(A5407, ""en"", ""fr"")"),"INDÉTERMINÉ")</f>
        <v>INDÉTERMINÉ</v>
      </c>
      <c r="C5407" s="1" t="s">
        <v>192</v>
      </c>
      <c r="E5407" s="1" t="s">
        <v>16613</v>
      </c>
      <c r="W5407" s="1" t="s">
        <v>19</v>
      </c>
      <c r="CK5407" s="1" t="s">
        <v>85</v>
      </c>
      <c r="DR5407" s="1" t="s">
        <v>118</v>
      </c>
      <c r="GD5407" s="1" t="s">
        <v>202</v>
      </c>
      <c r="GE5407" s="1" t="s">
        <v>190</v>
      </c>
    </row>
    <row r="5408" spans="1:187" ht="11.25" customHeight="1">
      <c r="A5408" s="1" t="s">
        <v>7645</v>
      </c>
      <c r="B5408" s="1" t="str">
        <f ca="1">IFERROR(__xludf.DUMMYFUNCTION("GOOGLETRANSLATE(A5408, ""en"", ""fr"")"),"INDICE")</f>
        <v>INDICE</v>
      </c>
      <c r="C5408" s="1" t="s">
        <v>185</v>
      </c>
      <c r="BC5408" s="1" t="s">
        <v>51</v>
      </c>
      <c r="BH5408" s="1" t="s">
        <v>56</v>
      </c>
      <c r="BL5408" s="1" t="s">
        <v>60</v>
      </c>
      <c r="GD5408" s="1" t="s">
        <v>193</v>
      </c>
      <c r="GE5408" s="1" t="s">
        <v>190</v>
      </c>
    </row>
    <row r="5409" spans="1:187" ht="11.25" customHeight="1">
      <c r="A5409" s="1" t="s">
        <v>7646</v>
      </c>
      <c r="B5409" s="1" t="str">
        <f ca="1">IFERROR(__xludf.DUMMYFUNCTION("GOOGLETRANSLATE(A5409, ""en"", ""fr"")"),"INDE")</f>
        <v>INDE</v>
      </c>
      <c r="C5409" s="1" t="s">
        <v>185</v>
      </c>
      <c r="AC5409" s="1" t="s">
        <v>25</v>
      </c>
      <c r="AH5409" s="1" t="s">
        <v>30</v>
      </c>
      <c r="DI5409" s="1" t="s">
        <v>109</v>
      </c>
      <c r="FU5409" s="1" t="s">
        <v>173</v>
      </c>
      <c r="GD5409" s="1" t="s">
        <v>193</v>
      </c>
      <c r="GE5409" s="1" t="s">
        <v>190</v>
      </c>
    </row>
    <row r="5410" spans="1:187" ht="11.25" customHeight="1">
      <c r="A5410" s="1" t="s">
        <v>7647</v>
      </c>
      <c r="B5410" s="1" t="str">
        <f ca="1">IFERROR(__xludf.DUMMYFUNCTION("GOOGLETRANSLATE(A5410, ""en"", ""fr"")"),"INDIEN")</f>
        <v>INDIEN</v>
      </c>
      <c r="C5410" s="1" t="s">
        <v>185</v>
      </c>
      <c r="AC5410" s="1" t="s">
        <v>25</v>
      </c>
      <c r="AH5410" s="1" t="s">
        <v>30</v>
      </c>
      <c r="AO5410" s="1" t="s">
        <v>37</v>
      </c>
      <c r="DI5410" s="1" t="s">
        <v>109</v>
      </c>
      <c r="FU5410" s="1" t="s">
        <v>173</v>
      </c>
      <c r="GD5410" s="1" t="s">
        <v>193</v>
      </c>
      <c r="GE5410" s="1" t="s">
        <v>190</v>
      </c>
    </row>
    <row r="5411" spans="1:187" ht="11.25" customHeight="1">
      <c r="A5411" s="1" t="s">
        <v>7648</v>
      </c>
      <c r="B5411" s="1" t="str">
        <f ca="1">IFERROR(__xludf.DUMMYFUNCTION("GOOGLETRANSLATE(A5411, ""en"", ""fr"")"),"INDIANA")</f>
        <v>INDIANA</v>
      </c>
      <c r="C5411" s="1" t="s">
        <v>196</v>
      </c>
      <c r="GD5411" s="1" t="s">
        <v>653</v>
      </c>
    </row>
    <row r="5412" spans="1:187" ht="11.25" customHeight="1">
      <c r="A5412" s="1" t="s">
        <v>7649</v>
      </c>
      <c r="B5412" s="1" t="str">
        <f ca="1">IFERROR(__xludf.DUMMYFUNCTION("GOOGLETRANSLATE(A5412, ""en"", ""fr"")"),"INDIQUER")</f>
        <v>INDIQUER</v>
      </c>
      <c r="C5412" s="1" t="s">
        <v>185</v>
      </c>
      <c r="BK5412" s="1" t="s">
        <v>59</v>
      </c>
      <c r="DN5412" s="1" t="s">
        <v>114</v>
      </c>
      <c r="FD5412" s="1" t="s">
        <v>156</v>
      </c>
      <c r="FI5412" s="1" t="s">
        <v>161</v>
      </c>
      <c r="GD5412" s="1" t="s">
        <v>189</v>
      </c>
      <c r="GE5412" s="1" t="s">
        <v>7650</v>
      </c>
    </row>
    <row r="5413" spans="1:187" ht="11.25" customHeight="1">
      <c r="A5413" s="1" t="s">
        <v>7651</v>
      </c>
      <c r="B5413" s="1" t="str">
        <f ca="1">IFERROR(__xludf.DUMMYFUNCTION("GOOGLETRANSLATE(A5413, ""en"", ""fr"")"),"INDICATION")</f>
        <v>INDICATION</v>
      </c>
      <c r="C5413" s="1" t="s">
        <v>185</v>
      </c>
      <c r="CH5413" s="1" t="s">
        <v>82</v>
      </c>
      <c r="GD5413" s="1" t="s">
        <v>193</v>
      </c>
      <c r="GE5413" s="1" t="s">
        <v>190</v>
      </c>
    </row>
    <row r="5414" spans="1:187" ht="11.25" customHeight="1">
      <c r="A5414" s="1" t="s">
        <v>7652</v>
      </c>
      <c r="B5414" s="1" t="str">
        <f ca="1">IFERROR(__xludf.DUMMYFUNCTION("GOOGLETRANSLATE(A5414, ""en"", ""fr"")"),"INDICATIF")</f>
        <v>INDICATIF</v>
      </c>
      <c r="C5414" s="1" t="s">
        <v>192</v>
      </c>
      <c r="D5414" s="1" t="s">
        <v>16612</v>
      </c>
      <c r="BK5414" s="1" t="s">
        <v>59</v>
      </c>
      <c r="CI5414" s="1" t="s">
        <v>83</v>
      </c>
      <c r="DR5414" s="1" t="s">
        <v>118</v>
      </c>
      <c r="GD5414" s="1" t="s">
        <v>202</v>
      </c>
      <c r="GE5414" s="1" t="s">
        <v>190</v>
      </c>
    </row>
    <row r="5415" spans="1:187" ht="11.25" customHeight="1">
      <c r="A5415" s="1" t="s">
        <v>7653</v>
      </c>
      <c r="B5415" s="1" t="str">
        <f ca="1">IFERROR(__xludf.DUMMYFUNCTION("GOOGLETRANSLATE(A5415, ""en"", ""fr"")"),"Indices")</f>
        <v>Indices</v>
      </c>
      <c r="C5415" s="1" t="s">
        <v>185</v>
      </c>
      <c r="CH5415" s="1" t="s">
        <v>82</v>
      </c>
      <c r="GD5415" s="1" t="s">
        <v>193</v>
      </c>
      <c r="GE5415" s="1" t="s">
        <v>190</v>
      </c>
    </row>
    <row r="5416" spans="1:187" ht="11.25" customHeight="1">
      <c r="A5416" s="1" t="s">
        <v>7654</v>
      </c>
      <c r="B5416" s="1" t="str">
        <f ca="1">IFERROR(__xludf.DUMMYFUNCTION("GOOGLETRANSLATE(A5416, ""en"", ""fr"")"),"ACCUSATION")</f>
        <v>ACCUSATION</v>
      </c>
      <c r="C5416" s="1" t="s">
        <v>185</v>
      </c>
      <c r="E5416" s="1" t="s">
        <v>16613</v>
      </c>
      <c r="H5416" s="1" t="s">
        <v>4</v>
      </c>
      <c r="I5416" s="1" t="s">
        <v>5</v>
      </c>
      <c r="AE5416" s="1" t="s">
        <v>27</v>
      </c>
      <c r="AH5416" s="1" t="s">
        <v>30</v>
      </c>
      <c r="BK5416" s="1" t="s">
        <v>59</v>
      </c>
      <c r="BL5416" s="1" t="s">
        <v>60</v>
      </c>
      <c r="EE5416" s="1" t="s">
        <v>131</v>
      </c>
      <c r="EJ5416" s="1" t="s">
        <v>136</v>
      </c>
      <c r="GC5416" s="1" t="s">
        <v>181</v>
      </c>
      <c r="GD5416" s="1" t="s">
        <v>193</v>
      </c>
      <c r="GE5416" s="1" t="s">
        <v>190</v>
      </c>
    </row>
    <row r="5417" spans="1:187" ht="11.25" customHeight="1">
      <c r="A5417" s="1" t="s">
        <v>7655</v>
      </c>
      <c r="B5417" s="1" t="str">
        <f ca="1">IFERROR(__xludf.DUMMYFUNCTION("GOOGLETRANSLATE(A5417, ""en"", ""fr"")"),"Indes # 1")</f>
        <v>Indes # 1</v>
      </c>
      <c r="C5417" s="1" t="s">
        <v>196</v>
      </c>
      <c r="DV5417" s="1" t="s">
        <v>122</v>
      </c>
      <c r="ED5417" s="1" t="s">
        <v>130</v>
      </c>
      <c r="GD5417" s="1" t="s">
        <v>545</v>
      </c>
    </row>
    <row r="5418" spans="1:187" ht="11.25" customHeight="1">
      <c r="A5418" s="1" t="s">
        <v>7656</v>
      </c>
      <c r="B5418" s="1" t="str">
        <f ca="1">IFERROR(__xludf.DUMMYFUNCTION("GOOGLETRANSLATE(A5418, ""en"", ""fr"")"),"Indes # 2")</f>
        <v>Indes # 2</v>
      </c>
      <c r="C5418" s="1" t="s">
        <v>196</v>
      </c>
      <c r="GD5418" s="1" t="s">
        <v>193</v>
      </c>
    </row>
    <row r="5419" spans="1:187" ht="11.25" customHeight="1">
      <c r="A5419" s="1" t="s">
        <v>7657</v>
      </c>
      <c r="B5419" s="1" t="str">
        <f ca="1">IFERROR(__xludf.DUMMYFUNCTION("GOOGLETRANSLATE(A5419, ""en"", ""fr"")"),"INDIFFÉRENCE")</f>
        <v>INDIFFÉRENCE</v>
      </c>
      <c r="C5419" s="1" t="s">
        <v>185</v>
      </c>
      <c r="E5419" s="1" t="s">
        <v>16613</v>
      </c>
      <c r="H5419" s="1" t="s">
        <v>4</v>
      </c>
      <c r="O5419" s="1" t="s">
        <v>11</v>
      </c>
      <c r="S5419" s="1" t="s">
        <v>15</v>
      </c>
      <c r="T5419" s="1" t="s">
        <v>16</v>
      </c>
      <c r="EP5419" s="1" t="s">
        <v>142</v>
      </c>
      <c r="ES5419" s="1" t="s">
        <v>145</v>
      </c>
      <c r="GD5419" s="1" t="s">
        <v>193</v>
      </c>
      <c r="GE5419" s="1" t="s">
        <v>190</v>
      </c>
    </row>
    <row r="5420" spans="1:187" ht="11.25" customHeight="1">
      <c r="A5420" s="1" t="s">
        <v>7658</v>
      </c>
      <c r="B5420" s="1" t="str">
        <f ca="1">IFERROR(__xludf.DUMMYFUNCTION("GOOGLETRANSLATE(A5420, ""en"", ""fr"")"),"INDIFFÉRENT")</f>
        <v>INDIFFÉRENT</v>
      </c>
      <c r="C5420" s="1" t="s">
        <v>192</v>
      </c>
      <c r="E5420" s="1" t="s">
        <v>16613</v>
      </c>
      <c r="T5420" s="1" t="s">
        <v>16</v>
      </c>
      <c r="DL5420" s="1" t="s">
        <v>112</v>
      </c>
      <c r="DR5420" s="1" t="s">
        <v>118</v>
      </c>
      <c r="GD5420" s="1" t="s">
        <v>202</v>
      </c>
      <c r="GE5420" s="1" t="s">
        <v>190</v>
      </c>
    </row>
    <row r="5421" spans="1:187" ht="11.25" customHeight="1">
      <c r="A5421" s="1" t="s">
        <v>7659</v>
      </c>
      <c r="B5421" s="1" t="str">
        <f ca="1">IFERROR(__xludf.DUMMYFUNCTION("GOOGLETRANSLATE(A5421, ""en"", ""fr"")"),"INDIGNÉ")</f>
        <v>INDIGNÉ</v>
      </c>
      <c r="C5421" s="1" t="s">
        <v>196</v>
      </c>
      <c r="EE5421" s="1" t="s">
        <v>131</v>
      </c>
      <c r="EJ5421" s="1" t="s">
        <v>136</v>
      </c>
      <c r="GD5421" s="1" t="s">
        <v>202</v>
      </c>
    </row>
    <row r="5422" spans="1:187" ht="11.25" customHeight="1">
      <c r="A5422" s="1" t="s">
        <v>7660</v>
      </c>
      <c r="B5422" s="1" t="str">
        <f ca="1">IFERROR(__xludf.DUMMYFUNCTION("GOOGLETRANSLATE(A5422, ""en"", ""fr"")"),"INDIGNATION")</f>
        <v>INDIGNATION</v>
      </c>
      <c r="C5422" s="1" t="s">
        <v>192</v>
      </c>
      <c r="E5422" s="1" t="s">
        <v>16613</v>
      </c>
      <c r="I5422" s="1" t="s">
        <v>5</v>
      </c>
      <c r="Q5422" s="1" t="s">
        <v>13</v>
      </c>
      <c r="T5422" s="1" t="s">
        <v>16</v>
      </c>
      <c r="GD5422" s="1" t="s">
        <v>193</v>
      </c>
      <c r="GE5422" s="1" t="s">
        <v>190</v>
      </c>
    </row>
    <row r="5423" spans="1:187" ht="11.25" customHeight="1">
      <c r="A5423" s="1" t="s">
        <v>7661</v>
      </c>
      <c r="B5423" s="1" t="str">
        <f ca="1">IFERROR(__xludf.DUMMYFUNCTION("GOOGLETRANSLATE(A5423, ""en"", ""fr"")"),"INDIRECT")</f>
        <v>INDIRECT</v>
      </c>
      <c r="C5423" s="1" t="s">
        <v>185</v>
      </c>
      <c r="L5423" s="1" t="s">
        <v>8</v>
      </c>
      <c r="X5423" s="1" t="s">
        <v>20</v>
      </c>
      <c r="BQ5423" s="1" t="s">
        <v>65</v>
      </c>
      <c r="DL5423" s="1" t="s">
        <v>112</v>
      </c>
      <c r="GD5423" s="1" t="s">
        <v>202</v>
      </c>
      <c r="GE5423" s="1" t="s">
        <v>190</v>
      </c>
    </row>
    <row r="5424" spans="1:187" ht="11.25" customHeight="1">
      <c r="A5424" s="1" t="s">
        <v>7662</v>
      </c>
      <c r="B5424" s="1" t="str">
        <f ca="1">IFERROR(__xludf.DUMMYFUNCTION("GOOGLETRANSLATE(A5424, ""en"", ""fr"")"),"Indispensabilité")</f>
        <v>Indispensabilité</v>
      </c>
      <c r="C5424" s="1" t="s">
        <v>192</v>
      </c>
      <c r="D5424" s="1" t="s">
        <v>16612</v>
      </c>
      <c r="J5424" s="1" t="s">
        <v>6</v>
      </c>
      <c r="K5424" s="1" t="s">
        <v>7</v>
      </c>
      <c r="U5424" s="1" t="s">
        <v>17</v>
      </c>
      <c r="GD5424" s="1" t="s">
        <v>193</v>
      </c>
      <c r="GE5424" s="1" t="s">
        <v>190</v>
      </c>
    </row>
    <row r="5425" spans="1:187" ht="11.25" customHeight="1">
      <c r="A5425" s="1" t="s">
        <v>7663</v>
      </c>
      <c r="B5425" s="1" t="str">
        <f ca="1">IFERROR(__xludf.DUMMYFUNCTION("GOOGLETRANSLATE(A5425, ""en"", ""fr"")"),"INDISPENSABLE")</f>
        <v>INDISPENSABLE</v>
      </c>
      <c r="C5425" s="1" t="s">
        <v>185</v>
      </c>
      <c r="D5425" s="1" t="s">
        <v>16612</v>
      </c>
      <c r="F5425" s="1" t="s">
        <v>2</v>
      </c>
      <c r="J5425" s="1" t="s">
        <v>6</v>
      </c>
      <c r="W5425" s="1" t="s">
        <v>19</v>
      </c>
      <c r="BQ5425" s="1" t="s">
        <v>65</v>
      </c>
      <c r="FR5425" s="1" t="s">
        <v>170</v>
      </c>
      <c r="GD5425" s="1" t="s">
        <v>202</v>
      </c>
      <c r="GE5425" s="1" t="s">
        <v>190</v>
      </c>
    </row>
    <row r="5426" spans="1:187" ht="11.25" customHeight="1">
      <c r="A5426" s="1" t="s">
        <v>7664</v>
      </c>
      <c r="B5426" s="1" t="str">
        <f ca="1">IFERROR(__xludf.DUMMYFUNCTION("GOOGLETRANSLATE(A5426, ""en"", ""fr"")"),"INCONTESTABLE")</f>
        <v>INCONTESTABLE</v>
      </c>
      <c r="C5426" s="1" t="s">
        <v>185</v>
      </c>
      <c r="J5426" s="1" t="s">
        <v>6</v>
      </c>
      <c r="U5426" s="1" t="s">
        <v>17</v>
      </c>
      <c r="W5426" s="1" t="s">
        <v>19</v>
      </c>
      <c r="DL5426" s="1" t="s">
        <v>112</v>
      </c>
      <c r="FY5426" s="1" t="s">
        <v>177</v>
      </c>
      <c r="GD5426" s="1" t="s">
        <v>202</v>
      </c>
      <c r="GE5426" s="1" t="s">
        <v>190</v>
      </c>
    </row>
    <row r="5427" spans="1:187" ht="11.25" customHeight="1">
      <c r="A5427" s="1" t="s">
        <v>7665</v>
      </c>
      <c r="B5427" s="1" t="str">
        <f ca="1">IFERROR(__xludf.DUMMYFUNCTION("GOOGLETRANSLATE(A5427, ""en"", ""fr"")"),"INDISTINCT")</f>
        <v>INDISTINCT</v>
      </c>
      <c r="C5427" s="1" t="s">
        <v>185</v>
      </c>
      <c r="X5427" s="1" t="s">
        <v>20</v>
      </c>
      <c r="CK5427" s="1" t="s">
        <v>85</v>
      </c>
      <c r="DL5427" s="1" t="s">
        <v>112</v>
      </c>
      <c r="GD5427" s="1" t="s">
        <v>202</v>
      </c>
      <c r="GE5427" s="1" t="s">
        <v>190</v>
      </c>
    </row>
    <row r="5428" spans="1:187" ht="11.25" customHeight="1">
      <c r="A5428" s="1" t="s">
        <v>7666</v>
      </c>
      <c r="B5428" s="1" t="str">
        <f ca="1">IFERROR(__xludf.DUMMYFUNCTION("GOOGLETRANSLATE(A5428, ""en"", ""fr"")"),"INDISCERNABLE")</f>
        <v>INDISCERNABLE</v>
      </c>
      <c r="C5428" s="1" t="s">
        <v>185</v>
      </c>
      <c r="X5428" s="1" t="s">
        <v>20</v>
      </c>
      <c r="CK5428" s="1" t="s">
        <v>85</v>
      </c>
      <c r="DL5428" s="1" t="s">
        <v>112</v>
      </c>
      <c r="GD5428" s="1" t="s">
        <v>202</v>
      </c>
      <c r="GE5428" s="1" t="s">
        <v>190</v>
      </c>
    </row>
    <row r="5429" spans="1:187" ht="11.25" customHeight="1">
      <c r="A5429" s="1" t="s">
        <v>7667</v>
      </c>
      <c r="B5429" s="1" t="str">
        <f ca="1">IFERROR(__xludf.DUMMYFUNCTION("GOOGLETRANSLATE(A5429, ""en"", ""fr"")"),"Individu # 1")</f>
        <v>Individu # 1</v>
      </c>
      <c r="C5429" s="1" t="s">
        <v>185</v>
      </c>
      <c r="AJ5429" s="1" t="s">
        <v>32</v>
      </c>
      <c r="AT5429" s="1" t="s">
        <v>42</v>
      </c>
      <c r="FT5429" s="1" t="s">
        <v>172</v>
      </c>
      <c r="GD5429" s="1" t="s">
        <v>193</v>
      </c>
      <c r="GE5429" s="1" t="s">
        <v>7668</v>
      </c>
    </row>
    <row r="5430" spans="1:187" ht="11.25" customHeight="1">
      <c r="A5430" s="1" t="s">
        <v>7669</v>
      </c>
      <c r="B5430" s="1" t="str">
        <f ca="1">IFERROR(__xludf.DUMMYFUNCTION("GOOGLETRANSLATE(A5430, ""en"", ""fr"")"),"Individu # 2")</f>
        <v>Individu # 2</v>
      </c>
      <c r="C5430" s="1" t="s">
        <v>185</v>
      </c>
      <c r="CS5430" s="1" t="s">
        <v>93</v>
      </c>
      <c r="GD5430" s="1" t="s">
        <v>2464</v>
      </c>
      <c r="GE5430" s="1" t="s">
        <v>7670</v>
      </c>
    </row>
    <row r="5431" spans="1:187" ht="11.25" customHeight="1">
      <c r="A5431" s="1" t="s">
        <v>7671</v>
      </c>
      <c r="B5431" s="1" t="str">
        <f ca="1">IFERROR(__xludf.DUMMYFUNCTION("GOOGLETRANSLATE(A5431, ""en"", ""fr"")"),"Individu # 3")</f>
        <v>Individu # 3</v>
      </c>
      <c r="C5431" s="1" t="s">
        <v>185</v>
      </c>
      <c r="CS5431" s="1" t="s">
        <v>93</v>
      </c>
      <c r="GD5431" s="1" t="s">
        <v>236</v>
      </c>
      <c r="GE5431" s="1" t="s">
        <v>7672</v>
      </c>
    </row>
    <row r="5432" spans="1:187" ht="11.25" customHeight="1">
      <c r="A5432" s="1" t="s">
        <v>7673</v>
      </c>
      <c r="B5432" s="1" t="str">
        <f ca="1">IFERROR(__xludf.DUMMYFUNCTION("GOOGLETRANSLATE(A5432, ""en"", ""fr"")"),"INDIVIDUALITÉ")</f>
        <v>INDIVIDUALITÉ</v>
      </c>
      <c r="C5432" s="1" t="s">
        <v>185</v>
      </c>
      <c r="D5432" s="1" t="s">
        <v>16612</v>
      </c>
      <c r="W5432" s="1" t="s">
        <v>19</v>
      </c>
      <c r="EM5432" s="1" t="s">
        <v>139</v>
      </c>
      <c r="EN5432" s="1" t="s">
        <v>140</v>
      </c>
      <c r="GD5432" s="1" t="s">
        <v>193</v>
      </c>
      <c r="GE5432" s="1" t="s">
        <v>190</v>
      </c>
    </row>
    <row r="5433" spans="1:187" ht="11.25" customHeight="1">
      <c r="A5433" s="1" t="s">
        <v>7674</v>
      </c>
      <c r="B5433" s="1" t="str">
        <f ca="1">IFERROR(__xludf.DUMMYFUNCTION("GOOGLETRANSLATE(A5433, ""en"", ""fr"")"),"INDIVISIBLE")</f>
        <v>INDIVISIBLE</v>
      </c>
      <c r="C5433" s="1" t="s">
        <v>196</v>
      </c>
      <c r="GD5433" s="1" t="s">
        <v>202</v>
      </c>
    </row>
    <row r="5434" spans="1:187" ht="11.25" customHeight="1">
      <c r="A5434" s="1" t="s">
        <v>7675</v>
      </c>
      <c r="B5434" s="1" t="str">
        <f ca="1">IFERROR(__xludf.DUMMYFUNCTION("GOOGLETRANSLATE(A5434, ""en"", ""fr"")"),"INDOCHINE")</f>
        <v>INDOCHINE</v>
      </c>
      <c r="C5434" s="1" t="s">
        <v>196</v>
      </c>
      <c r="DV5434" s="1" t="s">
        <v>122</v>
      </c>
      <c r="ED5434" s="1" t="s">
        <v>130</v>
      </c>
      <c r="GD5434" s="1" t="s">
        <v>470</v>
      </c>
    </row>
    <row r="5435" spans="1:187" ht="11.25" customHeight="1">
      <c r="A5435" s="1" t="s">
        <v>7676</v>
      </c>
      <c r="B5435" s="1" t="str">
        <f ca="1">IFERROR(__xludf.DUMMYFUNCTION("GOOGLETRANSLATE(A5435, ""en"", ""fr"")"),"INDOMPTABLE")</f>
        <v>INDOMPTABLE</v>
      </c>
      <c r="C5435" s="1" t="s">
        <v>192</v>
      </c>
      <c r="D5435" s="1" t="s">
        <v>16612</v>
      </c>
      <c r="J5435" s="1" t="s">
        <v>6</v>
      </c>
      <c r="K5435" s="1" t="s">
        <v>7</v>
      </c>
      <c r="DR5435" s="1" t="s">
        <v>118</v>
      </c>
      <c r="GD5435" s="1" t="s">
        <v>202</v>
      </c>
      <c r="GE5435" s="1" t="s">
        <v>190</v>
      </c>
    </row>
    <row r="5436" spans="1:187" ht="11.25" customHeight="1">
      <c r="A5436" s="1" t="s">
        <v>7677</v>
      </c>
      <c r="B5436" s="1" t="str">
        <f ca="1">IFERROR(__xludf.DUMMYFUNCTION("GOOGLETRANSLATE(A5436, ""en"", ""fr"")"),"INDONÉSIE")</f>
        <v>INDONÉSIE</v>
      </c>
      <c r="C5436" s="1" t="s">
        <v>196</v>
      </c>
      <c r="FU5436" s="1" t="s">
        <v>173</v>
      </c>
      <c r="GD5436" s="1" t="s">
        <v>545</v>
      </c>
    </row>
    <row r="5437" spans="1:187" ht="11.25" customHeight="1">
      <c r="A5437" s="1" t="s">
        <v>7678</v>
      </c>
      <c r="B5437" s="1" t="str">
        <f ca="1">IFERROR(__xludf.DUMMYFUNCTION("GOOGLETRANSLATE(A5437, ""en"", ""fr"")"),"INDUIRE")</f>
        <v>INDUIRE</v>
      </c>
      <c r="C5437" s="1" t="s">
        <v>185</v>
      </c>
      <c r="J5437" s="1" t="s">
        <v>6</v>
      </c>
      <c r="K5437" s="1" t="s">
        <v>7</v>
      </c>
      <c r="N5437" s="1" t="s">
        <v>10</v>
      </c>
      <c r="BV5437" s="1" t="s">
        <v>70</v>
      </c>
      <c r="DN5437" s="1" t="s">
        <v>114</v>
      </c>
      <c r="GD5437" s="1" t="s">
        <v>189</v>
      </c>
      <c r="GE5437" s="1" t="s">
        <v>190</v>
      </c>
    </row>
    <row r="5438" spans="1:187" ht="11.25" customHeight="1">
      <c r="A5438" s="1" t="s">
        <v>7679</v>
      </c>
      <c r="B5438" s="1" t="str">
        <f ca="1">IFERROR(__xludf.DUMMYFUNCTION("GOOGLETRANSLATE(A5438, ""en"", ""fr"")"),"Se livrer à")</f>
        <v>Se livrer à</v>
      </c>
      <c r="C5438" s="1" t="s">
        <v>185</v>
      </c>
      <c r="E5438" s="1" t="s">
        <v>16613</v>
      </c>
      <c r="H5438" s="1" t="s">
        <v>4</v>
      </c>
      <c r="N5438" s="1" t="s">
        <v>10</v>
      </c>
      <c r="BP5438" s="1" t="s">
        <v>64</v>
      </c>
      <c r="DN5438" s="1" t="s">
        <v>114</v>
      </c>
      <c r="GD5438" s="1" t="s">
        <v>189</v>
      </c>
      <c r="GE5438" s="1" t="s">
        <v>190</v>
      </c>
    </row>
    <row r="5439" spans="1:187" ht="11.25" customHeight="1">
      <c r="A5439" s="1" t="s">
        <v>7680</v>
      </c>
      <c r="B5439" s="1" t="str">
        <f ca="1">IFERROR(__xludf.DUMMYFUNCTION("GOOGLETRANSLATE(A5439, ""en"", ""fr"")"),"INDULGENCE")</f>
        <v>INDULGENCE</v>
      </c>
      <c r="C5439" s="1" t="s">
        <v>192</v>
      </c>
      <c r="D5439" s="1" t="s">
        <v>16612</v>
      </c>
      <c r="P5439" s="1" t="s">
        <v>12</v>
      </c>
      <c r="S5439" s="1" t="s">
        <v>15</v>
      </c>
      <c r="W5439" s="1" t="s">
        <v>19</v>
      </c>
      <c r="GD5439" s="1" t="s">
        <v>193</v>
      </c>
      <c r="GE5439" s="1" t="s">
        <v>190</v>
      </c>
    </row>
    <row r="5440" spans="1:187" ht="11.25" customHeight="1">
      <c r="A5440" s="1" t="s">
        <v>7681</v>
      </c>
      <c r="B5440" s="1" t="str">
        <f ca="1">IFERROR(__xludf.DUMMYFUNCTION("GOOGLETRANSLATE(A5440, ""en"", ""fr"")"),"INDUSTRIEL")</f>
        <v>INDUSTRIEL</v>
      </c>
      <c r="C5440" s="1" t="s">
        <v>185</v>
      </c>
      <c r="J5440" s="1" t="s">
        <v>6</v>
      </c>
      <c r="Z5440" s="1" t="s">
        <v>22</v>
      </c>
      <c r="AA5440" s="1" t="s">
        <v>23</v>
      </c>
      <c r="AC5440" s="1" t="s">
        <v>25</v>
      </c>
      <c r="EV5440" s="1" t="s">
        <v>148</v>
      </c>
      <c r="EW5440" s="1" t="s">
        <v>149</v>
      </c>
      <c r="GD5440" s="1" t="s">
        <v>202</v>
      </c>
      <c r="GE5440" s="1" t="s">
        <v>190</v>
      </c>
    </row>
    <row r="5441" spans="1:187" ht="11.25" customHeight="1">
      <c r="A5441" s="1" t="s">
        <v>7682</v>
      </c>
      <c r="B5441" s="1" t="str">
        <f ca="1">IFERROR(__xludf.DUMMYFUNCTION("GOOGLETRANSLATE(A5441, ""en"", ""fr"")"),"Industrialisme")</f>
        <v>Industrialisme</v>
      </c>
      <c r="C5441" s="1" t="s">
        <v>196</v>
      </c>
      <c r="EV5441" s="1" t="s">
        <v>148</v>
      </c>
      <c r="EW5441" s="1" t="s">
        <v>149</v>
      </c>
      <c r="GD5441" s="1" t="s">
        <v>193</v>
      </c>
    </row>
    <row r="5442" spans="1:187" ht="11.25" customHeight="1">
      <c r="A5442" s="1" t="s">
        <v>7683</v>
      </c>
      <c r="B5442" s="1" t="str">
        <f ca="1">IFERROR(__xludf.DUMMYFUNCTION("GOOGLETRANSLATE(A5442, ""en"", ""fr"")"),"INDUSTRIALISER")</f>
        <v>INDUSTRIALISER</v>
      </c>
      <c r="C5442" s="1" t="s">
        <v>185</v>
      </c>
      <c r="J5442" s="1" t="s">
        <v>6</v>
      </c>
      <c r="AA5442" s="1" t="s">
        <v>23</v>
      </c>
      <c r="AL5442" s="1" t="s">
        <v>34</v>
      </c>
      <c r="DN5442" s="1" t="s">
        <v>114</v>
      </c>
      <c r="EV5442" s="1" t="s">
        <v>148</v>
      </c>
      <c r="EW5442" s="1" t="s">
        <v>149</v>
      </c>
      <c r="GD5442" s="1" t="s">
        <v>189</v>
      </c>
      <c r="GE5442" s="1" t="s">
        <v>190</v>
      </c>
    </row>
    <row r="5443" spans="1:187" ht="11.25" customHeight="1">
      <c r="A5443" s="1" t="s">
        <v>7684</v>
      </c>
      <c r="B5443" s="1" t="str">
        <f ca="1">IFERROR(__xludf.DUMMYFUNCTION("GOOGLETRANSLATE(A5443, ""en"", ""fr"")"),"INDUSTRIEUX")</f>
        <v>INDUSTRIEUX</v>
      </c>
      <c r="C5443" s="1" t="s">
        <v>185</v>
      </c>
      <c r="D5443" s="1" t="s">
        <v>16612</v>
      </c>
      <c r="J5443" s="1" t="s">
        <v>6</v>
      </c>
      <c r="AL5443" s="1" t="s">
        <v>34</v>
      </c>
      <c r="BP5443" s="1" t="s">
        <v>64</v>
      </c>
      <c r="DR5443" s="1" t="s">
        <v>118</v>
      </c>
      <c r="EV5443" s="1" t="s">
        <v>148</v>
      </c>
      <c r="EW5443" s="1" t="s">
        <v>149</v>
      </c>
      <c r="GD5443" s="1" t="s">
        <v>202</v>
      </c>
      <c r="GE5443" s="1" t="s">
        <v>190</v>
      </c>
    </row>
    <row r="5444" spans="1:187" ht="11.25" customHeight="1">
      <c r="A5444" s="1" t="s">
        <v>7685</v>
      </c>
      <c r="B5444" s="1" t="str">
        <f ca="1">IFERROR(__xludf.DUMMYFUNCTION("GOOGLETRANSLATE(A5444, ""en"", ""fr"")"),"INDUSTRIE")</f>
        <v>INDUSTRIE</v>
      </c>
      <c r="C5444" s="1" t="s">
        <v>185</v>
      </c>
      <c r="J5444" s="1" t="s">
        <v>6</v>
      </c>
      <c r="Z5444" s="1" t="s">
        <v>22</v>
      </c>
      <c r="AA5444" s="1" t="s">
        <v>23</v>
      </c>
      <c r="AC5444" s="1" t="s">
        <v>25</v>
      </c>
      <c r="EV5444" s="1" t="s">
        <v>148</v>
      </c>
      <c r="EW5444" s="1" t="s">
        <v>149</v>
      </c>
      <c r="GD5444" s="1" t="s">
        <v>193</v>
      </c>
      <c r="GE5444" s="1" t="s">
        <v>7686</v>
      </c>
    </row>
    <row r="5445" spans="1:187" ht="11.25" customHeight="1">
      <c r="A5445" s="1" t="s">
        <v>7687</v>
      </c>
      <c r="B5445" s="1" t="str">
        <f ca="1">IFERROR(__xludf.DUMMYFUNCTION("GOOGLETRANSLATE(A5445, ""en"", ""fr"")"),"INEFFICACE")</f>
        <v>INEFFICACE</v>
      </c>
      <c r="C5445" s="1" t="s">
        <v>185</v>
      </c>
      <c r="E5445" s="1" t="s">
        <v>16613</v>
      </c>
      <c r="BT5445" s="1" t="s">
        <v>68</v>
      </c>
      <c r="CA5445" s="1" t="s">
        <v>75</v>
      </c>
      <c r="DR5445" s="1" t="s">
        <v>118</v>
      </c>
      <c r="FQ5445" s="1" t="s">
        <v>169</v>
      </c>
      <c r="GD5445" s="1" t="s">
        <v>202</v>
      </c>
      <c r="GE5445" s="1" t="s">
        <v>190</v>
      </c>
    </row>
    <row r="5446" spans="1:187" ht="11.25" customHeight="1">
      <c r="A5446" s="1" t="s">
        <v>7688</v>
      </c>
      <c r="B5446" s="1" t="str">
        <f ca="1">IFERROR(__xludf.DUMMYFUNCTION("GOOGLETRANSLATE(A5446, ""en"", ""fr"")"),"Inefficacité")</f>
        <v>Inefficacité</v>
      </c>
      <c r="C5446" s="1" t="s">
        <v>192</v>
      </c>
      <c r="E5446" s="1" t="s">
        <v>16613</v>
      </c>
      <c r="BT5446" s="1" t="s">
        <v>68</v>
      </c>
      <c r="CA5446" s="1" t="s">
        <v>75</v>
      </c>
      <c r="GD5446" s="1" t="s">
        <v>193</v>
      </c>
      <c r="GE5446" s="1" t="s">
        <v>190</v>
      </c>
    </row>
    <row r="5447" spans="1:187" ht="11.25" customHeight="1">
      <c r="A5447" s="1" t="s">
        <v>7689</v>
      </c>
      <c r="B5447" s="1" t="str">
        <f ca="1">IFERROR(__xludf.DUMMYFUNCTION("GOOGLETRANSLATE(A5447, ""en"", ""fr"")"),"INEFFICACE")</f>
        <v>INEFFICACE</v>
      </c>
      <c r="C5447" s="1" t="s">
        <v>185</v>
      </c>
      <c r="E5447" s="1" t="s">
        <v>16613</v>
      </c>
      <c r="BT5447" s="1" t="s">
        <v>68</v>
      </c>
      <c r="CA5447" s="1" t="s">
        <v>75</v>
      </c>
      <c r="DR5447" s="1" t="s">
        <v>118</v>
      </c>
      <c r="FQ5447" s="1" t="s">
        <v>169</v>
      </c>
      <c r="GD5447" s="1" t="s">
        <v>202</v>
      </c>
      <c r="GE5447" s="1" t="s">
        <v>190</v>
      </c>
    </row>
    <row r="5448" spans="1:187" ht="11.25" customHeight="1">
      <c r="A5448" s="1" t="s">
        <v>7690</v>
      </c>
      <c r="B5448" s="1" t="str">
        <f ca="1">IFERROR(__xludf.DUMMYFUNCTION("GOOGLETRANSLATE(A5448, ""en"", ""fr"")"),"Inefficace")</f>
        <v>Inefficace</v>
      </c>
      <c r="C5448" s="1" t="s">
        <v>192</v>
      </c>
      <c r="E5448" s="1" t="s">
        <v>16613</v>
      </c>
      <c r="BT5448" s="1" t="s">
        <v>68</v>
      </c>
      <c r="CA5448" s="1" t="s">
        <v>75</v>
      </c>
      <c r="GD5448" s="1" t="s">
        <v>193</v>
      </c>
      <c r="GE5448" s="1" t="s">
        <v>190</v>
      </c>
    </row>
    <row r="5449" spans="1:187" ht="11.25" customHeight="1">
      <c r="A5449" s="1" t="s">
        <v>7691</v>
      </c>
      <c r="B5449" s="1" t="str">
        <f ca="1">IFERROR(__xludf.DUMMYFUNCTION("GOOGLETRANSLATE(A5449, ""en"", ""fr"")"),"INEFFICACITÉ")</f>
        <v>INEFFICACITÉ</v>
      </c>
      <c r="C5449" s="1" t="s">
        <v>192</v>
      </c>
      <c r="E5449" s="1" t="s">
        <v>16613</v>
      </c>
      <c r="AL5449" s="1" t="s">
        <v>34</v>
      </c>
      <c r="BT5449" s="1" t="s">
        <v>68</v>
      </c>
      <c r="CA5449" s="1" t="s">
        <v>75</v>
      </c>
      <c r="GD5449" s="1" t="s">
        <v>193</v>
      </c>
      <c r="GE5449" s="1" t="s">
        <v>190</v>
      </c>
    </row>
    <row r="5450" spans="1:187" ht="11.25" customHeight="1">
      <c r="A5450" s="1" t="s">
        <v>7692</v>
      </c>
      <c r="B5450" s="1" t="str">
        <f ca="1">IFERROR(__xludf.DUMMYFUNCTION("GOOGLETRANSLATE(A5450, ""en"", ""fr"")"),"INEPTE")</f>
        <v>INEPTE</v>
      </c>
      <c r="C5450" s="1" t="s">
        <v>196</v>
      </c>
      <c r="FL5450" s="1" t="s">
        <v>164</v>
      </c>
      <c r="FM5450" s="1" t="s">
        <v>418</v>
      </c>
      <c r="GD5450" s="1" t="s">
        <v>202</v>
      </c>
    </row>
    <row r="5451" spans="1:187" ht="11.25" customHeight="1">
      <c r="A5451" s="1" t="s">
        <v>7693</v>
      </c>
      <c r="B5451" s="1" t="str">
        <f ca="1">IFERROR(__xludf.DUMMYFUNCTION("GOOGLETRANSLATE(A5451, ""en"", ""fr"")"),"INÉGALITÉ")</f>
        <v>INÉGALITÉ</v>
      </c>
      <c r="C5451" s="1" t="s">
        <v>185</v>
      </c>
      <c r="E5451" s="1" t="s">
        <v>16613</v>
      </c>
      <c r="AN5451" s="1" t="s">
        <v>36</v>
      </c>
      <c r="CM5451" s="1" t="s">
        <v>87</v>
      </c>
      <c r="CR5451" s="1" t="s">
        <v>92</v>
      </c>
      <c r="EL5451" s="1" t="s">
        <v>138</v>
      </c>
      <c r="EN5451" s="1" t="s">
        <v>140</v>
      </c>
      <c r="GD5451" s="1" t="s">
        <v>193</v>
      </c>
      <c r="GE5451" s="1" t="s">
        <v>190</v>
      </c>
    </row>
    <row r="5452" spans="1:187" ht="11.25" customHeight="1">
      <c r="A5452" s="1" t="s">
        <v>7694</v>
      </c>
      <c r="B5452" s="1" t="str">
        <f ca="1">IFERROR(__xludf.DUMMYFUNCTION("GOOGLETRANSLATE(A5452, ""en"", ""fr"")"),"INÉQUITABLE")</f>
        <v>INÉQUITABLE</v>
      </c>
      <c r="C5452" s="1" t="s">
        <v>196</v>
      </c>
      <c r="EE5452" s="1" t="s">
        <v>131</v>
      </c>
      <c r="EJ5452" s="1" t="s">
        <v>136</v>
      </c>
      <c r="GD5452" s="1" t="s">
        <v>202</v>
      </c>
    </row>
    <row r="5453" spans="1:187" ht="11.25" customHeight="1">
      <c r="A5453" s="1" t="s">
        <v>7695</v>
      </c>
      <c r="B5453" s="1" t="str">
        <f ca="1">IFERROR(__xludf.DUMMYFUNCTION("GOOGLETRANSLATE(A5453, ""en"", ""fr"")"),"INIQUITÉ")</f>
        <v>INIQUITÉ</v>
      </c>
      <c r="C5453" s="1" t="s">
        <v>196</v>
      </c>
      <c r="EE5453" s="1" t="s">
        <v>131</v>
      </c>
      <c r="EJ5453" s="1" t="s">
        <v>136</v>
      </c>
      <c r="GD5453" s="1" t="s">
        <v>193</v>
      </c>
    </row>
    <row r="5454" spans="1:187" ht="11.25" customHeight="1">
      <c r="A5454" s="1" t="s">
        <v>7696</v>
      </c>
      <c r="B5454" s="1" t="str">
        <f ca="1">IFERROR(__xludf.DUMMYFUNCTION("GOOGLETRANSLATE(A5454, ""en"", ""fr"")"),"INESTIMABLE")</f>
        <v>INESTIMABLE</v>
      </c>
      <c r="C5454" s="1" t="s">
        <v>196</v>
      </c>
      <c r="FY5454" s="1" t="s">
        <v>177</v>
      </c>
      <c r="GD5454" s="1" t="s">
        <v>202</v>
      </c>
    </row>
    <row r="5455" spans="1:187" ht="11.25" customHeight="1">
      <c r="A5455" s="1" t="s">
        <v>7697</v>
      </c>
      <c r="B5455" s="1" t="str">
        <f ca="1">IFERROR(__xludf.DUMMYFUNCTION("GOOGLETRANSLATE(A5455, ""en"", ""fr"")"),"Inetrans")</f>
        <v>Inetrans</v>
      </c>
      <c r="C5455" s="1" t="s">
        <v>196</v>
      </c>
      <c r="GD5455" s="1" t="s">
        <v>202</v>
      </c>
    </row>
    <row r="5456" spans="1:187" ht="11.25" customHeight="1">
      <c r="A5456" s="1" t="s">
        <v>7698</v>
      </c>
      <c r="B5456" s="1" t="str">
        <f ca="1">IFERROR(__xludf.DUMMYFUNCTION("GOOGLETRANSLATE(A5456, ""en"", ""fr"")"),"INÉVITABILITÉ")</f>
        <v>INÉVITABILITÉ</v>
      </c>
      <c r="C5456" s="1" t="s">
        <v>185</v>
      </c>
      <c r="J5456" s="1" t="s">
        <v>6</v>
      </c>
      <c r="W5456" s="1" t="s">
        <v>19</v>
      </c>
      <c r="BR5456" s="1" t="s">
        <v>66</v>
      </c>
      <c r="FY5456" s="1" t="s">
        <v>177</v>
      </c>
      <c r="GD5456" s="1" t="s">
        <v>193</v>
      </c>
      <c r="GE5456" s="1" t="s">
        <v>190</v>
      </c>
    </row>
    <row r="5457" spans="1:187" ht="11.25" customHeight="1">
      <c r="A5457" s="1" t="s">
        <v>7699</v>
      </c>
      <c r="B5457" s="1" t="str">
        <f ca="1">IFERROR(__xludf.DUMMYFUNCTION("GOOGLETRANSLATE(A5457, ""en"", ""fr"")"),"INÉVITABLE")</f>
        <v>INÉVITABLE</v>
      </c>
      <c r="C5457" s="1" t="s">
        <v>185</v>
      </c>
      <c r="J5457" s="1" t="s">
        <v>6</v>
      </c>
      <c r="W5457" s="1" t="s">
        <v>19</v>
      </c>
      <c r="BR5457" s="1" t="s">
        <v>66</v>
      </c>
      <c r="FY5457" s="1" t="s">
        <v>177</v>
      </c>
      <c r="GD5457" s="1" t="s">
        <v>202</v>
      </c>
      <c r="GE5457" s="1" t="s">
        <v>7700</v>
      </c>
    </row>
    <row r="5458" spans="1:187" ht="11.25" customHeight="1">
      <c r="A5458" s="1" t="s">
        <v>7701</v>
      </c>
      <c r="B5458" s="1" t="str">
        <f ca="1">IFERROR(__xludf.DUMMYFUNCTION("GOOGLETRANSLATE(A5458, ""en"", ""fr"")"),"INEXACT")</f>
        <v>INEXACT</v>
      </c>
      <c r="C5458" s="1" t="s">
        <v>192</v>
      </c>
      <c r="E5458" s="1" t="s">
        <v>16613</v>
      </c>
      <c r="H5458" s="1" t="s">
        <v>4</v>
      </c>
      <c r="V5458" s="1" t="s">
        <v>18</v>
      </c>
      <c r="X5458" s="1" t="s">
        <v>20</v>
      </c>
      <c r="DL5458" s="1" t="s">
        <v>112</v>
      </c>
      <c r="GD5458" s="1" t="s">
        <v>202</v>
      </c>
      <c r="GE5458" s="1" t="s">
        <v>190</v>
      </c>
    </row>
    <row r="5459" spans="1:187" ht="11.25" customHeight="1">
      <c r="A5459" s="1" t="s">
        <v>7702</v>
      </c>
      <c r="B5459" s="1" t="str">
        <f ca="1">IFERROR(__xludf.DUMMYFUNCTION("GOOGLETRANSLATE(A5459, ""en"", ""fr"")"),"INEXCUSABLE")</f>
        <v>INEXCUSABLE</v>
      </c>
      <c r="C5459" s="1" t="s">
        <v>196</v>
      </c>
      <c r="FW5459" s="1" t="s">
        <v>175</v>
      </c>
      <c r="GD5459" s="1" t="s">
        <v>202</v>
      </c>
    </row>
    <row r="5460" spans="1:187" ht="11.25" customHeight="1">
      <c r="A5460" s="1" t="s">
        <v>7703</v>
      </c>
      <c r="B5460" s="1" t="str">
        <f ca="1">IFERROR(__xludf.DUMMYFUNCTION("GOOGLETRANSLATE(A5460, ""en"", ""fr"")"),"INOPPORTUN")</f>
        <v>INOPPORTUN</v>
      </c>
      <c r="C5460" s="1" t="s">
        <v>196</v>
      </c>
      <c r="FR5460" s="1" t="s">
        <v>170</v>
      </c>
      <c r="GD5460" s="1" t="s">
        <v>202</v>
      </c>
    </row>
    <row r="5461" spans="1:187" ht="11.25" customHeight="1">
      <c r="A5461" s="1" t="s">
        <v>7704</v>
      </c>
      <c r="B5461" s="1" t="str">
        <f ca="1">IFERROR(__xludf.DUMMYFUNCTION("GOOGLETRANSLATE(A5461, ""en"", ""fr"")"),"PEU COÛTEUX")</f>
        <v>PEU COÛTEUX</v>
      </c>
      <c r="C5461" s="1" t="s">
        <v>192</v>
      </c>
      <c r="D5461" s="1" t="s">
        <v>16612</v>
      </c>
      <c r="AA5461" s="1" t="s">
        <v>23</v>
      </c>
      <c r="DL5461" s="1" t="s">
        <v>112</v>
      </c>
      <c r="DR5461" s="1" t="s">
        <v>118</v>
      </c>
      <c r="GD5461" s="1" t="s">
        <v>202</v>
      </c>
      <c r="GE5461" s="1" t="s">
        <v>190</v>
      </c>
    </row>
    <row r="5462" spans="1:187" ht="11.25" customHeight="1">
      <c r="A5462" s="1" t="s">
        <v>7705</v>
      </c>
      <c r="B5462" s="1" t="str">
        <f ca="1">IFERROR(__xludf.DUMMYFUNCTION("GOOGLETRANSLATE(A5462, ""en"", ""fr"")"),"INEXPLICABLE")</f>
        <v>INEXPLICABLE</v>
      </c>
      <c r="C5462" s="1" t="s">
        <v>185</v>
      </c>
      <c r="E5462" s="1" t="s">
        <v>16613</v>
      </c>
      <c r="H5462" s="1" t="s">
        <v>4</v>
      </c>
      <c r="CI5462" s="1" t="s">
        <v>83</v>
      </c>
      <c r="DL5462" s="1" t="s">
        <v>112</v>
      </c>
      <c r="GD5462" s="1" t="s">
        <v>202</v>
      </c>
      <c r="GE5462" s="1" t="s">
        <v>190</v>
      </c>
    </row>
    <row r="5463" spans="1:187" ht="11.25" customHeight="1">
      <c r="A5463" s="1" t="s">
        <v>7706</v>
      </c>
      <c r="B5463" s="1" t="str">
        <f ca="1">IFERROR(__xludf.DUMMYFUNCTION("GOOGLETRANSLATE(A5463, ""en"", ""fr"")"),"Infaillibilité")</f>
        <v>Infaillibilité</v>
      </c>
      <c r="C5463" s="1" t="s">
        <v>192</v>
      </c>
      <c r="D5463" s="1" t="s">
        <v>16612</v>
      </c>
      <c r="J5463" s="1" t="s">
        <v>6</v>
      </c>
      <c r="U5463" s="1" t="s">
        <v>17</v>
      </c>
      <c r="CH5463" s="1" t="s">
        <v>82</v>
      </c>
      <c r="GD5463" s="1" t="s">
        <v>193</v>
      </c>
      <c r="GE5463" s="1" t="s">
        <v>190</v>
      </c>
    </row>
    <row r="5464" spans="1:187" ht="11.25" customHeight="1">
      <c r="A5464" s="1" t="s">
        <v>7707</v>
      </c>
      <c r="B5464" s="1" t="str">
        <f ca="1">IFERROR(__xludf.DUMMYFUNCTION("GOOGLETRANSLATE(A5464, ""en"", ""fr"")"),"INFAILLIBLE")</f>
        <v>INFAILLIBLE</v>
      </c>
      <c r="C5464" s="1" t="s">
        <v>185</v>
      </c>
      <c r="D5464" s="1" t="s">
        <v>16612</v>
      </c>
      <c r="F5464" s="1" t="s">
        <v>2</v>
      </c>
      <c r="J5464" s="1" t="s">
        <v>6</v>
      </c>
      <c r="U5464" s="1" t="s">
        <v>17</v>
      </c>
      <c r="W5464" s="1" t="s">
        <v>19</v>
      </c>
      <c r="DL5464" s="1" t="s">
        <v>112</v>
      </c>
      <c r="FY5464" s="1" t="s">
        <v>177</v>
      </c>
      <c r="GD5464" s="1" t="s">
        <v>202</v>
      </c>
      <c r="GE5464" s="1" t="s">
        <v>190</v>
      </c>
    </row>
    <row r="5465" spans="1:187" ht="11.25" customHeight="1">
      <c r="A5465" s="1" t="s">
        <v>7708</v>
      </c>
      <c r="B5465" s="1" t="str">
        <f ca="1">IFERROR(__xludf.DUMMYFUNCTION("GOOGLETRANSLATE(A5465, ""en"", ""fr"")"),"INFÂME")</f>
        <v>INFÂME</v>
      </c>
      <c r="C5465" s="1" t="s">
        <v>185</v>
      </c>
      <c r="E5465" s="1" t="s">
        <v>16613</v>
      </c>
      <c r="V5465" s="1" t="s">
        <v>18</v>
      </c>
      <c r="DR5465" s="1" t="s">
        <v>118</v>
      </c>
      <c r="EE5465" s="1" t="s">
        <v>131</v>
      </c>
      <c r="EJ5465" s="1" t="s">
        <v>136</v>
      </c>
      <c r="GD5465" s="1" t="s">
        <v>202</v>
      </c>
      <c r="GE5465" s="1" t="s">
        <v>190</v>
      </c>
    </row>
    <row r="5466" spans="1:187" ht="11.25" customHeight="1">
      <c r="A5466" s="1" t="s">
        <v>7709</v>
      </c>
      <c r="B5466" s="1" t="str">
        <f ca="1">IFERROR(__xludf.DUMMYFUNCTION("GOOGLETRANSLATE(A5466, ""en"", ""fr"")"),"NOURRISSON")</f>
        <v>NOURRISSON</v>
      </c>
      <c r="C5466" s="1" t="s">
        <v>185</v>
      </c>
      <c r="L5466" s="1" t="s">
        <v>8</v>
      </c>
      <c r="AJ5466" s="1" t="s">
        <v>32</v>
      </c>
      <c r="AS5466" s="1" t="s">
        <v>41</v>
      </c>
      <c r="AT5466" s="1" t="s">
        <v>42</v>
      </c>
      <c r="FB5466" s="1" t="s">
        <v>154</v>
      </c>
      <c r="FC5466" s="1" t="s">
        <v>155</v>
      </c>
      <c r="GD5466" s="1" t="s">
        <v>193</v>
      </c>
      <c r="GE5466" s="1" t="s">
        <v>190</v>
      </c>
    </row>
    <row r="5467" spans="1:187" ht="11.25" customHeight="1">
      <c r="A5467" s="1" t="s">
        <v>7710</v>
      </c>
      <c r="B5467" s="1" t="str">
        <f ca="1">IFERROR(__xludf.DUMMYFUNCTION("GOOGLETRANSLATE(A5467, ""en"", ""fr"")"),"INFANTERIE")</f>
        <v>INFANTERIE</v>
      </c>
      <c r="C5467" s="1" t="s">
        <v>185</v>
      </c>
      <c r="J5467" s="1" t="s">
        <v>6</v>
      </c>
      <c r="AF5467" s="1" t="s">
        <v>28</v>
      </c>
      <c r="AH5467" s="1" t="s">
        <v>30</v>
      </c>
      <c r="AK5467" s="1" t="s">
        <v>33</v>
      </c>
      <c r="AT5467" s="1" t="s">
        <v>42</v>
      </c>
      <c r="DY5467" s="1" t="s">
        <v>125</v>
      </c>
      <c r="ED5467" s="1" t="s">
        <v>130</v>
      </c>
      <c r="GD5467" s="1" t="s">
        <v>193</v>
      </c>
      <c r="GE5467" s="1" t="s">
        <v>190</v>
      </c>
    </row>
    <row r="5468" spans="1:187" ht="11.25" customHeight="1">
      <c r="A5468" s="1" t="s">
        <v>7711</v>
      </c>
      <c r="B5468" s="1" t="str">
        <f ca="1">IFERROR(__xludf.DUMMYFUNCTION("GOOGLETRANSLATE(A5468, ""en"", ""fr"")"),"INFECTER")</f>
        <v>INFECTER</v>
      </c>
      <c r="C5468" s="1" t="s">
        <v>192</v>
      </c>
      <c r="E5468" s="1" t="s">
        <v>16613</v>
      </c>
      <c r="I5468" s="1" t="s">
        <v>5</v>
      </c>
      <c r="N5468" s="1" t="s">
        <v>10</v>
      </c>
      <c r="DN5468" s="1" t="s">
        <v>114</v>
      </c>
      <c r="GD5468" s="1" t="s">
        <v>189</v>
      </c>
      <c r="GE5468" s="1" t="s">
        <v>190</v>
      </c>
    </row>
    <row r="5469" spans="1:187" ht="11.25" customHeight="1">
      <c r="A5469" s="1" t="s">
        <v>7712</v>
      </c>
      <c r="B5469" s="1" t="str">
        <f ca="1">IFERROR(__xludf.DUMMYFUNCTION("GOOGLETRANSLATE(A5469, ""en"", ""fr"")"),"INFECTION")</f>
        <v>INFECTION</v>
      </c>
      <c r="C5469" s="1" t="s">
        <v>192</v>
      </c>
      <c r="E5469" s="1" t="s">
        <v>16613</v>
      </c>
      <c r="I5469" s="1" t="s">
        <v>5</v>
      </c>
      <c r="GD5469" s="1" t="s">
        <v>193</v>
      </c>
      <c r="GE5469" s="1" t="s">
        <v>190</v>
      </c>
    </row>
    <row r="5470" spans="1:187" ht="11.25" customHeight="1">
      <c r="A5470" s="1" t="s">
        <v>7713</v>
      </c>
      <c r="B5470" s="1" t="str">
        <f ca="1">IFERROR(__xludf.DUMMYFUNCTION("GOOGLETRANSLATE(A5470, ""en"", ""fr"")"),"DÉDUIRE")</f>
        <v>DÉDUIRE</v>
      </c>
      <c r="C5470" s="1" t="s">
        <v>192</v>
      </c>
      <c r="D5470" s="1" t="s">
        <v>16612</v>
      </c>
      <c r="N5470" s="1" t="s">
        <v>10</v>
      </c>
      <c r="CG5470" s="1" t="s">
        <v>81</v>
      </c>
      <c r="CH5470" s="1" t="s">
        <v>82</v>
      </c>
      <c r="DN5470" s="1" t="s">
        <v>114</v>
      </c>
      <c r="GD5470" s="1" t="s">
        <v>189</v>
      </c>
      <c r="GE5470" s="1" t="s">
        <v>190</v>
      </c>
    </row>
    <row r="5471" spans="1:187" ht="11.25" customHeight="1">
      <c r="A5471" s="1" t="s">
        <v>7714</v>
      </c>
      <c r="B5471" s="1" t="str">
        <f ca="1">IFERROR(__xludf.DUMMYFUNCTION("GOOGLETRANSLATE(A5471, ""en"", ""fr"")"),"INFÉRENCE")</f>
        <v>INFÉRENCE</v>
      </c>
      <c r="C5471" s="1" t="s">
        <v>192</v>
      </c>
      <c r="D5471" s="1" t="s">
        <v>16612</v>
      </c>
      <c r="CG5471" s="1" t="s">
        <v>81</v>
      </c>
      <c r="CH5471" s="1" t="s">
        <v>82</v>
      </c>
      <c r="GD5471" s="1" t="s">
        <v>193</v>
      </c>
      <c r="GE5471" s="1" t="s">
        <v>190</v>
      </c>
    </row>
    <row r="5472" spans="1:187" ht="11.25" customHeight="1">
      <c r="A5472" s="1" t="s">
        <v>7715</v>
      </c>
      <c r="B5472" s="1" t="str">
        <f ca="1">IFERROR(__xludf.DUMMYFUNCTION("GOOGLETRANSLATE(A5472, ""en"", ""fr"")"),"INFÉRIEUR")</f>
        <v>INFÉRIEUR</v>
      </c>
      <c r="C5472" s="1" t="s">
        <v>185</v>
      </c>
      <c r="E5472" s="1" t="s">
        <v>16613</v>
      </c>
      <c r="H5472" s="1" t="s">
        <v>4</v>
      </c>
      <c r="L5472" s="1" t="s">
        <v>8</v>
      </c>
      <c r="V5472" s="1" t="s">
        <v>18</v>
      </c>
      <c r="CN5472" s="1" t="s">
        <v>88</v>
      </c>
      <c r="FW5472" s="1" t="s">
        <v>175</v>
      </c>
      <c r="GD5472" s="1" t="s">
        <v>202</v>
      </c>
      <c r="GE5472" s="1" t="s">
        <v>190</v>
      </c>
    </row>
    <row r="5473" spans="1:187" ht="11.25" customHeight="1">
      <c r="A5473" s="1" t="s">
        <v>7716</v>
      </c>
      <c r="B5473" s="1" t="str">
        <f ca="1">IFERROR(__xludf.DUMMYFUNCTION("GOOGLETRANSLATE(A5473, ""en"", ""fr"")"),"INFÉRIORITÉ")</f>
        <v>INFÉRIORITÉ</v>
      </c>
      <c r="C5473" s="1" t="s">
        <v>185</v>
      </c>
      <c r="E5473" s="1" t="s">
        <v>16613</v>
      </c>
      <c r="L5473" s="1" t="s">
        <v>8</v>
      </c>
      <c r="M5473" s="1" t="s">
        <v>9</v>
      </c>
      <c r="EL5473" s="1" t="s">
        <v>138</v>
      </c>
      <c r="EN5473" s="1" t="s">
        <v>140</v>
      </c>
      <c r="GD5473" s="1" t="s">
        <v>193</v>
      </c>
      <c r="GE5473" s="1" t="s">
        <v>190</v>
      </c>
    </row>
    <row r="5474" spans="1:187" ht="11.25" customHeight="1">
      <c r="A5474" s="1" t="s">
        <v>7717</v>
      </c>
      <c r="B5474" s="1" t="str">
        <f ca="1">IFERROR(__xludf.DUMMYFUNCTION("GOOGLETRANSLATE(A5474, ""en"", ""fr"")"),"INFESTER")</f>
        <v>INFESTER</v>
      </c>
      <c r="C5474" s="1" t="s">
        <v>192</v>
      </c>
      <c r="E5474" s="1" t="s">
        <v>16613</v>
      </c>
      <c r="N5474" s="1" t="s">
        <v>10</v>
      </c>
      <c r="AK5474" s="1" t="s">
        <v>33</v>
      </c>
      <c r="CE5474" s="1" t="s">
        <v>79</v>
      </c>
      <c r="DN5474" s="1" t="s">
        <v>114</v>
      </c>
      <c r="GD5474" s="1" t="s">
        <v>189</v>
      </c>
      <c r="GE5474" s="1" t="s">
        <v>190</v>
      </c>
    </row>
    <row r="5475" spans="1:187" ht="11.25" customHeight="1">
      <c r="A5475" s="1" t="s">
        <v>7718</v>
      </c>
      <c r="B5475" s="1" t="str">
        <f ca="1">IFERROR(__xludf.DUMMYFUNCTION("GOOGLETRANSLATE(A5475, ""en"", ""fr"")"),"INFILTRATION")</f>
        <v>INFILTRATION</v>
      </c>
      <c r="C5475" s="1" t="s">
        <v>185</v>
      </c>
      <c r="E5475" s="1" t="s">
        <v>16613</v>
      </c>
      <c r="H5475" s="1" t="s">
        <v>4</v>
      </c>
      <c r="I5475" s="1" t="s">
        <v>5</v>
      </c>
      <c r="J5475" s="1" t="s">
        <v>6</v>
      </c>
      <c r="N5475" s="1" t="s">
        <v>10</v>
      </c>
      <c r="V5475" s="1" t="s">
        <v>18</v>
      </c>
      <c r="DW5475" s="1" t="s">
        <v>123</v>
      </c>
      <c r="ED5475" s="1" t="s">
        <v>130</v>
      </c>
      <c r="GD5475" s="1" t="s">
        <v>193</v>
      </c>
      <c r="GE5475" s="1" t="s">
        <v>190</v>
      </c>
    </row>
    <row r="5476" spans="1:187" ht="11.25" customHeight="1">
      <c r="A5476" s="1" t="s">
        <v>7719</v>
      </c>
      <c r="B5476" s="1" t="str">
        <f ca="1">IFERROR(__xludf.DUMMYFUNCTION("GOOGLETRANSLATE(A5476, ""en"", ""fr"")"),"INFINI")</f>
        <v>INFINI</v>
      </c>
      <c r="C5476" s="1" t="s">
        <v>185</v>
      </c>
      <c r="J5476" s="1" t="s">
        <v>6</v>
      </c>
      <c r="W5476" s="1" t="s">
        <v>19</v>
      </c>
      <c r="CS5476" s="1" t="s">
        <v>93</v>
      </c>
      <c r="FY5476" s="1" t="s">
        <v>177</v>
      </c>
      <c r="GD5476" s="1" t="s">
        <v>202</v>
      </c>
      <c r="GE5476" s="1" t="s">
        <v>190</v>
      </c>
    </row>
    <row r="5477" spans="1:187" ht="11.25" customHeight="1">
      <c r="A5477" s="1" t="s">
        <v>7720</v>
      </c>
      <c r="B5477" s="1" t="str">
        <f ca="1">IFERROR(__xludf.DUMMYFUNCTION("GOOGLETRANSLATE(A5477, ""en"", ""fr"")"),"INFIRMITÉ")</f>
        <v>INFIRMITÉ</v>
      </c>
      <c r="C5477" s="1" t="s">
        <v>196</v>
      </c>
      <c r="EY5477" s="1" t="s">
        <v>151</v>
      </c>
      <c r="FC5477" s="1" t="s">
        <v>155</v>
      </c>
      <c r="GD5477" s="1" t="s">
        <v>193</v>
      </c>
    </row>
    <row r="5478" spans="1:187" ht="11.25" customHeight="1">
      <c r="A5478" s="1" t="s">
        <v>7721</v>
      </c>
      <c r="B5478" s="1" t="str">
        <f ca="1">IFERROR(__xludf.DUMMYFUNCTION("GOOGLETRANSLATE(A5478, ""en"", ""fr"")"),"ENFLAMMER")</f>
        <v>ENFLAMMER</v>
      </c>
      <c r="C5478" s="1" t="s">
        <v>192</v>
      </c>
      <c r="E5478" s="1" t="s">
        <v>16613</v>
      </c>
      <c r="I5478" s="1" t="s">
        <v>5</v>
      </c>
      <c r="N5478" s="1" t="s">
        <v>10</v>
      </c>
      <c r="DN5478" s="1" t="s">
        <v>114</v>
      </c>
      <c r="GD5478" s="1" t="s">
        <v>189</v>
      </c>
      <c r="GE5478" s="1" t="s">
        <v>190</v>
      </c>
    </row>
    <row r="5479" spans="1:187" ht="11.25" customHeight="1">
      <c r="A5479" s="1" t="s">
        <v>7722</v>
      </c>
      <c r="B5479" s="1" t="str">
        <f ca="1">IFERROR(__xludf.DUMMYFUNCTION("GOOGLETRANSLATE(A5479, ""en"", ""fr"")"),"GONFLER")</f>
        <v>GONFLER</v>
      </c>
      <c r="C5479" s="1" t="s">
        <v>196</v>
      </c>
      <c r="EV5479" s="1" t="s">
        <v>148</v>
      </c>
      <c r="EW5479" s="1" t="s">
        <v>149</v>
      </c>
      <c r="GD5479" s="1" t="s">
        <v>189</v>
      </c>
    </row>
    <row r="5480" spans="1:187" ht="11.25" customHeight="1">
      <c r="A5480" s="1" t="s">
        <v>7723</v>
      </c>
      <c r="B5480" s="1" t="str">
        <f ca="1">IFERROR(__xludf.DUMMYFUNCTION("GOOGLETRANSLATE(A5480, ""en"", ""fr"")"),"INFLATION")</f>
        <v>INFLATION</v>
      </c>
      <c r="C5480" s="1" t="s">
        <v>185</v>
      </c>
      <c r="E5480" s="1" t="s">
        <v>16613</v>
      </c>
      <c r="AA5480" s="1" t="s">
        <v>23</v>
      </c>
      <c r="BX5480" s="1" t="s">
        <v>72</v>
      </c>
      <c r="EV5480" s="1" t="s">
        <v>148</v>
      </c>
      <c r="EW5480" s="1" t="s">
        <v>149</v>
      </c>
      <c r="GD5480" s="1" t="s">
        <v>193</v>
      </c>
      <c r="GE5480" s="1" t="s">
        <v>190</v>
      </c>
    </row>
    <row r="5481" spans="1:187" ht="11.25" customHeight="1">
      <c r="A5481" s="1" t="s">
        <v>7724</v>
      </c>
      <c r="B5481" s="1" t="str">
        <f ca="1">IFERROR(__xludf.DUMMYFUNCTION("GOOGLETRANSLATE(A5481, ""en"", ""fr"")"),"INFLATIONNISTE")</f>
        <v>INFLATIONNISTE</v>
      </c>
      <c r="C5481" s="1" t="s">
        <v>196</v>
      </c>
      <c r="EV5481" s="1" t="s">
        <v>148</v>
      </c>
      <c r="EW5481" s="1" t="s">
        <v>149</v>
      </c>
      <c r="GD5481" s="1" t="s">
        <v>202</v>
      </c>
    </row>
    <row r="5482" spans="1:187" ht="11.25" customHeight="1">
      <c r="A5482" s="1" t="s">
        <v>7725</v>
      </c>
      <c r="B5482" s="1" t="str">
        <f ca="1">IFERROR(__xludf.DUMMYFUNCTION("GOOGLETRANSLATE(A5482, ""en"", ""fr"")"),"INFLEXIBLE")</f>
        <v>INFLEXIBLE</v>
      </c>
      <c r="C5482" s="1" t="s">
        <v>196</v>
      </c>
      <c r="GD5482" s="1" t="s">
        <v>202</v>
      </c>
    </row>
    <row r="5483" spans="1:187" ht="11.25" customHeight="1">
      <c r="A5483" s="1" t="s">
        <v>7726</v>
      </c>
      <c r="B5483" s="1" t="str">
        <f ca="1">IFERROR(__xludf.DUMMYFUNCTION("GOOGLETRANSLATE(A5483, ""en"", ""fr"")"),"INFLIGER")</f>
        <v>INFLIGER</v>
      </c>
      <c r="C5483" s="1" t="s">
        <v>185</v>
      </c>
      <c r="E5483" s="1" t="s">
        <v>16613</v>
      </c>
      <c r="N5483" s="1" t="s">
        <v>10</v>
      </c>
      <c r="CC5483" s="1" t="s">
        <v>77</v>
      </c>
      <c r="DN5483" s="1" t="s">
        <v>114</v>
      </c>
      <c r="DT5483" s="1" t="s">
        <v>120</v>
      </c>
      <c r="ED5483" s="1" t="s">
        <v>130</v>
      </c>
      <c r="GD5483" s="1" t="s">
        <v>670</v>
      </c>
      <c r="GE5483" s="1" t="s">
        <v>190</v>
      </c>
    </row>
    <row r="5484" spans="1:187" ht="11.25" customHeight="1">
      <c r="A5484" s="1" t="s">
        <v>7727</v>
      </c>
      <c r="B5484" s="1" t="str">
        <f ca="1">IFERROR(__xludf.DUMMYFUNCTION("GOOGLETRANSLATE(A5484, ""en"", ""fr"")"),"Influence n ° 1")</f>
        <v>Influence n ° 1</v>
      </c>
      <c r="C5484" s="1" t="s">
        <v>185</v>
      </c>
      <c r="J5484" s="1" t="s">
        <v>6</v>
      </c>
      <c r="K5484" s="1" t="s">
        <v>7</v>
      </c>
      <c r="U5484" s="1" t="s">
        <v>17</v>
      </c>
      <c r="AH5484" s="1" t="s">
        <v>30</v>
      </c>
      <c r="EC5484" s="1" t="s">
        <v>129</v>
      </c>
      <c r="ED5484" s="1" t="s">
        <v>130</v>
      </c>
      <c r="GD5484" s="1" t="s">
        <v>193</v>
      </c>
      <c r="GE5484" s="1" t="s">
        <v>7728</v>
      </c>
    </row>
    <row r="5485" spans="1:187" ht="11.25" customHeight="1">
      <c r="A5485" s="1" t="s">
        <v>7729</v>
      </c>
      <c r="B5485" s="1" t="str">
        <f ca="1">IFERROR(__xludf.DUMMYFUNCTION("GOOGLETRANSLATE(A5485, ""en"", ""fr"")"),"Influence n ° 2")</f>
        <v>Influence n ° 2</v>
      </c>
      <c r="C5485" s="1" t="s">
        <v>185</v>
      </c>
      <c r="J5485" s="1" t="s">
        <v>6</v>
      </c>
      <c r="K5485" s="1" t="s">
        <v>7</v>
      </c>
      <c r="N5485" s="1" t="s">
        <v>10</v>
      </c>
      <c r="AN5485" s="1" t="s">
        <v>36</v>
      </c>
      <c r="DN5485" s="1" t="s">
        <v>114</v>
      </c>
      <c r="EC5485" s="1" t="s">
        <v>129</v>
      </c>
      <c r="ED5485" s="1" t="s">
        <v>130</v>
      </c>
      <c r="GD5485" s="1" t="s">
        <v>189</v>
      </c>
      <c r="GE5485" s="1" t="s">
        <v>7730</v>
      </c>
    </row>
    <row r="5486" spans="1:187" ht="11.25" customHeight="1">
      <c r="A5486" s="1" t="s">
        <v>7731</v>
      </c>
      <c r="B5486" s="1" t="str">
        <f ca="1">IFERROR(__xludf.DUMMYFUNCTION("GOOGLETRANSLATE(A5486, ""en"", ""fr"")"),"INFLUENT")</f>
        <v>INFLUENT</v>
      </c>
      <c r="C5486" s="1" t="s">
        <v>185</v>
      </c>
      <c r="J5486" s="1" t="s">
        <v>6</v>
      </c>
      <c r="K5486" s="1" t="s">
        <v>7</v>
      </c>
      <c r="U5486" s="1" t="s">
        <v>17</v>
      </c>
      <c r="AH5486" s="1" t="s">
        <v>30</v>
      </c>
      <c r="DU5486" s="1" t="s">
        <v>121</v>
      </c>
      <c r="ED5486" s="1" t="s">
        <v>130</v>
      </c>
      <c r="GD5486" s="1" t="s">
        <v>202</v>
      </c>
      <c r="GE5486" s="1" t="s">
        <v>190</v>
      </c>
    </row>
    <row r="5487" spans="1:187" ht="11.25" customHeight="1">
      <c r="A5487" s="1" t="s">
        <v>7732</v>
      </c>
      <c r="B5487" s="1" t="str">
        <f ca="1">IFERROR(__xludf.DUMMYFUNCTION("GOOGLETRANSLATE(A5487, ""en"", ""fr"")"),"AFFLUX")</f>
        <v>AFFLUX</v>
      </c>
      <c r="C5487" s="1" t="s">
        <v>196</v>
      </c>
      <c r="GD5487" s="1" t="s">
        <v>193</v>
      </c>
    </row>
    <row r="5488" spans="1:187" ht="11.25" customHeight="1">
      <c r="A5488" s="1" t="s">
        <v>7733</v>
      </c>
      <c r="B5488" s="1" t="str">
        <f ca="1">IFERROR(__xludf.DUMMYFUNCTION("GOOGLETRANSLATE(A5488, ""en"", ""fr"")"),"Informer n ° 1")</f>
        <v>Informer n ° 1</v>
      </c>
      <c r="C5488" s="1" t="s">
        <v>185</v>
      </c>
      <c r="D5488" s="1" t="s">
        <v>16612</v>
      </c>
      <c r="F5488" s="1" t="s">
        <v>2</v>
      </c>
      <c r="N5488" s="1" t="s">
        <v>10</v>
      </c>
      <c r="BK5488" s="1" t="s">
        <v>59</v>
      </c>
      <c r="DN5488" s="1" t="s">
        <v>114</v>
      </c>
      <c r="FD5488" s="1" t="s">
        <v>156</v>
      </c>
      <c r="FI5488" s="1" t="s">
        <v>161</v>
      </c>
      <c r="GD5488" s="1" t="s">
        <v>189</v>
      </c>
      <c r="GE5488" s="1" t="s">
        <v>7734</v>
      </c>
    </row>
    <row r="5489" spans="1:187" ht="11.25" customHeight="1">
      <c r="A5489" s="1" t="s">
        <v>7735</v>
      </c>
      <c r="B5489" s="1" t="str">
        <f ca="1">IFERROR(__xludf.DUMMYFUNCTION("GOOGLETRANSLATE(A5489, ""en"", ""fr"")"),"Informer # 2")</f>
        <v>Informer # 2</v>
      </c>
      <c r="C5489" s="1" t="s">
        <v>185</v>
      </c>
      <c r="D5489" s="1" t="s">
        <v>16612</v>
      </c>
      <c r="F5489" s="1" t="s">
        <v>2</v>
      </c>
      <c r="O5489" s="1" t="s">
        <v>11</v>
      </c>
      <c r="BQ5489" s="1" t="s">
        <v>65</v>
      </c>
      <c r="CN5489" s="1" t="s">
        <v>88</v>
      </c>
      <c r="FH5489" s="1" t="s">
        <v>160</v>
      </c>
      <c r="FI5489" s="1" t="s">
        <v>161</v>
      </c>
      <c r="GD5489" s="1" t="s">
        <v>202</v>
      </c>
      <c r="GE5489" s="1" t="s">
        <v>7736</v>
      </c>
    </row>
    <row r="5490" spans="1:187" ht="11.25" customHeight="1">
      <c r="A5490" s="1" t="s">
        <v>7737</v>
      </c>
      <c r="B5490" s="1" t="str">
        <f ca="1">IFERROR(__xludf.DUMMYFUNCTION("GOOGLETRANSLATE(A5490, ""en"", ""fr"")"),"INFORMEL")</f>
        <v>INFORMEL</v>
      </c>
      <c r="C5490" s="1" t="s">
        <v>185</v>
      </c>
      <c r="G5490" s="1" t="s">
        <v>3</v>
      </c>
      <c r="CH5490" s="1" t="s">
        <v>82</v>
      </c>
      <c r="DL5490" s="1" t="s">
        <v>112</v>
      </c>
      <c r="EM5490" s="1" t="s">
        <v>139</v>
      </c>
      <c r="EN5490" s="1" t="s">
        <v>140</v>
      </c>
      <c r="GD5490" s="1" t="s">
        <v>202</v>
      </c>
      <c r="GE5490" s="1" t="s">
        <v>190</v>
      </c>
    </row>
    <row r="5491" spans="1:187" ht="11.25" customHeight="1">
      <c r="A5491" s="1" t="s">
        <v>7738</v>
      </c>
      <c r="B5491" s="1" t="str">
        <f ca="1">IFERROR(__xludf.DUMMYFUNCTION("GOOGLETRANSLATE(A5491, ""en"", ""fr"")"),"INFORMATION")</f>
        <v>INFORMATION</v>
      </c>
      <c r="C5491" s="1" t="s">
        <v>185</v>
      </c>
      <c r="BK5491" s="1" t="s">
        <v>59</v>
      </c>
      <c r="BL5491" s="1" t="s">
        <v>60</v>
      </c>
      <c r="FH5491" s="1" t="s">
        <v>160</v>
      </c>
      <c r="FI5491" s="1" t="s">
        <v>161</v>
      </c>
      <c r="GC5491" s="1" t="s">
        <v>181</v>
      </c>
      <c r="GD5491" s="1" t="s">
        <v>193</v>
      </c>
      <c r="GE5491" s="1" t="s">
        <v>7739</v>
      </c>
    </row>
    <row r="5492" spans="1:187" ht="11.25" customHeight="1">
      <c r="A5492" s="1" t="s">
        <v>7740</v>
      </c>
      <c r="B5492" s="1" t="str">
        <f ca="1">IFERROR(__xludf.DUMMYFUNCTION("GOOGLETRANSLATE(A5492, ""en"", ""fr"")"),"INFRACTION")</f>
        <v>INFRACTION</v>
      </c>
      <c r="C5492" s="1" t="s">
        <v>192</v>
      </c>
      <c r="E5492" s="1" t="s">
        <v>16613</v>
      </c>
      <c r="AE5492" s="1" t="s">
        <v>27</v>
      </c>
      <c r="GD5492" s="1" t="s">
        <v>193</v>
      </c>
      <c r="GE5492" s="1" t="s">
        <v>190</v>
      </c>
    </row>
    <row r="5493" spans="1:187" ht="11.25" customHeight="1">
      <c r="A5493" s="1" t="s">
        <v>7741</v>
      </c>
      <c r="B5493" s="1" t="str">
        <f ca="1">IFERROR(__xludf.DUMMYFUNCTION("GOOGLETRANSLATE(A5493, ""en"", ""fr"")"),"RARE")</f>
        <v>RARE</v>
      </c>
      <c r="C5493" s="1" t="s">
        <v>185</v>
      </c>
      <c r="X5493" s="1" t="s">
        <v>20</v>
      </c>
      <c r="CW5493" s="1" t="s">
        <v>97</v>
      </c>
      <c r="DL5493" s="1" t="s">
        <v>112</v>
      </c>
      <c r="GB5493" s="1" t="s">
        <v>180</v>
      </c>
      <c r="GD5493" s="1" t="s">
        <v>202</v>
      </c>
      <c r="GE5493" s="1" t="s">
        <v>190</v>
      </c>
    </row>
    <row r="5494" spans="1:187" ht="11.25" customHeight="1">
      <c r="A5494" s="1" t="s">
        <v>7742</v>
      </c>
      <c r="B5494" s="1" t="str">
        <f ca="1">IFERROR(__xludf.DUMMYFUNCTION("GOOGLETRANSLATE(A5494, ""en"", ""fr"")"),"INFRACTION")</f>
        <v>INFRACTION</v>
      </c>
      <c r="C5494" s="1" t="s">
        <v>185</v>
      </c>
      <c r="E5494" s="1" t="s">
        <v>16613</v>
      </c>
      <c r="H5494" s="1" t="s">
        <v>4</v>
      </c>
      <c r="I5494" s="1" t="s">
        <v>5</v>
      </c>
      <c r="J5494" s="1" t="s">
        <v>6</v>
      </c>
      <c r="N5494" s="1" t="s">
        <v>10</v>
      </c>
      <c r="V5494" s="1" t="s">
        <v>18</v>
      </c>
      <c r="AE5494" s="1" t="s">
        <v>27</v>
      </c>
      <c r="DW5494" s="1" t="s">
        <v>123</v>
      </c>
      <c r="ED5494" s="1" t="s">
        <v>130</v>
      </c>
      <c r="GD5494" s="1" t="s">
        <v>193</v>
      </c>
      <c r="GE5494" s="1" t="s">
        <v>190</v>
      </c>
    </row>
    <row r="5495" spans="1:187" ht="11.25" customHeight="1">
      <c r="A5495" s="1" t="s">
        <v>7743</v>
      </c>
      <c r="B5495" s="1" t="str">
        <f ca="1">IFERROR(__xludf.DUMMYFUNCTION("GOOGLETRANSLATE(A5495, ""en"", ""fr"")"),"EXASPÉRER")</f>
        <v>EXASPÉRER</v>
      </c>
      <c r="C5495" s="1" t="s">
        <v>192</v>
      </c>
      <c r="E5495" s="1" t="s">
        <v>16613</v>
      </c>
      <c r="I5495" s="1" t="s">
        <v>5</v>
      </c>
      <c r="N5495" s="1" t="s">
        <v>10</v>
      </c>
      <c r="DN5495" s="1" t="s">
        <v>114</v>
      </c>
      <c r="GD5495" s="1" t="s">
        <v>670</v>
      </c>
      <c r="GE5495" s="1" t="s">
        <v>190</v>
      </c>
    </row>
    <row r="5496" spans="1:187" ht="11.25" customHeight="1">
      <c r="A5496" s="1" t="s">
        <v>7744</v>
      </c>
      <c r="B5496" s="1" t="str">
        <f ca="1">IFERROR(__xludf.DUMMYFUNCTION("GOOGLETRANSLATE(A5496, ""en"", ""fr"")"),"INGÉNIEUX")</f>
        <v>INGÉNIEUX</v>
      </c>
      <c r="C5496" s="1" t="s">
        <v>192</v>
      </c>
      <c r="D5496" s="1" t="s">
        <v>16612</v>
      </c>
      <c r="U5496" s="1" t="s">
        <v>17</v>
      </c>
      <c r="CH5496" s="1" t="s">
        <v>82</v>
      </c>
      <c r="DR5496" s="1" t="s">
        <v>118</v>
      </c>
      <c r="GD5496" s="1" t="s">
        <v>202</v>
      </c>
      <c r="GE5496" s="1" t="s">
        <v>190</v>
      </c>
    </row>
    <row r="5497" spans="1:187" ht="11.25" customHeight="1">
      <c r="A5497" s="1" t="s">
        <v>7745</v>
      </c>
      <c r="B5497" s="1" t="str">
        <f ca="1">IFERROR(__xludf.DUMMYFUNCTION("GOOGLETRANSLATE(A5497, ""en"", ""fr"")"),"INGÉNIOSITÉ")</f>
        <v>INGÉNIOSITÉ</v>
      </c>
      <c r="C5497" s="1" t="s">
        <v>192</v>
      </c>
      <c r="D5497" s="1" t="s">
        <v>16612</v>
      </c>
      <c r="BP5497" s="1" t="s">
        <v>64</v>
      </c>
      <c r="CG5497" s="1" t="s">
        <v>81</v>
      </c>
      <c r="CH5497" s="1" t="s">
        <v>82</v>
      </c>
      <c r="GD5497" s="1" t="s">
        <v>193</v>
      </c>
      <c r="GE5497" s="1" t="s">
        <v>190</v>
      </c>
    </row>
    <row r="5498" spans="1:187" ht="11.25" customHeight="1">
      <c r="A5498" s="1" t="s">
        <v>7746</v>
      </c>
      <c r="B5498" s="1" t="str">
        <f ca="1">IFERROR(__xludf.DUMMYFUNCTION("GOOGLETRANSLATE(A5498, ""en"", ""fr"")"),"INGRATITUDE")</f>
        <v>INGRATITUDE</v>
      </c>
      <c r="C5498" s="1" t="s">
        <v>192</v>
      </c>
      <c r="E5498" s="1" t="s">
        <v>16613</v>
      </c>
      <c r="V5498" s="1" t="s">
        <v>18</v>
      </c>
      <c r="GD5498" s="1" t="s">
        <v>193</v>
      </c>
      <c r="GE5498" s="1" t="s">
        <v>190</v>
      </c>
    </row>
    <row r="5499" spans="1:187" ht="11.25" customHeight="1">
      <c r="A5499" s="1" t="s">
        <v>7747</v>
      </c>
      <c r="B5499" s="1" t="str">
        <f ca="1">IFERROR(__xludf.DUMMYFUNCTION("GOOGLETRANSLATE(A5499, ""en"", ""fr"")"),"HABITER")</f>
        <v>HABITER</v>
      </c>
      <c r="C5499" s="1" t="s">
        <v>185</v>
      </c>
      <c r="CA5499" s="1" t="s">
        <v>75</v>
      </c>
      <c r="DN5499" s="1" t="s">
        <v>114</v>
      </c>
      <c r="FP5499" s="1" t="s">
        <v>168</v>
      </c>
      <c r="GD5499" s="1" t="s">
        <v>189</v>
      </c>
      <c r="GE5499" s="1" t="s">
        <v>190</v>
      </c>
    </row>
    <row r="5500" spans="1:187" ht="11.25" customHeight="1">
      <c r="A5500" s="1" t="s">
        <v>7748</v>
      </c>
      <c r="B5500" s="1" t="str">
        <f ca="1">IFERROR(__xludf.DUMMYFUNCTION("GOOGLETRANSLATE(A5500, ""en"", ""fr"")"),"HABITANT")</f>
        <v>HABITANT</v>
      </c>
      <c r="C5500" s="1" t="s">
        <v>185</v>
      </c>
      <c r="AJ5500" s="1" t="s">
        <v>32</v>
      </c>
      <c r="AT5500" s="1" t="s">
        <v>42</v>
      </c>
      <c r="DZ5500" s="1" t="s">
        <v>126</v>
      </c>
      <c r="ED5500" s="1" t="s">
        <v>130</v>
      </c>
      <c r="GD5500" s="1" t="s">
        <v>193</v>
      </c>
      <c r="GE5500" s="1" t="s">
        <v>190</v>
      </c>
    </row>
    <row r="5501" spans="1:187" ht="11.25" customHeight="1">
      <c r="A5501" s="1" t="s">
        <v>7749</v>
      </c>
      <c r="B5501" s="1" t="str">
        <f ca="1">IFERROR(__xludf.DUMMYFUNCTION("GOOGLETRANSLATE(A5501, ""en"", ""fr"")"),"INHÉRENT")</f>
        <v>INHÉRENT</v>
      </c>
      <c r="C5501" s="1" t="s">
        <v>185</v>
      </c>
      <c r="J5501" s="1" t="s">
        <v>6</v>
      </c>
      <c r="O5501" s="1" t="s">
        <v>11</v>
      </c>
      <c r="CH5501" s="1" t="s">
        <v>82</v>
      </c>
      <c r="FQ5501" s="1" t="s">
        <v>169</v>
      </c>
      <c r="GD5501" s="1" t="s">
        <v>202</v>
      </c>
      <c r="GE5501" s="1" t="s">
        <v>190</v>
      </c>
    </row>
    <row r="5502" spans="1:187" ht="11.25" customHeight="1">
      <c r="A5502" s="1" t="s">
        <v>7750</v>
      </c>
      <c r="B5502" s="1" t="str">
        <f ca="1">IFERROR(__xludf.DUMMYFUNCTION("GOOGLETRANSLATE(A5502, ""en"", ""fr"")"),"HÉRITER")</f>
        <v>HÉRITER</v>
      </c>
      <c r="C5502" s="1" t="s">
        <v>192</v>
      </c>
      <c r="D5502" s="1" t="s">
        <v>16612</v>
      </c>
      <c r="O5502" s="1" t="s">
        <v>11</v>
      </c>
      <c r="AA5502" s="1" t="s">
        <v>23</v>
      </c>
      <c r="AB5502" s="1" t="s">
        <v>24</v>
      </c>
      <c r="DO5502" s="1" t="s">
        <v>115</v>
      </c>
      <c r="GD5502" s="1" t="s">
        <v>189</v>
      </c>
      <c r="GE5502" s="1" t="s">
        <v>190</v>
      </c>
    </row>
    <row r="5503" spans="1:187" ht="11.25" customHeight="1">
      <c r="A5503" s="1" t="s">
        <v>7751</v>
      </c>
      <c r="B5503" s="1" t="str">
        <f ca="1">IFERROR(__xludf.DUMMYFUNCTION("GOOGLETRANSLATE(A5503, ""en"", ""fr"")"),"INHIBER")</f>
        <v>INHIBER</v>
      </c>
      <c r="C5503" s="1" t="s">
        <v>185</v>
      </c>
      <c r="E5503" s="1" t="s">
        <v>16613</v>
      </c>
      <c r="H5503" s="1" t="s">
        <v>4</v>
      </c>
      <c r="I5503" s="1" t="s">
        <v>5</v>
      </c>
      <c r="J5503" s="1" t="s">
        <v>6</v>
      </c>
      <c r="N5503" s="1" t="s">
        <v>10</v>
      </c>
      <c r="AN5503" s="1" t="s">
        <v>36</v>
      </c>
      <c r="DN5503" s="1" t="s">
        <v>114</v>
      </c>
      <c r="FA5503" s="1" t="s">
        <v>153</v>
      </c>
      <c r="FC5503" s="1" t="s">
        <v>155</v>
      </c>
      <c r="GD5503" s="1" t="s">
        <v>189</v>
      </c>
      <c r="GE5503" s="1" t="s">
        <v>190</v>
      </c>
    </row>
    <row r="5504" spans="1:187" ht="11.25" customHeight="1">
      <c r="A5504" s="1" t="s">
        <v>7752</v>
      </c>
      <c r="B5504" s="1" t="str">
        <f ca="1">IFERROR(__xludf.DUMMYFUNCTION("GOOGLETRANSLATE(A5504, ""en"", ""fr"")"),"INHIBITION")</f>
        <v>INHIBITION</v>
      </c>
      <c r="C5504" s="1" t="s">
        <v>185</v>
      </c>
      <c r="E5504" s="1" t="s">
        <v>16613</v>
      </c>
      <c r="H5504" s="1" t="s">
        <v>4</v>
      </c>
      <c r="I5504" s="1" t="s">
        <v>5</v>
      </c>
      <c r="J5504" s="1" t="s">
        <v>6</v>
      </c>
      <c r="O5504" s="1" t="s">
        <v>11</v>
      </c>
      <c r="V5504" s="1" t="s">
        <v>18</v>
      </c>
      <c r="FA5504" s="1" t="s">
        <v>153</v>
      </c>
      <c r="FC5504" s="1" t="s">
        <v>155</v>
      </c>
      <c r="GD5504" s="1" t="s">
        <v>193</v>
      </c>
      <c r="GE5504" s="1" t="s">
        <v>190</v>
      </c>
    </row>
    <row r="5505" spans="1:187" ht="11.25" customHeight="1">
      <c r="A5505" s="1" t="s">
        <v>7753</v>
      </c>
      <c r="B5505" s="1" t="str">
        <f ca="1">IFERROR(__xludf.DUMMYFUNCTION("GOOGLETRANSLATE(A5505, ""en"", ""fr"")"),"INHUMAIN")</f>
        <v>INHUMAIN</v>
      </c>
      <c r="C5505" s="1" t="s">
        <v>192</v>
      </c>
      <c r="E5505" s="1" t="s">
        <v>16613</v>
      </c>
      <c r="I5505" s="1" t="s">
        <v>5</v>
      </c>
      <c r="V5505" s="1" t="s">
        <v>18</v>
      </c>
      <c r="CM5505" s="1" t="s">
        <v>87</v>
      </c>
      <c r="DR5505" s="1" t="s">
        <v>118</v>
      </c>
      <c r="GD5505" s="1" t="s">
        <v>202</v>
      </c>
      <c r="GE5505" s="1" t="s">
        <v>190</v>
      </c>
    </row>
    <row r="5506" spans="1:187" ht="11.25" customHeight="1">
      <c r="A5506" s="1" t="s">
        <v>7754</v>
      </c>
      <c r="B5506" s="1" t="str">
        <f ca="1">IFERROR(__xludf.DUMMYFUNCTION("GOOGLETRANSLATE(A5506, ""en"", ""fr"")"),"INITIAL")</f>
        <v>INITIAL</v>
      </c>
      <c r="C5506" s="1" t="s">
        <v>185</v>
      </c>
      <c r="CY5506" s="1" t="s">
        <v>99</v>
      </c>
      <c r="GD5506" s="1" t="s">
        <v>202</v>
      </c>
      <c r="GE5506" s="1" t="s">
        <v>190</v>
      </c>
    </row>
    <row r="5507" spans="1:187" ht="11.25" customHeight="1">
      <c r="A5507" s="1" t="s">
        <v>7755</v>
      </c>
      <c r="B5507" s="1" t="str">
        <f ca="1">IFERROR(__xludf.DUMMYFUNCTION("GOOGLETRANSLATE(A5507, ""en"", ""fr"")"),"LANCER")</f>
        <v>LANCER</v>
      </c>
      <c r="C5507" s="1" t="s">
        <v>185</v>
      </c>
      <c r="J5507" s="1" t="s">
        <v>6</v>
      </c>
      <c r="K5507" s="1" t="s">
        <v>7</v>
      </c>
      <c r="N5507" s="1" t="s">
        <v>10</v>
      </c>
      <c r="BV5507" s="1" t="s">
        <v>70</v>
      </c>
      <c r="DN5507" s="1" t="s">
        <v>114</v>
      </c>
      <c r="FP5507" s="1" t="s">
        <v>168</v>
      </c>
      <c r="GD5507" s="1" t="s">
        <v>189</v>
      </c>
      <c r="GE5507" s="1" t="s">
        <v>190</v>
      </c>
    </row>
    <row r="5508" spans="1:187" ht="11.25" customHeight="1">
      <c r="A5508" s="1" t="s">
        <v>7756</v>
      </c>
      <c r="B5508" s="1" t="str">
        <f ca="1">IFERROR(__xludf.DUMMYFUNCTION("GOOGLETRANSLATE(A5508, ""en"", ""fr"")"),"INITIATIVE")</f>
        <v>INITIATIVE</v>
      </c>
      <c r="C5508" s="1" t="s">
        <v>185</v>
      </c>
      <c r="J5508" s="1" t="s">
        <v>6</v>
      </c>
      <c r="N5508" s="1" t="s">
        <v>10</v>
      </c>
      <c r="BV5508" s="1" t="s">
        <v>70</v>
      </c>
      <c r="FR5508" s="1" t="s">
        <v>170</v>
      </c>
      <c r="GD5508" s="1" t="s">
        <v>193</v>
      </c>
      <c r="GE5508" s="1" t="s">
        <v>190</v>
      </c>
    </row>
    <row r="5509" spans="1:187" ht="11.25" customHeight="1">
      <c r="A5509" s="1" t="s">
        <v>7757</v>
      </c>
      <c r="B5509" s="1" t="str">
        <f ca="1">IFERROR(__xludf.DUMMYFUNCTION("GOOGLETRANSLATE(A5509, ""en"", ""fr"")"),"INJECTER")</f>
        <v>INJECTER</v>
      </c>
      <c r="C5509" s="1" t="s">
        <v>196</v>
      </c>
      <c r="GD5509" s="1" t="s">
        <v>189</v>
      </c>
    </row>
    <row r="5510" spans="1:187" ht="11.25" customHeight="1">
      <c r="A5510" s="1" t="s">
        <v>7758</v>
      </c>
      <c r="B5510" s="1" t="str">
        <f ca="1">IFERROR(__xludf.DUMMYFUNCTION("GOOGLETRANSLATE(A5510, ""en"", ""fr"")"),"INJONCTION")</f>
        <v>INJONCTION</v>
      </c>
      <c r="C5510" s="1" t="s">
        <v>185</v>
      </c>
      <c r="E5510" s="1" t="s">
        <v>16613</v>
      </c>
      <c r="H5510" s="1" t="s">
        <v>4</v>
      </c>
      <c r="I5510" s="1" t="s">
        <v>5</v>
      </c>
      <c r="J5510" s="1" t="s">
        <v>6</v>
      </c>
      <c r="AE5510" s="1" t="s">
        <v>27</v>
      </c>
      <c r="BK5510" s="1" t="s">
        <v>59</v>
      </c>
      <c r="BL5510" s="1" t="s">
        <v>60</v>
      </c>
      <c r="DW5510" s="1" t="s">
        <v>123</v>
      </c>
      <c r="ED5510" s="1" t="s">
        <v>130</v>
      </c>
      <c r="GC5510" s="1" t="s">
        <v>181</v>
      </c>
      <c r="GD5510" s="1" t="s">
        <v>193</v>
      </c>
      <c r="GE5510" s="1" t="s">
        <v>190</v>
      </c>
    </row>
    <row r="5511" spans="1:187" ht="11.25" customHeight="1">
      <c r="A5511" s="1" t="s">
        <v>7759</v>
      </c>
      <c r="B5511" s="1" t="str">
        <f ca="1">IFERROR(__xludf.DUMMYFUNCTION("GOOGLETRANSLATE(A5511, ""en"", ""fr"")"),"BLESSER")</f>
        <v>BLESSER</v>
      </c>
      <c r="C5511" s="1" t="s">
        <v>185</v>
      </c>
      <c r="E5511" s="1" t="s">
        <v>16613</v>
      </c>
      <c r="O5511" s="1" t="s">
        <v>11</v>
      </c>
      <c r="Q5511" s="1" t="s">
        <v>13</v>
      </c>
      <c r="BT5511" s="1" t="s">
        <v>68</v>
      </c>
      <c r="DN5511" s="1" t="s">
        <v>114</v>
      </c>
      <c r="EZ5511" s="1" t="s">
        <v>152</v>
      </c>
      <c r="FC5511" s="1" t="s">
        <v>155</v>
      </c>
      <c r="GD5511" s="1" t="s">
        <v>189</v>
      </c>
      <c r="GE5511" s="1" t="s">
        <v>190</v>
      </c>
    </row>
    <row r="5512" spans="1:187" ht="11.25" customHeight="1">
      <c r="A5512" s="1" t="s">
        <v>7760</v>
      </c>
      <c r="B5512" s="1" t="str">
        <f ca="1">IFERROR(__xludf.DUMMYFUNCTION("GOOGLETRANSLATE(A5512, ""en"", ""fr"")"),"PRÉJUDICIABLE")</f>
        <v>PRÉJUDICIABLE</v>
      </c>
      <c r="C5512" s="1" t="s">
        <v>185</v>
      </c>
      <c r="E5512" s="1" t="s">
        <v>16613</v>
      </c>
      <c r="H5512" s="1" t="s">
        <v>4</v>
      </c>
      <c r="I5512" s="1" t="s">
        <v>5</v>
      </c>
      <c r="L5512" s="1" t="s">
        <v>8</v>
      </c>
      <c r="V5512" s="1" t="s">
        <v>18</v>
      </c>
      <c r="EZ5512" s="1" t="s">
        <v>152</v>
      </c>
      <c r="FC5512" s="1" t="s">
        <v>155</v>
      </c>
      <c r="GD5512" s="1" t="s">
        <v>202</v>
      </c>
      <c r="GE5512" s="1" t="s">
        <v>190</v>
      </c>
    </row>
    <row r="5513" spans="1:187" ht="11.25" customHeight="1">
      <c r="A5513" s="1" t="s">
        <v>7761</v>
      </c>
      <c r="B5513" s="1" t="str">
        <f ca="1">IFERROR(__xludf.DUMMYFUNCTION("GOOGLETRANSLATE(A5513, ""en"", ""fr"")"),"BLESSURE")</f>
        <v>BLESSURE</v>
      </c>
      <c r="C5513" s="1" t="s">
        <v>185</v>
      </c>
      <c r="E5513" s="1" t="s">
        <v>16613</v>
      </c>
      <c r="H5513" s="1" t="s">
        <v>4</v>
      </c>
      <c r="I5513" s="1" t="s">
        <v>5</v>
      </c>
      <c r="L5513" s="1" t="s">
        <v>8</v>
      </c>
      <c r="V5513" s="1" t="s">
        <v>18</v>
      </c>
      <c r="EZ5513" s="1" t="s">
        <v>152</v>
      </c>
      <c r="FC5513" s="1" t="s">
        <v>155</v>
      </c>
      <c r="GD5513" s="1" t="s">
        <v>193</v>
      </c>
      <c r="GE5513" s="1" t="s">
        <v>190</v>
      </c>
    </row>
    <row r="5514" spans="1:187" ht="11.25" customHeight="1">
      <c r="A5514" s="1" t="s">
        <v>7762</v>
      </c>
      <c r="B5514" s="1" t="str">
        <f ca="1">IFERROR(__xludf.DUMMYFUNCTION("GOOGLETRANSLATE(A5514, ""en"", ""fr"")"),"INJUSTICE")</f>
        <v>INJUSTICE</v>
      </c>
      <c r="C5514" s="1" t="s">
        <v>185</v>
      </c>
      <c r="EE5514" s="1" t="s">
        <v>131</v>
      </c>
      <c r="EJ5514" s="1" t="s">
        <v>136</v>
      </c>
      <c r="GD5514" s="1" t="s">
        <v>7763</v>
      </c>
      <c r="GE5514" s="1" t="s">
        <v>190</v>
      </c>
    </row>
    <row r="5515" spans="1:187" ht="11.25" customHeight="1">
      <c r="A5515" s="1" t="s">
        <v>7764</v>
      </c>
      <c r="B5515" s="1" t="str">
        <f ca="1">IFERROR(__xludf.DUMMYFUNCTION("GOOGLETRANSLATE(A5515, ""en"", ""fr"")"),"INTÉRIEUR")</f>
        <v>INTÉRIEUR</v>
      </c>
      <c r="C5515" s="1" t="s">
        <v>196</v>
      </c>
      <c r="GD5515" s="1" t="s">
        <v>202</v>
      </c>
    </row>
    <row r="5516" spans="1:187" ht="11.25" customHeight="1">
      <c r="A5516" s="1" t="s">
        <v>7765</v>
      </c>
      <c r="B5516" s="1" t="str">
        <f ca="1">IFERROR(__xludf.DUMMYFUNCTION("GOOGLETRANSLATE(A5516, ""en"", ""fr"")"),"INTÉRIEUR")</f>
        <v>INTÉRIEUR</v>
      </c>
      <c r="C5516" s="1" t="s">
        <v>185</v>
      </c>
      <c r="J5516" s="1" t="s">
        <v>6</v>
      </c>
      <c r="DA5516" s="1" t="s">
        <v>101</v>
      </c>
      <c r="DB5516" s="1" t="s">
        <v>102</v>
      </c>
      <c r="GB5516" s="1" t="s">
        <v>180</v>
      </c>
      <c r="GD5516" s="1" t="s">
        <v>202</v>
      </c>
      <c r="GE5516" s="1" t="s">
        <v>190</v>
      </c>
    </row>
    <row r="5517" spans="1:187" ht="11.25" customHeight="1">
      <c r="A5517" s="1" t="s">
        <v>7766</v>
      </c>
      <c r="B5517" s="1" t="str">
        <f ca="1">IFERROR(__xludf.DUMMYFUNCTION("GOOGLETRANSLATE(A5517, ""en"", ""fr"")"),"TOUR DE BATTE")</f>
        <v>TOUR DE BATTE</v>
      </c>
      <c r="C5517" s="1" t="s">
        <v>185</v>
      </c>
      <c r="CY5517" s="1" t="s">
        <v>99</v>
      </c>
      <c r="GD5517" s="1" t="s">
        <v>193</v>
      </c>
      <c r="GE5517" s="1" t="s">
        <v>190</v>
      </c>
    </row>
    <row r="5518" spans="1:187" ht="11.25" customHeight="1">
      <c r="A5518" s="1" t="s">
        <v>7767</v>
      </c>
      <c r="B5518" s="1" t="str">
        <f ca="1">IFERROR(__xludf.DUMMYFUNCTION("GOOGLETRANSLATE(A5518, ""en"", ""fr"")"),"INNOCENCE")</f>
        <v>INNOCENCE</v>
      </c>
      <c r="C5518" s="1" t="s">
        <v>185</v>
      </c>
      <c r="D5518" s="1" t="s">
        <v>16612</v>
      </c>
      <c r="F5518" s="1" t="s">
        <v>2</v>
      </c>
      <c r="U5518" s="1" t="s">
        <v>17</v>
      </c>
      <c r="CP5518" s="1" t="s">
        <v>90</v>
      </c>
      <c r="CQ5518" s="1" t="s">
        <v>91</v>
      </c>
      <c r="EE5518" s="1" t="s">
        <v>131</v>
      </c>
      <c r="EJ5518" s="1" t="s">
        <v>136</v>
      </c>
      <c r="GD5518" s="1" t="s">
        <v>193</v>
      </c>
      <c r="GE5518" s="1" t="s">
        <v>190</v>
      </c>
    </row>
    <row r="5519" spans="1:187" ht="11.25" customHeight="1">
      <c r="A5519" s="1" t="s">
        <v>7768</v>
      </c>
      <c r="B5519" s="1" t="str">
        <f ca="1">IFERROR(__xludf.DUMMYFUNCTION("GOOGLETRANSLATE(A5519, ""en"", ""fr"")"),"INNOCENT")</f>
        <v>INNOCENT</v>
      </c>
      <c r="C5519" s="1" t="s">
        <v>185</v>
      </c>
      <c r="D5519" s="1" t="s">
        <v>16612</v>
      </c>
      <c r="F5519" s="1" t="s">
        <v>2</v>
      </c>
      <c r="U5519" s="1" t="s">
        <v>17</v>
      </c>
      <c r="AE5519" s="1" t="s">
        <v>27</v>
      </c>
      <c r="CN5519" s="1" t="s">
        <v>88</v>
      </c>
      <c r="EE5519" s="1" t="s">
        <v>131</v>
      </c>
      <c r="EJ5519" s="1" t="s">
        <v>136</v>
      </c>
      <c r="GD5519" s="1" t="s">
        <v>202</v>
      </c>
      <c r="GE5519" s="1" t="s">
        <v>190</v>
      </c>
    </row>
    <row r="5520" spans="1:187" ht="11.25" customHeight="1">
      <c r="A5520" s="1" t="s">
        <v>7769</v>
      </c>
      <c r="B5520" s="1" t="str">
        <f ca="1">IFERROR(__xludf.DUMMYFUNCTION("GOOGLETRANSLATE(A5520, ""en"", ""fr"")"),"INNOVER")</f>
        <v>INNOVER</v>
      </c>
      <c r="C5520" s="1" t="s">
        <v>192</v>
      </c>
      <c r="D5520" s="1" t="s">
        <v>16612</v>
      </c>
      <c r="N5520" s="1" t="s">
        <v>10</v>
      </c>
      <c r="BV5520" s="1" t="s">
        <v>70</v>
      </c>
      <c r="DN5520" s="1" t="s">
        <v>114</v>
      </c>
      <c r="GD5520" s="1" t="s">
        <v>189</v>
      </c>
      <c r="GE5520" s="1" t="s">
        <v>190</v>
      </c>
    </row>
    <row r="5521" spans="1:187" ht="11.25" customHeight="1">
      <c r="A5521" s="1" t="s">
        <v>7770</v>
      </c>
      <c r="B5521" s="1" t="str">
        <f ca="1">IFERROR(__xludf.DUMMYFUNCTION("GOOGLETRANSLATE(A5521, ""en"", ""fr"")"),"INNOVATION")</f>
        <v>INNOVATION</v>
      </c>
      <c r="C5521" s="1" t="s">
        <v>185</v>
      </c>
      <c r="BO5521" s="1" t="s">
        <v>63</v>
      </c>
      <c r="FL5521" s="1" t="s">
        <v>164</v>
      </c>
      <c r="FM5521" s="1" t="s">
        <v>418</v>
      </c>
      <c r="GD5521" s="1" t="s">
        <v>193</v>
      </c>
      <c r="GE5521" s="1" t="s">
        <v>190</v>
      </c>
    </row>
    <row r="5522" spans="1:187" ht="11.25" customHeight="1">
      <c r="A5522" s="1" t="s">
        <v>7771</v>
      </c>
      <c r="B5522" s="1" t="str">
        <f ca="1">IFERROR(__xludf.DUMMYFUNCTION("GOOGLETRANSLATE(A5522, ""en"", ""fr"")"),"INNOVANT")</f>
        <v>INNOVANT</v>
      </c>
      <c r="C5522" s="1" t="s">
        <v>192</v>
      </c>
      <c r="D5522" s="1" t="s">
        <v>16612</v>
      </c>
      <c r="U5522" s="1" t="s">
        <v>17</v>
      </c>
      <c r="BV5522" s="1" t="s">
        <v>70</v>
      </c>
      <c r="GD5522" s="1" t="s">
        <v>193</v>
      </c>
      <c r="GE5522" s="1" t="s">
        <v>190</v>
      </c>
    </row>
    <row r="5523" spans="1:187" ht="11.25" customHeight="1">
      <c r="A5523" s="1" t="s">
        <v>7772</v>
      </c>
      <c r="B5523" s="1" t="str">
        <f ca="1">IFERROR(__xludf.DUMMYFUNCTION("GOOGLETRANSLATE(A5523, ""en"", ""fr"")"),"INNOMBRABLE")</f>
        <v>INNOMBRABLE</v>
      </c>
      <c r="C5523" s="1" t="s">
        <v>185</v>
      </c>
      <c r="J5523" s="1" t="s">
        <v>6</v>
      </c>
      <c r="W5523" s="1" t="s">
        <v>19</v>
      </c>
      <c r="CS5523" s="1" t="s">
        <v>93</v>
      </c>
      <c r="DL5523" s="1" t="s">
        <v>112</v>
      </c>
      <c r="GD5523" s="1" t="s">
        <v>202</v>
      </c>
      <c r="GE5523" s="1" t="s">
        <v>190</v>
      </c>
    </row>
    <row r="5524" spans="1:187" ht="11.25" customHeight="1">
      <c r="A5524" s="1" t="s">
        <v>7773</v>
      </c>
      <c r="B5524" s="1" t="str">
        <f ca="1">IFERROR(__xludf.DUMMYFUNCTION("GOOGLETRANSLATE(A5524, ""en"", ""fr"")"),"EXCESSIF")</f>
        <v>EXCESSIF</v>
      </c>
      <c r="C5524" s="1" t="s">
        <v>196</v>
      </c>
      <c r="FW5524" s="1" t="s">
        <v>175</v>
      </c>
      <c r="GD5524" s="1" t="s">
        <v>202</v>
      </c>
    </row>
    <row r="5525" spans="1:187" ht="11.25" customHeight="1">
      <c r="A5525" s="1" t="s">
        <v>7774</v>
      </c>
      <c r="B5525" s="1" t="str">
        <f ca="1">IFERROR(__xludf.DUMMYFUNCTION("GOOGLETRANSLATE(A5525, ""en"", ""fr"")"),"RENSEIGNER")</f>
        <v>RENSEIGNER</v>
      </c>
      <c r="C5525" s="1" t="s">
        <v>185</v>
      </c>
      <c r="N5525" s="1" t="s">
        <v>10</v>
      </c>
      <c r="BK5525" s="1" t="s">
        <v>59</v>
      </c>
      <c r="DN5525" s="1" t="s">
        <v>114</v>
      </c>
      <c r="FH5525" s="1" t="s">
        <v>160</v>
      </c>
      <c r="FI5525" s="1" t="s">
        <v>161</v>
      </c>
      <c r="GD5525" s="1" t="s">
        <v>189</v>
      </c>
      <c r="GE5525" s="1" t="s">
        <v>190</v>
      </c>
    </row>
    <row r="5526" spans="1:187" ht="11.25" customHeight="1">
      <c r="A5526" s="1" t="s">
        <v>7775</v>
      </c>
      <c r="B5526" s="1" t="str">
        <f ca="1">IFERROR(__xludf.DUMMYFUNCTION("GOOGLETRANSLATE(A5526, ""en"", ""fr"")"),"ENQUÊTE")</f>
        <v>ENQUÊTE</v>
      </c>
      <c r="C5526" s="1" t="s">
        <v>185</v>
      </c>
      <c r="N5526" s="1" t="s">
        <v>10</v>
      </c>
      <c r="BK5526" s="1" t="s">
        <v>59</v>
      </c>
      <c r="BL5526" s="1" t="s">
        <v>60</v>
      </c>
      <c r="FH5526" s="1" t="s">
        <v>160</v>
      </c>
      <c r="FI5526" s="1" t="s">
        <v>161</v>
      </c>
      <c r="GC5526" s="1" t="s">
        <v>181</v>
      </c>
      <c r="GD5526" s="1" t="s">
        <v>193</v>
      </c>
      <c r="GE5526" s="1" t="s">
        <v>190</v>
      </c>
    </row>
    <row r="5527" spans="1:187" ht="11.25" customHeight="1">
      <c r="A5527" s="1" t="s">
        <v>7776</v>
      </c>
      <c r="B5527" s="1" t="str">
        <f ca="1">IFERROR(__xludf.DUMMYFUNCTION("GOOGLETRANSLATE(A5527, ""en"", ""fr"")"),"CURIEUX")</f>
        <v>CURIEUX</v>
      </c>
      <c r="C5527" s="1" t="s">
        <v>192</v>
      </c>
      <c r="D5527" s="1" t="s">
        <v>16612</v>
      </c>
      <c r="BK5527" s="1" t="s">
        <v>59</v>
      </c>
      <c r="CG5527" s="1" t="s">
        <v>81</v>
      </c>
      <c r="DR5527" s="1" t="s">
        <v>118</v>
      </c>
      <c r="GD5527" s="1" t="s">
        <v>202</v>
      </c>
      <c r="GE5527" s="1" t="s">
        <v>190</v>
      </c>
    </row>
    <row r="5528" spans="1:187" ht="11.25" customHeight="1">
      <c r="A5528" s="1" t="s">
        <v>7777</v>
      </c>
      <c r="B5528" s="1" t="str">
        <f ca="1">IFERROR(__xludf.DUMMYFUNCTION("GOOGLETRANSLATE(A5528, ""en"", ""fr"")"),"FOU")</f>
        <v>FOU</v>
      </c>
      <c r="C5528" s="1" t="s">
        <v>192</v>
      </c>
      <c r="E5528" s="1" t="s">
        <v>16613</v>
      </c>
      <c r="V5528" s="1" t="s">
        <v>18</v>
      </c>
      <c r="BT5528" s="1" t="s">
        <v>68</v>
      </c>
      <c r="CG5528" s="1" t="s">
        <v>81</v>
      </c>
      <c r="DR5528" s="1" t="s">
        <v>118</v>
      </c>
      <c r="GD5528" s="1" t="s">
        <v>202</v>
      </c>
      <c r="GE5528" s="1" t="s">
        <v>190</v>
      </c>
    </row>
    <row r="5529" spans="1:187" ht="11.25" customHeight="1">
      <c r="A5529" s="1" t="s">
        <v>7778</v>
      </c>
      <c r="B5529" s="1" t="str">
        <f ca="1">IFERROR(__xludf.DUMMYFUNCTION("GOOGLETRANSLATE(A5529, ""en"", ""fr"")"),"INSECTE")</f>
        <v>INSECTE</v>
      </c>
      <c r="C5529" s="1" t="s">
        <v>185</v>
      </c>
      <c r="AU5529" s="1" t="s">
        <v>43</v>
      </c>
      <c r="GD5529" s="1" t="s">
        <v>193</v>
      </c>
      <c r="GE5529" s="1" t="s">
        <v>190</v>
      </c>
    </row>
    <row r="5530" spans="1:187" ht="11.25" customHeight="1">
      <c r="A5530" s="1" t="s">
        <v>7779</v>
      </c>
      <c r="B5530" s="1" t="str">
        <f ca="1">IFERROR(__xludf.DUMMYFUNCTION("GOOGLETRANSLATE(A5530, ""en"", ""fr"")"),"PRÉCAIRE")</f>
        <v>PRÉCAIRE</v>
      </c>
      <c r="C5530" s="1" t="s">
        <v>185</v>
      </c>
      <c r="E5530" s="1" t="s">
        <v>16613</v>
      </c>
      <c r="H5530" s="1" t="s">
        <v>4</v>
      </c>
      <c r="L5530" s="1" t="s">
        <v>8</v>
      </c>
      <c r="O5530" s="1" t="s">
        <v>11</v>
      </c>
      <c r="V5530" s="1" t="s">
        <v>18</v>
      </c>
      <c r="X5530" s="1" t="s">
        <v>20</v>
      </c>
      <c r="DL5530" s="1" t="s">
        <v>112</v>
      </c>
      <c r="FR5530" s="1" t="s">
        <v>170</v>
      </c>
      <c r="GD5530" s="1" t="s">
        <v>202</v>
      </c>
      <c r="GE5530" s="1" t="s">
        <v>190</v>
      </c>
    </row>
    <row r="5531" spans="1:187" ht="11.25" customHeight="1">
      <c r="A5531" s="1" t="s">
        <v>7780</v>
      </c>
      <c r="B5531" s="1" t="str">
        <f ca="1">IFERROR(__xludf.DUMMYFUNCTION("GOOGLETRANSLATE(A5531, ""en"", ""fr"")"),"INSÉCURITÉ")</f>
        <v>INSÉCURITÉ</v>
      </c>
      <c r="C5531" s="1" t="s">
        <v>185</v>
      </c>
      <c r="E5531" s="1" t="s">
        <v>16613</v>
      </c>
      <c r="H5531" s="1" t="s">
        <v>4</v>
      </c>
      <c r="L5531" s="1" t="s">
        <v>8</v>
      </c>
      <c r="O5531" s="1" t="s">
        <v>11</v>
      </c>
      <c r="V5531" s="1" t="s">
        <v>18</v>
      </c>
      <c r="X5531" s="1" t="s">
        <v>20</v>
      </c>
      <c r="DL5531" s="1" t="s">
        <v>112</v>
      </c>
      <c r="FR5531" s="1" t="s">
        <v>170</v>
      </c>
      <c r="GD5531" s="1" t="s">
        <v>193</v>
      </c>
      <c r="GE5531" s="1" t="s">
        <v>190</v>
      </c>
    </row>
    <row r="5532" spans="1:187" ht="11.25" customHeight="1">
      <c r="A5532" s="1" t="s">
        <v>7781</v>
      </c>
      <c r="B5532" s="1" t="str">
        <f ca="1">IFERROR(__xludf.DUMMYFUNCTION("GOOGLETRANSLATE(A5532, ""en"", ""fr"")"),"INSENSIBLE")</f>
        <v>INSENSIBLE</v>
      </c>
      <c r="C5532" s="1" t="s">
        <v>192</v>
      </c>
      <c r="E5532" s="1" t="s">
        <v>16613</v>
      </c>
      <c r="BT5532" s="1" t="s">
        <v>68</v>
      </c>
      <c r="CG5532" s="1" t="s">
        <v>81</v>
      </c>
      <c r="DR5532" s="1" t="s">
        <v>118</v>
      </c>
      <c r="GD5532" s="1" t="s">
        <v>202</v>
      </c>
      <c r="GE5532" s="1" t="s">
        <v>190</v>
      </c>
    </row>
    <row r="5533" spans="1:187" ht="11.25" customHeight="1">
      <c r="A5533" s="1" t="s">
        <v>7782</v>
      </c>
      <c r="B5533" s="1" t="str">
        <f ca="1">IFERROR(__xludf.DUMMYFUNCTION("GOOGLETRANSLATE(A5533, ""en"", ""fr"")"),"INSÉPARABLE")</f>
        <v>INSÉPARABLE</v>
      </c>
      <c r="C5533" s="1" t="s">
        <v>185</v>
      </c>
      <c r="D5533" s="1" t="s">
        <v>16612</v>
      </c>
      <c r="G5533" s="1" t="s">
        <v>3</v>
      </c>
      <c r="AN5533" s="1" t="s">
        <v>36</v>
      </c>
      <c r="DL5533" s="1" t="s">
        <v>112</v>
      </c>
      <c r="DQ5533" s="1" t="s">
        <v>117</v>
      </c>
      <c r="GD5533" s="1" t="s">
        <v>202</v>
      </c>
      <c r="GE5533" s="1" t="s">
        <v>190</v>
      </c>
    </row>
    <row r="5534" spans="1:187" ht="11.25" customHeight="1">
      <c r="A5534" s="1" t="s">
        <v>7783</v>
      </c>
      <c r="B5534" s="1" t="str">
        <f ca="1">IFERROR(__xludf.DUMMYFUNCTION("GOOGLETRANSLATE(A5534, ""en"", ""fr"")"),"Insérer # 1")</f>
        <v>Insérer # 1</v>
      </c>
      <c r="C5534" s="1" t="s">
        <v>185</v>
      </c>
      <c r="N5534" s="1" t="s">
        <v>10</v>
      </c>
      <c r="BC5534" s="1" t="s">
        <v>51</v>
      </c>
      <c r="BH5534" s="1" t="s">
        <v>56</v>
      </c>
      <c r="BL5534" s="1" t="s">
        <v>60</v>
      </c>
      <c r="GD5534" s="1" t="s">
        <v>193</v>
      </c>
      <c r="GE5534" s="1" t="s">
        <v>190</v>
      </c>
    </row>
    <row r="5535" spans="1:187" ht="11.25" customHeight="1">
      <c r="A5535" s="1" t="s">
        <v>7784</v>
      </c>
      <c r="B5535" s="1" t="str">
        <f ca="1">IFERROR(__xludf.DUMMYFUNCTION("GOOGLETRANSLATE(A5535, ""en"", ""fr"")"),"Insérer # 2")</f>
        <v>Insérer # 2</v>
      </c>
      <c r="C5535" s="1" t="s">
        <v>185</v>
      </c>
      <c r="N5535" s="1" t="s">
        <v>10</v>
      </c>
      <c r="DA5535" s="1" t="s">
        <v>101</v>
      </c>
      <c r="DN5535" s="1" t="s">
        <v>114</v>
      </c>
      <c r="GD5535" s="1" t="s">
        <v>189</v>
      </c>
      <c r="GE5535" s="1" t="s">
        <v>190</v>
      </c>
    </row>
    <row r="5536" spans="1:187" ht="11.25" customHeight="1">
      <c r="A5536" s="1" t="s">
        <v>7785</v>
      </c>
      <c r="B5536" s="1" t="str">
        <f ca="1">IFERROR(__xludf.DUMMYFUNCTION("GOOGLETRANSLATE(A5536, ""en"", ""fr"")"),"À l'intérieur n ° 1")</f>
        <v>À l'intérieur n ° 1</v>
      </c>
      <c r="C5536" s="1" t="s">
        <v>185</v>
      </c>
      <c r="DA5536" s="1" t="s">
        <v>101</v>
      </c>
      <c r="GB5536" s="1" t="s">
        <v>180</v>
      </c>
      <c r="GD5536" s="1" t="s">
        <v>215</v>
      </c>
      <c r="GE5536" s="1" t="s">
        <v>7786</v>
      </c>
    </row>
    <row r="5537" spans="1:187" ht="11.25" customHeight="1">
      <c r="A5537" s="1" t="s">
        <v>7787</v>
      </c>
      <c r="B5537" s="1" t="str">
        <f ca="1">IFERROR(__xludf.DUMMYFUNCTION("GOOGLETRANSLATE(A5537, ""en"", ""fr"")"),"À l'intérieur n ° 2")</f>
        <v>À l'intérieur n ° 2</v>
      </c>
      <c r="C5537" s="1" t="s">
        <v>185</v>
      </c>
      <c r="DA5537" s="1" t="s">
        <v>101</v>
      </c>
      <c r="GB5537" s="1" t="s">
        <v>180</v>
      </c>
      <c r="GD5537" s="1" t="s">
        <v>236</v>
      </c>
      <c r="GE5537" s="1" t="s">
        <v>7788</v>
      </c>
    </row>
    <row r="5538" spans="1:187" ht="11.25" customHeight="1">
      <c r="A5538" s="1" t="s">
        <v>7789</v>
      </c>
      <c r="B5538" s="1" t="str">
        <f ca="1">IFERROR(__xludf.DUMMYFUNCTION("GOOGLETRANSLATE(A5538, ""en"", ""fr"")"),"À l'intérieur n ° 3")</f>
        <v>À l'intérieur n ° 3</v>
      </c>
      <c r="C5538" s="1" t="s">
        <v>185</v>
      </c>
      <c r="DA5538" s="1" t="s">
        <v>101</v>
      </c>
      <c r="GB5538" s="1" t="s">
        <v>180</v>
      </c>
      <c r="GD5538" s="1" t="s">
        <v>202</v>
      </c>
      <c r="GE5538" s="1" t="s">
        <v>7790</v>
      </c>
    </row>
    <row r="5539" spans="1:187" ht="11.25" customHeight="1">
      <c r="A5539" s="1" t="s">
        <v>7791</v>
      </c>
      <c r="B5539" s="1" t="str">
        <f ca="1">IFERROR(__xludf.DUMMYFUNCTION("GOOGLETRANSLATE(A5539, ""en"", ""fr"")"),"À l'intérieur n ° 4")</f>
        <v>À l'intérieur n ° 4</v>
      </c>
      <c r="C5539" s="1" t="s">
        <v>185</v>
      </c>
      <c r="DA5539" s="1" t="s">
        <v>101</v>
      </c>
      <c r="GB5539" s="1" t="s">
        <v>180</v>
      </c>
      <c r="GD5539" s="1" t="s">
        <v>193</v>
      </c>
      <c r="GE5539" s="1" t="s">
        <v>7792</v>
      </c>
    </row>
    <row r="5540" spans="1:187" ht="11.25" customHeight="1">
      <c r="A5540" s="1" t="s">
        <v>7793</v>
      </c>
      <c r="B5540" s="1" t="str">
        <f ca="1">IFERROR(__xludf.DUMMYFUNCTION("GOOGLETRANSLATE(A5540, ""en"", ""fr"")"),"INSIDIEUX")</f>
        <v>INSIDIEUX</v>
      </c>
      <c r="C5540" s="1" t="s">
        <v>185</v>
      </c>
      <c r="E5540" s="1" t="s">
        <v>16613</v>
      </c>
      <c r="H5540" s="1" t="s">
        <v>4</v>
      </c>
      <c r="V5540" s="1" t="s">
        <v>18</v>
      </c>
      <c r="FW5540" s="1" t="s">
        <v>175</v>
      </c>
      <c r="GD5540" s="1" t="s">
        <v>202</v>
      </c>
      <c r="GE5540" s="1" t="s">
        <v>190</v>
      </c>
    </row>
    <row r="5541" spans="1:187" ht="11.25" customHeight="1">
      <c r="A5541" s="1" t="s">
        <v>7794</v>
      </c>
      <c r="B5541" s="1" t="str">
        <f ca="1">IFERROR(__xludf.DUMMYFUNCTION("GOOGLETRANSLATE(A5541, ""en"", ""fr"")"),"APERÇU")</f>
        <v>APERÇU</v>
      </c>
      <c r="C5541" s="1" t="s">
        <v>185</v>
      </c>
      <c r="D5541" s="1" t="s">
        <v>16612</v>
      </c>
      <c r="F5541" s="1" t="s">
        <v>2</v>
      </c>
      <c r="O5541" s="1" t="s">
        <v>11</v>
      </c>
      <c r="CH5541" s="1" t="s">
        <v>82</v>
      </c>
      <c r="CP5541" s="1" t="s">
        <v>90</v>
      </c>
      <c r="CQ5541" s="1" t="s">
        <v>91</v>
      </c>
      <c r="FH5541" s="1" t="s">
        <v>160</v>
      </c>
      <c r="FI5541" s="1" t="s">
        <v>161</v>
      </c>
      <c r="GD5541" s="1" t="s">
        <v>193</v>
      </c>
      <c r="GE5541" s="1" t="s">
        <v>190</v>
      </c>
    </row>
    <row r="5542" spans="1:187" ht="11.25" customHeight="1">
      <c r="A5542" s="1" t="s">
        <v>7795</v>
      </c>
      <c r="B5542" s="1" t="str">
        <f ca="1">IFERROR(__xludf.DUMMYFUNCTION("GOOGLETRANSLATE(A5542, ""en"", ""fr"")"),"INSIGNIFIANT")</f>
        <v>INSIGNIFIANT</v>
      </c>
      <c r="C5542" s="1" t="s">
        <v>185</v>
      </c>
      <c r="E5542" s="1" t="s">
        <v>16613</v>
      </c>
      <c r="H5542" s="1" t="s">
        <v>4</v>
      </c>
      <c r="L5542" s="1" t="s">
        <v>8</v>
      </c>
      <c r="V5542" s="1" t="s">
        <v>18</v>
      </c>
      <c r="X5542" s="1" t="s">
        <v>20</v>
      </c>
      <c r="CN5542" s="1" t="s">
        <v>88</v>
      </c>
      <c r="DL5542" s="1" t="s">
        <v>112</v>
      </c>
      <c r="GD5542" s="1" t="s">
        <v>202</v>
      </c>
      <c r="GE5542" s="1" t="s">
        <v>190</v>
      </c>
    </row>
    <row r="5543" spans="1:187" ht="11.25" customHeight="1">
      <c r="A5543" s="1" t="s">
        <v>7796</v>
      </c>
      <c r="B5543" s="1" t="str">
        <f ca="1">IFERROR(__xludf.DUMMYFUNCTION("GOOGLETRANSLATE(A5543, ""en"", ""fr"")"),"INSINUER")</f>
        <v>INSINUER</v>
      </c>
      <c r="C5543" s="1" t="s">
        <v>185</v>
      </c>
      <c r="E5543" s="1" t="s">
        <v>16613</v>
      </c>
      <c r="N5543" s="1" t="s">
        <v>10</v>
      </c>
      <c r="BK5543" s="1" t="s">
        <v>59</v>
      </c>
      <c r="DN5543" s="1" t="s">
        <v>114</v>
      </c>
      <c r="EL5543" s="1" t="s">
        <v>138</v>
      </c>
      <c r="EN5543" s="1" t="s">
        <v>140</v>
      </c>
      <c r="GD5543" s="1" t="s">
        <v>189</v>
      </c>
      <c r="GE5543" s="1" t="s">
        <v>190</v>
      </c>
    </row>
    <row r="5544" spans="1:187" ht="11.25" customHeight="1">
      <c r="A5544" s="1" t="s">
        <v>7797</v>
      </c>
      <c r="B5544" s="1" t="str">
        <f ca="1">IFERROR(__xludf.DUMMYFUNCTION("GOOGLETRANSLATE(A5544, ""en"", ""fr"")"),"INSINUATION")</f>
        <v>INSINUATION</v>
      </c>
      <c r="C5544" s="1" t="s">
        <v>196</v>
      </c>
      <c r="EL5544" s="1" t="s">
        <v>138</v>
      </c>
      <c r="EN5544" s="1" t="s">
        <v>140</v>
      </c>
      <c r="GD5544" s="1" t="s">
        <v>193</v>
      </c>
    </row>
    <row r="5545" spans="1:187" ht="11.25" customHeight="1">
      <c r="A5545" s="1" t="s">
        <v>7798</v>
      </c>
      <c r="B5545" s="1" t="str">
        <f ca="1">IFERROR(__xludf.DUMMYFUNCTION("GOOGLETRANSLATE(A5545, ""en"", ""fr"")"),"INSISTER")</f>
        <v>INSISTER</v>
      </c>
      <c r="C5545" s="1" t="s">
        <v>185</v>
      </c>
      <c r="J5545" s="1" t="s">
        <v>6</v>
      </c>
      <c r="K5545" s="1" t="s">
        <v>7</v>
      </c>
      <c r="N5545" s="1" t="s">
        <v>10</v>
      </c>
      <c r="BK5545" s="1" t="s">
        <v>59</v>
      </c>
      <c r="DN5545" s="1" t="s">
        <v>114</v>
      </c>
      <c r="FP5545" s="1" t="s">
        <v>168</v>
      </c>
      <c r="GD5545" s="1" t="s">
        <v>189</v>
      </c>
      <c r="GE5545" s="1" t="s">
        <v>7799</v>
      </c>
    </row>
    <row r="5546" spans="1:187" ht="11.25" customHeight="1">
      <c r="A5546" s="1" t="s">
        <v>7800</v>
      </c>
      <c r="B5546" s="1" t="str">
        <f ca="1">IFERROR(__xludf.DUMMYFUNCTION("GOOGLETRANSLATE(A5546, ""en"", ""fr"")"),"INSISTANCE")</f>
        <v>INSISTANCE</v>
      </c>
      <c r="C5546" s="1" t="s">
        <v>185</v>
      </c>
      <c r="J5546" s="1" t="s">
        <v>6</v>
      </c>
      <c r="K5546" s="1" t="s">
        <v>7</v>
      </c>
      <c r="N5546" s="1" t="s">
        <v>10</v>
      </c>
      <c r="BK5546" s="1" t="s">
        <v>59</v>
      </c>
      <c r="BL5546" s="1" t="s">
        <v>60</v>
      </c>
      <c r="GC5546" s="1" t="s">
        <v>181</v>
      </c>
      <c r="GD5546" s="1" t="s">
        <v>193</v>
      </c>
      <c r="GE5546" s="1" t="s">
        <v>190</v>
      </c>
    </row>
    <row r="5547" spans="1:187" ht="11.25" customHeight="1">
      <c r="A5547" s="1" t="s">
        <v>7801</v>
      </c>
      <c r="B5547" s="1" t="str">
        <f ca="1">IFERROR(__xludf.DUMMYFUNCTION("GOOGLETRANSLATE(A5547, ""en"", ""fr"")"),"INSISTANT")</f>
        <v>INSISTANT</v>
      </c>
      <c r="C5547" s="1" t="s">
        <v>185</v>
      </c>
      <c r="D5547" s="1" t="s">
        <v>16612</v>
      </c>
      <c r="J5547" s="1" t="s">
        <v>6</v>
      </c>
      <c r="S5547" s="1" t="s">
        <v>15</v>
      </c>
      <c r="BK5547" s="1" t="s">
        <v>59</v>
      </c>
      <c r="CH5547" s="1" t="s">
        <v>82</v>
      </c>
      <c r="DR5547" s="1" t="s">
        <v>118</v>
      </c>
      <c r="FY5547" s="1" t="s">
        <v>177</v>
      </c>
      <c r="GD5547" s="1" t="s">
        <v>202</v>
      </c>
      <c r="GE5547" s="1" t="s">
        <v>190</v>
      </c>
    </row>
    <row r="5548" spans="1:187" ht="11.25" customHeight="1">
      <c r="A5548" s="1" t="s">
        <v>7802</v>
      </c>
      <c r="B5548" s="1" t="str">
        <f ca="1">IFERROR(__xludf.DUMMYFUNCTION("GOOGLETRANSLATE(A5548, ""en"", ""fr"")"),"INSOLENCE")</f>
        <v>INSOLENCE</v>
      </c>
      <c r="C5548" s="1" t="s">
        <v>192</v>
      </c>
      <c r="E5548" s="1" t="s">
        <v>16613</v>
      </c>
      <c r="I5548" s="1" t="s">
        <v>5</v>
      </c>
      <c r="AN5548" s="1" t="s">
        <v>36</v>
      </c>
      <c r="GD5548" s="1" t="s">
        <v>193</v>
      </c>
      <c r="GE5548" s="1" t="s">
        <v>190</v>
      </c>
    </row>
    <row r="5549" spans="1:187" ht="11.25" customHeight="1">
      <c r="A5549" s="1" t="s">
        <v>7803</v>
      </c>
      <c r="B5549" s="1" t="str">
        <f ca="1">IFERROR(__xludf.DUMMYFUNCTION("GOOGLETRANSLATE(A5549, ""en"", ""fr"")"),"INSOLENT")</f>
        <v>INSOLENT</v>
      </c>
      <c r="C5549" s="1" t="s">
        <v>192</v>
      </c>
      <c r="E5549" s="1" t="s">
        <v>16613</v>
      </c>
      <c r="I5549" s="1" t="s">
        <v>5</v>
      </c>
      <c r="AN5549" s="1" t="s">
        <v>36</v>
      </c>
      <c r="DR5549" s="1" t="s">
        <v>118</v>
      </c>
      <c r="GD5549" s="1" t="s">
        <v>202</v>
      </c>
      <c r="GE5549" s="1" t="s">
        <v>190</v>
      </c>
    </row>
    <row r="5550" spans="1:187" ht="11.25" customHeight="1">
      <c r="A5550" s="1" t="s">
        <v>7804</v>
      </c>
      <c r="B5550" s="1" t="str">
        <f ca="1">IFERROR(__xludf.DUMMYFUNCTION("GOOGLETRANSLATE(A5550, ""en"", ""fr"")"),"Insolable")</f>
        <v>Insolable</v>
      </c>
      <c r="C5550" s="1" t="s">
        <v>196</v>
      </c>
      <c r="FW5550" s="1" t="s">
        <v>175</v>
      </c>
      <c r="GD5550" s="1" t="s">
        <v>202</v>
      </c>
    </row>
    <row r="5551" spans="1:187" ht="11.25" customHeight="1">
      <c r="A5551" s="1" t="s">
        <v>7805</v>
      </c>
      <c r="B5551" s="1" t="str">
        <f ca="1">IFERROR(__xludf.DUMMYFUNCTION("GOOGLETRANSLATE(A5551, ""en"", ""fr"")"),"INSPECTER")</f>
        <v>INSPECTER</v>
      </c>
      <c r="C5551" s="1" t="s">
        <v>185</v>
      </c>
      <c r="K5551" s="1" t="s">
        <v>7</v>
      </c>
      <c r="N5551" s="1" t="s">
        <v>10</v>
      </c>
      <c r="CK5551" s="1" t="s">
        <v>85</v>
      </c>
      <c r="DN5551" s="1" t="s">
        <v>114</v>
      </c>
      <c r="FD5551" s="1" t="s">
        <v>156</v>
      </c>
      <c r="FI5551" s="1" t="s">
        <v>161</v>
      </c>
      <c r="GD5551" s="1" t="s">
        <v>189</v>
      </c>
      <c r="GE5551" s="1" t="s">
        <v>190</v>
      </c>
    </row>
    <row r="5552" spans="1:187" ht="11.25" customHeight="1">
      <c r="A5552" s="1" t="s">
        <v>7806</v>
      </c>
      <c r="B5552" s="1" t="str">
        <f ca="1">IFERROR(__xludf.DUMMYFUNCTION("GOOGLETRANSLATE(A5552, ""en"", ""fr"")"),"INSPECTION")</f>
        <v>INSPECTION</v>
      </c>
      <c r="C5552" s="1" t="s">
        <v>185</v>
      </c>
      <c r="K5552" s="1" t="s">
        <v>7</v>
      </c>
      <c r="N5552" s="1" t="s">
        <v>10</v>
      </c>
      <c r="CK5552" s="1" t="s">
        <v>85</v>
      </c>
      <c r="FH5552" s="1" t="s">
        <v>160</v>
      </c>
      <c r="FI5552" s="1" t="s">
        <v>161</v>
      </c>
      <c r="GD5552" s="1" t="s">
        <v>193</v>
      </c>
      <c r="GE5552" s="1" t="s">
        <v>190</v>
      </c>
    </row>
    <row r="5553" spans="1:187" ht="11.25" customHeight="1">
      <c r="A5553" s="1" t="s">
        <v>7807</v>
      </c>
      <c r="B5553" s="1" t="str">
        <f ca="1">IFERROR(__xludf.DUMMYFUNCTION("GOOGLETRANSLATE(A5553, ""en"", ""fr"")"),"INSPIRATION")</f>
        <v>INSPIRATION</v>
      </c>
      <c r="C5553" s="1" t="s">
        <v>185</v>
      </c>
      <c r="D5553" s="1" t="s">
        <v>16612</v>
      </c>
      <c r="S5553" s="1" t="s">
        <v>15</v>
      </c>
      <c r="BO5553" s="1" t="s">
        <v>63</v>
      </c>
      <c r="FH5553" s="1" t="s">
        <v>160</v>
      </c>
      <c r="FI5553" s="1" t="s">
        <v>161</v>
      </c>
      <c r="GD5553" s="1" t="s">
        <v>1177</v>
      </c>
      <c r="GE5553" s="1" t="s">
        <v>190</v>
      </c>
    </row>
    <row r="5554" spans="1:187" ht="11.25" customHeight="1">
      <c r="A5554" s="1" t="s">
        <v>7808</v>
      </c>
      <c r="B5554" s="1" t="str">
        <f ca="1">IFERROR(__xludf.DUMMYFUNCTION("GOOGLETRANSLATE(A5554, ""en"", ""fr"")"),"Inspirant")</f>
        <v>Inspirant</v>
      </c>
      <c r="C5554" s="1" t="s">
        <v>192</v>
      </c>
      <c r="D5554" s="1" t="s">
        <v>16612</v>
      </c>
      <c r="S5554" s="1" t="s">
        <v>15</v>
      </c>
      <c r="BO5554" s="1" t="s">
        <v>63</v>
      </c>
      <c r="DR5554" s="1" t="s">
        <v>118</v>
      </c>
      <c r="GD5554" s="1" t="s">
        <v>4155</v>
      </c>
      <c r="GE5554" s="1" t="s">
        <v>190</v>
      </c>
    </row>
    <row r="5555" spans="1:187" ht="11.25" customHeight="1">
      <c r="A5555" s="1" t="s">
        <v>7809</v>
      </c>
      <c r="B5555" s="1" t="str">
        <f ca="1">IFERROR(__xludf.DUMMYFUNCTION("GOOGLETRANSLATE(A5555, ""en"", ""fr"")"),"Inspire # 1")</f>
        <v>Inspire # 1</v>
      </c>
      <c r="C5555" s="1" t="s">
        <v>185</v>
      </c>
      <c r="D5555" s="1" t="s">
        <v>16612</v>
      </c>
      <c r="F5555" s="1" t="s">
        <v>2</v>
      </c>
      <c r="J5555" s="1" t="s">
        <v>6</v>
      </c>
      <c r="N5555" s="1" t="s">
        <v>10</v>
      </c>
      <c r="U5555" s="1" t="s">
        <v>17</v>
      </c>
      <c r="CN5555" s="1" t="s">
        <v>88</v>
      </c>
      <c r="FX5555" s="1" t="s">
        <v>176</v>
      </c>
      <c r="GD5555" s="1" t="s">
        <v>202</v>
      </c>
      <c r="GE5555" s="1" t="s">
        <v>190</v>
      </c>
    </row>
    <row r="5556" spans="1:187" ht="11.25" customHeight="1">
      <c r="A5556" s="1" t="s">
        <v>7810</v>
      </c>
      <c r="B5556" s="1" t="str">
        <f ca="1">IFERROR(__xludf.DUMMYFUNCTION("GOOGLETRANSLATE(A5556, ""en"", ""fr"")"),"Inspire # 2")</f>
        <v>Inspire # 2</v>
      </c>
      <c r="C5556" s="1" t="s">
        <v>185</v>
      </c>
      <c r="D5556" s="1" t="s">
        <v>16612</v>
      </c>
      <c r="F5556" s="1" t="s">
        <v>2</v>
      </c>
      <c r="G5556" s="1" t="s">
        <v>3</v>
      </c>
      <c r="J5556" s="1" t="s">
        <v>6</v>
      </c>
      <c r="N5556" s="1" t="s">
        <v>10</v>
      </c>
      <c r="AN5556" s="1" t="s">
        <v>36</v>
      </c>
      <c r="DN5556" s="1" t="s">
        <v>114</v>
      </c>
      <c r="FX5556" s="1" t="s">
        <v>176</v>
      </c>
      <c r="GD5556" s="1" t="s">
        <v>189</v>
      </c>
      <c r="GE5556" s="1" t="s">
        <v>190</v>
      </c>
    </row>
    <row r="5557" spans="1:187" ht="11.25" customHeight="1">
      <c r="A5557" s="1" t="s">
        <v>7811</v>
      </c>
      <c r="B5557" s="1" t="str">
        <f ca="1">IFERROR(__xludf.DUMMYFUNCTION("GOOGLETRANSLATE(A5557, ""en"", ""fr"")"),"INSTABILITÉ")</f>
        <v>INSTABILITÉ</v>
      </c>
      <c r="C5557" s="1" t="s">
        <v>185</v>
      </c>
      <c r="E5557" s="1" t="s">
        <v>16613</v>
      </c>
      <c r="H5557" s="1" t="s">
        <v>4</v>
      </c>
      <c r="L5557" s="1" t="s">
        <v>8</v>
      </c>
      <c r="O5557" s="1" t="s">
        <v>11</v>
      </c>
      <c r="V5557" s="1" t="s">
        <v>18</v>
      </c>
      <c r="DL5557" s="1" t="s">
        <v>112</v>
      </c>
      <c r="FZ5557" s="1" t="s">
        <v>178</v>
      </c>
      <c r="GD5557" s="1" t="s">
        <v>193</v>
      </c>
      <c r="GE5557" s="1" t="s">
        <v>190</v>
      </c>
    </row>
    <row r="5558" spans="1:187" ht="11.25" customHeight="1">
      <c r="A5558" s="1" t="s">
        <v>7812</v>
      </c>
      <c r="B5558" s="1" t="str">
        <f ca="1">IFERROR(__xludf.DUMMYFUNCTION("GOOGLETRANSLATE(A5558, ""en"", ""fr"")"),"Instable")</f>
        <v>Instable</v>
      </c>
      <c r="C5558" s="1" t="s">
        <v>185</v>
      </c>
      <c r="E5558" s="1" t="s">
        <v>16613</v>
      </c>
      <c r="H5558" s="1" t="s">
        <v>4</v>
      </c>
      <c r="L5558" s="1" t="s">
        <v>8</v>
      </c>
      <c r="O5558" s="1" t="s">
        <v>11</v>
      </c>
      <c r="V5558" s="1" t="s">
        <v>18</v>
      </c>
      <c r="DL5558" s="1" t="s">
        <v>112</v>
      </c>
      <c r="FZ5558" s="1" t="s">
        <v>178</v>
      </c>
      <c r="GD5558" s="1" t="s">
        <v>202</v>
      </c>
      <c r="GE5558" s="1" t="s">
        <v>190</v>
      </c>
    </row>
    <row r="5559" spans="1:187" ht="11.25" customHeight="1">
      <c r="A5559" s="1" t="s">
        <v>7813</v>
      </c>
      <c r="B5559" s="1" t="str">
        <f ca="1">IFERROR(__xludf.DUMMYFUNCTION("GOOGLETRANSLATE(A5559, ""en"", ""fr"")"),"INSTALLER")</f>
        <v>INSTALLER</v>
      </c>
      <c r="C5559" s="1" t="s">
        <v>185</v>
      </c>
      <c r="N5559" s="1" t="s">
        <v>10</v>
      </c>
      <c r="AL5559" s="1" t="s">
        <v>34</v>
      </c>
      <c r="DN5559" s="1" t="s">
        <v>114</v>
      </c>
      <c r="FN5559" s="1" t="s">
        <v>166</v>
      </c>
      <c r="GD5559" s="1" t="s">
        <v>189</v>
      </c>
      <c r="GE5559" s="1" t="s">
        <v>190</v>
      </c>
    </row>
    <row r="5560" spans="1:187" ht="11.25" customHeight="1">
      <c r="A5560" s="1" t="s">
        <v>7814</v>
      </c>
      <c r="B5560" s="1" t="str">
        <f ca="1">IFERROR(__xludf.DUMMYFUNCTION("GOOGLETRANSLATE(A5560, ""en"", ""fr"")"),"INSTALLATION")</f>
        <v>INSTALLATION</v>
      </c>
      <c r="C5560" s="1" t="s">
        <v>185</v>
      </c>
      <c r="N5560" s="1" t="s">
        <v>10</v>
      </c>
      <c r="AL5560" s="1" t="s">
        <v>34</v>
      </c>
      <c r="GD5560" s="1" t="s">
        <v>193</v>
      </c>
      <c r="GE5560" s="1" t="s">
        <v>190</v>
      </c>
    </row>
    <row r="5561" spans="1:187" ht="11.25" customHeight="1">
      <c r="A5561" s="1" t="s">
        <v>7815</v>
      </c>
      <c r="B5561" s="1" t="str">
        <f ca="1">IFERROR(__xludf.DUMMYFUNCTION("GOOGLETRANSLATE(A5561, ""en"", ""fr"")"),"Instance n ° 1")</f>
        <v>Instance n ° 1</v>
      </c>
      <c r="C5561" s="1" t="s">
        <v>185</v>
      </c>
      <c r="CH5561" s="1" t="s">
        <v>82</v>
      </c>
      <c r="FR5561" s="1" t="s">
        <v>170</v>
      </c>
      <c r="GD5561" s="1" t="s">
        <v>193</v>
      </c>
      <c r="GE5561" s="1" t="s">
        <v>7816</v>
      </c>
    </row>
    <row r="5562" spans="1:187" ht="11.25" customHeight="1">
      <c r="A5562" s="1" t="s">
        <v>7817</v>
      </c>
      <c r="B5562" s="1" t="str">
        <f ca="1">IFERROR(__xludf.DUMMYFUNCTION("GOOGLETRANSLATE(A5562, ""en"", ""fr"")"),"Instance n ° 2")</f>
        <v>Instance n ° 2</v>
      </c>
      <c r="C5562" s="1" t="s">
        <v>185</v>
      </c>
      <c r="CH5562" s="1" t="s">
        <v>82</v>
      </c>
      <c r="FZ5562" s="1" t="s">
        <v>178</v>
      </c>
      <c r="GD5562" s="1" t="s">
        <v>236</v>
      </c>
      <c r="GE5562" s="1" t="s">
        <v>7818</v>
      </c>
    </row>
    <row r="5563" spans="1:187" ht="11.25" customHeight="1">
      <c r="A5563" s="1" t="s">
        <v>7819</v>
      </c>
      <c r="B5563" s="1" t="str">
        <f ca="1">IFERROR(__xludf.DUMMYFUNCTION("GOOGLETRANSLATE(A5563, ""en"", ""fr"")"),"INSTANTANÉ")</f>
        <v>INSTANTANÉ</v>
      </c>
      <c r="C5563" s="1" t="s">
        <v>185</v>
      </c>
      <c r="W5563" s="1" t="s">
        <v>19</v>
      </c>
      <c r="CY5563" s="1" t="s">
        <v>99</v>
      </c>
      <c r="CZ5563" s="1" t="s">
        <v>100</v>
      </c>
      <c r="GB5563" s="1" t="s">
        <v>180</v>
      </c>
      <c r="GD5563" s="1" t="s">
        <v>202</v>
      </c>
      <c r="GE5563" s="1" t="s">
        <v>190</v>
      </c>
    </row>
    <row r="5564" spans="1:187" ht="11.25" customHeight="1">
      <c r="A5564" s="1" t="s">
        <v>7820</v>
      </c>
      <c r="B5564" s="1" t="str">
        <f ca="1">IFERROR(__xludf.DUMMYFUNCTION("GOOGLETRANSLATE(A5564, ""en"", ""fr"")"),"IMMÉDIATEMENT")</f>
        <v>IMMÉDIATEMENT</v>
      </c>
      <c r="C5564" s="1" t="s">
        <v>185</v>
      </c>
      <c r="W5564" s="1" t="s">
        <v>19</v>
      </c>
      <c r="CY5564" s="1" t="s">
        <v>99</v>
      </c>
      <c r="GB5564" s="1" t="s">
        <v>180</v>
      </c>
      <c r="GD5564" s="1" t="s">
        <v>236</v>
      </c>
      <c r="GE5564" s="1" t="s">
        <v>190</v>
      </c>
    </row>
    <row r="5565" spans="1:187" ht="11.25" customHeight="1">
      <c r="A5565" s="1" t="s">
        <v>7821</v>
      </c>
      <c r="B5565" s="1" t="str">
        <f ca="1">IFERROR(__xludf.DUMMYFUNCTION("GOOGLETRANSLATE(A5565, ""en"", ""fr"")"),"Au lieu de # 1")</f>
        <v>Au lieu de # 1</v>
      </c>
      <c r="C5565" s="1" t="s">
        <v>185</v>
      </c>
      <c r="CH5565" s="1" t="s">
        <v>82</v>
      </c>
      <c r="GD5565" s="1" t="s">
        <v>236</v>
      </c>
      <c r="GE5565" s="1" t="s">
        <v>7822</v>
      </c>
    </row>
    <row r="5566" spans="1:187" ht="11.25" customHeight="1">
      <c r="A5566" s="1" t="s">
        <v>7823</v>
      </c>
      <c r="B5566" s="1" t="str">
        <f ca="1">IFERROR(__xludf.DUMMYFUNCTION("GOOGLETRANSLATE(A5566, ""en"", ""fr"")"),"Au lieu de # 2")</f>
        <v>Au lieu de # 2</v>
      </c>
      <c r="C5566" s="1" t="s">
        <v>185</v>
      </c>
      <c r="DD5566" s="1" t="s">
        <v>104</v>
      </c>
      <c r="GD5566" s="1" t="s">
        <v>215</v>
      </c>
      <c r="GE5566" s="1" t="s">
        <v>7824</v>
      </c>
    </row>
    <row r="5567" spans="1:187" ht="11.25" customHeight="1">
      <c r="A5567" s="1" t="s">
        <v>7825</v>
      </c>
      <c r="B5567" s="1" t="str">
        <f ca="1">IFERROR(__xludf.DUMMYFUNCTION("GOOGLETRANSLATE(A5567, ""en"", ""fr"")"),"SUSCITER")</f>
        <v>SUSCITER</v>
      </c>
      <c r="C5567" s="1" t="s">
        <v>196</v>
      </c>
      <c r="FP5567" s="1" t="s">
        <v>168</v>
      </c>
      <c r="GD5567" s="1" t="s">
        <v>189</v>
      </c>
    </row>
    <row r="5568" spans="1:187" ht="11.25" customHeight="1">
      <c r="A5568" s="1" t="s">
        <v>7826</v>
      </c>
      <c r="B5568" s="1" t="str">
        <f ca="1">IFERROR(__xludf.DUMMYFUNCTION("GOOGLETRANSLATE(A5568, ""en"", ""fr"")"),"INSTINCT")</f>
        <v>INSTINCT</v>
      </c>
      <c r="C5568" s="1" t="s">
        <v>185</v>
      </c>
      <c r="O5568" s="1" t="s">
        <v>11</v>
      </c>
      <c r="BU5568" s="1" t="s">
        <v>69</v>
      </c>
      <c r="EZ5568" s="1" t="s">
        <v>152</v>
      </c>
      <c r="FC5568" s="1" t="s">
        <v>155</v>
      </c>
      <c r="GD5568" s="1" t="s">
        <v>193</v>
      </c>
      <c r="GE5568" s="1" t="s">
        <v>190</v>
      </c>
    </row>
    <row r="5569" spans="1:187" ht="11.25" customHeight="1">
      <c r="A5569" s="1" t="s">
        <v>7827</v>
      </c>
      <c r="B5569" s="1" t="str">
        <f ca="1">IFERROR(__xludf.DUMMYFUNCTION("GOOGLETRANSLATE(A5569, ""en"", ""fr"")"),"INSTINCTIF")</f>
        <v>INSTINCTIF</v>
      </c>
      <c r="C5569" s="1" t="s">
        <v>192</v>
      </c>
      <c r="D5569" s="1" t="s">
        <v>16612</v>
      </c>
      <c r="BU5569" s="1" t="s">
        <v>69</v>
      </c>
      <c r="CH5569" s="1" t="s">
        <v>82</v>
      </c>
      <c r="DR5569" s="1" t="s">
        <v>118</v>
      </c>
      <c r="GD5569" s="1" t="s">
        <v>202</v>
      </c>
      <c r="GE5569" s="1" t="s">
        <v>190</v>
      </c>
    </row>
    <row r="5570" spans="1:187" ht="11.25" customHeight="1">
      <c r="A5570" s="1" t="s">
        <v>7828</v>
      </c>
      <c r="B5570" s="1" t="str">
        <f ca="1">IFERROR(__xludf.DUMMYFUNCTION("GOOGLETRANSLATE(A5570, ""en"", ""fr"")"),"Instinctif")</f>
        <v>Instinctif</v>
      </c>
      <c r="C5570" s="1" t="s">
        <v>196</v>
      </c>
      <c r="EZ5570" s="1" t="s">
        <v>152</v>
      </c>
      <c r="FC5570" s="1" t="s">
        <v>155</v>
      </c>
      <c r="GD5570" s="1" t="s">
        <v>202</v>
      </c>
    </row>
    <row r="5571" spans="1:187" ht="11.25" customHeight="1">
      <c r="A5571" s="1" t="s">
        <v>7829</v>
      </c>
      <c r="B5571" s="1" t="str">
        <f ca="1">IFERROR(__xludf.DUMMYFUNCTION("GOOGLETRANSLATE(A5571, ""en"", ""fr"")"),"Institut n ° 1")</f>
        <v>Institut n ° 1</v>
      </c>
      <c r="C5571" s="1" t="s">
        <v>185</v>
      </c>
      <c r="Y5571" s="1" t="s">
        <v>21</v>
      </c>
      <c r="AC5571" s="1" t="s">
        <v>25</v>
      </c>
      <c r="AH5571" s="1" t="s">
        <v>30</v>
      </c>
      <c r="AV5571" s="1" t="s">
        <v>44</v>
      </c>
      <c r="AW5571" s="1" t="s">
        <v>45</v>
      </c>
      <c r="FG5571" s="1" t="s">
        <v>159</v>
      </c>
      <c r="FI5571" s="1" t="s">
        <v>161</v>
      </c>
      <c r="GD5571" s="1" t="s">
        <v>849</v>
      </c>
      <c r="GE5571" s="1" t="s">
        <v>7830</v>
      </c>
    </row>
    <row r="5572" spans="1:187" ht="11.25" customHeight="1">
      <c r="A5572" s="1" t="s">
        <v>7831</v>
      </c>
      <c r="B5572" s="1" t="str">
        <f ca="1">IFERROR(__xludf.DUMMYFUNCTION("GOOGLETRANSLATE(A5572, ""en"", ""fr"")"),"Institut n ° 2")</f>
        <v>Institut n ° 2</v>
      </c>
      <c r="C5572" s="1" t="s">
        <v>185</v>
      </c>
      <c r="N5572" s="1" t="s">
        <v>10</v>
      </c>
      <c r="BV5572" s="1" t="s">
        <v>70</v>
      </c>
      <c r="DN5572" s="1" t="s">
        <v>114</v>
      </c>
      <c r="FR5572" s="1" t="s">
        <v>170</v>
      </c>
      <c r="GD5572" s="1" t="s">
        <v>189</v>
      </c>
      <c r="GE5572" s="1" t="s">
        <v>7832</v>
      </c>
    </row>
    <row r="5573" spans="1:187" ht="11.25" customHeight="1">
      <c r="A5573" s="1" t="s">
        <v>7833</v>
      </c>
      <c r="B5573" s="1" t="str">
        <f ca="1">IFERROR(__xludf.DUMMYFUNCTION("GOOGLETRANSLATE(A5573, ""en"", ""fr"")"),"INSTITUTION")</f>
        <v>INSTITUTION</v>
      </c>
      <c r="C5573" s="1" t="s">
        <v>185</v>
      </c>
      <c r="J5573" s="1" t="s">
        <v>6</v>
      </c>
      <c r="AC5573" s="1" t="s">
        <v>25</v>
      </c>
      <c r="AH5573" s="1" t="s">
        <v>30</v>
      </c>
      <c r="AV5573" s="1" t="s">
        <v>44</v>
      </c>
      <c r="AW5573" s="1" t="s">
        <v>45</v>
      </c>
      <c r="EC5573" s="1" t="s">
        <v>129</v>
      </c>
      <c r="ED5573" s="1" t="s">
        <v>130</v>
      </c>
      <c r="GD5573" s="1" t="s">
        <v>193</v>
      </c>
      <c r="GE5573" s="1" t="s">
        <v>7834</v>
      </c>
    </row>
    <row r="5574" spans="1:187" ht="11.25" customHeight="1">
      <c r="A5574" s="1" t="s">
        <v>7835</v>
      </c>
      <c r="B5574" s="1" t="str">
        <f ca="1">IFERROR(__xludf.DUMMYFUNCTION("GOOGLETRANSLATE(A5574, ""en"", ""fr"")"),"INSTITUTIONNEL")</f>
        <v>INSTITUTIONNEL</v>
      </c>
      <c r="C5574" s="1" t="s">
        <v>185</v>
      </c>
      <c r="J5574" s="1" t="s">
        <v>6</v>
      </c>
      <c r="Z5574" s="1" t="s">
        <v>22</v>
      </c>
      <c r="EC5574" s="1" t="s">
        <v>129</v>
      </c>
      <c r="ED5574" s="1" t="s">
        <v>130</v>
      </c>
      <c r="GD5574" s="1" t="s">
        <v>202</v>
      </c>
      <c r="GE5574" s="1" t="s">
        <v>190</v>
      </c>
    </row>
    <row r="5575" spans="1:187" ht="11.25" customHeight="1">
      <c r="A5575" s="1" t="s">
        <v>7836</v>
      </c>
      <c r="B5575" s="1" t="str">
        <f ca="1">IFERROR(__xludf.DUMMYFUNCTION("GOOGLETRANSLATE(A5575, ""en"", ""fr"")"),"INSTRUIRE")</f>
        <v>INSTRUIRE</v>
      </c>
      <c r="C5575" s="1" t="s">
        <v>185</v>
      </c>
      <c r="J5575" s="1" t="s">
        <v>6</v>
      </c>
      <c r="K5575" s="1" t="s">
        <v>7</v>
      </c>
      <c r="N5575" s="1" t="s">
        <v>10</v>
      </c>
      <c r="Y5575" s="1" t="s">
        <v>21</v>
      </c>
      <c r="BK5575" s="1" t="s">
        <v>59</v>
      </c>
      <c r="DN5575" s="1" t="s">
        <v>114</v>
      </c>
      <c r="FD5575" s="1" t="s">
        <v>156</v>
      </c>
      <c r="FI5575" s="1" t="s">
        <v>161</v>
      </c>
      <c r="GD5575" s="1" t="s">
        <v>189</v>
      </c>
      <c r="GE5575" s="1" t="s">
        <v>190</v>
      </c>
    </row>
    <row r="5576" spans="1:187" ht="11.25" customHeight="1">
      <c r="A5576" s="1" t="s">
        <v>7837</v>
      </c>
      <c r="B5576" s="1" t="str">
        <f ca="1">IFERROR(__xludf.DUMMYFUNCTION("GOOGLETRANSLATE(A5576, ""en"", ""fr"")"),"INSTRUCTION")</f>
        <v>INSTRUCTION</v>
      </c>
      <c r="C5576" s="1" t="s">
        <v>185</v>
      </c>
      <c r="J5576" s="1" t="s">
        <v>6</v>
      </c>
      <c r="K5576" s="1" t="s">
        <v>7</v>
      </c>
      <c r="N5576" s="1" t="s">
        <v>10</v>
      </c>
      <c r="Y5576" s="1" t="s">
        <v>21</v>
      </c>
      <c r="BK5576" s="1" t="s">
        <v>59</v>
      </c>
      <c r="BL5576" s="1" t="s">
        <v>60</v>
      </c>
      <c r="FD5576" s="1" t="s">
        <v>156</v>
      </c>
      <c r="FI5576" s="1" t="s">
        <v>161</v>
      </c>
      <c r="GC5576" s="1" t="s">
        <v>181</v>
      </c>
      <c r="GD5576" s="1" t="s">
        <v>193</v>
      </c>
      <c r="GE5576" s="1" t="s">
        <v>190</v>
      </c>
    </row>
    <row r="5577" spans="1:187" ht="11.25" customHeight="1">
      <c r="A5577" s="1" t="s">
        <v>7838</v>
      </c>
      <c r="B5577" s="1" t="str">
        <f ca="1">IFERROR(__xludf.DUMMYFUNCTION("GOOGLETRANSLATE(A5577, ""en"", ""fr"")"),"INSTRUCTEUR")</f>
        <v>INSTRUCTEUR</v>
      </c>
      <c r="C5577" s="1" t="s">
        <v>185</v>
      </c>
      <c r="J5577" s="1" t="s">
        <v>6</v>
      </c>
      <c r="K5577" s="1" t="s">
        <v>7</v>
      </c>
      <c r="Y5577" s="1" t="s">
        <v>21</v>
      </c>
      <c r="AJ5577" s="1" t="s">
        <v>32</v>
      </c>
      <c r="AT5577" s="1" t="s">
        <v>42</v>
      </c>
      <c r="FG5577" s="1" t="s">
        <v>159</v>
      </c>
      <c r="FI5577" s="1" t="s">
        <v>161</v>
      </c>
      <c r="GD5577" s="1" t="s">
        <v>193</v>
      </c>
      <c r="GE5577" s="1" t="s">
        <v>7839</v>
      </c>
    </row>
    <row r="5578" spans="1:187" ht="11.25" customHeight="1">
      <c r="A5578" s="1" t="s">
        <v>7840</v>
      </c>
      <c r="B5578" s="1" t="str">
        <f ca="1">IFERROR(__xludf.DUMMYFUNCTION("GOOGLETRANSLATE(A5578, ""en"", ""fr"")"),"INSTRUMENT")</f>
        <v>INSTRUMENT</v>
      </c>
      <c r="C5578" s="1" t="s">
        <v>185</v>
      </c>
      <c r="BC5578" s="1" t="s">
        <v>51</v>
      </c>
      <c r="BD5578" s="1" t="s">
        <v>52</v>
      </c>
      <c r="FQ5578" s="1" t="s">
        <v>169</v>
      </c>
      <c r="GD5578" s="1" t="s">
        <v>193</v>
      </c>
      <c r="GE5578" s="1" t="s">
        <v>7841</v>
      </c>
    </row>
    <row r="5579" spans="1:187" ht="11.25" customHeight="1">
      <c r="A5579" s="1" t="s">
        <v>7842</v>
      </c>
      <c r="B5579" s="1" t="str">
        <f ca="1">IFERROR(__xludf.DUMMYFUNCTION("GOOGLETRANSLATE(A5579, ""en"", ""fr"")"),"INSTRUMENTAL")</f>
        <v>INSTRUMENTAL</v>
      </c>
      <c r="C5579" s="1" t="s">
        <v>185</v>
      </c>
      <c r="J5579" s="1" t="s">
        <v>6</v>
      </c>
      <c r="N5579" s="1" t="s">
        <v>10</v>
      </c>
      <c r="BQ5579" s="1" t="s">
        <v>65</v>
      </c>
      <c r="FY5579" s="1" t="s">
        <v>177</v>
      </c>
      <c r="GD5579" s="1" t="s">
        <v>202</v>
      </c>
      <c r="GE5579" s="1" t="s">
        <v>190</v>
      </c>
    </row>
    <row r="5580" spans="1:187" ht="11.25" customHeight="1">
      <c r="A5580" s="1" t="s">
        <v>7843</v>
      </c>
      <c r="B5580" s="1" t="str">
        <f ca="1">IFERROR(__xludf.DUMMYFUNCTION("GOOGLETRANSLATE(A5580, ""en"", ""fr"")"),"INSUBORDINATION")</f>
        <v>INSUBORDINATION</v>
      </c>
      <c r="C5580" s="1" t="s">
        <v>196</v>
      </c>
      <c r="EB5580" s="1" t="s">
        <v>128</v>
      </c>
      <c r="ED5580" s="1" t="s">
        <v>130</v>
      </c>
      <c r="GD5580" s="1" t="s">
        <v>470</v>
      </c>
    </row>
    <row r="5581" spans="1:187" ht="11.25" customHeight="1">
      <c r="A5581" s="1" t="s">
        <v>7844</v>
      </c>
      <c r="B5581" s="1" t="str">
        <f ca="1">IFERROR(__xludf.DUMMYFUNCTION("GOOGLETRANSLATE(A5581, ""en"", ""fr"")"),"INSUFFISANCE")</f>
        <v>INSUFFISANCE</v>
      </c>
      <c r="C5581" s="1" t="s">
        <v>192</v>
      </c>
      <c r="E5581" s="1" t="s">
        <v>16613</v>
      </c>
      <c r="L5581" s="1" t="s">
        <v>8</v>
      </c>
      <c r="BT5581" s="1" t="s">
        <v>68</v>
      </c>
      <c r="BY5581" s="1" t="s">
        <v>73</v>
      </c>
      <c r="GD5581" s="1" t="s">
        <v>193</v>
      </c>
      <c r="GE5581" s="1" t="s">
        <v>190</v>
      </c>
    </row>
    <row r="5582" spans="1:187" ht="11.25" customHeight="1">
      <c r="A5582" s="1" t="s">
        <v>7845</v>
      </c>
      <c r="B5582" s="1" t="str">
        <f ca="1">IFERROR(__xludf.DUMMYFUNCTION("GOOGLETRANSLATE(A5582, ""en"", ""fr"")"),"INSUFFISANT")</f>
        <v>INSUFFISANT</v>
      </c>
      <c r="C5582" s="1" t="s">
        <v>185</v>
      </c>
      <c r="E5582" s="1" t="s">
        <v>16613</v>
      </c>
      <c r="H5582" s="1" t="s">
        <v>4</v>
      </c>
      <c r="L5582" s="1" t="s">
        <v>8</v>
      </c>
      <c r="V5582" s="1" t="s">
        <v>18</v>
      </c>
      <c r="CN5582" s="1" t="s">
        <v>88</v>
      </c>
      <c r="DL5582" s="1" t="s">
        <v>112</v>
      </c>
      <c r="FR5582" s="1" t="s">
        <v>170</v>
      </c>
      <c r="GD5582" s="1" t="s">
        <v>202</v>
      </c>
      <c r="GE5582" s="1" t="s">
        <v>190</v>
      </c>
    </row>
    <row r="5583" spans="1:187" ht="11.25" customHeight="1">
      <c r="A5583" s="1" t="s">
        <v>7846</v>
      </c>
      <c r="B5583" s="1" t="str">
        <f ca="1">IFERROR(__xludf.DUMMYFUNCTION("GOOGLETRANSLATE(A5583, ""en"", ""fr"")"),"ISOLATION")</f>
        <v>ISOLATION</v>
      </c>
      <c r="C5583" s="1" t="s">
        <v>185</v>
      </c>
      <c r="BC5583" s="1" t="s">
        <v>51</v>
      </c>
      <c r="BD5583" s="1" t="s">
        <v>52</v>
      </c>
      <c r="GD5583" s="1" t="s">
        <v>193</v>
      </c>
      <c r="GE5583" s="1" t="s">
        <v>190</v>
      </c>
    </row>
    <row r="5584" spans="1:187" ht="11.25" customHeight="1">
      <c r="A5584" s="1" t="s">
        <v>7847</v>
      </c>
      <c r="B5584" s="1" t="str">
        <f ca="1">IFERROR(__xludf.DUMMYFUNCTION("GOOGLETRANSLATE(A5584, ""en"", ""fr"")"),"INSULTE")</f>
        <v>INSULTE</v>
      </c>
      <c r="C5584" s="1" t="s">
        <v>185</v>
      </c>
      <c r="E5584" s="1" t="s">
        <v>16613</v>
      </c>
      <c r="N5584" s="1" t="s">
        <v>10</v>
      </c>
      <c r="BK5584" s="1" t="s">
        <v>59</v>
      </c>
      <c r="DN5584" s="1" t="s">
        <v>114</v>
      </c>
      <c r="EL5584" s="1" t="s">
        <v>138</v>
      </c>
      <c r="EN5584" s="1" t="s">
        <v>140</v>
      </c>
      <c r="GD5584" s="1" t="s">
        <v>670</v>
      </c>
      <c r="GE5584" s="1" t="s">
        <v>190</v>
      </c>
    </row>
    <row r="5585" spans="1:187" ht="11.25" customHeight="1">
      <c r="A5585" s="1" t="s">
        <v>7848</v>
      </c>
      <c r="B5585" s="1" t="str">
        <f ca="1">IFERROR(__xludf.DUMMYFUNCTION("GOOGLETRANSLATE(A5585, ""en"", ""fr"")"),"ASSURANCE")</f>
        <v>ASSURANCE</v>
      </c>
      <c r="C5585" s="1" t="s">
        <v>185</v>
      </c>
      <c r="AA5585" s="1" t="s">
        <v>23</v>
      </c>
      <c r="AC5585" s="1" t="s">
        <v>25</v>
      </c>
      <c r="BQ5585" s="1" t="s">
        <v>65</v>
      </c>
      <c r="FQ5585" s="1" t="s">
        <v>169</v>
      </c>
      <c r="GD5585" s="1" t="s">
        <v>193</v>
      </c>
      <c r="GE5585" s="1" t="s">
        <v>7849</v>
      </c>
    </row>
    <row r="5586" spans="1:187" ht="11.25" customHeight="1">
      <c r="A5586" s="1" t="s">
        <v>7850</v>
      </c>
      <c r="B5586" s="1" t="str">
        <f ca="1">IFERROR(__xludf.DUMMYFUNCTION("GOOGLETRANSLATE(A5586, ""en"", ""fr"")"),"ASSURER")</f>
        <v>ASSURER</v>
      </c>
      <c r="C5586" s="1" t="s">
        <v>185</v>
      </c>
      <c r="AA5586" s="1" t="s">
        <v>23</v>
      </c>
      <c r="AB5586" s="1" t="s">
        <v>24</v>
      </c>
      <c r="DN5586" s="1" t="s">
        <v>114</v>
      </c>
      <c r="FR5586" s="1" t="s">
        <v>170</v>
      </c>
      <c r="GD5586" s="1" t="s">
        <v>189</v>
      </c>
      <c r="GE5586" s="1" t="s">
        <v>190</v>
      </c>
    </row>
    <row r="5587" spans="1:187" ht="11.25" customHeight="1">
      <c r="A5587" s="1" t="s">
        <v>7851</v>
      </c>
      <c r="B5587" s="1" t="str">
        <f ca="1">IFERROR(__xludf.DUMMYFUNCTION("GOOGLETRANSLATE(A5587, ""en"", ""fr"")"),"INSURRECTION")</f>
        <v>INSURRECTION</v>
      </c>
      <c r="C5587" s="1" t="s">
        <v>196</v>
      </c>
      <c r="DW5587" s="1" t="s">
        <v>123</v>
      </c>
      <c r="ED5587" s="1" t="s">
        <v>130</v>
      </c>
      <c r="GD5587" s="1" t="s">
        <v>470</v>
      </c>
    </row>
    <row r="5588" spans="1:187" ht="11.25" customHeight="1">
      <c r="A5588" s="1" t="s">
        <v>7852</v>
      </c>
      <c r="B5588" s="1" t="str">
        <f ca="1">IFERROR(__xludf.DUMMYFUNCTION("GOOGLETRANSLATE(A5588, ""en"", ""fr"")"),"INTACT")</f>
        <v>INTACT</v>
      </c>
      <c r="C5588" s="1" t="s">
        <v>185</v>
      </c>
      <c r="J5588" s="1" t="s">
        <v>6</v>
      </c>
      <c r="O5588" s="1" t="s">
        <v>11</v>
      </c>
      <c r="CR5588" s="1" t="s">
        <v>92</v>
      </c>
      <c r="GD5588" s="1" t="s">
        <v>202</v>
      </c>
      <c r="GE5588" s="1" t="s">
        <v>190</v>
      </c>
    </row>
    <row r="5589" spans="1:187" ht="11.25" customHeight="1">
      <c r="A5589" s="1" t="s">
        <v>7853</v>
      </c>
      <c r="B5589" s="1" t="str">
        <f ca="1">IFERROR(__xludf.DUMMYFUNCTION("GOOGLETRANSLATE(A5589, ""en"", ""fr"")"),"INTANGIBLE")</f>
        <v>INTANGIBLE</v>
      </c>
      <c r="C5589" s="1" t="s">
        <v>185</v>
      </c>
      <c r="CR5589" s="1" t="s">
        <v>92</v>
      </c>
      <c r="DL5589" s="1" t="s">
        <v>112</v>
      </c>
      <c r="GD5589" s="1" t="s">
        <v>202</v>
      </c>
      <c r="GE5589" s="1" t="s">
        <v>190</v>
      </c>
    </row>
    <row r="5590" spans="1:187" ht="11.25" customHeight="1">
      <c r="A5590" s="1" t="s">
        <v>7854</v>
      </c>
      <c r="B5590" s="1" t="str">
        <f ca="1">IFERROR(__xludf.DUMMYFUNCTION("GOOGLETRANSLATE(A5590, ""en"", ""fr"")"),"INTÉGRER")</f>
        <v>INTÉGRER</v>
      </c>
      <c r="C5590" s="1" t="s">
        <v>196</v>
      </c>
      <c r="DX5590" s="1" t="s">
        <v>124</v>
      </c>
      <c r="ED5590" s="1" t="s">
        <v>130</v>
      </c>
      <c r="GD5590" s="1" t="s">
        <v>189</v>
      </c>
    </row>
    <row r="5591" spans="1:187" ht="11.25" customHeight="1">
      <c r="A5591" s="1" t="s">
        <v>7855</v>
      </c>
      <c r="B5591" s="1" t="str">
        <f ca="1">IFERROR(__xludf.DUMMYFUNCTION("GOOGLETRANSLATE(A5591, ""en"", ""fr"")"),"L'INTÉGRATION")</f>
        <v>L'INTÉGRATION</v>
      </c>
      <c r="C5591" s="1" t="s">
        <v>185</v>
      </c>
      <c r="J5591" s="1" t="s">
        <v>6</v>
      </c>
      <c r="AH5591" s="1" t="s">
        <v>30</v>
      </c>
      <c r="BQ5591" s="1" t="s">
        <v>65</v>
      </c>
      <c r="DX5591" s="1" t="s">
        <v>124</v>
      </c>
      <c r="ED5591" s="1" t="s">
        <v>130</v>
      </c>
      <c r="GD5591" s="1" t="s">
        <v>193</v>
      </c>
      <c r="GE5591" s="1" t="s">
        <v>7856</v>
      </c>
    </row>
    <row r="5592" spans="1:187" ht="11.25" customHeight="1">
      <c r="A5592" s="1" t="s">
        <v>7857</v>
      </c>
      <c r="B5592" s="1" t="str">
        <f ca="1">IFERROR(__xludf.DUMMYFUNCTION("GOOGLETRANSLATE(A5592, ""en"", ""fr"")"),"INTÉGRITÉ")</f>
        <v>INTÉGRITÉ</v>
      </c>
      <c r="C5592" s="1" t="s">
        <v>185</v>
      </c>
      <c r="D5592" s="1" t="s">
        <v>16612</v>
      </c>
      <c r="F5592" s="1" t="s">
        <v>2</v>
      </c>
      <c r="J5592" s="1" t="s">
        <v>6</v>
      </c>
      <c r="U5592" s="1" t="s">
        <v>17</v>
      </c>
      <c r="EE5592" s="1" t="s">
        <v>131</v>
      </c>
      <c r="EJ5592" s="1" t="s">
        <v>136</v>
      </c>
      <c r="GD5592" s="1" t="s">
        <v>193</v>
      </c>
      <c r="GE5592" s="1" t="s">
        <v>190</v>
      </c>
    </row>
    <row r="5593" spans="1:187" ht="11.25" customHeight="1">
      <c r="A5593" s="1" t="s">
        <v>7858</v>
      </c>
      <c r="B5593" s="1" t="str">
        <f ca="1">IFERROR(__xludf.DUMMYFUNCTION("GOOGLETRANSLATE(A5593, ""en"", ""fr"")"),"INTELLECT")</f>
        <v>INTELLECT</v>
      </c>
      <c r="C5593" s="1" t="s">
        <v>185</v>
      </c>
      <c r="D5593" s="1" t="s">
        <v>16612</v>
      </c>
      <c r="F5593" s="1" t="s">
        <v>2</v>
      </c>
      <c r="J5593" s="1" t="s">
        <v>6</v>
      </c>
      <c r="U5593" s="1" t="s">
        <v>17</v>
      </c>
      <c r="Y5593" s="1" t="s">
        <v>21</v>
      </c>
      <c r="FH5593" s="1" t="s">
        <v>160</v>
      </c>
      <c r="FI5593" s="1" t="s">
        <v>161</v>
      </c>
      <c r="GD5593" s="1" t="s">
        <v>193</v>
      </c>
      <c r="GE5593" s="1" t="s">
        <v>190</v>
      </c>
    </row>
    <row r="5594" spans="1:187" ht="11.25" customHeight="1">
      <c r="A5594" s="1" t="s">
        <v>7859</v>
      </c>
      <c r="B5594" s="1" t="str">
        <f ca="1">IFERROR(__xludf.DUMMYFUNCTION("GOOGLETRANSLATE(A5594, ""en"", ""fr"")"),"Intellectuel # 1")</f>
        <v>Intellectuel # 1</v>
      </c>
      <c r="C5594" s="1" t="s">
        <v>185</v>
      </c>
      <c r="D5594" s="1" t="s">
        <v>16612</v>
      </c>
      <c r="F5594" s="1" t="s">
        <v>2</v>
      </c>
      <c r="J5594" s="1" t="s">
        <v>6</v>
      </c>
      <c r="U5594" s="1" t="s">
        <v>17</v>
      </c>
      <c r="Y5594" s="1" t="s">
        <v>21</v>
      </c>
      <c r="FH5594" s="1" t="s">
        <v>160</v>
      </c>
      <c r="FI5594" s="1" t="s">
        <v>161</v>
      </c>
      <c r="GD5594" s="1" t="s">
        <v>202</v>
      </c>
      <c r="GE5594" s="1" t="s">
        <v>7860</v>
      </c>
    </row>
    <row r="5595" spans="1:187" ht="11.25" customHeight="1">
      <c r="A5595" s="1" t="s">
        <v>7861</v>
      </c>
      <c r="B5595" s="1" t="str">
        <f ca="1">IFERROR(__xludf.DUMMYFUNCTION("GOOGLETRANSLATE(A5595, ""en"", ""fr"")"),"Intellectuel # 2")</f>
        <v>Intellectuel # 2</v>
      </c>
      <c r="C5595" s="1" t="s">
        <v>185</v>
      </c>
      <c r="D5595" s="1" t="s">
        <v>16612</v>
      </c>
      <c r="F5595" s="1" t="s">
        <v>2</v>
      </c>
      <c r="J5595" s="1" t="s">
        <v>6</v>
      </c>
      <c r="Y5595" s="1" t="s">
        <v>21</v>
      </c>
      <c r="AJ5595" s="1" t="s">
        <v>32</v>
      </c>
      <c r="AT5595" s="1" t="s">
        <v>42</v>
      </c>
      <c r="FG5595" s="1" t="s">
        <v>159</v>
      </c>
      <c r="FI5595" s="1" t="s">
        <v>161</v>
      </c>
      <c r="GD5595" s="1" t="s">
        <v>193</v>
      </c>
      <c r="GE5595" s="1" t="s">
        <v>7862</v>
      </c>
    </row>
    <row r="5596" spans="1:187" ht="11.25" customHeight="1">
      <c r="A5596" s="1" t="s">
        <v>7863</v>
      </c>
      <c r="B5596" s="1" t="str">
        <f ca="1">IFERROR(__xludf.DUMMYFUNCTION("GOOGLETRANSLATE(A5596, ""en"", ""fr"")"),"Intellectuel # 3")</f>
        <v>Intellectuel # 3</v>
      </c>
      <c r="C5596" s="1" t="s">
        <v>185</v>
      </c>
      <c r="D5596" s="1" t="s">
        <v>16612</v>
      </c>
      <c r="F5596" s="1" t="s">
        <v>2</v>
      </c>
      <c r="J5596" s="1" t="s">
        <v>6</v>
      </c>
      <c r="U5596" s="1" t="s">
        <v>17</v>
      </c>
      <c r="Y5596" s="1" t="s">
        <v>21</v>
      </c>
      <c r="FH5596" s="1" t="s">
        <v>160</v>
      </c>
      <c r="FI5596" s="1" t="s">
        <v>161</v>
      </c>
      <c r="GD5596" s="1" t="s">
        <v>236</v>
      </c>
      <c r="GE5596" s="1" t="s">
        <v>7864</v>
      </c>
    </row>
    <row r="5597" spans="1:187" ht="11.25" customHeight="1">
      <c r="A5597" s="1" t="s">
        <v>7865</v>
      </c>
      <c r="B5597" s="1" t="str">
        <f ca="1">IFERROR(__xludf.DUMMYFUNCTION("GOOGLETRANSLATE(A5597, ""en"", ""fr"")"),"INTELLIGENCE")</f>
        <v>INTELLIGENCE</v>
      </c>
      <c r="C5597" s="1" t="s">
        <v>185</v>
      </c>
      <c r="D5597" s="1" t="s">
        <v>16612</v>
      </c>
      <c r="F5597" s="1" t="s">
        <v>2</v>
      </c>
      <c r="J5597" s="1" t="s">
        <v>6</v>
      </c>
      <c r="U5597" s="1" t="s">
        <v>17</v>
      </c>
      <c r="Y5597" s="1" t="s">
        <v>21</v>
      </c>
      <c r="CP5597" s="1" t="s">
        <v>90</v>
      </c>
      <c r="CQ5597" s="1" t="s">
        <v>91</v>
      </c>
      <c r="FH5597" s="1" t="s">
        <v>160</v>
      </c>
      <c r="FI5597" s="1" t="s">
        <v>161</v>
      </c>
      <c r="GD5597" s="1" t="s">
        <v>193</v>
      </c>
      <c r="GE5597" s="1" t="s">
        <v>7866</v>
      </c>
    </row>
    <row r="5598" spans="1:187" ht="11.25" customHeight="1">
      <c r="A5598" s="1" t="s">
        <v>7867</v>
      </c>
      <c r="B5598" s="1" t="str">
        <f ca="1">IFERROR(__xludf.DUMMYFUNCTION("GOOGLETRANSLATE(A5598, ""en"", ""fr"")"),"INTELLIGENT")</f>
        <v>INTELLIGENT</v>
      </c>
      <c r="C5598" s="1" t="s">
        <v>185</v>
      </c>
      <c r="D5598" s="1" t="s">
        <v>16612</v>
      </c>
      <c r="F5598" s="1" t="s">
        <v>2</v>
      </c>
      <c r="J5598" s="1" t="s">
        <v>6</v>
      </c>
      <c r="U5598" s="1" t="s">
        <v>17</v>
      </c>
      <c r="CN5598" s="1" t="s">
        <v>88</v>
      </c>
      <c r="FH5598" s="1" t="s">
        <v>160</v>
      </c>
      <c r="FI5598" s="1" t="s">
        <v>161</v>
      </c>
      <c r="GD5598" s="1" t="s">
        <v>202</v>
      </c>
      <c r="GE5598" s="1" t="s">
        <v>7868</v>
      </c>
    </row>
    <row r="5599" spans="1:187" ht="11.25" customHeight="1">
      <c r="A5599" s="1" t="s">
        <v>7869</v>
      </c>
      <c r="B5599" s="1" t="str">
        <f ca="1">IFERROR(__xludf.DUMMYFUNCTION("GOOGLETRANSLATE(A5599, ""en"", ""fr"")"),"INTELLIGIBLE")</f>
        <v>INTELLIGIBLE</v>
      </c>
      <c r="C5599" s="1" t="s">
        <v>185</v>
      </c>
      <c r="D5599" s="1" t="s">
        <v>16612</v>
      </c>
      <c r="F5599" s="1" t="s">
        <v>2</v>
      </c>
      <c r="BK5599" s="1" t="s">
        <v>59</v>
      </c>
      <c r="FH5599" s="1" t="s">
        <v>160</v>
      </c>
      <c r="FI5599" s="1" t="s">
        <v>161</v>
      </c>
      <c r="GC5599" s="1" t="s">
        <v>181</v>
      </c>
      <c r="GD5599" s="1" t="s">
        <v>202</v>
      </c>
      <c r="GE5599" s="1" t="s">
        <v>190</v>
      </c>
    </row>
    <row r="5600" spans="1:187" ht="11.25" customHeight="1">
      <c r="A5600" s="1" t="s">
        <v>7870</v>
      </c>
      <c r="B5600" s="1" t="str">
        <f ca="1">IFERROR(__xludf.DUMMYFUNCTION("GOOGLETRANSLATE(A5600, ""en"", ""fr"")"),"L'intention n ° 1")</f>
        <v>L'intention n ° 1</v>
      </c>
      <c r="C5600" s="1" t="s">
        <v>185</v>
      </c>
      <c r="N5600" s="1" t="s">
        <v>10</v>
      </c>
      <c r="BN5600" s="1" t="s">
        <v>62</v>
      </c>
      <c r="DN5600" s="1" t="s">
        <v>114</v>
      </c>
      <c r="FR5600" s="1" t="s">
        <v>170</v>
      </c>
      <c r="GD5600" s="1" t="s">
        <v>400</v>
      </c>
      <c r="GE5600" s="1" t="s">
        <v>7871</v>
      </c>
    </row>
    <row r="5601" spans="1:187" ht="11.25" customHeight="1">
      <c r="A5601" s="1" t="s">
        <v>7872</v>
      </c>
      <c r="B5601" s="1" t="str">
        <f ca="1">IFERROR(__xludf.DUMMYFUNCTION("GOOGLETRANSLATE(A5601, ""en"", ""fr"")"),"Intention # 2")</f>
        <v>Intention # 2</v>
      </c>
      <c r="C5601" s="1" t="s">
        <v>185</v>
      </c>
      <c r="O5601" s="1" t="s">
        <v>11</v>
      </c>
      <c r="CI5601" s="1" t="s">
        <v>83</v>
      </c>
      <c r="FR5601" s="1" t="s">
        <v>170</v>
      </c>
      <c r="GD5601" s="1" t="s">
        <v>202</v>
      </c>
      <c r="GE5601" s="1" t="s">
        <v>7873</v>
      </c>
    </row>
    <row r="5602" spans="1:187" ht="11.25" customHeight="1">
      <c r="A5602" s="1" t="s">
        <v>7874</v>
      </c>
      <c r="B5602" s="1" t="str">
        <f ca="1">IFERROR(__xludf.DUMMYFUNCTION("GOOGLETRANSLATE(A5602, ""en"", ""fr"")"),"INTENSE")</f>
        <v>INTENSE</v>
      </c>
      <c r="C5602" s="1" t="s">
        <v>185</v>
      </c>
      <c r="J5602" s="1" t="s">
        <v>6</v>
      </c>
      <c r="N5602" s="1" t="s">
        <v>10</v>
      </c>
      <c r="W5602" s="1" t="s">
        <v>19</v>
      </c>
      <c r="CR5602" s="1" t="s">
        <v>92</v>
      </c>
      <c r="FY5602" s="1" t="s">
        <v>177</v>
      </c>
      <c r="GD5602" s="1" t="s">
        <v>202</v>
      </c>
      <c r="GE5602" s="1" t="s">
        <v>7875</v>
      </c>
    </row>
    <row r="5603" spans="1:187" ht="11.25" customHeight="1">
      <c r="A5603" s="1" t="s">
        <v>7876</v>
      </c>
      <c r="B5603" s="1" t="str">
        <f ca="1">IFERROR(__xludf.DUMMYFUNCTION("GOOGLETRANSLATE(A5603, ""en"", ""fr"")"),"INTENSIFIER")</f>
        <v>INTENSIFIER</v>
      </c>
      <c r="C5603" s="1" t="s">
        <v>185</v>
      </c>
      <c r="J5603" s="1" t="s">
        <v>6</v>
      </c>
      <c r="N5603" s="1" t="s">
        <v>10</v>
      </c>
      <c r="BX5603" s="1" t="s">
        <v>72</v>
      </c>
      <c r="DN5603" s="1" t="s">
        <v>114</v>
      </c>
      <c r="GD5603" s="1" t="s">
        <v>189</v>
      </c>
      <c r="GE5603" s="1" t="s">
        <v>190</v>
      </c>
    </row>
    <row r="5604" spans="1:187" ht="11.25" customHeight="1">
      <c r="A5604" s="1" t="s">
        <v>7877</v>
      </c>
      <c r="B5604" s="1" t="str">
        <f ca="1">IFERROR(__xludf.DUMMYFUNCTION("GOOGLETRANSLATE(A5604, ""en"", ""fr"")"),"INTENSITÉ")</f>
        <v>INTENSITÉ</v>
      </c>
      <c r="C5604" s="1" t="s">
        <v>185</v>
      </c>
      <c r="J5604" s="1" t="s">
        <v>6</v>
      </c>
      <c r="N5604" s="1" t="s">
        <v>10</v>
      </c>
      <c r="W5604" s="1" t="s">
        <v>19</v>
      </c>
      <c r="CK5604" s="1" t="s">
        <v>85</v>
      </c>
      <c r="GD5604" s="1" t="s">
        <v>193</v>
      </c>
      <c r="GE5604" s="1" t="s">
        <v>190</v>
      </c>
    </row>
    <row r="5605" spans="1:187" ht="11.25" customHeight="1">
      <c r="A5605" s="1" t="s">
        <v>7878</v>
      </c>
      <c r="B5605" s="1" t="str">
        <f ca="1">IFERROR(__xludf.DUMMYFUNCTION("GOOGLETRANSLATE(A5605, ""en"", ""fr"")"),"INTENSIF")</f>
        <v>INTENSIF</v>
      </c>
      <c r="C5605" s="1" t="s">
        <v>185</v>
      </c>
      <c r="J5605" s="1" t="s">
        <v>6</v>
      </c>
      <c r="N5605" s="1" t="s">
        <v>10</v>
      </c>
      <c r="W5605" s="1" t="s">
        <v>19</v>
      </c>
      <c r="CK5605" s="1" t="s">
        <v>85</v>
      </c>
      <c r="FY5605" s="1" t="s">
        <v>177</v>
      </c>
      <c r="GD5605" s="1" t="s">
        <v>202</v>
      </c>
      <c r="GE5605" s="1" t="s">
        <v>190</v>
      </c>
    </row>
    <row r="5606" spans="1:187" ht="11.25" customHeight="1">
      <c r="A5606" s="1" t="s">
        <v>7879</v>
      </c>
      <c r="B5606" s="1" t="str">
        <f ca="1">IFERROR(__xludf.DUMMYFUNCTION("GOOGLETRANSLATE(A5606, ""en"", ""fr"")"),"INTENTION")</f>
        <v>INTENTION</v>
      </c>
      <c r="C5606" s="1" t="s">
        <v>185</v>
      </c>
      <c r="N5606" s="1" t="s">
        <v>10</v>
      </c>
      <c r="BN5606" s="1" t="s">
        <v>62</v>
      </c>
      <c r="FR5606" s="1" t="s">
        <v>170</v>
      </c>
      <c r="GD5606" s="1" t="s">
        <v>193</v>
      </c>
      <c r="GE5606" s="1" t="s">
        <v>190</v>
      </c>
    </row>
    <row r="5607" spans="1:187" ht="11.25" customHeight="1">
      <c r="A5607" s="1" t="s">
        <v>7880</v>
      </c>
      <c r="B5607" s="1" t="str">
        <f ca="1">IFERROR(__xludf.DUMMYFUNCTION("GOOGLETRANSLATE(A5607, ""en"", ""fr"")"),"INTENTION")</f>
        <v>INTENTION</v>
      </c>
      <c r="C5607" s="1" t="s">
        <v>185</v>
      </c>
      <c r="N5607" s="1" t="s">
        <v>10</v>
      </c>
      <c r="BO5607" s="1" t="s">
        <v>63</v>
      </c>
      <c r="FR5607" s="1" t="s">
        <v>170</v>
      </c>
      <c r="GD5607" s="1" t="s">
        <v>193</v>
      </c>
      <c r="GE5607" s="1" t="s">
        <v>190</v>
      </c>
    </row>
    <row r="5608" spans="1:187" ht="11.25" customHeight="1">
      <c r="A5608" s="1" t="s">
        <v>7881</v>
      </c>
      <c r="B5608" s="1" t="str">
        <f ca="1">IFERROR(__xludf.DUMMYFUNCTION("GOOGLETRANSLATE(A5608, ""en"", ""fr"")"),"INTERAGIR")</f>
        <v>INTERAGIR</v>
      </c>
      <c r="C5608" s="1" t="s">
        <v>196</v>
      </c>
      <c r="EC5608" s="1" t="s">
        <v>129</v>
      </c>
      <c r="ED5608" s="1" t="s">
        <v>130</v>
      </c>
      <c r="GD5608" s="1" t="s">
        <v>189</v>
      </c>
    </row>
    <row r="5609" spans="1:187" ht="11.25" customHeight="1">
      <c r="A5609" s="1" t="s">
        <v>7882</v>
      </c>
      <c r="B5609" s="1" t="str">
        <f ca="1">IFERROR(__xludf.DUMMYFUNCTION("GOOGLETRANSLATE(A5609, ""en"", ""fr"")"),"INTERCÉDER")</f>
        <v>INTERCÉDER</v>
      </c>
      <c r="C5609" s="1" t="s">
        <v>192</v>
      </c>
      <c r="D5609" s="1" t="s">
        <v>16612</v>
      </c>
      <c r="N5609" s="1" t="s">
        <v>10</v>
      </c>
      <c r="AN5609" s="1" t="s">
        <v>36</v>
      </c>
      <c r="CC5609" s="1" t="s">
        <v>77</v>
      </c>
      <c r="DN5609" s="1" t="s">
        <v>114</v>
      </c>
      <c r="GD5609" s="1" t="s">
        <v>189</v>
      </c>
      <c r="GE5609" s="1" t="s">
        <v>190</v>
      </c>
    </row>
    <row r="5610" spans="1:187" ht="11.25" customHeight="1">
      <c r="A5610" s="1" t="s">
        <v>7883</v>
      </c>
      <c r="B5610" s="1" t="str">
        <f ca="1">IFERROR(__xludf.DUMMYFUNCTION("GOOGLETRANSLATE(A5610, ""en"", ""fr"")"),"RAPPORTS")</f>
        <v>RAPPORTS</v>
      </c>
      <c r="C5610" s="1" t="s">
        <v>185</v>
      </c>
      <c r="D5610" s="1" t="s">
        <v>16612</v>
      </c>
      <c r="N5610" s="1" t="s">
        <v>10</v>
      </c>
      <c r="AN5610" s="1" t="s">
        <v>36</v>
      </c>
      <c r="BU5610" s="1" t="s">
        <v>69</v>
      </c>
      <c r="DO5610" s="1" t="s">
        <v>115</v>
      </c>
      <c r="FP5610" s="1" t="s">
        <v>168</v>
      </c>
      <c r="GD5610" s="1" t="s">
        <v>189</v>
      </c>
      <c r="GE5610" s="1" t="s">
        <v>190</v>
      </c>
    </row>
    <row r="5611" spans="1:187" ht="11.25" customHeight="1">
      <c r="A5611" s="1" t="s">
        <v>7884</v>
      </c>
      <c r="B5611" s="1" t="str">
        <f ca="1">IFERROR(__xludf.DUMMYFUNCTION("GOOGLETRANSLATE(A5611, ""en"", ""fr"")"),"INTERDÉPENDANCE")</f>
        <v>INTERDÉPENDANCE</v>
      </c>
      <c r="C5611" s="1" t="s">
        <v>185</v>
      </c>
      <c r="DD5611" s="1" t="s">
        <v>104</v>
      </c>
      <c r="EC5611" s="1" t="s">
        <v>129</v>
      </c>
      <c r="ED5611" s="1" t="s">
        <v>130</v>
      </c>
      <c r="GD5611" s="1" t="s">
        <v>193</v>
      </c>
      <c r="GE5611" s="1" t="s">
        <v>190</v>
      </c>
    </row>
    <row r="5612" spans="1:187" ht="11.25" customHeight="1">
      <c r="A5612" s="1" t="s">
        <v>7885</v>
      </c>
      <c r="B5612" s="1" t="str">
        <f ca="1">IFERROR(__xludf.DUMMYFUNCTION("GOOGLETRANSLATE(A5612, ""en"", ""fr"")"),"Intérêt n ° 1")</f>
        <v>Intérêt n ° 1</v>
      </c>
      <c r="C5612" s="1" t="s">
        <v>185</v>
      </c>
      <c r="D5612" s="1" t="s">
        <v>16612</v>
      </c>
      <c r="F5612" s="1" t="s">
        <v>2</v>
      </c>
      <c r="O5612" s="1" t="s">
        <v>11</v>
      </c>
      <c r="T5612" s="1" t="s">
        <v>16</v>
      </c>
      <c r="BN5612" s="1" t="s">
        <v>62</v>
      </c>
      <c r="FR5612" s="1" t="s">
        <v>170</v>
      </c>
      <c r="GD5612" s="1" t="s">
        <v>193</v>
      </c>
      <c r="GE5612" s="1" t="s">
        <v>7886</v>
      </c>
    </row>
    <row r="5613" spans="1:187" ht="11.25" customHeight="1">
      <c r="A5613" s="1" t="s">
        <v>7887</v>
      </c>
      <c r="B5613" s="1" t="str">
        <f ca="1">IFERROR(__xludf.DUMMYFUNCTION("GOOGLETRANSLATE(A5613, ""en"", ""fr"")"),"Intérêt n ° 2")</f>
        <v>Intérêt n ° 2</v>
      </c>
      <c r="C5613" s="1" t="s">
        <v>185</v>
      </c>
      <c r="AA5613" s="1" t="s">
        <v>23</v>
      </c>
      <c r="AC5613" s="1" t="s">
        <v>25</v>
      </c>
      <c r="BK5613" s="1" t="s">
        <v>59</v>
      </c>
      <c r="BL5613" s="1" t="s">
        <v>60</v>
      </c>
      <c r="EV5613" s="1" t="s">
        <v>148</v>
      </c>
      <c r="EW5613" s="1" t="s">
        <v>149</v>
      </c>
      <c r="GC5613" s="1" t="s">
        <v>181</v>
      </c>
      <c r="GD5613" s="1" t="s">
        <v>193</v>
      </c>
      <c r="GE5613" s="1" t="s">
        <v>7888</v>
      </c>
    </row>
    <row r="5614" spans="1:187" ht="11.25" customHeight="1">
      <c r="A5614" s="1" t="s">
        <v>7889</v>
      </c>
      <c r="B5614" s="1" t="str">
        <f ca="1">IFERROR(__xludf.DUMMYFUNCTION("GOOGLETRANSLATE(A5614, ""en"", ""fr"")"),"Intérêt n ° 3")</f>
        <v>Intérêt n ° 3</v>
      </c>
      <c r="C5614" s="1" t="s">
        <v>185</v>
      </c>
      <c r="D5614" s="1" t="s">
        <v>16612</v>
      </c>
      <c r="F5614" s="1" t="s">
        <v>2</v>
      </c>
      <c r="BN5614" s="1" t="s">
        <v>62</v>
      </c>
      <c r="DN5614" s="1" t="s">
        <v>114</v>
      </c>
      <c r="FR5614" s="1" t="s">
        <v>170</v>
      </c>
      <c r="GD5614" s="1" t="s">
        <v>189</v>
      </c>
      <c r="GE5614" s="1" t="s">
        <v>7890</v>
      </c>
    </row>
    <row r="5615" spans="1:187" ht="11.25" customHeight="1">
      <c r="A5615" s="1" t="s">
        <v>7891</v>
      </c>
      <c r="B5615" s="1" t="str">
        <f ca="1">IFERROR(__xludf.DUMMYFUNCTION("GOOGLETRANSLATE(A5615, ""en"", ""fr"")"),"Intérêt n ° 4")</f>
        <v>Intérêt n ° 4</v>
      </c>
      <c r="C5615" s="1" t="s">
        <v>185</v>
      </c>
      <c r="D5615" s="1" t="s">
        <v>16612</v>
      </c>
      <c r="F5615" s="1" t="s">
        <v>2</v>
      </c>
      <c r="BN5615" s="1" t="s">
        <v>62</v>
      </c>
      <c r="CN5615" s="1" t="s">
        <v>88</v>
      </c>
      <c r="FH5615" s="1" t="s">
        <v>160</v>
      </c>
      <c r="FI5615" s="1" t="s">
        <v>161</v>
      </c>
      <c r="GD5615" s="1" t="s">
        <v>4671</v>
      </c>
      <c r="GE5615" s="1" t="s">
        <v>7892</v>
      </c>
    </row>
    <row r="5616" spans="1:187" ht="11.25" customHeight="1">
      <c r="A5616" s="1" t="s">
        <v>7893</v>
      </c>
      <c r="B5616" s="1" t="str">
        <f ca="1">IFERROR(__xludf.DUMMYFUNCTION("GOOGLETRANSLATE(A5616, ""en"", ""fr"")"),"Intéressé # 1")</f>
        <v>Intéressé # 1</v>
      </c>
      <c r="C5616" s="1" t="s">
        <v>185</v>
      </c>
      <c r="D5616" s="1" t="s">
        <v>16612</v>
      </c>
      <c r="F5616" s="1" t="s">
        <v>2</v>
      </c>
      <c r="BN5616" s="1" t="s">
        <v>62</v>
      </c>
      <c r="DN5616" s="1" t="s">
        <v>114</v>
      </c>
      <c r="FR5616" s="1" t="s">
        <v>170</v>
      </c>
      <c r="GD5616" s="1" t="s">
        <v>189</v>
      </c>
      <c r="GE5616" s="1" t="s">
        <v>7894</v>
      </c>
    </row>
    <row r="5617" spans="1:187" ht="11.25" customHeight="1">
      <c r="A5617" s="1" t="s">
        <v>7895</v>
      </c>
      <c r="B5617" s="1" t="str">
        <f ca="1">IFERROR(__xludf.DUMMYFUNCTION("GOOGLETRANSLATE(A5617, ""en"", ""fr"")"),"Intéressé # 2")</f>
        <v>Intéressé # 2</v>
      </c>
      <c r="C5617" s="1" t="s">
        <v>185</v>
      </c>
      <c r="D5617" s="1" t="s">
        <v>16612</v>
      </c>
      <c r="F5617" s="1" t="s">
        <v>2</v>
      </c>
      <c r="O5617" s="1" t="s">
        <v>11</v>
      </c>
      <c r="BN5617" s="1" t="s">
        <v>62</v>
      </c>
      <c r="FH5617" s="1" t="s">
        <v>160</v>
      </c>
      <c r="FI5617" s="1" t="s">
        <v>161</v>
      </c>
      <c r="GD5617" s="1" t="s">
        <v>421</v>
      </c>
      <c r="GE5617" s="1" t="s">
        <v>7896</v>
      </c>
    </row>
    <row r="5618" spans="1:187" ht="11.25" customHeight="1">
      <c r="A5618" s="1" t="s">
        <v>7897</v>
      </c>
      <c r="B5618" s="1" t="str">
        <f ca="1">IFERROR(__xludf.DUMMYFUNCTION("GOOGLETRANSLATE(A5618, ""en"", ""fr"")"),"INTERFÉRER")</f>
        <v>INTERFÉRER</v>
      </c>
      <c r="C5618" s="1" t="s">
        <v>185</v>
      </c>
      <c r="E5618" s="1" t="s">
        <v>16613</v>
      </c>
      <c r="H5618" s="1" t="s">
        <v>4</v>
      </c>
      <c r="I5618" s="1" t="s">
        <v>5</v>
      </c>
      <c r="J5618" s="1" t="s">
        <v>6</v>
      </c>
      <c r="N5618" s="1" t="s">
        <v>10</v>
      </c>
      <c r="AN5618" s="1" t="s">
        <v>36</v>
      </c>
      <c r="DN5618" s="1" t="s">
        <v>114</v>
      </c>
      <c r="DW5618" s="1" t="s">
        <v>123</v>
      </c>
      <c r="ED5618" s="1" t="s">
        <v>130</v>
      </c>
      <c r="GD5618" s="1" t="s">
        <v>189</v>
      </c>
      <c r="GE5618" s="1" t="s">
        <v>190</v>
      </c>
    </row>
    <row r="5619" spans="1:187" ht="11.25" customHeight="1">
      <c r="A5619" s="1" t="s">
        <v>7898</v>
      </c>
      <c r="B5619" s="1" t="str">
        <f ca="1">IFERROR(__xludf.DUMMYFUNCTION("GOOGLETRANSLATE(A5619, ""en"", ""fr"")"),"INGÉRENCE")</f>
        <v>INGÉRENCE</v>
      </c>
      <c r="C5619" s="1" t="s">
        <v>185</v>
      </c>
      <c r="E5619" s="1" t="s">
        <v>16613</v>
      </c>
      <c r="H5619" s="1" t="s">
        <v>4</v>
      </c>
      <c r="I5619" s="1" t="s">
        <v>5</v>
      </c>
      <c r="J5619" s="1" t="s">
        <v>6</v>
      </c>
      <c r="N5619" s="1" t="s">
        <v>10</v>
      </c>
      <c r="V5619" s="1" t="s">
        <v>18</v>
      </c>
      <c r="DW5619" s="1" t="s">
        <v>123</v>
      </c>
      <c r="ED5619" s="1" t="s">
        <v>130</v>
      </c>
      <c r="GD5619" s="1" t="s">
        <v>193</v>
      </c>
      <c r="GE5619" s="1" t="s">
        <v>190</v>
      </c>
    </row>
    <row r="5620" spans="1:187" ht="11.25" customHeight="1">
      <c r="A5620" s="1" t="s">
        <v>7899</v>
      </c>
      <c r="B5620" s="1" t="str">
        <f ca="1">IFERROR(__xludf.DUMMYFUNCTION("GOOGLETRANSLATE(A5620, ""en"", ""fr"")"),"INTÉRIMAIRE")</f>
        <v>INTÉRIMAIRE</v>
      </c>
      <c r="C5620" s="1" t="s">
        <v>185</v>
      </c>
      <c r="L5620" s="1" t="s">
        <v>8</v>
      </c>
      <c r="X5620" s="1" t="s">
        <v>20</v>
      </c>
      <c r="CY5620" s="1" t="s">
        <v>99</v>
      </c>
      <c r="GB5620" s="1" t="s">
        <v>180</v>
      </c>
      <c r="GD5620" s="1" t="s">
        <v>202</v>
      </c>
      <c r="GE5620" s="1" t="s">
        <v>190</v>
      </c>
    </row>
    <row r="5621" spans="1:187" ht="11.25" customHeight="1">
      <c r="A5621" s="1" t="s">
        <v>7900</v>
      </c>
      <c r="B5621" s="1" t="str">
        <f ca="1">IFERROR(__xludf.DUMMYFUNCTION("GOOGLETRANSLATE(A5621, ""en"", ""fr"")"),"INTÉRIEUR")</f>
        <v>INTÉRIEUR</v>
      </c>
      <c r="C5621" s="1" t="s">
        <v>185</v>
      </c>
      <c r="BC5621" s="1" t="s">
        <v>51</v>
      </c>
      <c r="BG5621" s="1" t="s">
        <v>55</v>
      </c>
      <c r="GB5621" s="1" t="s">
        <v>180</v>
      </c>
      <c r="GD5621" s="1" t="s">
        <v>193</v>
      </c>
      <c r="GE5621" s="1" t="s">
        <v>190</v>
      </c>
    </row>
    <row r="5622" spans="1:187" ht="11.25" customHeight="1">
      <c r="A5622" s="1" t="s">
        <v>7901</v>
      </c>
      <c r="B5622" s="1" t="str">
        <f ca="1">IFERROR(__xludf.DUMMYFUNCTION("GOOGLETRANSLATE(A5622, ""en"", ""fr"")"),"INTERMÉDIAIRE")</f>
        <v>INTERMÉDIAIRE</v>
      </c>
      <c r="C5622" s="1" t="s">
        <v>185</v>
      </c>
      <c r="DA5622" s="1" t="s">
        <v>101</v>
      </c>
      <c r="DB5622" s="1" t="s">
        <v>102</v>
      </c>
      <c r="DX5622" s="1" t="s">
        <v>124</v>
      </c>
      <c r="ED5622" s="1" t="s">
        <v>130</v>
      </c>
      <c r="GD5622" s="1" t="s">
        <v>202</v>
      </c>
      <c r="GE5622" s="1" t="s">
        <v>190</v>
      </c>
    </row>
    <row r="5623" spans="1:187" ht="11.25" customHeight="1">
      <c r="A5623" s="1" t="s">
        <v>7902</v>
      </c>
      <c r="B5623" s="1" t="str">
        <f ca="1">IFERROR(__xludf.DUMMYFUNCTION("GOOGLETRANSLATE(A5623, ""en"", ""fr"")"),"INTERNE")</f>
        <v>INTERNE</v>
      </c>
      <c r="C5623" s="1" t="s">
        <v>185</v>
      </c>
      <c r="J5623" s="1" t="s">
        <v>6</v>
      </c>
      <c r="DA5623" s="1" t="s">
        <v>101</v>
      </c>
      <c r="GB5623" s="1" t="s">
        <v>180</v>
      </c>
      <c r="GD5623" s="1" t="s">
        <v>202</v>
      </c>
      <c r="GE5623" s="1" t="s">
        <v>190</v>
      </c>
    </row>
    <row r="5624" spans="1:187" ht="11.25" customHeight="1">
      <c r="A5624" s="1" t="s">
        <v>7903</v>
      </c>
      <c r="B5624" s="1" t="str">
        <f ca="1">IFERROR(__xludf.DUMMYFUNCTION("GOOGLETRANSLATE(A5624, ""en"", ""fr"")"),"International # 1")</f>
        <v>International # 1</v>
      </c>
      <c r="C5624" s="1" t="s">
        <v>185</v>
      </c>
      <c r="AC5624" s="1" t="s">
        <v>25</v>
      </c>
      <c r="AG5624" s="1" t="s">
        <v>29</v>
      </c>
      <c r="AH5624" s="1" t="s">
        <v>30</v>
      </c>
      <c r="AV5624" s="1" t="s">
        <v>44</v>
      </c>
      <c r="AX5624" s="1" t="s">
        <v>46</v>
      </c>
      <c r="EC5624" s="1" t="s">
        <v>129</v>
      </c>
      <c r="ED5624" s="1" t="s">
        <v>130</v>
      </c>
      <c r="GD5624" s="1" t="s">
        <v>421</v>
      </c>
      <c r="GE5624" s="1" t="s">
        <v>7904</v>
      </c>
    </row>
    <row r="5625" spans="1:187" ht="11.25" customHeight="1">
      <c r="A5625" s="1" t="s">
        <v>7905</v>
      </c>
      <c r="B5625" s="1" t="str">
        <f ca="1">IFERROR(__xludf.DUMMYFUNCTION("GOOGLETRANSLATE(A5625, ""en"", ""fr"")"),"International # 2")</f>
        <v>International # 2</v>
      </c>
      <c r="C5625" s="1" t="s">
        <v>185</v>
      </c>
      <c r="AC5625" s="1" t="s">
        <v>25</v>
      </c>
      <c r="AG5625" s="1" t="s">
        <v>29</v>
      </c>
      <c r="AH5625" s="1" t="s">
        <v>30</v>
      </c>
      <c r="AV5625" s="1" t="s">
        <v>44</v>
      </c>
      <c r="AX5625" s="1" t="s">
        <v>46</v>
      </c>
      <c r="EC5625" s="1" t="s">
        <v>129</v>
      </c>
      <c r="ED5625" s="1" t="s">
        <v>130</v>
      </c>
      <c r="GD5625" s="1" t="s">
        <v>236</v>
      </c>
      <c r="GE5625" s="1" t="s">
        <v>7906</v>
      </c>
    </row>
    <row r="5626" spans="1:187" ht="11.25" customHeight="1">
      <c r="A5626" s="1" t="s">
        <v>7907</v>
      </c>
      <c r="B5626" s="1" t="str">
        <f ca="1">IFERROR(__xludf.DUMMYFUNCTION("GOOGLETRANSLATE(A5626, ""en"", ""fr"")"),"Terrain international")</f>
        <v>Terrain international</v>
      </c>
      <c r="C5626" s="1" t="s">
        <v>196</v>
      </c>
      <c r="GD5626" s="1" t="s">
        <v>2981</v>
      </c>
    </row>
    <row r="5627" spans="1:187" ht="11.25" customHeight="1">
      <c r="A5627" s="1" t="s">
        <v>7908</v>
      </c>
      <c r="B5627" s="1" t="str">
        <f ca="1">IFERROR(__xludf.DUMMYFUNCTION("GOOGLETRANSLATE(A5627, ""en"", ""fr"")"),"Interpersonnel")</f>
        <v>Interpersonnel</v>
      </c>
      <c r="C5627" s="1" t="s">
        <v>196</v>
      </c>
      <c r="EQ5627" s="1" t="s">
        <v>143</v>
      </c>
      <c r="ES5627" s="1" t="s">
        <v>145</v>
      </c>
      <c r="GD5627" s="1" t="s">
        <v>202</v>
      </c>
    </row>
    <row r="5628" spans="1:187" ht="11.25" customHeight="1">
      <c r="A5628" s="1" t="s">
        <v>7909</v>
      </c>
      <c r="B5628" s="1" t="str">
        <f ca="1">IFERROR(__xludf.DUMMYFUNCTION("GOOGLETRANSLATE(A5628, ""en"", ""fr"")"),"INTERPLANÉTAIRE")</f>
        <v>INTERPLANÉTAIRE</v>
      </c>
      <c r="C5628" s="1" t="s">
        <v>185</v>
      </c>
      <c r="AV5628" s="1" t="s">
        <v>44</v>
      </c>
      <c r="BB5628" s="1" t="s">
        <v>50</v>
      </c>
      <c r="GD5628" s="1" t="s">
        <v>202</v>
      </c>
      <c r="GE5628" s="1" t="s">
        <v>190</v>
      </c>
    </row>
    <row r="5629" spans="1:187" ht="11.25" customHeight="1">
      <c r="A5629" s="1" t="s">
        <v>7910</v>
      </c>
      <c r="B5629" s="1" t="str">
        <f ca="1">IFERROR(__xludf.DUMMYFUNCTION("GOOGLETRANSLATE(A5629, ""en"", ""fr"")"),"INTERPOSER")</f>
        <v>INTERPOSER</v>
      </c>
      <c r="C5629" s="1" t="s">
        <v>192</v>
      </c>
      <c r="D5629" s="1" t="s">
        <v>16612</v>
      </c>
      <c r="N5629" s="1" t="s">
        <v>10</v>
      </c>
      <c r="AN5629" s="1" t="s">
        <v>36</v>
      </c>
      <c r="CC5629" s="1" t="s">
        <v>77</v>
      </c>
      <c r="DN5629" s="1" t="s">
        <v>114</v>
      </c>
      <c r="GD5629" s="1" t="s">
        <v>189</v>
      </c>
      <c r="GE5629" s="1" t="s">
        <v>190</v>
      </c>
    </row>
    <row r="5630" spans="1:187" ht="11.25" customHeight="1">
      <c r="A5630" s="1" t="s">
        <v>7911</v>
      </c>
      <c r="B5630" s="1" t="str">
        <f ca="1">IFERROR(__xludf.DUMMYFUNCTION("GOOGLETRANSLATE(A5630, ""en"", ""fr"")"),"INTERPRÉTER")</f>
        <v>INTERPRÉTER</v>
      </c>
      <c r="C5630" s="1" t="s">
        <v>185</v>
      </c>
      <c r="N5630" s="1" t="s">
        <v>10</v>
      </c>
      <c r="CO5630" s="1" t="s">
        <v>89</v>
      </c>
      <c r="DN5630" s="1" t="s">
        <v>114</v>
      </c>
      <c r="FD5630" s="1" t="s">
        <v>156</v>
      </c>
      <c r="FI5630" s="1" t="s">
        <v>161</v>
      </c>
      <c r="GD5630" s="1" t="s">
        <v>189</v>
      </c>
      <c r="GE5630" s="1" t="s">
        <v>190</v>
      </c>
    </row>
    <row r="5631" spans="1:187" ht="11.25" customHeight="1">
      <c r="A5631" s="1" t="s">
        <v>7912</v>
      </c>
      <c r="B5631" s="1" t="str">
        <f ca="1">IFERROR(__xludf.DUMMYFUNCTION("GOOGLETRANSLATE(A5631, ""en"", ""fr"")"),"INTERPRÉTATION")</f>
        <v>INTERPRÉTATION</v>
      </c>
      <c r="C5631" s="1" t="s">
        <v>185</v>
      </c>
      <c r="N5631" s="1" t="s">
        <v>10</v>
      </c>
      <c r="CH5631" s="1" t="s">
        <v>82</v>
      </c>
      <c r="CP5631" s="1" t="s">
        <v>90</v>
      </c>
      <c r="CQ5631" s="1" t="s">
        <v>91</v>
      </c>
      <c r="FH5631" s="1" t="s">
        <v>160</v>
      </c>
      <c r="FI5631" s="1" t="s">
        <v>161</v>
      </c>
      <c r="GD5631" s="1" t="s">
        <v>193</v>
      </c>
      <c r="GE5631" s="1" t="s">
        <v>190</v>
      </c>
    </row>
    <row r="5632" spans="1:187" ht="11.25" customHeight="1">
      <c r="A5632" s="1" t="s">
        <v>7913</v>
      </c>
      <c r="B5632" s="1" t="str">
        <f ca="1">IFERROR(__xludf.DUMMYFUNCTION("GOOGLETRANSLATE(A5632, ""en"", ""fr"")"),"INTERROMPRE")</f>
        <v>INTERROMPRE</v>
      </c>
      <c r="C5632" s="1" t="s">
        <v>185</v>
      </c>
      <c r="E5632" s="1" t="s">
        <v>16613</v>
      </c>
      <c r="H5632" s="1" t="s">
        <v>4</v>
      </c>
      <c r="I5632" s="1" t="s">
        <v>5</v>
      </c>
      <c r="N5632" s="1" t="s">
        <v>10</v>
      </c>
      <c r="BK5632" s="1" t="s">
        <v>59</v>
      </c>
      <c r="DN5632" s="1" t="s">
        <v>114</v>
      </c>
      <c r="FO5632" s="1" t="s">
        <v>167</v>
      </c>
      <c r="GD5632" s="1" t="s">
        <v>189</v>
      </c>
      <c r="GE5632" s="1" t="s">
        <v>190</v>
      </c>
    </row>
    <row r="5633" spans="1:187" ht="11.25" customHeight="1">
      <c r="A5633" s="1" t="s">
        <v>7914</v>
      </c>
      <c r="B5633" s="1" t="str">
        <f ca="1">IFERROR(__xludf.DUMMYFUNCTION("GOOGLETRANSLATE(A5633, ""en"", ""fr"")"),"INTERRUPTION")</f>
        <v>INTERRUPTION</v>
      </c>
      <c r="C5633" s="1" t="s">
        <v>185</v>
      </c>
      <c r="E5633" s="1" t="s">
        <v>16613</v>
      </c>
      <c r="H5633" s="1" t="s">
        <v>4</v>
      </c>
      <c r="I5633" s="1" t="s">
        <v>5</v>
      </c>
      <c r="BK5633" s="1" t="s">
        <v>59</v>
      </c>
      <c r="BL5633" s="1" t="s">
        <v>60</v>
      </c>
      <c r="FO5633" s="1" t="s">
        <v>167</v>
      </c>
      <c r="GC5633" s="1" t="s">
        <v>181</v>
      </c>
      <c r="GD5633" s="1" t="s">
        <v>193</v>
      </c>
      <c r="GE5633" s="1" t="s">
        <v>190</v>
      </c>
    </row>
    <row r="5634" spans="1:187" ht="11.25" customHeight="1">
      <c r="A5634" s="1" t="s">
        <v>7915</v>
      </c>
      <c r="B5634" s="1" t="str">
        <f ca="1">IFERROR(__xludf.DUMMYFUNCTION("GOOGLETRANSLATE(A5634, ""en"", ""fr"")"),"ENTRE ÉTATS")</f>
        <v>ENTRE ÉTATS</v>
      </c>
      <c r="C5634" s="1" t="s">
        <v>185</v>
      </c>
      <c r="AG5634" s="1" t="s">
        <v>29</v>
      </c>
      <c r="AV5634" s="1" t="s">
        <v>44</v>
      </c>
      <c r="AX5634" s="1" t="s">
        <v>46</v>
      </c>
      <c r="GD5634" s="1" t="s">
        <v>202</v>
      </c>
      <c r="GE5634" s="1" t="s">
        <v>190</v>
      </c>
    </row>
    <row r="5635" spans="1:187" ht="11.25" customHeight="1">
      <c r="A5635" s="1" t="s">
        <v>7916</v>
      </c>
      <c r="B5635" s="1" t="str">
        <f ca="1">IFERROR(__xludf.DUMMYFUNCTION("GOOGLETRANSLATE(A5635, ""en"", ""fr"")"),"ENTRELACER")</f>
        <v>ENTRELACER</v>
      </c>
      <c r="C5635" s="1" t="s">
        <v>185</v>
      </c>
      <c r="G5635" s="1" t="s">
        <v>3</v>
      </c>
      <c r="DA5635" s="1" t="s">
        <v>101</v>
      </c>
      <c r="DN5635" s="1" t="s">
        <v>114</v>
      </c>
      <c r="GD5635" s="1" t="s">
        <v>189</v>
      </c>
      <c r="GE5635" s="1" t="s">
        <v>190</v>
      </c>
    </row>
    <row r="5636" spans="1:187" ht="11.25" customHeight="1">
      <c r="A5636" s="1" t="s">
        <v>7917</v>
      </c>
      <c r="B5636" s="1" t="str">
        <f ca="1">IFERROR(__xludf.DUMMYFUNCTION("GOOGLETRANSLATE(A5636, ""en"", ""fr"")"),"INTERVALLE")</f>
        <v>INTERVALLE</v>
      </c>
      <c r="C5636" s="1" t="s">
        <v>185</v>
      </c>
      <c r="CY5636" s="1" t="s">
        <v>99</v>
      </c>
      <c r="GB5636" s="1" t="s">
        <v>180</v>
      </c>
      <c r="GD5636" s="1" t="s">
        <v>193</v>
      </c>
      <c r="GE5636" s="1" t="s">
        <v>190</v>
      </c>
    </row>
    <row r="5637" spans="1:187" ht="11.25" customHeight="1">
      <c r="A5637" s="1" t="s">
        <v>7918</v>
      </c>
      <c r="B5637" s="1" t="str">
        <f ca="1">IFERROR(__xludf.DUMMYFUNCTION("GOOGLETRANSLATE(A5637, ""en"", ""fr"")"),"INTERVENIR")</f>
        <v>INTERVENIR</v>
      </c>
      <c r="C5637" s="1" t="s">
        <v>185</v>
      </c>
      <c r="N5637" s="1" t="s">
        <v>10</v>
      </c>
      <c r="AN5637" s="1" t="s">
        <v>36</v>
      </c>
      <c r="CC5637" s="1" t="s">
        <v>77</v>
      </c>
      <c r="DN5637" s="1" t="s">
        <v>114</v>
      </c>
      <c r="DW5637" s="1" t="s">
        <v>123</v>
      </c>
      <c r="ED5637" s="1" t="s">
        <v>130</v>
      </c>
      <c r="GD5637" s="1" t="s">
        <v>189</v>
      </c>
      <c r="GE5637" s="1" t="s">
        <v>190</v>
      </c>
    </row>
    <row r="5638" spans="1:187" ht="11.25" customHeight="1">
      <c r="A5638" s="1" t="s">
        <v>7919</v>
      </c>
      <c r="B5638" s="1" t="str">
        <f ca="1">IFERROR(__xludf.DUMMYFUNCTION("GOOGLETRANSLATE(A5638, ""en"", ""fr"")"),"INTERVENTION")</f>
        <v>INTERVENTION</v>
      </c>
      <c r="C5638" s="1" t="s">
        <v>185</v>
      </c>
      <c r="E5638" s="1" t="s">
        <v>16613</v>
      </c>
      <c r="H5638" s="1" t="s">
        <v>4</v>
      </c>
      <c r="J5638" s="1" t="s">
        <v>6</v>
      </c>
      <c r="N5638" s="1" t="s">
        <v>10</v>
      </c>
      <c r="V5638" s="1" t="s">
        <v>18</v>
      </c>
      <c r="AC5638" s="1" t="s">
        <v>25</v>
      </c>
      <c r="AF5638" s="1" t="s">
        <v>28</v>
      </c>
      <c r="AH5638" s="1" t="s">
        <v>30</v>
      </c>
      <c r="DW5638" s="1" t="s">
        <v>123</v>
      </c>
      <c r="ED5638" s="1" t="s">
        <v>130</v>
      </c>
      <c r="GD5638" s="1" t="s">
        <v>193</v>
      </c>
      <c r="GE5638" s="1" t="s">
        <v>190</v>
      </c>
    </row>
    <row r="5639" spans="1:187" ht="11.25" customHeight="1">
      <c r="A5639" s="1" t="s">
        <v>7920</v>
      </c>
      <c r="B5639" s="1" t="str">
        <f ca="1">IFERROR(__xludf.DUMMYFUNCTION("GOOGLETRANSLATE(A5639, ""en"", ""fr"")"),"Interview n ° 1")</f>
        <v>Interview n ° 1</v>
      </c>
      <c r="C5639" s="1" t="s">
        <v>185</v>
      </c>
      <c r="N5639" s="1" t="s">
        <v>10</v>
      </c>
      <c r="BK5639" s="1" t="s">
        <v>59</v>
      </c>
      <c r="BL5639" s="1" t="s">
        <v>60</v>
      </c>
      <c r="FD5639" s="1" t="s">
        <v>156</v>
      </c>
      <c r="FI5639" s="1" t="s">
        <v>161</v>
      </c>
      <c r="GC5639" s="1" t="s">
        <v>181</v>
      </c>
      <c r="GD5639" s="1" t="s">
        <v>193</v>
      </c>
      <c r="GE5639" s="1" t="s">
        <v>190</v>
      </c>
    </row>
    <row r="5640" spans="1:187" ht="11.25" customHeight="1">
      <c r="A5640" s="1" t="s">
        <v>7921</v>
      </c>
      <c r="B5640" s="1" t="str">
        <f ca="1">IFERROR(__xludf.DUMMYFUNCTION("GOOGLETRANSLATE(A5640, ""en"", ""fr"")"),"Entretien n ° 2")</f>
        <v>Entretien n ° 2</v>
      </c>
      <c r="C5640" s="1" t="s">
        <v>185</v>
      </c>
      <c r="N5640" s="1" t="s">
        <v>10</v>
      </c>
      <c r="BK5640" s="1" t="s">
        <v>59</v>
      </c>
      <c r="DN5640" s="1" t="s">
        <v>114</v>
      </c>
      <c r="FD5640" s="1" t="s">
        <v>156</v>
      </c>
      <c r="FI5640" s="1" t="s">
        <v>161</v>
      </c>
      <c r="GD5640" s="1" t="s">
        <v>189</v>
      </c>
      <c r="GE5640" s="1" t="s">
        <v>190</v>
      </c>
    </row>
    <row r="5641" spans="1:187" ht="11.25" customHeight="1">
      <c r="A5641" s="1" t="s">
        <v>7922</v>
      </c>
      <c r="B5641" s="1" t="str">
        <f ca="1">IFERROR(__xludf.DUMMYFUNCTION("GOOGLETRANSLATE(A5641, ""en"", ""fr"")"),"INTERVIEWER")</f>
        <v>INTERVIEWER</v>
      </c>
      <c r="C5641" s="1" t="s">
        <v>196</v>
      </c>
      <c r="FG5641" s="1" t="s">
        <v>159</v>
      </c>
      <c r="FI5641" s="1" t="s">
        <v>161</v>
      </c>
      <c r="GD5641" s="1" t="s">
        <v>448</v>
      </c>
    </row>
    <row r="5642" spans="1:187" ht="11.25" customHeight="1">
      <c r="A5642" s="1" t="s">
        <v>7923</v>
      </c>
      <c r="B5642" s="1" t="str">
        <f ca="1">IFERROR(__xludf.DUMMYFUNCTION("GOOGLETRANSLATE(A5642, ""en"", ""fr"")"),"INTIMITÉ")</f>
        <v>INTIMITÉ</v>
      </c>
      <c r="C5642" s="1" t="s">
        <v>185</v>
      </c>
      <c r="D5642" s="1" t="s">
        <v>16612</v>
      </c>
      <c r="P5642" s="1" t="s">
        <v>12</v>
      </c>
      <c r="T5642" s="1" t="s">
        <v>16</v>
      </c>
      <c r="AN5642" s="1" t="s">
        <v>36</v>
      </c>
      <c r="ER5642" s="1" t="s">
        <v>144</v>
      </c>
      <c r="ES5642" s="1" t="s">
        <v>145</v>
      </c>
      <c r="GD5642" s="1" t="s">
        <v>193</v>
      </c>
      <c r="GE5642" s="1" t="s">
        <v>190</v>
      </c>
    </row>
    <row r="5643" spans="1:187" ht="11.25" customHeight="1">
      <c r="A5643" s="1" t="s">
        <v>7924</v>
      </c>
      <c r="B5643" s="1" t="str">
        <f ca="1">IFERROR(__xludf.DUMMYFUNCTION("GOOGLETRANSLATE(A5643, ""en"", ""fr"")"),"INTIME")</f>
        <v>INTIME</v>
      </c>
      <c r="C5643" s="1" t="s">
        <v>185</v>
      </c>
      <c r="D5643" s="1" t="s">
        <v>16612</v>
      </c>
      <c r="F5643" s="1" t="s">
        <v>2</v>
      </c>
      <c r="G5643" s="1" t="s">
        <v>3</v>
      </c>
      <c r="O5643" s="1" t="s">
        <v>11</v>
      </c>
      <c r="S5643" s="1" t="s">
        <v>15</v>
      </c>
      <c r="ER5643" s="1" t="s">
        <v>144</v>
      </c>
      <c r="ES5643" s="1" t="s">
        <v>145</v>
      </c>
      <c r="GD5643" s="1" t="s">
        <v>202</v>
      </c>
      <c r="GE5643" s="1" t="s">
        <v>190</v>
      </c>
    </row>
    <row r="5644" spans="1:187" ht="11.25" customHeight="1">
      <c r="A5644" s="1" t="s">
        <v>7925</v>
      </c>
      <c r="B5644" s="1" t="str">
        <f ca="1">IFERROR(__xludf.DUMMYFUNCTION("GOOGLETRANSLATE(A5644, ""en"", ""fr"")"),"INTIMIDER")</f>
        <v>INTIMIDER</v>
      </c>
      <c r="C5644" s="1" t="s">
        <v>192</v>
      </c>
      <c r="E5644" s="1" t="s">
        <v>16613</v>
      </c>
      <c r="J5644" s="1" t="s">
        <v>6</v>
      </c>
      <c r="K5644" s="1" t="s">
        <v>7</v>
      </c>
      <c r="N5644" s="1" t="s">
        <v>10</v>
      </c>
      <c r="DN5644" s="1" t="s">
        <v>114</v>
      </c>
      <c r="GD5644" s="1" t="s">
        <v>670</v>
      </c>
      <c r="GE5644" s="1" t="s">
        <v>190</v>
      </c>
    </row>
    <row r="5645" spans="1:187" ht="11.25" customHeight="1">
      <c r="A5645" s="1" t="s">
        <v>7926</v>
      </c>
      <c r="B5645" s="1" t="str">
        <f ca="1">IFERROR(__xludf.DUMMYFUNCTION("GOOGLETRANSLATE(A5645, ""en"", ""fr"")"),"DANS")</f>
        <v>DANS</v>
      </c>
      <c r="C5645" s="1" t="s">
        <v>185</v>
      </c>
      <c r="DA5645" s="1" t="s">
        <v>101</v>
      </c>
      <c r="GB5645" s="1" t="s">
        <v>180</v>
      </c>
      <c r="GD5645" s="1" t="s">
        <v>215</v>
      </c>
      <c r="GE5645" s="1" t="s">
        <v>7927</v>
      </c>
    </row>
    <row r="5646" spans="1:187" ht="11.25" customHeight="1">
      <c r="A5646" s="1" t="s">
        <v>7928</v>
      </c>
      <c r="B5646" s="1" t="str">
        <f ca="1">IFERROR(__xludf.DUMMYFUNCTION("GOOGLETRANSLATE(A5646, ""en"", ""fr"")"),"INTOLÉRABLE")</f>
        <v>INTOLÉRABLE</v>
      </c>
      <c r="C5646" s="1" t="s">
        <v>185</v>
      </c>
      <c r="E5646" s="1" t="s">
        <v>16613</v>
      </c>
      <c r="L5646" s="1" t="s">
        <v>8</v>
      </c>
      <c r="Q5646" s="1" t="s">
        <v>13</v>
      </c>
      <c r="T5646" s="1" t="s">
        <v>16</v>
      </c>
      <c r="DQ5646" s="1" t="s">
        <v>117</v>
      </c>
      <c r="FW5646" s="1" t="s">
        <v>175</v>
      </c>
      <c r="GD5646" s="1" t="s">
        <v>202</v>
      </c>
      <c r="GE5646" s="1" t="s">
        <v>190</v>
      </c>
    </row>
    <row r="5647" spans="1:187" ht="11.25" customHeight="1">
      <c r="A5647" s="1" t="s">
        <v>7929</v>
      </c>
      <c r="B5647" s="1" t="str">
        <f ca="1">IFERROR(__xludf.DUMMYFUNCTION("GOOGLETRANSLATE(A5647, ""en"", ""fr"")"),"INTOLÉRANCE")</f>
        <v>INTOLÉRANCE</v>
      </c>
      <c r="C5647" s="1" t="s">
        <v>196</v>
      </c>
      <c r="EM5647" s="1" t="s">
        <v>139</v>
      </c>
      <c r="EN5647" s="1" t="s">
        <v>140</v>
      </c>
      <c r="GD5647" s="1" t="s">
        <v>193</v>
      </c>
    </row>
    <row r="5648" spans="1:187" ht="11.25" customHeight="1">
      <c r="A5648" s="1" t="s">
        <v>7930</v>
      </c>
      <c r="B5648" s="1" t="str">
        <f ca="1">IFERROR(__xludf.DUMMYFUNCTION("GOOGLETRANSLATE(A5648, ""en"", ""fr"")"),"ENIVRER")</f>
        <v>ENIVRER</v>
      </c>
      <c r="C5648" s="1" t="s">
        <v>192</v>
      </c>
      <c r="E5648" s="1" t="s">
        <v>16613</v>
      </c>
      <c r="N5648" s="1" t="s">
        <v>10</v>
      </c>
      <c r="BT5648" s="1" t="s">
        <v>68</v>
      </c>
      <c r="BU5648" s="1" t="s">
        <v>69</v>
      </c>
      <c r="CG5648" s="1" t="s">
        <v>81</v>
      </c>
      <c r="DN5648" s="1" t="s">
        <v>114</v>
      </c>
      <c r="GD5648" s="1" t="s">
        <v>189</v>
      </c>
      <c r="GE5648" s="1" t="s">
        <v>190</v>
      </c>
    </row>
    <row r="5649" spans="1:187" ht="11.25" customHeight="1">
      <c r="A5649" s="1" t="s">
        <v>7931</v>
      </c>
      <c r="B5649" s="1" t="str">
        <f ca="1">IFERROR(__xludf.DUMMYFUNCTION("GOOGLETRANSLATE(A5649, ""en"", ""fr"")"),"INTRANSIGEANT")</f>
        <v>INTRANSIGEANT</v>
      </c>
      <c r="C5649" s="1" t="s">
        <v>196</v>
      </c>
      <c r="DW5649" s="1" t="s">
        <v>123</v>
      </c>
      <c r="ED5649" s="1" t="s">
        <v>130</v>
      </c>
      <c r="GD5649" s="1" t="s">
        <v>202</v>
      </c>
    </row>
    <row r="5650" spans="1:187" ht="11.25" customHeight="1">
      <c r="A5650" s="1" t="s">
        <v>7932</v>
      </c>
      <c r="B5650" s="1" t="str">
        <f ca="1">IFERROR(__xludf.DUMMYFUNCTION("GOOGLETRANSLATE(A5650, ""en"", ""fr"")"),"COMPLEXE")</f>
        <v>COMPLEXE</v>
      </c>
      <c r="C5650" s="1" t="s">
        <v>192</v>
      </c>
      <c r="D5650" s="1" t="s">
        <v>16612</v>
      </c>
      <c r="W5650" s="1" t="s">
        <v>19</v>
      </c>
      <c r="DR5650" s="1" t="s">
        <v>118</v>
      </c>
      <c r="GD5650" s="1" t="s">
        <v>202</v>
      </c>
      <c r="GE5650" s="1" t="s">
        <v>190</v>
      </c>
    </row>
    <row r="5651" spans="1:187" ht="11.25" customHeight="1">
      <c r="A5651" s="1" t="s">
        <v>7933</v>
      </c>
      <c r="B5651" s="1" t="str">
        <f ca="1">IFERROR(__xludf.DUMMYFUNCTION("GOOGLETRANSLATE(A5651, ""en"", ""fr"")"),"INTRIGUE")</f>
        <v>INTRIGUE</v>
      </c>
      <c r="C5651" s="1" t="s">
        <v>185</v>
      </c>
      <c r="D5651" s="1" t="s">
        <v>16612</v>
      </c>
      <c r="O5651" s="1" t="s">
        <v>11</v>
      </c>
      <c r="CG5651" s="1" t="s">
        <v>81</v>
      </c>
      <c r="DN5651" s="1" t="s">
        <v>114</v>
      </c>
      <c r="DW5651" s="1" t="s">
        <v>123</v>
      </c>
      <c r="ED5651" s="1" t="s">
        <v>130</v>
      </c>
      <c r="GD5651" s="1" t="s">
        <v>670</v>
      </c>
      <c r="GE5651" s="1" t="s">
        <v>190</v>
      </c>
    </row>
    <row r="5652" spans="1:187" ht="11.25" customHeight="1">
      <c r="A5652" s="1" t="s">
        <v>7934</v>
      </c>
      <c r="B5652" s="1" t="str">
        <f ca="1">IFERROR(__xludf.DUMMYFUNCTION("GOOGLETRANSLATE(A5652, ""en"", ""fr"")"),"INTRODUIRE")</f>
        <v>INTRODUIRE</v>
      </c>
      <c r="C5652" s="1" t="s">
        <v>185</v>
      </c>
      <c r="N5652" s="1" t="s">
        <v>10</v>
      </c>
      <c r="BK5652" s="1" t="s">
        <v>59</v>
      </c>
      <c r="DO5652" s="1" t="s">
        <v>115</v>
      </c>
      <c r="FP5652" s="1" t="s">
        <v>168</v>
      </c>
      <c r="GD5652" s="1" t="s">
        <v>189</v>
      </c>
      <c r="GE5652" s="1" t="s">
        <v>190</v>
      </c>
    </row>
    <row r="5653" spans="1:187" ht="11.25" customHeight="1">
      <c r="A5653" s="1" t="s">
        <v>7935</v>
      </c>
      <c r="B5653" s="1" t="str">
        <f ca="1">IFERROR(__xludf.DUMMYFUNCTION("GOOGLETRANSLATE(A5653, ""en"", ""fr"")"),"INTRODUCTION")</f>
        <v>INTRODUCTION</v>
      </c>
      <c r="C5653" s="1" t="s">
        <v>196</v>
      </c>
      <c r="FP5653" s="1" t="s">
        <v>168</v>
      </c>
      <c r="GD5653" s="1" t="s">
        <v>193</v>
      </c>
    </row>
    <row r="5654" spans="1:187" ht="11.25" customHeight="1">
      <c r="A5654" s="1" t="s">
        <v>7936</v>
      </c>
      <c r="B5654" s="1" t="str">
        <f ca="1">IFERROR(__xludf.DUMMYFUNCTION("GOOGLETRANSLATE(A5654, ""en"", ""fr"")"),"S'immiscer")</f>
        <v>S'immiscer</v>
      </c>
      <c r="C5654" s="1" t="s">
        <v>192</v>
      </c>
      <c r="E5654" s="1" t="s">
        <v>16613</v>
      </c>
      <c r="N5654" s="1" t="s">
        <v>10</v>
      </c>
      <c r="AN5654" s="1" t="s">
        <v>36</v>
      </c>
      <c r="DN5654" s="1" t="s">
        <v>114</v>
      </c>
      <c r="GD5654" s="1" t="s">
        <v>189</v>
      </c>
      <c r="GE5654" s="1" t="s">
        <v>190</v>
      </c>
    </row>
    <row r="5655" spans="1:187" ht="11.25" customHeight="1">
      <c r="A5655" s="1" t="s">
        <v>7937</v>
      </c>
      <c r="B5655" s="1" t="str">
        <f ca="1">IFERROR(__xludf.DUMMYFUNCTION("GOOGLETRANSLATE(A5655, ""en"", ""fr"")"),"INTRUS")</f>
        <v>INTRUS</v>
      </c>
      <c r="C5655" s="1" t="s">
        <v>192</v>
      </c>
      <c r="E5655" s="1" t="s">
        <v>16613</v>
      </c>
      <c r="AJ5655" s="1" t="s">
        <v>32</v>
      </c>
      <c r="AN5655" s="1" t="s">
        <v>36</v>
      </c>
      <c r="AT5655" s="1" t="s">
        <v>42</v>
      </c>
      <c r="GD5655" s="1" t="s">
        <v>193</v>
      </c>
      <c r="GE5655" s="1" t="s">
        <v>190</v>
      </c>
    </row>
    <row r="5656" spans="1:187" ht="11.25" customHeight="1">
      <c r="A5656" s="1" t="s">
        <v>7938</v>
      </c>
      <c r="B5656" s="1" t="str">
        <f ca="1">IFERROR(__xludf.DUMMYFUNCTION("GOOGLETRANSLATE(A5656, ""en"", ""fr"")"),"INTRUSION")</f>
        <v>INTRUSION</v>
      </c>
      <c r="C5656" s="1" t="s">
        <v>192</v>
      </c>
      <c r="E5656" s="1" t="s">
        <v>16613</v>
      </c>
      <c r="I5656" s="1" t="s">
        <v>5</v>
      </c>
      <c r="AN5656" s="1" t="s">
        <v>36</v>
      </c>
      <c r="GD5656" s="1" t="s">
        <v>193</v>
      </c>
      <c r="GE5656" s="1" t="s">
        <v>190</v>
      </c>
    </row>
    <row r="5657" spans="1:187" ht="11.25" customHeight="1">
      <c r="A5657" s="1" t="s">
        <v>7939</v>
      </c>
      <c r="B5657" s="1" t="str">
        <f ca="1">IFERROR(__xludf.DUMMYFUNCTION("GOOGLETRANSLATE(A5657, ""en"", ""fr"")"),"EN CONFIANCE")</f>
        <v>EN CONFIANCE</v>
      </c>
      <c r="C5657" s="1" t="s">
        <v>196</v>
      </c>
      <c r="FP5657" s="1" t="s">
        <v>168</v>
      </c>
      <c r="GD5657" s="1" t="s">
        <v>189</v>
      </c>
    </row>
    <row r="5658" spans="1:187" ht="11.25" customHeight="1">
      <c r="A5658" s="1" t="s">
        <v>7940</v>
      </c>
      <c r="B5658" s="1" t="str">
        <f ca="1">IFERROR(__xludf.DUMMYFUNCTION("GOOGLETRANSLATE(A5658, ""en"", ""fr"")"),"INTUITION")</f>
        <v>INTUITION</v>
      </c>
      <c r="C5658" s="1" t="s">
        <v>185</v>
      </c>
      <c r="O5658" s="1" t="s">
        <v>11</v>
      </c>
      <c r="CH5658" s="1" t="s">
        <v>82</v>
      </c>
      <c r="FH5658" s="1" t="s">
        <v>160</v>
      </c>
      <c r="FI5658" s="1" t="s">
        <v>161</v>
      </c>
      <c r="GD5658" s="1" t="s">
        <v>193</v>
      </c>
      <c r="GE5658" s="1" t="s">
        <v>190</v>
      </c>
    </row>
    <row r="5659" spans="1:187" ht="11.25" customHeight="1">
      <c r="A5659" s="1" t="s">
        <v>7941</v>
      </c>
      <c r="B5659" s="1" t="str">
        <f ca="1">IFERROR(__xludf.DUMMYFUNCTION("GOOGLETRANSLATE(A5659, ""en"", ""fr"")"),"INTUITIF")</f>
        <v>INTUITIF</v>
      </c>
      <c r="C5659" s="1" t="s">
        <v>185</v>
      </c>
      <c r="O5659" s="1" t="s">
        <v>11</v>
      </c>
      <c r="CH5659" s="1" t="s">
        <v>82</v>
      </c>
      <c r="FH5659" s="1" t="s">
        <v>160</v>
      </c>
      <c r="FI5659" s="1" t="s">
        <v>161</v>
      </c>
      <c r="GD5659" s="1" t="s">
        <v>202</v>
      </c>
      <c r="GE5659" s="1" t="s">
        <v>190</v>
      </c>
    </row>
    <row r="5660" spans="1:187" ht="11.25" customHeight="1">
      <c r="A5660" s="1" t="s">
        <v>7942</v>
      </c>
      <c r="B5660" s="1" t="str">
        <f ca="1">IFERROR(__xludf.DUMMYFUNCTION("GOOGLETRANSLATE(A5660, ""en"", ""fr"")"),"INONDER")</f>
        <v>INONDER</v>
      </c>
      <c r="C5660" s="1" t="s">
        <v>192</v>
      </c>
      <c r="E5660" s="1" t="s">
        <v>16613</v>
      </c>
      <c r="J5660" s="1" t="s">
        <v>6</v>
      </c>
      <c r="N5660" s="1" t="s">
        <v>10</v>
      </c>
      <c r="BX5660" s="1" t="s">
        <v>72</v>
      </c>
      <c r="DN5660" s="1" t="s">
        <v>114</v>
      </c>
      <c r="GD5660" s="1" t="s">
        <v>189</v>
      </c>
      <c r="GE5660" s="1" t="s">
        <v>190</v>
      </c>
    </row>
    <row r="5661" spans="1:187" ht="11.25" customHeight="1">
      <c r="A5661" s="1" t="s">
        <v>7943</v>
      </c>
      <c r="B5661" s="1" t="str">
        <f ca="1">IFERROR(__xludf.DUMMYFUNCTION("GOOGLETRANSLATE(A5661, ""en"", ""fr"")"),"Inondé")</f>
        <v>Inondé</v>
      </c>
      <c r="C5661" s="1" t="s">
        <v>192</v>
      </c>
      <c r="E5661" s="1" t="s">
        <v>16613</v>
      </c>
      <c r="AL5661" s="1" t="s">
        <v>34</v>
      </c>
      <c r="BX5661" s="1" t="s">
        <v>72</v>
      </c>
      <c r="DR5661" s="1" t="s">
        <v>118</v>
      </c>
      <c r="GD5661" s="1" t="s">
        <v>202</v>
      </c>
      <c r="GE5661" s="1" t="s">
        <v>190</v>
      </c>
    </row>
    <row r="5662" spans="1:187" ht="11.25" customHeight="1">
      <c r="A5662" s="1" t="s">
        <v>7944</v>
      </c>
      <c r="B5662" s="1" t="str">
        <f ca="1">IFERROR(__xludf.DUMMYFUNCTION("GOOGLETRANSLATE(A5662, ""en"", ""fr"")"),"ENVAHIR")</f>
        <v>ENVAHIR</v>
      </c>
      <c r="C5662" s="1" t="s">
        <v>185</v>
      </c>
      <c r="E5662" s="1" t="s">
        <v>16613</v>
      </c>
      <c r="G5662" s="1" t="s">
        <v>3</v>
      </c>
      <c r="AG5662" s="1" t="s">
        <v>29</v>
      </c>
      <c r="CE5662" s="1" t="s">
        <v>79</v>
      </c>
      <c r="DN5662" s="1" t="s">
        <v>114</v>
      </c>
      <c r="DW5662" s="1" t="s">
        <v>123</v>
      </c>
      <c r="ED5662" s="1" t="s">
        <v>130</v>
      </c>
      <c r="GD5662" s="1" t="s">
        <v>189</v>
      </c>
      <c r="GE5662" s="1" t="s">
        <v>190</v>
      </c>
    </row>
    <row r="5663" spans="1:187" ht="11.25" customHeight="1">
      <c r="A5663" s="1" t="s">
        <v>7945</v>
      </c>
      <c r="B5663" s="1" t="str">
        <f ca="1">IFERROR(__xludf.DUMMYFUNCTION("GOOGLETRANSLATE(A5663, ""en"", ""fr"")"),"ENVAHISSEUR")</f>
        <v>ENVAHISSEUR</v>
      </c>
      <c r="C5663" s="1" t="s">
        <v>196</v>
      </c>
      <c r="DZ5663" s="1" t="s">
        <v>126</v>
      </c>
      <c r="ED5663" s="1" t="s">
        <v>130</v>
      </c>
      <c r="GD5663" s="1" t="s">
        <v>4912</v>
      </c>
    </row>
    <row r="5664" spans="1:187" ht="11.25" customHeight="1">
      <c r="A5664" s="1" t="s">
        <v>7946</v>
      </c>
      <c r="B5664" s="1" t="str">
        <f ca="1">IFERROR(__xludf.DUMMYFUNCTION("GOOGLETRANSLATE(A5664, ""en"", ""fr"")"),"INVALIDE")</f>
        <v>INVALIDE</v>
      </c>
      <c r="C5664" s="1" t="s">
        <v>185</v>
      </c>
      <c r="E5664" s="1" t="s">
        <v>16613</v>
      </c>
      <c r="V5664" s="1" t="s">
        <v>18</v>
      </c>
      <c r="CM5664" s="1" t="s">
        <v>87</v>
      </c>
      <c r="DR5664" s="1" t="s">
        <v>118</v>
      </c>
      <c r="FH5664" s="1" t="s">
        <v>160</v>
      </c>
      <c r="FI5664" s="1" t="s">
        <v>161</v>
      </c>
      <c r="GD5664" s="1" t="s">
        <v>202</v>
      </c>
      <c r="GE5664" s="1" t="s">
        <v>190</v>
      </c>
    </row>
    <row r="5665" spans="1:187" ht="11.25" customHeight="1">
      <c r="A5665" s="1" t="s">
        <v>7947</v>
      </c>
      <c r="B5665" s="1" t="str">
        <f ca="1">IFERROR(__xludf.DUMMYFUNCTION("GOOGLETRANSLATE(A5665, ""en"", ""fr"")"),"INESTIMABLE")</f>
        <v>INESTIMABLE</v>
      </c>
      <c r="C5665" s="1" t="s">
        <v>185</v>
      </c>
      <c r="D5665" s="1" t="s">
        <v>16612</v>
      </c>
      <c r="AA5665" s="1" t="s">
        <v>23</v>
      </c>
      <c r="CM5665" s="1" t="s">
        <v>87</v>
      </c>
      <c r="CR5665" s="1" t="s">
        <v>92</v>
      </c>
      <c r="DR5665" s="1" t="s">
        <v>118</v>
      </c>
      <c r="FX5665" s="1" t="s">
        <v>176</v>
      </c>
      <c r="GD5665" s="1" t="s">
        <v>202</v>
      </c>
      <c r="GE5665" s="1" t="s">
        <v>190</v>
      </c>
    </row>
    <row r="5666" spans="1:187" ht="11.25" customHeight="1">
      <c r="A5666" s="1" t="s">
        <v>7948</v>
      </c>
      <c r="B5666" s="1" t="str">
        <f ca="1">IFERROR(__xludf.DUMMYFUNCTION("GOOGLETRANSLATE(A5666, ""en"", ""fr"")"),"INVARIABLE")</f>
        <v>INVARIABLE</v>
      </c>
      <c r="C5666" s="1" t="s">
        <v>185</v>
      </c>
      <c r="J5666" s="1" t="s">
        <v>6</v>
      </c>
      <c r="W5666" s="1" t="s">
        <v>19</v>
      </c>
      <c r="BR5666" s="1" t="s">
        <v>66</v>
      </c>
      <c r="DL5666" s="1" t="s">
        <v>112</v>
      </c>
      <c r="GD5666" s="1" t="s">
        <v>202</v>
      </c>
      <c r="GE5666" s="1" t="s">
        <v>190</v>
      </c>
    </row>
    <row r="5667" spans="1:187" ht="11.25" customHeight="1">
      <c r="A5667" s="1" t="s">
        <v>7949</v>
      </c>
      <c r="B5667" s="1" t="str">
        <f ca="1">IFERROR(__xludf.DUMMYFUNCTION("GOOGLETRANSLATE(A5667, ""en"", ""fr"")"),"INVARIABLEMENT")</f>
        <v>INVARIABLEMENT</v>
      </c>
      <c r="C5667" s="1" t="s">
        <v>185</v>
      </c>
      <c r="J5667" s="1" t="s">
        <v>6</v>
      </c>
      <c r="W5667" s="1" t="s">
        <v>19</v>
      </c>
      <c r="BR5667" s="1" t="s">
        <v>66</v>
      </c>
      <c r="DL5667" s="1" t="s">
        <v>112</v>
      </c>
      <c r="FY5667" s="1" t="s">
        <v>177</v>
      </c>
      <c r="GD5667" s="1" t="s">
        <v>236</v>
      </c>
      <c r="GE5667" s="1" t="s">
        <v>190</v>
      </c>
    </row>
    <row r="5668" spans="1:187" ht="11.25" customHeight="1">
      <c r="A5668" s="1" t="s">
        <v>7950</v>
      </c>
      <c r="B5668" s="1" t="str">
        <f ca="1">IFERROR(__xludf.DUMMYFUNCTION("GOOGLETRANSLATE(A5668, ""en"", ""fr"")"),"INVASION")</f>
        <v>INVASION</v>
      </c>
      <c r="C5668" s="1" t="s">
        <v>185</v>
      </c>
      <c r="DW5668" s="1" t="s">
        <v>123</v>
      </c>
      <c r="ED5668" s="1" t="s">
        <v>130</v>
      </c>
      <c r="GD5668" s="1" t="s">
        <v>470</v>
      </c>
      <c r="GE5668" s="1" t="s">
        <v>190</v>
      </c>
    </row>
    <row r="5669" spans="1:187" ht="11.25" customHeight="1">
      <c r="A5669" s="1" t="s">
        <v>7951</v>
      </c>
      <c r="B5669" s="1" t="str">
        <f ca="1">IFERROR(__xludf.DUMMYFUNCTION("GOOGLETRANSLATE(A5669, ""en"", ""fr"")"),"INVENTER")</f>
        <v>INVENTER</v>
      </c>
      <c r="C5669" s="1" t="s">
        <v>185</v>
      </c>
      <c r="N5669" s="1" t="s">
        <v>10</v>
      </c>
      <c r="AD5669" s="1" t="s">
        <v>26</v>
      </c>
      <c r="AL5669" s="1" t="s">
        <v>34</v>
      </c>
      <c r="DN5669" s="1" t="s">
        <v>114</v>
      </c>
      <c r="FL5669" s="1" t="s">
        <v>164</v>
      </c>
      <c r="FM5669" s="1" t="s">
        <v>418</v>
      </c>
      <c r="GD5669" s="1" t="s">
        <v>189</v>
      </c>
      <c r="GE5669" s="1" t="s">
        <v>190</v>
      </c>
    </row>
    <row r="5670" spans="1:187" ht="11.25" customHeight="1">
      <c r="A5670" s="1" t="s">
        <v>7952</v>
      </c>
      <c r="B5670" s="1" t="str">
        <f ca="1">IFERROR(__xludf.DUMMYFUNCTION("GOOGLETRANSLATE(A5670, ""en"", ""fr"")"),"INVENTION")</f>
        <v>INVENTION</v>
      </c>
      <c r="C5670" s="1" t="s">
        <v>185</v>
      </c>
      <c r="BO5670" s="1" t="s">
        <v>63</v>
      </c>
      <c r="FL5670" s="1" t="s">
        <v>164</v>
      </c>
      <c r="FM5670" s="1" t="s">
        <v>418</v>
      </c>
      <c r="GD5670" s="1" t="s">
        <v>193</v>
      </c>
      <c r="GE5670" s="1" t="s">
        <v>190</v>
      </c>
    </row>
    <row r="5671" spans="1:187" ht="11.25" customHeight="1">
      <c r="A5671" s="1" t="s">
        <v>7953</v>
      </c>
      <c r="B5671" s="1" t="str">
        <f ca="1">IFERROR(__xludf.DUMMYFUNCTION("GOOGLETRANSLATE(A5671, ""en"", ""fr"")"),"INVENTIF")</f>
        <v>INVENTIF</v>
      </c>
      <c r="C5671" s="1" t="s">
        <v>196</v>
      </c>
      <c r="FL5671" s="1" t="s">
        <v>164</v>
      </c>
      <c r="FM5671" s="1" t="s">
        <v>418</v>
      </c>
      <c r="GD5671" s="1" t="s">
        <v>202</v>
      </c>
    </row>
    <row r="5672" spans="1:187" ht="11.25" customHeight="1">
      <c r="A5672" s="1" t="s">
        <v>7954</v>
      </c>
      <c r="B5672" s="1" t="str">
        <f ca="1">IFERROR(__xludf.DUMMYFUNCTION("GOOGLETRANSLATE(A5672, ""en"", ""fr"")"),"INVENTEUR")</f>
        <v>INVENTEUR</v>
      </c>
      <c r="C5672" s="1" t="s">
        <v>185</v>
      </c>
      <c r="D5672" s="1" t="s">
        <v>16612</v>
      </c>
      <c r="F5672" s="1" t="s">
        <v>2</v>
      </c>
      <c r="N5672" s="1" t="s">
        <v>10</v>
      </c>
      <c r="AJ5672" s="1" t="s">
        <v>32</v>
      </c>
      <c r="AT5672" s="1" t="s">
        <v>42</v>
      </c>
      <c r="FK5672" s="1" t="s">
        <v>163</v>
      </c>
      <c r="FM5672" s="1" t="s">
        <v>418</v>
      </c>
      <c r="GD5672" s="1" t="s">
        <v>193</v>
      </c>
      <c r="GE5672" s="1" t="s">
        <v>190</v>
      </c>
    </row>
    <row r="5673" spans="1:187" ht="11.25" customHeight="1">
      <c r="A5673" s="1" t="s">
        <v>7955</v>
      </c>
      <c r="B5673" s="1" t="str">
        <f ca="1">IFERROR(__xludf.DUMMYFUNCTION("GOOGLETRANSLATE(A5673, ""en"", ""fr"")"),"INVENTAIRE")</f>
        <v>INVENTAIRE</v>
      </c>
      <c r="C5673" s="1" t="s">
        <v>185</v>
      </c>
      <c r="J5673" s="1" t="s">
        <v>6</v>
      </c>
      <c r="AA5673" s="1" t="s">
        <v>23</v>
      </c>
      <c r="AC5673" s="1" t="s">
        <v>25</v>
      </c>
      <c r="BQ5673" s="1" t="s">
        <v>65</v>
      </c>
      <c r="EV5673" s="1" t="s">
        <v>148</v>
      </c>
      <c r="EW5673" s="1" t="s">
        <v>149</v>
      </c>
      <c r="GD5673" s="1" t="s">
        <v>193</v>
      </c>
      <c r="GE5673" s="1" t="s">
        <v>190</v>
      </c>
    </row>
    <row r="5674" spans="1:187" ht="11.25" customHeight="1">
      <c r="A5674" s="1" t="s">
        <v>7956</v>
      </c>
      <c r="B5674" s="1" t="str">
        <f ca="1">IFERROR(__xludf.DUMMYFUNCTION("GOOGLETRANSLATE(A5674, ""en"", ""fr"")"),"INVESTIR")</f>
        <v>INVESTIR</v>
      </c>
      <c r="C5674" s="1" t="s">
        <v>185</v>
      </c>
      <c r="N5674" s="1" t="s">
        <v>10</v>
      </c>
      <c r="AA5674" s="1" t="s">
        <v>23</v>
      </c>
      <c r="AB5674" s="1" t="s">
        <v>24</v>
      </c>
      <c r="DN5674" s="1" t="s">
        <v>114</v>
      </c>
      <c r="EV5674" s="1" t="s">
        <v>148</v>
      </c>
      <c r="EW5674" s="1" t="s">
        <v>149</v>
      </c>
      <c r="GD5674" s="1" t="s">
        <v>189</v>
      </c>
      <c r="GE5674" s="1" t="s">
        <v>190</v>
      </c>
    </row>
    <row r="5675" spans="1:187" ht="11.25" customHeight="1">
      <c r="A5675" s="1" t="s">
        <v>7957</v>
      </c>
      <c r="B5675" s="1" t="str">
        <f ca="1">IFERROR(__xludf.DUMMYFUNCTION("GOOGLETRANSLATE(A5675, ""en"", ""fr"")"),"ENQUÊTER")</f>
        <v>ENQUÊTER</v>
      </c>
      <c r="C5675" s="1" t="s">
        <v>185</v>
      </c>
      <c r="N5675" s="1" t="s">
        <v>10</v>
      </c>
      <c r="CO5675" s="1" t="s">
        <v>89</v>
      </c>
      <c r="DN5675" s="1" t="s">
        <v>114</v>
      </c>
      <c r="FD5675" s="1" t="s">
        <v>156</v>
      </c>
      <c r="FI5675" s="1" t="s">
        <v>161</v>
      </c>
      <c r="GD5675" s="1" t="s">
        <v>189</v>
      </c>
      <c r="GE5675" s="1" t="s">
        <v>190</v>
      </c>
    </row>
    <row r="5676" spans="1:187" ht="11.25" customHeight="1">
      <c r="A5676" s="1" t="s">
        <v>7958</v>
      </c>
      <c r="B5676" s="1" t="str">
        <f ca="1">IFERROR(__xludf.DUMMYFUNCTION("GOOGLETRANSLATE(A5676, ""en"", ""fr"")"),"ENQUÊTE")</f>
        <v>ENQUÊTE</v>
      </c>
      <c r="C5676" s="1" t="s">
        <v>185</v>
      </c>
      <c r="N5676" s="1" t="s">
        <v>10</v>
      </c>
      <c r="BQ5676" s="1" t="s">
        <v>65</v>
      </c>
      <c r="FD5676" s="1" t="s">
        <v>156</v>
      </c>
      <c r="FI5676" s="1" t="s">
        <v>161</v>
      </c>
      <c r="GD5676" s="1" t="s">
        <v>193</v>
      </c>
      <c r="GE5676" s="1" t="s">
        <v>190</v>
      </c>
    </row>
    <row r="5677" spans="1:187" ht="11.25" customHeight="1">
      <c r="A5677" s="1" t="s">
        <v>7959</v>
      </c>
      <c r="B5677" s="1" t="str">
        <f ca="1">IFERROR(__xludf.DUMMYFUNCTION("GOOGLETRANSLATE(A5677, ""en"", ""fr"")"),"INVESTISSEMENT")</f>
        <v>INVESTISSEMENT</v>
      </c>
      <c r="C5677" s="1" t="s">
        <v>185</v>
      </c>
      <c r="N5677" s="1" t="s">
        <v>10</v>
      </c>
      <c r="AA5677" s="1" t="s">
        <v>23</v>
      </c>
      <c r="AC5677" s="1" t="s">
        <v>25</v>
      </c>
      <c r="BK5677" s="1" t="s">
        <v>59</v>
      </c>
      <c r="BL5677" s="1" t="s">
        <v>60</v>
      </c>
      <c r="EV5677" s="1" t="s">
        <v>148</v>
      </c>
      <c r="EW5677" s="1" t="s">
        <v>149</v>
      </c>
      <c r="GC5677" s="1" t="s">
        <v>181</v>
      </c>
      <c r="GD5677" s="1" t="s">
        <v>193</v>
      </c>
      <c r="GE5677" s="1" t="s">
        <v>190</v>
      </c>
    </row>
    <row r="5678" spans="1:187" ht="11.25" customHeight="1">
      <c r="A5678" s="1" t="s">
        <v>7960</v>
      </c>
      <c r="B5678" s="1" t="str">
        <f ca="1">IFERROR(__xludf.DUMMYFUNCTION("GOOGLETRANSLATE(A5678, ""en"", ""fr"")"),"INVESTISSEUR")</f>
        <v>INVESTISSEUR</v>
      </c>
      <c r="C5678" s="1" t="s">
        <v>185</v>
      </c>
      <c r="N5678" s="1" t="s">
        <v>10</v>
      </c>
      <c r="AA5678" s="1" t="s">
        <v>23</v>
      </c>
      <c r="AJ5678" s="1" t="s">
        <v>32</v>
      </c>
      <c r="AT5678" s="1" t="s">
        <v>42</v>
      </c>
      <c r="ET5678" s="1" t="s">
        <v>146</v>
      </c>
      <c r="EW5678" s="1" t="s">
        <v>149</v>
      </c>
      <c r="GD5678" s="1" t="s">
        <v>193</v>
      </c>
      <c r="GE5678" s="1" t="s">
        <v>190</v>
      </c>
    </row>
    <row r="5679" spans="1:187" ht="11.25" customHeight="1">
      <c r="A5679" s="1" t="s">
        <v>7961</v>
      </c>
      <c r="B5679" s="1" t="str">
        <f ca="1">IFERROR(__xludf.DUMMYFUNCTION("GOOGLETRANSLATE(A5679, ""en"", ""fr"")"),"INVÉTÉRÉ")</f>
        <v>INVÉTÉRÉ</v>
      </c>
      <c r="C5679" s="1" t="s">
        <v>196</v>
      </c>
      <c r="GD5679" s="1" t="s">
        <v>202</v>
      </c>
    </row>
    <row r="5680" spans="1:187" ht="11.25" customHeight="1">
      <c r="A5680" s="1" t="s">
        <v>7962</v>
      </c>
      <c r="B5680" s="1" t="str">
        <f ca="1">IFERROR(__xludf.DUMMYFUNCTION("GOOGLETRANSLATE(A5680, ""en"", ""fr"")"),"INVINCIBLE")</f>
        <v>INVINCIBLE</v>
      </c>
      <c r="C5680" s="1" t="s">
        <v>185</v>
      </c>
      <c r="D5680" s="1" t="s">
        <v>16612</v>
      </c>
      <c r="J5680" s="1" t="s">
        <v>6</v>
      </c>
      <c r="K5680" s="1" t="s">
        <v>7</v>
      </c>
      <c r="U5680" s="1" t="s">
        <v>17</v>
      </c>
      <c r="DL5680" s="1" t="s">
        <v>112</v>
      </c>
      <c r="DR5680" s="1" t="s">
        <v>118</v>
      </c>
      <c r="EC5680" s="1" t="s">
        <v>129</v>
      </c>
      <c r="ED5680" s="1" t="s">
        <v>130</v>
      </c>
      <c r="GD5680" s="1" t="s">
        <v>202</v>
      </c>
      <c r="GE5680" s="1" t="s">
        <v>190</v>
      </c>
    </row>
    <row r="5681" spans="1:187" ht="11.25" customHeight="1">
      <c r="A5681" s="1" t="s">
        <v>7963</v>
      </c>
      <c r="B5681" s="1" t="str">
        <f ca="1">IFERROR(__xludf.DUMMYFUNCTION("GOOGLETRANSLATE(A5681, ""en"", ""fr"")"),"INVIOLABLE")</f>
        <v>INVIOLABLE</v>
      </c>
      <c r="C5681" s="1" t="s">
        <v>196</v>
      </c>
      <c r="EF5681" s="1" t="s">
        <v>132</v>
      </c>
      <c r="EJ5681" s="1" t="s">
        <v>136</v>
      </c>
      <c r="GD5681" s="1" t="s">
        <v>202</v>
      </c>
    </row>
    <row r="5682" spans="1:187" ht="11.25" customHeight="1">
      <c r="A5682" s="1" t="s">
        <v>7964</v>
      </c>
      <c r="B5682" s="1" t="str">
        <f ca="1">IFERROR(__xludf.DUMMYFUNCTION("GOOGLETRANSLATE(A5682, ""en"", ""fr"")"),"INVIOLÉ")</f>
        <v>INVIOLÉ</v>
      </c>
      <c r="C5682" s="1" t="s">
        <v>196</v>
      </c>
      <c r="EF5682" s="1" t="s">
        <v>132</v>
      </c>
      <c r="EJ5682" s="1" t="s">
        <v>136</v>
      </c>
      <c r="GD5682" s="1" t="s">
        <v>202</v>
      </c>
    </row>
    <row r="5683" spans="1:187" ht="11.25" customHeight="1">
      <c r="A5683" s="1" t="s">
        <v>7965</v>
      </c>
      <c r="B5683" s="1" t="str">
        <f ca="1">IFERROR(__xludf.DUMMYFUNCTION("GOOGLETRANSLATE(A5683, ""en"", ""fr"")"),"INVISIBLE")</f>
        <v>INVISIBLE</v>
      </c>
      <c r="C5683" s="1" t="s">
        <v>192</v>
      </c>
      <c r="E5683" s="1" t="s">
        <v>16613</v>
      </c>
      <c r="CK5683" s="1" t="s">
        <v>85</v>
      </c>
      <c r="DL5683" s="1" t="s">
        <v>112</v>
      </c>
      <c r="DR5683" s="1" t="s">
        <v>118</v>
      </c>
      <c r="GD5683" s="1" t="s">
        <v>202</v>
      </c>
      <c r="GE5683" s="1" t="s">
        <v>190</v>
      </c>
    </row>
    <row r="5684" spans="1:187" ht="11.25" customHeight="1">
      <c r="A5684" s="1" t="s">
        <v>7966</v>
      </c>
      <c r="B5684" s="1" t="str">
        <f ca="1">IFERROR(__xludf.DUMMYFUNCTION("GOOGLETRANSLATE(A5684, ""en"", ""fr"")"),"INVITATION")</f>
        <v>INVITATION</v>
      </c>
      <c r="C5684" s="1" t="s">
        <v>185</v>
      </c>
      <c r="D5684" s="1" t="s">
        <v>16612</v>
      </c>
      <c r="F5684" s="1" t="s">
        <v>2</v>
      </c>
      <c r="G5684" s="1" t="s">
        <v>3</v>
      </c>
      <c r="N5684" s="1" t="s">
        <v>10</v>
      </c>
      <c r="BK5684" s="1" t="s">
        <v>59</v>
      </c>
      <c r="BL5684" s="1" t="s">
        <v>60</v>
      </c>
      <c r="FN5684" s="1" t="s">
        <v>166</v>
      </c>
      <c r="GC5684" s="1" t="s">
        <v>181</v>
      </c>
      <c r="GD5684" s="1" t="s">
        <v>193</v>
      </c>
      <c r="GE5684" s="1" t="s">
        <v>190</v>
      </c>
    </row>
    <row r="5685" spans="1:187" ht="11.25" customHeight="1">
      <c r="A5685" s="1" t="s">
        <v>7967</v>
      </c>
      <c r="B5685" s="1" t="str">
        <f ca="1">IFERROR(__xludf.DUMMYFUNCTION("GOOGLETRANSLATE(A5685, ""en"", ""fr"")"),"Inviter # 1")</f>
        <v>Inviter # 1</v>
      </c>
      <c r="C5685" s="1" t="s">
        <v>185</v>
      </c>
      <c r="D5685" s="1" t="s">
        <v>16612</v>
      </c>
      <c r="F5685" s="1" t="s">
        <v>2</v>
      </c>
      <c r="G5685" s="1" t="s">
        <v>3</v>
      </c>
      <c r="N5685" s="1" t="s">
        <v>10</v>
      </c>
      <c r="AN5685" s="1" t="s">
        <v>36</v>
      </c>
      <c r="DO5685" s="1" t="s">
        <v>115</v>
      </c>
      <c r="FN5685" s="1" t="s">
        <v>166</v>
      </c>
      <c r="GD5685" s="1" t="s">
        <v>189</v>
      </c>
      <c r="GE5685" s="1" t="s">
        <v>7968</v>
      </c>
    </row>
    <row r="5686" spans="1:187" ht="11.25" customHeight="1">
      <c r="A5686" s="1" t="s">
        <v>7969</v>
      </c>
      <c r="B5686" s="1" t="str">
        <f ca="1">IFERROR(__xludf.DUMMYFUNCTION("GOOGLETRANSLATE(A5686, ""en"", ""fr"")"),"Inviter # 2")</f>
        <v>Inviter # 2</v>
      </c>
      <c r="C5686" s="1" t="s">
        <v>185</v>
      </c>
      <c r="D5686" s="1" t="s">
        <v>16612</v>
      </c>
      <c r="F5686" s="1" t="s">
        <v>2</v>
      </c>
      <c r="J5686" s="1" t="s">
        <v>6</v>
      </c>
      <c r="U5686" s="1" t="s">
        <v>17</v>
      </c>
      <c r="CN5686" s="1" t="s">
        <v>88</v>
      </c>
      <c r="FX5686" s="1" t="s">
        <v>176</v>
      </c>
      <c r="GD5686" s="1" t="s">
        <v>202</v>
      </c>
      <c r="GE5686" s="1" t="s">
        <v>7970</v>
      </c>
    </row>
    <row r="5687" spans="1:187" ht="11.25" customHeight="1">
      <c r="A5687" s="1" t="s">
        <v>7971</v>
      </c>
      <c r="B5687" s="1" t="str">
        <f ca="1">IFERROR(__xludf.DUMMYFUNCTION("GOOGLETRANSLATE(A5687, ""en"", ""fr"")"),"INVOLONTAIRE")</f>
        <v>INVOLONTAIRE</v>
      </c>
      <c r="C5687" s="1" t="s">
        <v>192</v>
      </c>
      <c r="E5687" s="1" t="s">
        <v>16613</v>
      </c>
      <c r="R5687" s="1" t="s">
        <v>14</v>
      </c>
      <c r="DL5687" s="1" t="s">
        <v>112</v>
      </c>
      <c r="DR5687" s="1" t="s">
        <v>118</v>
      </c>
      <c r="GD5687" s="1" t="s">
        <v>202</v>
      </c>
      <c r="GE5687" s="1" t="s">
        <v>190</v>
      </c>
    </row>
    <row r="5688" spans="1:187" ht="11.25" customHeight="1">
      <c r="A5688" s="1" t="s">
        <v>7972</v>
      </c>
      <c r="B5688" s="1" t="str">
        <f ca="1">IFERROR(__xludf.DUMMYFUNCTION("GOOGLETRANSLATE(A5688, ""en"", ""fr"")"),"Impliquer # 1")</f>
        <v>Impliquer # 1</v>
      </c>
      <c r="C5688" s="1" t="s">
        <v>185</v>
      </c>
      <c r="J5688" s="1" t="s">
        <v>6</v>
      </c>
      <c r="K5688" s="1" t="s">
        <v>7</v>
      </c>
      <c r="AN5688" s="1" t="s">
        <v>36</v>
      </c>
      <c r="DN5688" s="1" t="s">
        <v>114</v>
      </c>
      <c r="FP5688" s="1" t="s">
        <v>168</v>
      </c>
      <c r="GD5688" s="1" t="s">
        <v>189</v>
      </c>
      <c r="GE5688" s="1" t="s">
        <v>7973</v>
      </c>
    </row>
    <row r="5689" spans="1:187" ht="11.25" customHeight="1">
      <c r="A5689" s="1" t="s">
        <v>7974</v>
      </c>
      <c r="B5689" s="1" t="str">
        <f ca="1">IFERROR(__xludf.DUMMYFUNCTION("GOOGLETRANSLATE(A5689, ""en"", ""fr"")"),"Impliquer # 2")</f>
        <v>Impliquer # 2</v>
      </c>
      <c r="C5689" s="1" t="s">
        <v>185</v>
      </c>
      <c r="DD5689" s="1" t="s">
        <v>104</v>
      </c>
      <c r="GD5689" s="1" t="s">
        <v>202</v>
      </c>
      <c r="GE5689" s="1" t="s">
        <v>7975</v>
      </c>
    </row>
    <row r="5690" spans="1:187" ht="11.25" customHeight="1">
      <c r="A5690" s="1" t="s">
        <v>7976</v>
      </c>
      <c r="B5690" s="1" t="str">
        <f ca="1">IFERROR(__xludf.DUMMYFUNCTION("GOOGLETRANSLATE(A5690, ""en"", ""fr"")"),"Impliquer # 3")</f>
        <v>Impliquer # 3</v>
      </c>
      <c r="C5690" s="1" t="s">
        <v>185</v>
      </c>
      <c r="DD5690" s="1" t="s">
        <v>104</v>
      </c>
      <c r="DN5690" s="1" t="s">
        <v>114</v>
      </c>
      <c r="GD5690" s="1" t="s">
        <v>189</v>
      </c>
      <c r="GE5690" s="1" t="s">
        <v>7977</v>
      </c>
    </row>
    <row r="5691" spans="1:187" ht="11.25" customHeight="1">
      <c r="A5691" s="1" t="s">
        <v>7978</v>
      </c>
      <c r="B5691" s="1" t="str">
        <f ca="1">IFERROR(__xludf.DUMMYFUNCTION("GOOGLETRANSLATE(A5691, ""en"", ""fr"")"),"Impliquer # 4")</f>
        <v>Impliquer # 4</v>
      </c>
      <c r="C5691" s="1" t="s">
        <v>185</v>
      </c>
      <c r="BQ5691" s="1" t="s">
        <v>65</v>
      </c>
      <c r="GD5691" s="1" t="s">
        <v>202</v>
      </c>
      <c r="GE5691" s="1" t="s">
        <v>7979</v>
      </c>
    </row>
    <row r="5692" spans="1:187" ht="11.25" customHeight="1">
      <c r="A5692" s="1" t="s">
        <v>7980</v>
      </c>
      <c r="B5692" s="1" t="str">
        <f ca="1">IFERROR(__xludf.DUMMYFUNCTION("GOOGLETRANSLATE(A5692, ""en"", ""fr"")"),"Impliquer # 5")</f>
        <v>Impliquer # 5</v>
      </c>
      <c r="C5692" s="1" t="s">
        <v>185</v>
      </c>
      <c r="E5692" s="1" t="s">
        <v>16613</v>
      </c>
      <c r="H5692" s="1" t="s">
        <v>4</v>
      </c>
      <c r="V5692" s="1" t="s">
        <v>18</v>
      </c>
      <c r="GD5692" s="1" t="s">
        <v>202</v>
      </c>
      <c r="GE5692" s="1" t="s">
        <v>7981</v>
      </c>
    </row>
    <row r="5693" spans="1:187" ht="11.25" customHeight="1">
      <c r="A5693" s="1" t="s">
        <v>7982</v>
      </c>
      <c r="B5693" s="1" t="str">
        <f ca="1">IFERROR(__xludf.DUMMYFUNCTION("GOOGLETRANSLATE(A5693, ""en"", ""fr"")"),"PARTICIPATION")</f>
        <v>PARTICIPATION</v>
      </c>
      <c r="C5693" s="1" t="s">
        <v>185</v>
      </c>
      <c r="G5693" s="1" t="s">
        <v>3</v>
      </c>
      <c r="S5693" s="1" t="s">
        <v>15</v>
      </c>
      <c r="GD5693" s="1" t="s">
        <v>193</v>
      </c>
      <c r="GE5693" s="1" t="s">
        <v>190</v>
      </c>
    </row>
    <row r="5694" spans="1:187" ht="11.25" customHeight="1">
      <c r="A5694" s="1" t="s">
        <v>7983</v>
      </c>
      <c r="B5694" s="1" t="str">
        <f ca="1">IFERROR(__xludf.DUMMYFUNCTION("GOOGLETRANSLATE(A5694, ""en"", ""fr"")"),"INVULNÉRABLE")</f>
        <v>INVULNÉRABLE</v>
      </c>
      <c r="C5694" s="1" t="s">
        <v>192</v>
      </c>
      <c r="D5694" s="1" t="s">
        <v>16612</v>
      </c>
      <c r="J5694" s="1" t="s">
        <v>6</v>
      </c>
      <c r="K5694" s="1" t="s">
        <v>7</v>
      </c>
      <c r="U5694" s="1" t="s">
        <v>17</v>
      </c>
      <c r="DL5694" s="1" t="s">
        <v>112</v>
      </c>
      <c r="DR5694" s="1" t="s">
        <v>118</v>
      </c>
      <c r="GD5694" s="1" t="s">
        <v>202</v>
      </c>
      <c r="GE5694" s="1" t="s">
        <v>190</v>
      </c>
    </row>
    <row r="5695" spans="1:187" ht="11.25" customHeight="1">
      <c r="A5695" s="1" t="s">
        <v>7984</v>
      </c>
      <c r="B5695" s="1" t="str">
        <f ca="1">IFERROR(__xludf.DUMMYFUNCTION("GOOGLETRANSLATE(A5695, ""en"", ""fr"")"),"VERS L'INTÉRIEUR")</f>
        <v>VERS L'INTÉRIEUR</v>
      </c>
      <c r="C5695" s="1" t="s">
        <v>196</v>
      </c>
      <c r="GB5695" s="1" t="s">
        <v>180</v>
      </c>
      <c r="GD5695" s="1" t="s">
        <v>202</v>
      </c>
    </row>
    <row r="5696" spans="1:187" ht="11.25" customHeight="1">
      <c r="A5696" s="1" t="s">
        <v>7985</v>
      </c>
      <c r="B5696" s="1" t="str">
        <f ca="1">IFERROR(__xludf.DUMMYFUNCTION("GOOGLETRANSLATE(A5696, ""en"", ""fr"")"),"IOWA")</f>
        <v>IOWA</v>
      </c>
      <c r="C5696" s="1" t="s">
        <v>196</v>
      </c>
      <c r="GD5696" s="1" t="s">
        <v>653</v>
      </c>
    </row>
    <row r="5697" spans="1:187" ht="11.25" customHeight="1">
      <c r="A5697" s="1" t="s">
        <v>7986</v>
      </c>
      <c r="B5697" s="1" t="str">
        <f ca="1">IFERROR(__xludf.DUMMYFUNCTION("GOOGLETRANSLATE(A5697, ""en"", ""fr"")"),"L'IRAN")</f>
        <v>L'IRAN</v>
      </c>
      <c r="C5697" s="1" t="s">
        <v>196</v>
      </c>
      <c r="FU5697" s="1" t="s">
        <v>173</v>
      </c>
      <c r="GD5697" s="1" t="s">
        <v>545</v>
      </c>
    </row>
    <row r="5698" spans="1:187" ht="11.25" customHeight="1">
      <c r="A5698" s="1" t="s">
        <v>7987</v>
      </c>
      <c r="B5698" s="1" t="str">
        <f ca="1">IFERROR(__xludf.DUMMYFUNCTION("GOOGLETRANSLATE(A5698, ""en"", ""fr"")"),"IRAK")</f>
        <v>IRAK</v>
      </c>
      <c r="C5698" s="1" t="s">
        <v>196</v>
      </c>
      <c r="FU5698" s="1" t="s">
        <v>173</v>
      </c>
      <c r="GD5698" s="1" t="s">
        <v>545</v>
      </c>
    </row>
    <row r="5699" spans="1:187" ht="11.25" customHeight="1">
      <c r="A5699" s="1" t="s">
        <v>7988</v>
      </c>
      <c r="B5699" s="1" t="str">
        <f ca="1">IFERROR(__xludf.DUMMYFUNCTION("GOOGLETRANSLATE(A5699, ""en"", ""fr"")"),"IRLANDE")</f>
        <v>IRLANDE</v>
      </c>
      <c r="C5699" s="1" t="s">
        <v>196</v>
      </c>
      <c r="FU5699" s="1" t="s">
        <v>173</v>
      </c>
      <c r="GD5699" s="1" t="s">
        <v>545</v>
      </c>
    </row>
    <row r="5700" spans="1:187" ht="11.25" customHeight="1">
      <c r="A5700" s="1" t="s">
        <v>7989</v>
      </c>
      <c r="B5700" s="1" t="str">
        <f ca="1">IFERROR(__xludf.DUMMYFUNCTION("GOOGLETRANSLATE(A5700, ""en"", ""fr"")"),"IRLANDAIS")</f>
        <v>IRLANDAIS</v>
      </c>
      <c r="C5700" s="1" t="s">
        <v>196</v>
      </c>
      <c r="FU5700" s="1" t="s">
        <v>173</v>
      </c>
      <c r="GD5700" s="1" t="s">
        <v>545</v>
      </c>
    </row>
    <row r="5701" spans="1:187" ht="11.25" customHeight="1">
      <c r="A5701" s="1" t="s">
        <v>7990</v>
      </c>
      <c r="B5701" s="1" t="str">
        <f ca="1">IFERROR(__xludf.DUMMYFUNCTION("GOOGLETRANSLATE(A5701, ""en"", ""fr"")"),"CONTRARIER")</f>
        <v>CONTRARIER</v>
      </c>
      <c r="C5701" s="1" t="s">
        <v>185</v>
      </c>
      <c r="E5701" s="1" t="s">
        <v>16613</v>
      </c>
      <c r="I5701" s="1" t="s">
        <v>5</v>
      </c>
      <c r="O5701" s="1" t="s">
        <v>11</v>
      </c>
      <c r="Q5701" s="1" t="s">
        <v>13</v>
      </c>
      <c r="DN5701" s="1" t="s">
        <v>114</v>
      </c>
      <c r="FA5701" s="1" t="s">
        <v>153</v>
      </c>
      <c r="FC5701" s="1" t="s">
        <v>155</v>
      </c>
      <c r="GD5701" s="1" t="s">
        <v>189</v>
      </c>
      <c r="GE5701" s="1" t="s">
        <v>190</v>
      </c>
    </row>
    <row r="5702" spans="1:187" ht="11.25" customHeight="1">
      <c r="A5702" s="1" t="s">
        <v>7991</v>
      </c>
      <c r="B5702" s="1" t="str">
        <f ca="1">IFERROR(__xludf.DUMMYFUNCTION("GOOGLETRANSLATE(A5702, ""en"", ""fr"")"),"Fer # 1")</f>
        <v>Fer # 1</v>
      </c>
      <c r="C5702" s="1" t="s">
        <v>185</v>
      </c>
      <c r="J5702" s="1" t="s">
        <v>6</v>
      </c>
      <c r="BC5702" s="1" t="s">
        <v>51</v>
      </c>
      <c r="BD5702" s="1" t="s">
        <v>52</v>
      </c>
      <c r="EV5702" s="1" t="s">
        <v>148</v>
      </c>
      <c r="EW5702" s="1" t="s">
        <v>149</v>
      </c>
      <c r="GD5702" s="1" t="s">
        <v>193</v>
      </c>
      <c r="GE5702" s="1" t="s">
        <v>7992</v>
      </c>
    </row>
    <row r="5703" spans="1:187" ht="11.25" customHeight="1">
      <c r="A5703" s="1" t="s">
        <v>7993</v>
      </c>
      <c r="B5703" s="1" t="str">
        <f ca="1">IFERROR(__xludf.DUMMYFUNCTION("GOOGLETRANSLATE(A5703, ""en"", ""fr"")"),"Fer # 2")</f>
        <v>Fer # 2</v>
      </c>
      <c r="C5703" s="1" t="s">
        <v>185</v>
      </c>
      <c r="N5703" s="1" t="s">
        <v>10</v>
      </c>
      <c r="AL5703" s="1" t="s">
        <v>34</v>
      </c>
      <c r="DO5703" s="1" t="s">
        <v>115</v>
      </c>
      <c r="GD5703" s="1" t="s">
        <v>189</v>
      </c>
      <c r="GE5703" s="1" t="s">
        <v>7994</v>
      </c>
    </row>
    <row r="5704" spans="1:187" ht="11.25" customHeight="1">
      <c r="A5704" s="1" t="s">
        <v>7995</v>
      </c>
      <c r="B5704" s="1" t="str">
        <f ca="1">IFERROR(__xludf.DUMMYFUNCTION("GOOGLETRANSLATE(A5704, ""en"", ""fr"")"),"Fer # 3")</f>
        <v>Fer # 3</v>
      </c>
      <c r="C5704" s="1" t="s">
        <v>185</v>
      </c>
      <c r="E5704" s="1" t="s">
        <v>16613</v>
      </c>
      <c r="H5704" s="1" t="s">
        <v>4</v>
      </c>
      <c r="I5704" s="1" t="s">
        <v>5</v>
      </c>
      <c r="Z5704" s="1" t="s">
        <v>22</v>
      </c>
      <c r="AG5704" s="1" t="s">
        <v>29</v>
      </c>
      <c r="AH5704" s="1" t="s">
        <v>30</v>
      </c>
      <c r="EC5704" s="1" t="s">
        <v>129</v>
      </c>
      <c r="ED5704" s="1" t="s">
        <v>130</v>
      </c>
      <c r="GD5704" s="1" t="s">
        <v>202</v>
      </c>
      <c r="GE5704" s="1" t="s">
        <v>7996</v>
      </c>
    </row>
    <row r="5705" spans="1:187" ht="11.25" customHeight="1">
      <c r="A5705" s="1" t="s">
        <v>7997</v>
      </c>
      <c r="B5705" s="1" t="str">
        <f ca="1">IFERROR(__xludf.DUMMYFUNCTION("GOOGLETRANSLATE(A5705, ""en"", ""fr"")"),"Fer # 4")</f>
        <v>Fer # 4</v>
      </c>
      <c r="C5705" s="1" t="s">
        <v>185</v>
      </c>
      <c r="N5705" s="1" t="s">
        <v>10</v>
      </c>
      <c r="AL5705" s="1" t="s">
        <v>34</v>
      </c>
      <c r="GD5705" s="1" t="s">
        <v>193</v>
      </c>
      <c r="GE5705" s="1" t="s">
        <v>7998</v>
      </c>
    </row>
    <row r="5706" spans="1:187" ht="11.25" customHeight="1">
      <c r="A5706" s="1" t="s">
        <v>7999</v>
      </c>
      <c r="B5706" s="1" t="str">
        <f ca="1">IFERROR(__xludf.DUMMYFUNCTION("GOOGLETRANSLATE(A5706, ""en"", ""fr"")"),"Fer # 5")</f>
        <v>Fer # 5</v>
      </c>
      <c r="C5706" s="1" t="s">
        <v>185</v>
      </c>
      <c r="E5706" s="1" t="s">
        <v>16613</v>
      </c>
      <c r="H5706" s="1" t="s">
        <v>4</v>
      </c>
      <c r="I5706" s="1" t="s">
        <v>5</v>
      </c>
      <c r="J5706" s="1" t="s">
        <v>6</v>
      </c>
      <c r="BC5706" s="1" t="s">
        <v>51</v>
      </c>
      <c r="BD5706" s="1" t="s">
        <v>52</v>
      </c>
      <c r="EC5706" s="1" t="s">
        <v>129</v>
      </c>
      <c r="ED5706" s="1" t="s">
        <v>130</v>
      </c>
      <c r="GD5706" s="1" t="s">
        <v>193</v>
      </c>
      <c r="GE5706" s="1" t="s">
        <v>8000</v>
      </c>
    </row>
    <row r="5707" spans="1:187" ht="11.25" customHeight="1">
      <c r="A5707" s="1" t="s">
        <v>8001</v>
      </c>
      <c r="B5707" s="1" t="str">
        <f ca="1">IFERROR(__xludf.DUMMYFUNCTION("GOOGLETRANSLATE(A5707, ""en"", ""fr"")"),"RIDEAU DE FER")</f>
        <v>RIDEAU DE FER</v>
      </c>
      <c r="C5707" s="1" t="s">
        <v>196</v>
      </c>
      <c r="EC5707" s="1" t="s">
        <v>129</v>
      </c>
      <c r="ED5707" s="1" t="s">
        <v>130</v>
      </c>
      <c r="GD5707" s="1" t="s">
        <v>193</v>
      </c>
    </row>
    <row r="5708" spans="1:187" ht="11.25" customHeight="1">
      <c r="A5708" s="1" t="s">
        <v>8002</v>
      </c>
      <c r="B5708" s="1" t="str">
        <f ca="1">IFERROR(__xludf.DUMMYFUNCTION("GOOGLETRANSLATE(A5708, ""en"", ""fr"")"),"IRONIQUE")</f>
        <v>IRONIQUE</v>
      </c>
      <c r="C5708" s="1" t="s">
        <v>185</v>
      </c>
      <c r="E5708" s="1" t="s">
        <v>16613</v>
      </c>
      <c r="H5708" s="1" t="s">
        <v>4</v>
      </c>
      <c r="V5708" s="1" t="s">
        <v>18</v>
      </c>
      <c r="X5708" s="1" t="s">
        <v>20</v>
      </c>
      <c r="GD5708" s="1" t="s">
        <v>202</v>
      </c>
      <c r="GE5708" s="1" t="s">
        <v>190</v>
      </c>
    </row>
    <row r="5709" spans="1:187" ht="11.25" customHeight="1">
      <c r="A5709" s="1" t="s">
        <v>8003</v>
      </c>
      <c r="B5709" s="1" t="str">
        <f ca="1">IFERROR(__xludf.DUMMYFUNCTION("GOOGLETRANSLATE(A5709, ""en"", ""fr"")"),"IRONIE")</f>
        <v>IRONIE</v>
      </c>
      <c r="C5709" s="1" t="s">
        <v>185</v>
      </c>
      <c r="E5709" s="1" t="s">
        <v>16613</v>
      </c>
      <c r="H5709" s="1" t="s">
        <v>4</v>
      </c>
      <c r="V5709" s="1" t="s">
        <v>18</v>
      </c>
      <c r="X5709" s="1" t="s">
        <v>20</v>
      </c>
      <c r="GD5709" s="1" t="s">
        <v>193</v>
      </c>
      <c r="GE5709" s="1" t="s">
        <v>190</v>
      </c>
    </row>
    <row r="5710" spans="1:187" ht="11.25" customHeight="1">
      <c r="A5710" s="1" t="s">
        <v>8004</v>
      </c>
      <c r="B5710" s="1" t="str">
        <f ca="1">IFERROR(__xludf.DUMMYFUNCTION("GOOGLETRANSLATE(A5710, ""en"", ""fr"")"),"IRRATIONNEL")</f>
        <v>IRRATIONNEL</v>
      </c>
      <c r="C5710" s="1" t="s">
        <v>185</v>
      </c>
      <c r="E5710" s="1" t="s">
        <v>16613</v>
      </c>
      <c r="H5710" s="1" t="s">
        <v>4</v>
      </c>
      <c r="O5710" s="1" t="s">
        <v>11</v>
      </c>
      <c r="V5710" s="1" t="s">
        <v>18</v>
      </c>
      <c r="CN5710" s="1" t="s">
        <v>88</v>
      </c>
      <c r="FH5710" s="1" t="s">
        <v>160</v>
      </c>
      <c r="FI5710" s="1" t="s">
        <v>161</v>
      </c>
      <c r="GD5710" s="1" t="s">
        <v>202</v>
      </c>
      <c r="GE5710" s="1" t="s">
        <v>190</v>
      </c>
    </row>
    <row r="5711" spans="1:187" ht="11.25" customHeight="1">
      <c r="A5711" s="1" t="s">
        <v>8005</v>
      </c>
      <c r="B5711" s="1" t="str">
        <f ca="1">IFERROR(__xludf.DUMMYFUNCTION("GOOGLETRANSLATE(A5711, ""en"", ""fr"")"),"IRRÉFUTABLE")</f>
        <v>IRRÉFUTABLE</v>
      </c>
      <c r="C5711" s="1" t="s">
        <v>185</v>
      </c>
      <c r="J5711" s="1" t="s">
        <v>6</v>
      </c>
      <c r="W5711" s="1" t="s">
        <v>19</v>
      </c>
      <c r="CH5711" s="1" t="s">
        <v>82</v>
      </c>
      <c r="DL5711" s="1" t="s">
        <v>112</v>
      </c>
      <c r="FY5711" s="1" t="s">
        <v>177</v>
      </c>
      <c r="GD5711" s="1" t="s">
        <v>202</v>
      </c>
      <c r="GE5711" s="1" t="s">
        <v>190</v>
      </c>
    </row>
    <row r="5712" spans="1:187" ht="11.25" customHeight="1">
      <c r="A5712" s="1" t="s">
        <v>8006</v>
      </c>
      <c r="B5712" s="1" t="str">
        <f ca="1">IFERROR(__xludf.DUMMYFUNCTION("GOOGLETRANSLATE(A5712, ""en"", ""fr"")"),"IRRÉGULIER")</f>
        <v>IRRÉGULIER</v>
      </c>
      <c r="C5712" s="1" t="s">
        <v>185</v>
      </c>
      <c r="E5712" s="1" t="s">
        <v>16613</v>
      </c>
      <c r="H5712" s="1" t="s">
        <v>4</v>
      </c>
      <c r="BW5712" s="1" t="s">
        <v>71</v>
      </c>
      <c r="DL5712" s="1" t="s">
        <v>112</v>
      </c>
      <c r="GD5712" s="1" t="s">
        <v>202</v>
      </c>
      <c r="GE5712" s="1" t="s">
        <v>190</v>
      </c>
    </row>
    <row r="5713" spans="1:187" ht="11.25" customHeight="1">
      <c r="A5713" s="1" t="s">
        <v>8007</v>
      </c>
      <c r="B5713" s="1" t="str">
        <f ca="1">IFERROR(__xludf.DUMMYFUNCTION("GOOGLETRANSLATE(A5713, ""en"", ""fr"")"),"IRRÉGULARITÉ")</f>
        <v>IRRÉGULARITÉ</v>
      </c>
      <c r="C5713" s="1" t="s">
        <v>185</v>
      </c>
      <c r="E5713" s="1" t="s">
        <v>16613</v>
      </c>
      <c r="H5713" s="1" t="s">
        <v>4</v>
      </c>
      <c r="CR5713" s="1" t="s">
        <v>92</v>
      </c>
      <c r="DL5713" s="1" t="s">
        <v>112</v>
      </c>
      <c r="GD5713" s="1" t="s">
        <v>193</v>
      </c>
      <c r="GE5713" s="1" t="s">
        <v>190</v>
      </c>
    </row>
    <row r="5714" spans="1:187" ht="11.25" customHeight="1">
      <c r="A5714" s="1" t="s">
        <v>8008</v>
      </c>
      <c r="B5714" s="1" t="str">
        <f ca="1">IFERROR(__xludf.DUMMYFUNCTION("GOOGLETRANSLATE(A5714, ""en"", ""fr"")"),"IRRÉSISTIBLE")</f>
        <v>IRRÉSISTIBLE</v>
      </c>
      <c r="C5714" s="1" t="s">
        <v>192</v>
      </c>
      <c r="D5714" s="1" t="s">
        <v>16612</v>
      </c>
      <c r="BN5714" s="1" t="s">
        <v>62</v>
      </c>
      <c r="CM5714" s="1" t="s">
        <v>87</v>
      </c>
      <c r="DL5714" s="1" t="s">
        <v>112</v>
      </c>
      <c r="DQ5714" s="1" t="s">
        <v>117</v>
      </c>
      <c r="GD5714" s="1" t="s">
        <v>202</v>
      </c>
      <c r="GE5714" s="1" t="s">
        <v>190</v>
      </c>
    </row>
    <row r="5715" spans="1:187" ht="11.25" customHeight="1">
      <c r="A5715" s="1" t="s">
        <v>8009</v>
      </c>
      <c r="B5715" s="1" t="str">
        <f ca="1">IFERROR(__xludf.DUMMYFUNCTION("GOOGLETRANSLATE(A5715, ""en"", ""fr"")"),"IRRESPONSABLE")</f>
        <v>IRRESPONSABLE</v>
      </c>
      <c r="C5715" s="1" t="s">
        <v>185</v>
      </c>
      <c r="E5715" s="1" t="s">
        <v>16613</v>
      </c>
      <c r="H5715" s="1" t="s">
        <v>4</v>
      </c>
      <c r="L5715" s="1" t="s">
        <v>8</v>
      </c>
      <c r="V5715" s="1" t="s">
        <v>18</v>
      </c>
      <c r="CN5715" s="1" t="s">
        <v>88</v>
      </c>
      <c r="DL5715" s="1" t="s">
        <v>112</v>
      </c>
      <c r="EE5715" s="1" t="s">
        <v>131</v>
      </c>
      <c r="EJ5715" s="1" t="s">
        <v>136</v>
      </c>
      <c r="GD5715" s="1" t="s">
        <v>202</v>
      </c>
      <c r="GE5715" s="1" t="s">
        <v>190</v>
      </c>
    </row>
    <row r="5716" spans="1:187" ht="11.25" customHeight="1">
      <c r="A5716" s="1" t="s">
        <v>8010</v>
      </c>
      <c r="B5716" s="1" t="str">
        <f ca="1">IFERROR(__xludf.DUMMYFUNCTION("GOOGLETRANSLATE(A5716, ""en"", ""fr"")"),"IRRIGUER")</f>
        <v>IRRIGUER</v>
      </c>
      <c r="C5716" s="1" t="s">
        <v>196</v>
      </c>
      <c r="EV5716" s="1" t="s">
        <v>148</v>
      </c>
      <c r="EW5716" s="1" t="s">
        <v>149</v>
      </c>
      <c r="GD5716" s="1" t="s">
        <v>189</v>
      </c>
    </row>
    <row r="5717" spans="1:187" ht="11.25" customHeight="1">
      <c r="A5717" s="1" t="s">
        <v>8011</v>
      </c>
      <c r="B5717" s="1" t="str">
        <f ca="1">IFERROR(__xludf.DUMMYFUNCTION("GOOGLETRANSLATE(A5717, ""en"", ""fr"")"),"IRRITABLE")</f>
        <v>IRRITABLE</v>
      </c>
      <c r="C5717" s="1" t="s">
        <v>185</v>
      </c>
      <c r="E5717" s="1" t="s">
        <v>16613</v>
      </c>
      <c r="H5717" s="1" t="s">
        <v>4</v>
      </c>
      <c r="I5717" s="1" t="s">
        <v>5</v>
      </c>
      <c r="O5717" s="1" t="s">
        <v>11</v>
      </c>
      <c r="Q5717" s="1" t="s">
        <v>13</v>
      </c>
      <c r="T5717" s="1" t="s">
        <v>16</v>
      </c>
      <c r="FW5717" s="1" t="s">
        <v>175</v>
      </c>
      <c r="GD5717" s="1" t="s">
        <v>202</v>
      </c>
      <c r="GE5717" s="1" t="s">
        <v>190</v>
      </c>
    </row>
    <row r="5718" spans="1:187" ht="11.25" customHeight="1">
      <c r="A5718" s="1" t="s">
        <v>8012</v>
      </c>
      <c r="B5718" s="1" t="str">
        <f ca="1">IFERROR(__xludf.DUMMYFUNCTION("GOOGLETRANSLATE(A5718, ""en"", ""fr"")"),"IRRITATION")</f>
        <v>IRRITATION</v>
      </c>
      <c r="C5718" s="1" t="s">
        <v>185</v>
      </c>
      <c r="E5718" s="1" t="s">
        <v>16613</v>
      </c>
      <c r="H5718" s="1" t="s">
        <v>4</v>
      </c>
      <c r="I5718" s="1" t="s">
        <v>5</v>
      </c>
      <c r="O5718" s="1" t="s">
        <v>11</v>
      </c>
      <c r="Q5718" s="1" t="s">
        <v>13</v>
      </c>
      <c r="FW5718" s="1" t="s">
        <v>175</v>
      </c>
      <c r="GD5718" s="1" t="s">
        <v>193</v>
      </c>
      <c r="GE5718" s="1" t="s">
        <v>190</v>
      </c>
    </row>
    <row r="5719" spans="1:187" ht="11.25" customHeight="1">
      <c r="A5719" s="1" t="s">
        <v>8013</v>
      </c>
      <c r="B5719" s="1" t="str">
        <f ca="1">IFERROR(__xludf.DUMMYFUNCTION("GOOGLETRANSLATE(A5719, ""en"", ""fr"")"),"Est n ° 1")</f>
        <v>Est n ° 1</v>
      </c>
      <c r="C5719" s="1" t="s">
        <v>192</v>
      </c>
      <c r="GE5719" s="1" t="s">
        <v>190</v>
      </c>
    </row>
    <row r="5720" spans="1:187" ht="11.25" customHeight="1">
      <c r="A5720" s="1" t="s">
        <v>8014</v>
      </c>
      <c r="B5720" s="1" t="str">
        <f ca="1">IFERROR(__xludf.DUMMYFUNCTION("GOOGLETRANSLATE(A5720, ""en"", ""fr"")"),"ÎLE")</f>
        <v>ÎLE</v>
      </c>
      <c r="C5720" s="1" t="s">
        <v>185</v>
      </c>
      <c r="AV5720" s="1" t="s">
        <v>44</v>
      </c>
      <c r="BA5720" s="1" t="s">
        <v>49</v>
      </c>
      <c r="FS5720" s="1" t="s">
        <v>171</v>
      </c>
      <c r="GD5720" s="1" t="s">
        <v>193</v>
      </c>
      <c r="GE5720" s="1" t="s">
        <v>8015</v>
      </c>
    </row>
    <row r="5721" spans="1:187" ht="11.25" customHeight="1">
      <c r="A5721" s="1" t="s">
        <v>8016</v>
      </c>
      <c r="B5721" s="1" t="str">
        <f ca="1">IFERROR(__xludf.DUMMYFUNCTION("GOOGLETRANSLATE(A5721, ""en"", ""fr"")"),"Isoler # 1")</f>
        <v>Isoler # 1</v>
      </c>
      <c r="C5721" s="1" t="s">
        <v>185</v>
      </c>
      <c r="E5721" s="1" t="s">
        <v>16613</v>
      </c>
      <c r="H5721" s="1" t="s">
        <v>4</v>
      </c>
      <c r="DA5721" s="1" t="s">
        <v>101</v>
      </c>
      <c r="EC5721" s="1" t="s">
        <v>129</v>
      </c>
      <c r="ED5721" s="1" t="s">
        <v>130</v>
      </c>
      <c r="GD5721" s="1" t="s">
        <v>202</v>
      </c>
      <c r="GE5721" s="1" t="s">
        <v>190</v>
      </c>
    </row>
    <row r="5722" spans="1:187" ht="11.25" customHeight="1">
      <c r="A5722" s="1" t="s">
        <v>8017</v>
      </c>
      <c r="B5722" s="1" t="str">
        <f ca="1">IFERROR(__xludf.DUMMYFUNCTION("GOOGLETRANSLATE(A5722, ""en"", ""fr"")"),"Isoler # 2")</f>
        <v>Isoler # 2</v>
      </c>
      <c r="C5722" s="1" t="s">
        <v>185</v>
      </c>
      <c r="E5722" s="1" t="s">
        <v>16613</v>
      </c>
      <c r="H5722" s="1" t="s">
        <v>4</v>
      </c>
      <c r="J5722" s="1" t="s">
        <v>6</v>
      </c>
      <c r="N5722" s="1" t="s">
        <v>10</v>
      </c>
      <c r="DD5722" s="1" t="s">
        <v>104</v>
      </c>
      <c r="DN5722" s="1" t="s">
        <v>114</v>
      </c>
      <c r="EC5722" s="1" t="s">
        <v>129</v>
      </c>
      <c r="ED5722" s="1" t="s">
        <v>130</v>
      </c>
      <c r="GD5722" s="1" t="s">
        <v>189</v>
      </c>
      <c r="GE5722" s="1" t="s">
        <v>190</v>
      </c>
    </row>
    <row r="5723" spans="1:187" ht="11.25" customHeight="1">
      <c r="A5723" s="1" t="s">
        <v>8018</v>
      </c>
      <c r="B5723" s="1" t="str">
        <f ca="1">IFERROR(__xludf.DUMMYFUNCTION("GOOGLETRANSLATE(A5723, ""en"", ""fr"")"),"ISOLATIONNISME")</f>
        <v>ISOLATIONNISME</v>
      </c>
      <c r="C5723" s="1" t="s">
        <v>196</v>
      </c>
      <c r="EA5723" s="1" t="s">
        <v>127</v>
      </c>
      <c r="ED5723" s="1" t="s">
        <v>130</v>
      </c>
      <c r="GD5723" s="1" t="s">
        <v>193</v>
      </c>
    </row>
    <row r="5724" spans="1:187" ht="11.25" customHeight="1">
      <c r="A5724" s="1" t="s">
        <v>8019</v>
      </c>
      <c r="B5724" s="1" t="str">
        <f ca="1">IFERROR(__xludf.DUMMYFUNCTION("GOOGLETRANSLATE(A5724, ""en"", ""fr"")"),"ISRAËL")</f>
        <v>ISRAËL</v>
      </c>
      <c r="C5724" s="1" t="s">
        <v>185</v>
      </c>
      <c r="AC5724" s="1" t="s">
        <v>25</v>
      </c>
      <c r="AH5724" s="1" t="s">
        <v>30</v>
      </c>
      <c r="DI5724" s="1" t="s">
        <v>109</v>
      </c>
      <c r="FU5724" s="1" t="s">
        <v>173</v>
      </c>
      <c r="GD5724" s="1" t="s">
        <v>193</v>
      </c>
      <c r="GE5724" s="1" t="s">
        <v>190</v>
      </c>
    </row>
    <row r="5725" spans="1:187" ht="11.25" customHeight="1">
      <c r="A5725" s="1" t="s">
        <v>8020</v>
      </c>
      <c r="B5725" s="1" t="str">
        <f ca="1">IFERROR(__xludf.DUMMYFUNCTION("GOOGLETRANSLATE(A5725, ""en"", ""fr"")"),"ÉMISSION")</f>
        <v>ÉMISSION</v>
      </c>
      <c r="C5725" s="1" t="s">
        <v>185</v>
      </c>
      <c r="BK5725" s="1" t="s">
        <v>59</v>
      </c>
      <c r="BL5725" s="1" t="s">
        <v>60</v>
      </c>
      <c r="GC5725" s="1" t="s">
        <v>181</v>
      </c>
      <c r="GD5725" s="1" t="s">
        <v>193</v>
      </c>
      <c r="GE5725" s="1" t="s">
        <v>190</v>
      </c>
    </row>
    <row r="5726" spans="1:187" ht="11.25" customHeight="1">
      <c r="A5726" s="1" t="s">
        <v>8021</v>
      </c>
      <c r="B5726" s="1" t="str">
        <f ca="1">IFERROR(__xludf.DUMMYFUNCTION("GOOGLETRANSLATE(A5726, ""en"", ""fr"")"),"Numéro n ° 1")</f>
        <v>Numéro n ° 1</v>
      </c>
      <c r="C5726" s="1" t="s">
        <v>185</v>
      </c>
      <c r="N5726" s="1" t="s">
        <v>10</v>
      </c>
      <c r="AE5726" s="1" t="s">
        <v>27</v>
      </c>
      <c r="AH5726" s="1" t="s">
        <v>30</v>
      </c>
      <c r="BL5726" s="1" t="s">
        <v>60</v>
      </c>
      <c r="CH5726" s="1" t="s">
        <v>82</v>
      </c>
      <c r="DW5726" s="1" t="s">
        <v>123</v>
      </c>
      <c r="ED5726" s="1" t="s">
        <v>130</v>
      </c>
      <c r="GD5726" s="1" t="s">
        <v>849</v>
      </c>
      <c r="GE5726" s="1" t="s">
        <v>8022</v>
      </c>
    </row>
    <row r="5727" spans="1:187" ht="11.25" customHeight="1">
      <c r="A5727" s="1" t="s">
        <v>8023</v>
      </c>
      <c r="B5727" s="1" t="str">
        <f ca="1">IFERROR(__xludf.DUMMYFUNCTION("GOOGLETRANSLATE(A5727, ""en"", ""fr"")"),"Numéro n ° 2")</f>
        <v>Numéro n ° 2</v>
      </c>
      <c r="C5727" s="1" t="s">
        <v>185</v>
      </c>
      <c r="BC5727" s="1" t="s">
        <v>51</v>
      </c>
      <c r="BH5727" s="1" t="s">
        <v>56</v>
      </c>
      <c r="BL5727" s="1" t="s">
        <v>60</v>
      </c>
      <c r="GD5727" s="1" t="s">
        <v>193</v>
      </c>
      <c r="GE5727" s="1" t="s">
        <v>8024</v>
      </c>
    </row>
    <row r="5728" spans="1:187" ht="11.25" customHeight="1">
      <c r="A5728" s="1" t="s">
        <v>8025</v>
      </c>
      <c r="B5728" s="1" t="str">
        <f ca="1">IFERROR(__xludf.DUMMYFUNCTION("GOOGLETRANSLATE(A5728, ""en"", ""fr"")"),"Numéro 3")</f>
        <v>Numéro 3</v>
      </c>
      <c r="C5728" s="1" t="s">
        <v>185</v>
      </c>
      <c r="J5728" s="1" t="s">
        <v>6</v>
      </c>
      <c r="N5728" s="1" t="s">
        <v>10</v>
      </c>
      <c r="CC5728" s="1" t="s">
        <v>77</v>
      </c>
      <c r="DN5728" s="1" t="s">
        <v>114</v>
      </c>
      <c r="FP5728" s="1" t="s">
        <v>168</v>
      </c>
      <c r="GD5728" s="1" t="s">
        <v>189</v>
      </c>
      <c r="GE5728" s="1" t="s">
        <v>8026</v>
      </c>
    </row>
    <row r="5729" spans="1:187" ht="11.25" customHeight="1">
      <c r="A5729" s="1" t="s">
        <v>8027</v>
      </c>
      <c r="B5729" s="1" t="str">
        <f ca="1">IFERROR(__xludf.DUMMYFUNCTION("GOOGLETRANSLATE(A5729, ""en"", ""fr"")"),"IL")</f>
        <v>IL</v>
      </c>
      <c r="C5729" s="1" t="s">
        <v>185</v>
      </c>
      <c r="GD5729" s="1" t="s">
        <v>8028</v>
      </c>
      <c r="GE5729" s="1" t="s">
        <v>8029</v>
      </c>
    </row>
    <row r="5730" spans="1:187" ht="11.25" customHeight="1">
      <c r="A5730" s="1" t="s">
        <v>8030</v>
      </c>
      <c r="B5730" s="1" t="str">
        <f ca="1">IFERROR(__xludf.DUMMYFUNCTION("GOOGLETRANSLATE(A5730, ""en"", ""fr"")"),"C'est # 1")</f>
        <v>C'est # 1</v>
      </c>
      <c r="C5730" s="1" t="s">
        <v>185</v>
      </c>
      <c r="GD5730" s="1" t="s">
        <v>8031</v>
      </c>
      <c r="GE5730" s="1" t="s">
        <v>8032</v>
      </c>
    </row>
    <row r="5731" spans="1:187" ht="11.25" customHeight="1">
      <c r="A5731" s="1" t="s">
        <v>8033</v>
      </c>
      <c r="B5731" s="1" t="str">
        <f ca="1">IFERROR(__xludf.DUMMYFUNCTION("GOOGLETRANSLATE(A5731, ""en"", ""fr"")"),"C'est # 2")</f>
        <v>C'est # 2</v>
      </c>
      <c r="C5731" s="1" t="s">
        <v>185</v>
      </c>
      <c r="GD5731" s="1" t="s">
        <v>8034</v>
      </c>
      <c r="GE5731" s="1" t="s">
        <v>8035</v>
      </c>
    </row>
    <row r="5732" spans="1:187" ht="11.25" customHeight="1">
      <c r="A5732" s="1" t="s">
        <v>8036</v>
      </c>
      <c r="B5732" s="1" t="str">
        <f ca="1">IFERROR(__xludf.DUMMYFUNCTION("GOOGLETRANSLATE(A5732, ""en"", ""fr"")"),"C'est # 3")</f>
        <v>C'est # 3</v>
      </c>
      <c r="C5732" s="1" t="s">
        <v>185</v>
      </c>
      <c r="GD5732" s="1" t="s">
        <v>8037</v>
      </c>
      <c r="GE5732" s="1" t="s">
        <v>8038</v>
      </c>
    </row>
    <row r="5733" spans="1:187" ht="11.25" customHeight="1">
      <c r="A5733" s="1" t="s">
        <v>8039</v>
      </c>
      <c r="B5733" s="1" t="str">
        <f ca="1">IFERROR(__xludf.DUMMYFUNCTION("GOOGLETRANSLATE(A5733, ""en"", ""fr"")"),"ITALIEN")</f>
        <v>ITALIEN</v>
      </c>
      <c r="C5733" s="1" t="s">
        <v>185</v>
      </c>
      <c r="AC5733" s="1" t="s">
        <v>25</v>
      </c>
      <c r="AH5733" s="1" t="s">
        <v>30</v>
      </c>
      <c r="DI5733" s="1" t="s">
        <v>109</v>
      </c>
      <c r="FU5733" s="1" t="s">
        <v>173</v>
      </c>
      <c r="GD5733" s="1" t="s">
        <v>193</v>
      </c>
      <c r="GE5733" s="1" t="s">
        <v>190</v>
      </c>
    </row>
    <row r="5734" spans="1:187" ht="11.25" customHeight="1">
      <c r="A5734" s="1" t="s">
        <v>8040</v>
      </c>
      <c r="B5734" s="1" t="str">
        <f ca="1">IFERROR(__xludf.DUMMYFUNCTION("GOOGLETRANSLATE(A5734, ""en"", ""fr"")"),"ITALIE")</f>
        <v>ITALIE</v>
      </c>
      <c r="C5734" s="1" t="s">
        <v>185</v>
      </c>
      <c r="AC5734" s="1" t="s">
        <v>25</v>
      </c>
      <c r="AH5734" s="1" t="s">
        <v>30</v>
      </c>
      <c r="DI5734" s="1" t="s">
        <v>109</v>
      </c>
      <c r="FU5734" s="1" t="s">
        <v>173</v>
      </c>
      <c r="GD5734" s="1" t="s">
        <v>193</v>
      </c>
      <c r="GE5734" s="1" t="s">
        <v>190</v>
      </c>
    </row>
    <row r="5735" spans="1:187" ht="11.25" customHeight="1">
      <c r="A5735" s="1" t="s">
        <v>8041</v>
      </c>
      <c r="B5735" s="1" t="str">
        <f ca="1">IFERROR(__xludf.DUMMYFUNCTION("GOOGLETRANSLATE(A5735, ""en"", ""fr"")"),"ARTICLE")</f>
        <v>ARTICLE</v>
      </c>
      <c r="C5735" s="1" t="s">
        <v>185</v>
      </c>
      <c r="CH5735" s="1" t="s">
        <v>82</v>
      </c>
      <c r="GD5735" s="1" t="s">
        <v>193</v>
      </c>
      <c r="GE5735" s="1" t="s">
        <v>190</v>
      </c>
    </row>
    <row r="5736" spans="1:187" ht="11.25" customHeight="1">
      <c r="A5736" s="1" t="s">
        <v>8042</v>
      </c>
      <c r="B5736" s="1" t="str">
        <f ca="1">IFERROR(__xludf.DUMMYFUNCTION("GOOGLETRANSLATE(A5736, ""en"", ""fr"")"),"C'EST")</f>
        <v>C'EST</v>
      </c>
      <c r="C5736" s="1" t="s">
        <v>185</v>
      </c>
      <c r="GD5736" s="1" t="s">
        <v>8043</v>
      </c>
      <c r="GE5736" s="1" t="s">
        <v>8044</v>
      </c>
    </row>
    <row r="5737" spans="1:187" ht="11.25" customHeight="1">
      <c r="A5737" s="1" t="s">
        <v>8045</v>
      </c>
      <c r="B5737" s="1" t="str">
        <f ca="1">IFERROR(__xludf.DUMMYFUNCTION("GOOGLETRANSLATE(A5737, ""en"", ""fr"")"),"Lui-même # 1")</f>
        <v>Lui-même # 1</v>
      </c>
      <c r="C5737" s="1" t="s">
        <v>185</v>
      </c>
      <c r="GD5737" s="1" t="s">
        <v>8046</v>
      </c>
      <c r="GE5737" s="1" t="s">
        <v>190</v>
      </c>
    </row>
    <row r="5738" spans="1:187" ht="11.25" customHeight="1">
      <c r="A5738" s="1" t="s">
        <v>8047</v>
      </c>
      <c r="B5738" s="1" t="str">
        <f ca="1">IFERROR(__xludf.DUMMYFUNCTION("GOOGLETRANSLATE(A5738, ""en"", ""fr"")"),"CÔTE D'IVOIRE")</f>
        <v>CÔTE D'IVOIRE</v>
      </c>
      <c r="C5738" s="1" t="s">
        <v>196</v>
      </c>
      <c r="FU5738" s="1" t="s">
        <v>173</v>
      </c>
      <c r="GD5738" s="1" t="s">
        <v>545</v>
      </c>
    </row>
    <row r="5739" spans="1:187" ht="11.25" customHeight="1">
      <c r="A5739" s="1" t="s">
        <v>8048</v>
      </c>
      <c r="B5739" s="1" t="str">
        <f ca="1">IFERROR(__xludf.DUMMYFUNCTION("GOOGLETRANSLATE(A5739, ""en"", ""fr"")"),"VESTE")</f>
        <v>VESTE</v>
      </c>
      <c r="C5739" s="1" t="s">
        <v>185</v>
      </c>
      <c r="BC5739" s="1" t="s">
        <v>51</v>
      </c>
      <c r="BD5739" s="1" t="s">
        <v>52</v>
      </c>
      <c r="GD5739" s="1" t="s">
        <v>193</v>
      </c>
      <c r="GE5739" s="1" t="s">
        <v>190</v>
      </c>
    </row>
    <row r="5740" spans="1:187" ht="11.25" customHeight="1">
      <c r="A5740" s="1" t="s">
        <v>8049</v>
      </c>
      <c r="B5740" s="1" t="str">
        <f ca="1">IFERROR(__xludf.DUMMYFUNCTION("GOOGLETRANSLATE(A5740, ""en"", ""fr"")"),"DÉCHIQUETÉ")</f>
        <v>DÉCHIQUETÉ</v>
      </c>
      <c r="C5740" s="1" t="s">
        <v>185</v>
      </c>
      <c r="I5740" s="1" t="s">
        <v>5</v>
      </c>
      <c r="CR5740" s="1" t="s">
        <v>92</v>
      </c>
      <c r="GD5740" s="1" t="s">
        <v>202</v>
      </c>
      <c r="GE5740" s="1" t="s">
        <v>190</v>
      </c>
    </row>
    <row r="5741" spans="1:187" ht="11.25" customHeight="1">
      <c r="A5741" s="1" t="s">
        <v>8050</v>
      </c>
      <c r="B5741" s="1" t="str">
        <f ca="1">IFERROR(__xludf.DUMMYFUNCTION("GOOGLETRANSLATE(A5741, ""en"", ""fr"")"),"Prison n ° 1")</f>
        <v>Prison n ° 1</v>
      </c>
      <c r="C5741" s="1" t="s">
        <v>185</v>
      </c>
      <c r="E5741" s="1" t="s">
        <v>16613</v>
      </c>
      <c r="H5741" s="1" t="s">
        <v>4</v>
      </c>
      <c r="AE5741" s="1" t="s">
        <v>27</v>
      </c>
      <c r="AH5741" s="1" t="s">
        <v>30</v>
      </c>
      <c r="AV5741" s="1" t="s">
        <v>44</v>
      </c>
      <c r="AW5741" s="1" t="s">
        <v>45</v>
      </c>
      <c r="GD5741" s="1" t="s">
        <v>849</v>
      </c>
      <c r="GE5741" s="1" t="s">
        <v>8051</v>
      </c>
    </row>
    <row r="5742" spans="1:187" ht="11.25" customHeight="1">
      <c r="A5742" s="1" t="s">
        <v>8052</v>
      </c>
      <c r="B5742" s="1" t="str">
        <f ca="1">IFERROR(__xludf.DUMMYFUNCTION("GOOGLETRANSLATE(A5742, ""en"", ""fr"")"),"Prison n ° 2")</f>
        <v>Prison n ° 2</v>
      </c>
      <c r="C5742" s="1" t="s">
        <v>185</v>
      </c>
      <c r="E5742" s="1" t="s">
        <v>16613</v>
      </c>
      <c r="H5742" s="1" t="s">
        <v>4</v>
      </c>
      <c r="I5742" s="1" t="s">
        <v>5</v>
      </c>
      <c r="J5742" s="1" t="s">
        <v>6</v>
      </c>
      <c r="K5742" s="1" t="s">
        <v>7</v>
      </c>
      <c r="N5742" s="1" t="s">
        <v>10</v>
      </c>
      <c r="AE5742" s="1" t="s">
        <v>27</v>
      </c>
      <c r="AN5742" s="1" t="s">
        <v>36</v>
      </c>
      <c r="DO5742" s="1" t="s">
        <v>115</v>
      </c>
      <c r="GD5742" s="1" t="s">
        <v>189</v>
      </c>
      <c r="GE5742" s="1" t="s">
        <v>8053</v>
      </c>
    </row>
    <row r="5743" spans="1:187" ht="11.25" customHeight="1">
      <c r="A5743" s="1" t="s">
        <v>8054</v>
      </c>
      <c r="B5743" s="1" t="str">
        <f ca="1">IFERROR(__xludf.DUMMYFUNCTION("GOOGLETRANSLATE(A5743, ""en"", ""fr"")"),"JAMAÏQUE")</f>
        <v>JAMAÏQUE</v>
      </c>
      <c r="C5743" s="1" t="s">
        <v>196</v>
      </c>
      <c r="FU5743" s="1" t="s">
        <v>173</v>
      </c>
      <c r="GD5743" s="1" t="s">
        <v>545</v>
      </c>
    </row>
    <row r="5744" spans="1:187" ht="11.25" customHeight="1">
      <c r="A5744" s="1" t="s">
        <v>8055</v>
      </c>
      <c r="B5744" s="1" t="str">
        <f ca="1">IFERROR(__xludf.DUMMYFUNCTION("GOOGLETRANSLATE(A5744, ""en"", ""fr"")"),"CONCIERGE")</f>
        <v>CONCIERGE</v>
      </c>
      <c r="C5744" s="1" t="s">
        <v>185</v>
      </c>
      <c r="AA5744" s="1" t="s">
        <v>23</v>
      </c>
      <c r="AJ5744" s="1" t="s">
        <v>32</v>
      </c>
      <c r="AT5744" s="1" t="s">
        <v>42</v>
      </c>
      <c r="EM5744" s="1" t="s">
        <v>139</v>
      </c>
      <c r="EN5744" s="1" t="s">
        <v>140</v>
      </c>
      <c r="GD5744" s="1" t="s">
        <v>193</v>
      </c>
      <c r="GE5744" s="1" t="s">
        <v>190</v>
      </c>
    </row>
    <row r="5745" spans="1:187" ht="11.25" customHeight="1">
      <c r="A5745" s="1" t="s">
        <v>8056</v>
      </c>
      <c r="B5745" s="1" t="str">
        <f ca="1">IFERROR(__xludf.DUMMYFUNCTION("GOOGLETRANSLATE(A5745, ""en"", ""fr"")"),"JANVIER")</f>
        <v>JANVIER</v>
      </c>
      <c r="C5745" s="1" t="s">
        <v>185</v>
      </c>
      <c r="CQ5745" s="1" t="s">
        <v>91</v>
      </c>
      <c r="CY5745" s="1" t="s">
        <v>99</v>
      </c>
      <c r="CZ5745" s="1" t="s">
        <v>100</v>
      </c>
      <c r="GB5745" s="1" t="s">
        <v>180</v>
      </c>
      <c r="GD5745" s="1" t="s">
        <v>193</v>
      </c>
      <c r="GE5745" s="1" t="s">
        <v>190</v>
      </c>
    </row>
    <row r="5746" spans="1:187" ht="11.25" customHeight="1">
      <c r="A5746" s="1" t="s">
        <v>8057</v>
      </c>
      <c r="B5746" s="1" t="str">
        <f ca="1">IFERROR(__xludf.DUMMYFUNCTION("GOOGLETRANSLATE(A5746, ""en"", ""fr"")"),"JAPON")</f>
        <v>JAPON</v>
      </c>
      <c r="C5746" s="1" t="s">
        <v>185</v>
      </c>
      <c r="AC5746" s="1" t="s">
        <v>25</v>
      </c>
      <c r="AH5746" s="1" t="s">
        <v>30</v>
      </c>
      <c r="DI5746" s="1" t="s">
        <v>109</v>
      </c>
      <c r="FU5746" s="1" t="s">
        <v>173</v>
      </c>
      <c r="GD5746" s="1" t="s">
        <v>193</v>
      </c>
      <c r="GE5746" s="1" t="s">
        <v>190</v>
      </c>
    </row>
    <row r="5747" spans="1:187" ht="11.25" customHeight="1">
      <c r="A5747" s="1" t="s">
        <v>8058</v>
      </c>
      <c r="B5747" s="1" t="str">
        <f ca="1">IFERROR(__xludf.DUMMYFUNCTION("GOOGLETRANSLATE(A5747, ""en"", ""fr"")"),"JAPONAIS")</f>
        <v>JAPONAIS</v>
      </c>
      <c r="C5747" s="1" t="s">
        <v>185</v>
      </c>
      <c r="AC5747" s="1" t="s">
        <v>25</v>
      </c>
      <c r="AH5747" s="1" t="s">
        <v>30</v>
      </c>
      <c r="DI5747" s="1" t="s">
        <v>109</v>
      </c>
      <c r="FU5747" s="1" t="s">
        <v>173</v>
      </c>
      <c r="GD5747" s="1" t="s">
        <v>193</v>
      </c>
      <c r="GE5747" s="1" t="s">
        <v>190</v>
      </c>
    </row>
    <row r="5748" spans="1:187" ht="11.25" customHeight="1">
      <c r="A5748" s="1" t="s">
        <v>8059</v>
      </c>
      <c r="B5748" s="1" t="str">
        <f ca="1">IFERROR(__xludf.DUMMYFUNCTION("GOOGLETRANSLATE(A5748, ""en"", ""fr"")"),"Pot # 1")</f>
        <v>Pot # 1</v>
      </c>
      <c r="C5748" s="1" t="s">
        <v>185</v>
      </c>
      <c r="BC5748" s="1" t="s">
        <v>51</v>
      </c>
      <c r="BD5748" s="1" t="s">
        <v>52</v>
      </c>
      <c r="GD5748" s="1" t="s">
        <v>193</v>
      </c>
      <c r="GE5748" s="1" t="s">
        <v>190</v>
      </c>
    </row>
    <row r="5749" spans="1:187" ht="11.25" customHeight="1">
      <c r="A5749" s="1" t="s">
        <v>8060</v>
      </c>
      <c r="B5749" s="1" t="str">
        <f ca="1">IFERROR(__xludf.DUMMYFUNCTION("GOOGLETRANSLATE(A5749, ""en"", ""fr"")"),"Pot n ° 2")</f>
        <v>Pot n ° 2</v>
      </c>
      <c r="C5749" s="1" t="s">
        <v>185</v>
      </c>
      <c r="E5749" s="1" t="s">
        <v>16613</v>
      </c>
      <c r="H5749" s="1" t="s">
        <v>4</v>
      </c>
      <c r="J5749" s="1" t="s">
        <v>6</v>
      </c>
      <c r="N5749" s="1" t="s">
        <v>10</v>
      </c>
      <c r="CC5749" s="1" t="s">
        <v>77</v>
      </c>
      <c r="DN5749" s="1" t="s">
        <v>114</v>
      </c>
      <c r="FP5749" s="1" t="s">
        <v>168</v>
      </c>
      <c r="GD5749" s="1" t="s">
        <v>189</v>
      </c>
      <c r="GE5749" s="1" t="s">
        <v>190</v>
      </c>
    </row>
    <row r="5750" spans="1:187" ht="11.25" customHeight="1">
      <c r="A5750" s="1" t="s">
        <v>8061</v>
      </c>
      <c r="B5750" s="1" t="str">
        <f ca="1">IFERROR(__xludf.DUMMYFUNCTION("GOOGLETRANSLATE(A5750, ""en"", ""fr"")"),"MÂCHOIRE")</f>
        <v>MÂCHOIRE</v>
      </c>
      <c r="C5750" s="1" t="s">
        <v>185</v>
      </c>
      <c r="BJ5750" s="1" t="s">
        <v>58</v>
      </c>
      <c r="GD5750" s="1" t="s">
        <v>193</v>
      </c>
      <c r="GE5750" s="1" t="s">
        <v>190</v>
      </c>
    </row>
    <row r="5751" spans="1:187" ht="11.25" customHeight="1">
      <c r="A5751" s="1" t="s">
        <v>8062</v>
      </c>
      <c r="B5751" s="1" t="str">
        <f ca="1">IFERROR(__xludf.DUMMYFUNCTION("GOOGLETRANSLATE(A5751, ""en"", ""fr"")"),"LE JAZZ")</f>
        <v>LE JAZZ</v>
      </c>
      <c r="C5751" s="1" t="s">
        <v>185</v>
      </c>
      <c r="AD5751" s="1" t="s">
        <v>26</v>
      </c>
      <c r="BK5751" s="1" t="s">
        <v>59</v>
      </c>
      <c r="BL5751" s="1" t="s">
        <v>60</v>
      </c>
      <c r="GC5751" s="1" t="s">
        <v>181</v>
      </c>
      <c r="GD5751" s="1" t="s">
        <v>193</v>
      </c>
      <c r="GE5751" s="1" t="s">
        <v>190</v>
      </c>
    </row>
    <row r="5752" spans="1:187" ht="11.25" customHeight="1">
      <c r="A5752" s="1" t="s">
        <v>8063</v>
      </c>
      <c r="B5752" s="1" t="str">
        <f ca="1">IFERROR(__xludf.DUMMYFUNCTION("GOOGLETRANSLATE(A5752, ""en"", ""fr"")"),"JALOUX")</f>
        <v>JALOUX</v>
      </c>
      <c r="C5752" s="1" t="s">
        <v>196</v>
      </c>
      <c r="ER5752" s="1" t="s">
        <v>144</v>
      </c>
      <c r="ES5752" s="1" t="s">
        <v>145</v>
      </c>
      <c r="GD5752" s="1" t="s">
        <v>202</v>
      </c>
    </row>
    <row r="5753" spans="1:187" ht="11.25" customHeight="1">
      <c r="A5753" s="1" t="s">
        <v>8064</v>
      </c>
      <c r="B5753" s="1" t="str">
        <f ca="1">IFERROR(__xludf.DUMMYFUNCTION("GOOGLETRANSLATE(A5753, ""en"", ""fr"")"),"JALOUSIE")</f>
        <v>JALOUSIE</v>
      </c>
      <c r="C5753" s="1" t="s">
        <v>196</v>
      </c>
      <c r="ER5753" s="1" t="s">
        <v>144</v>
      </c>
      <c r="ES5753" s="1" t="s">
        <v>145</v>
      </c>
      <c r="GD5753" s="1" t="s">
        <v>193</v>
      </c>
    </row>
    <row r="5754" spans="1:187" ht="11.25" customHeight="1">
      <c r="A5754" s="1" t="s">
        <v>8065</v>
      </c>
      <c r="B5754" s="1" t="str">
        <f ca="1">IFERROR(__xludf.DUMMYFUNCTION("GOOGLETRANSLATE(A5754, ""en"", ""fr"")"),"JEEP")</f>
        <v>JEEP</v>
      </c>
      <c r="C5754" s="1" t="s">
        <v>185</v>
      </c>
      <c r="BC5754" s="1" t="s">
        <v>51</v>
      </c>
      <c r="BF5754" s="1" t="s">
        <v>54</v>
      </c>
      <c r="GD5754" s="1" t="s">
        <v>193</v>
      </c>
      <c r="GE5754" s="1" t="s">
        <v>190</v>
      </c>
    </row>
    <row r="5755" spans="1:187" ht="11.25" customHeight="1">
      <c r="A5755" s="1" t="s">
        <v>8066</v>
      </c>
      <c r="B5755" s="1" t="str">
        <f ca="1">IFERROR(__xludf.DUMMYFUNCTION("GOOGLETRANSLATE(A5755, ""en"", ""fr"")"),"RAILLER")</f>
        <v>RAILLER</v>
      </c>
      <c r="C5755" s="1" t="s">
        <v>192</v>
      </c>
      <c r="E5755" s="1" t="s">
        <v>16613</v>
      </c>
      <c r="I5755" s="1" t="s">
        <v>5</v>
      </c>
      <c r="N5755" s="1" t="s">
        <v>10</v>
      </c>
      <c r="BK5755" s="1" t="s">
        <v>59</v>
      </c>
      <c r="DN5755" s="1" t="s">
        <v>114</v>
      </c>
      <c r="GD5755" s="1" t="s">
        <v>189</v>
      </c>
      <c r="GE5755" s="1" t="s">
        <v>190</v>
      </c>
    </row>
    <row r="5756" spans="1:187" ht="11.25" customHeight="1">
      <c r="A5756" s="1" t="s">
        <v>8067</v>
      </c>
      <c r="B5756" s="1" t="str">
        <f ca="1">IFERROR(__xludf.DUMMYFUNCTION("GOOGLETRANSLATE(A5756, ""en"", ""fr"")"),"MODIFICATION # 1")</f>
        <v>MODIFICATION # 1</v>
      </c>
      <c r="C5756" s="1" t="s">
        <v>192</v>
      </c>
      <c r="GE5756" s="1" t="s">
        <v>190</v>
      </c>
    </row>
    <row r="5757" spans="1:187" ht="11.25" customHeight="1">
      <c r="A5757" s="1" t="s">
        <v>8068</v>
      </c>
      <c r="B5757" s="1" t="str">
        <f ca="1">IFERROR(__xludf.DUMMYFUNCTION("GOOGLETRANSLATE(A5757, ""en"", ""fr"")"),"COMPROMETTRE")</f>
        <v>COMPROMETTRE</v>
      </c>
      <c r="C5757" s="1" t="s">
        <v>185</v>
      </c>
      <c r="E5757" s="1" t="s">
        <v>16613</v>
      </c>
      <c r="H5757" s="1" t="s">
        <v>4</v>
      </c>
      <c r="I5757" s="1" t="s">
        <v>5</v>
      </c>
      <c r="AN5757" s="1" t="s">
        <v>36</v>
      </c>
      <c r="DN5757" s="1" t="s">
        <v>114</v>
      </c>
      <c r="GD5757" s="1" t="s">
        <v>189</v>
      </c>
      <c r="GE5757" s="1" t="s">
        <v>190</v>
      </c>
    </row>
    <row r="5758" spans="1:187" ht="11.25" customHeight="1">
      <c r="A5758" s="1" t="s">
        <v>8069</v>
      </c>
      <c r="B5758" s="1" t="str">
        <f ca="1">IFERROR(__xludf.DUMMYFUNCTION("GOOGLETRANSLATE(A5758, ""en"", ""fr"")"),"PÉRIL")</f>
        <v>PÉRIL</v>
      </c>
      <c r="C5758" s="1" t="s">
        <v>192</v>
      </c>
      <c r="E5758" s="1" t="s">
        <v>16613</v>
      </c>
      <c r="GD5758" s="1" t="s">
        <v>193</v>
      </c>
      <c r="GE5758" s="1" t="s">
        <v>190</v>
      </c>
    </row>
    <row r="5759" spans="1:187" ht="11.25" customHeight="1">
      <c r="A5759" s="1" t="s">
        <v>8070</v>
      </c>
      <c r="B5759" s="1" t="str">
        <f ca="1">IFERROR(__xludf.DUMMYFUNCTION("GOOGLETRANSLATE(A5759, ""en"", ""fr"")"),"Jerk # 1")</f>
        <v>Jerk # 1</v>
      </c>
      <c r="C5759" s="1" t="s">
        <v>185</v>
      </c>
      <c r="E5759" s="1" t="s">
        <v>16613</v>
      </c>
      <c r="H5759" s="1" t="s">
        <v>4</v>
      </c>
      <c r="AJ5759" s="1" t="s">
        <v>32</v>
      </c>
      <c r="AT5759" s="1" t="s">
        <v>42</v>
      </c>
      <c r="FW5759" s="1" t="s">
        <v>175</v>
      </c>
      <c r="GD5759" s="1" t="s">
        <v>193</v>
      </c>
      <c r="GE5759" s="1" t="s">
        <v>190</v>
      </c>
    </row>
    <row r="5760" spans="1:187" ht="11.25" customHeight="1">
      <c r="A5760" s="1" t="s">
        <v>8071</v>
      </c>
      <c r="B5760" s="1" t="str">
        <f ca="1">IFERROR(__xludf.DUMMYFUNCTION("GOOGLETRANSLATE(A5760, ""en"", ""fr"")"),"Jerk # 2")</f>
        <v>Jerk # 2</v>
      </c>
      <c r="C5760" s="1" t="s">
        <v>185</v>
      </c>
      <c r="E5760" s="1" t="s">
        <v>16613</v>
      </c>
      <c r="H5760" s="1" t="s">
        <v>4</v>
      </c>
      <c r="I5760" s="1" t="s">
        <v>5</v>
      </c>
      <c r="J5760" s="1" t="s">
        <v>6</v>
      </c>
      <c r="N5760" s="1" t="s">
        <v>10</v>
      </c>
      <c r="CC5760" s="1" t="s">
        <v>77</v>
      </c>
      <c r="DN5760" s="1" t="s">
        <v>114</v>
      </c>
      <c r="GD5760" s="1" t="s">
        <v>189</v>
      </c>
      <c r="GE5760" s="1" t="s">
        <v>190</v>
      </c>
    </row>
    <row r="5761" spans="1:187" ht="11.25" customHeight="1">
      <c r="A5761" s="1" t="s">
        <v>8072</v>
      </c>
      <c r="B5761" s="1" t="str">
        <f ca="1">IFERROR(__xludf.DUMMYFUNCTION("GOOGLETRANSLATE(A5761, ""en"", ""fr"")"),"JERSEY")</f>
        <v>JERSEY</v>
      </c>
      <c r="C5761" s="1" t="s">
        <v>196</v>
      </c>
      <c r="GD5761" s="1" t="s">
        <v>653</v>
      </c>
    </row>
    <row r="5762" spans="1:187" ht="11.25" customHeight="1">
      <c r="A5762" s="1" t="s">
        <v>8073</v>
      </c>
      <c r="B5762" s="1" t="str">
        <f ca="1">IFERROR(__xludf.DUMMYFUNCTION("GOOGLETRANSLATE(A5762, ""en"", ""fr"")"),"PLAISANTER")</f>
        <v>PLAISANTER</v>
      </c>
      <c r="C5762" s="1" t="s">
        <v>192</v>
      </c>
      <c r="D5762" s="1" t="s">
        <v>16612</v>
      </c>
      <c r="N5762" s="1" t="s">
        <v>10</v>
      </c>
      <c r="P5762" s="1" t="s">
        <v>12</v>
      </c>
      <c r="BK5762" s="1" t="s">
        <v>59</v>
      </c>
      <c r="DN5762" s="1" t="s">
        <v>114</v>
      </c>
      <c r="GD5762" s="1" t="s">
        <v>189</v>
      </c>
      <c r="GE5762" s="1" t="s">
        <v>190</v>
      </c>
    </row>
    <row r="5763" spans="1:187" ht="11.25" customHeight="1">
      <c r="A5763" s="1" t="s">
        <v>8074</v>
      </c>
      <c r="B5763" s="1" t="str">
        <f ca="1">IFERROR(__xludf.DUMMYFUNCTION("GOOGLETRANSLATE(A5763, ""en"", ""fr"")"),"JET")</f>
        <v>JET</v>
      </c>
      <c r="C5763" s="1" t="s">
        <v>185</v>
      </c>
      <c r="BC5763" s="1" t="s">
        <v>51</v>
      </c>
      <c r="BF5763" s="1" t="s">
        <v>54</v>
      </c>
      <c r="GD5763" s="1" t="s">
        <v>193</v>
      </c>
      <c r="GE5763" s="1" t="s">
        <v>190</v>
      </c>
    </row>
    <row r="5764" spans="1:187" ht="11.25" customHeight="1">
      <c r="A5764" s="1" t="s">
        <v>8075</v>
      </c>
      <c r="B5764" s="1" t="str">
        <f ca="1">IFERROR(__xludf.DUMMYFUNCTION("GOOGLETRANSLATE(A5764, ""en"", ""fr"")"),"JUIF")</f>
        <v>JUIF</v>
      </c>
      <c r="C5764" s="1" t="s">
        <v>185</v>
      </c>
      <c r="AJ5764" s="1" t="s">
        <v>32</v>
      </c>
      <c r="AO5764" s="1" t="s">
        <v>37</v>
      </c>
      <c r="AT5764" s="1" t="s">
        <v>42</v>
      </c>
      <c r="EF5764" s="1" t="s">
        <v>132</v>
      </c>
      <c r="EJ5764" s="1" t="s">
        <v>136</v>
      </c>
      <c r="GD5764" s="1" t="s">
        <v>193</v>
      </c>
      <c r="GE5764" s="1" t="s">
        <v>190</v>
      </c>
    </row>
    <row r="5765" spans="1:187" ht="11.25" customHeight="1">
      <c r="A5765" s="1" t="s">
        <v>8076</v>
      </c>
      <c r="B5765" s="1" t="str">
        <f ca="1">IFERROR(__xludf.DUMMYFUNCTION("GOOGLETRANSLATE(A5765, ""en"", ""fr"")"),"BIJOU")</f>
        <v>BIJOU</v>
      </c>
      <c r="C5765" s="1" t="s">
        <v>196</v>
      </c>
      <c r="FL5765" s="1" t="s">
        <v>164</v>
      </c>
      <c r="FM5765" s="1" t="s">
        <v>418</v>
      </c>
      <c r="GD5765" s="1" t="s">
        <v>193</v>
      </c>
    </row>
    <row r="5766" spans="1:187" ht="11.25" customHeight="1">
      <c r="A5766" s="1" t="s">
        <v>8077</v>
      </c>
      <c r="B5766" s="1" t="str">
        <f ca="1">IFERROR(__xludf.DUMMYFUNCTION("GOOGLETRANSLATE(A5766, ""en"", ""fr"")"),"JUIF")</f>
        <v>JUIF</v>
      </c>
      <c r="C5766" s="1" t="s">
        <v>196</v>
      </c>
      <c r="EF5766" s="1" t="s">
        <v>132</v>
      </c>
      <c r="EJ5766" s="1" t="s">
        <v>136</v>
      </c>
      <c r="GD5766" s="1" t="s">
        <v>202</v>
      </c>
    </row>
    <row r="5767" spans="1:187" ht="11.25" customHeight="1">
      <c r="A5767" s="1" t="s">
        <v>8078</v>
      </c>
      <c r="B5767" s="1" t="str">
        <f ca="1">IFERROR(__xludf.DUMMYFUNCTION("GOOGLETRANSLATE(A5767, ""en"", ""fr"")"),"NERVEUX")</f>
        <v>NERVEUX</v>
      </c>
      <c r="C5767" s="1" t="s">
        <v>192</v>
      </c>
      <c r="E5767" s="1" t="s">
        <v>16613</v>
      </c>
      <c r="Q5767" s="1" t="s">
        <v>13</v>
      </c>
      <c r="T5767" s="1" t="s">
        <v>16</v>
      </c>
      <c r="DR5767" s="1" t="s">
        <v>118</v>
      </c>
      <c r="GD5767" s="1" t="s">
        <v>202</v>
      </c>
      <c r="GE5767" s="1" t="s">
        <v>190</v>
      </c>
    </row>
    <row r="5768" spans="1:187" ht="11.25" customHeight="1">
      <c r="A5768" s="1" t="s">
        <v>8079</v>
      </c>
      <c r="B5768" s="1" t="str">
        <f ca="1">IFERROR(__xludf.DUMMYFUNCTION("GOOGLETRANSLATE(A5768, ""en"", ""fr"")"),"EMPLOI")</f>
        <v>EMPLOI</v>
      </c>
      <c r="C5768" s="1" t="s">
        <v>185</v>
      </c>
      <c r="AA5768" s="1" t="s">
        <v>23</v>
      </c>
      <c r="AC5768" s="1" t="s">
        <v>25</v>
      </c>
      <c r="BQ5768" s="1" t="s">
        <v>65</v>
      </c>
      <c r="FL5768" s="1" t="s">
        <v>164</v>
      </c>
      <c r="FM5768" s="1" t="s">
        <v>418</v>
      </c>
      <c r="GD5768" s="1" t="s">
        <v>193</v>
      </c>
      <c r="GE5768" s="1" t="s">
        <v>8080</v>
      </c>
    </row>
    <row r="5769" spans="1:187" ht="11.25" customHeight="1">
      <c r="A5769" s="1" t="s">
        <v>8081</v>
      </c>
      <c r="B5769" s="1" t="str">
        <f ca="1">IFERROR(__xludf.DUMMYFUNCTION("GOOGLETRANSLATE(A5769, ""en"", ""fr"")"),"SANS EMPLOI")</f>
        <v>SANS EMPLOI</v>
      </c>
      <c r="C5769" s="1" t="s">
        <v>192</v>
      </c>
      <c r="E5769" s="1" t="s">
        <v>16613</v>
      </c>
      <c r="AA5769" s="1" t="s">
        <v>23</v>
      </c>
      <c r="AL5769" s="1" t="s">
        <v>34</v>
      </c>
      <c r="BT5769" s="1" t="s">
        <v>68</v>
      </c>
      <c r="DR5769" s="1" t="s">
        <v>118</v>
      </c>
      <c r="GD5769" s="1" t="s">
        <v>202</v>
      </c>
      <c r="GE5769" s="1" t="s">
        <v>190</v>
      </c>
    </row>
    <row r="5770" spans="1:187" ht="11.25" customHeight="1">
      <c r="A5770" s="1" t="s">
        <v>8082</v>
      </c>
      <c r="B5770" s="1" t="str">
        <f ca="1">IFERROR(__xludf.DUMMYFUNCTION("GOOGLETRANSLATE(A5770, ""en"", ""fr"")"),"Rejoindre n ° 1")</f>
        <v>Rejoindre n ° 1</v>
      </c>
      <c r="C5770" s="1" t="s">
        <v>185</v>
      </c>
      <c r="G5770" s="1" t="s">
        <v>3</v>
      </c>
      <c r="N5770" s="1" t="s">
        <v>10</v>
      </c>
      <c r="AN5770" s="1" t="s">
        <v>36</v>
      </c>
      <c r="DO5770" s="1" t="s">
        <v>115</v>
      </c>
      <c r="DX5770" s="1" t="s">
        <v>124</v>
      </c>
      <c r="ED5770" s="1" t="s">
        <v>130</v>
      </c>
      <c r="GD5770" s="1" t="s">
        <v>189</v>
      </c>
      <c r="GE5770" s="1" t="s">
        <v>8083</v>
      </c>
    </row>
    <row r="5771" spans="1:187" ht="11.25" customHeight="1">
      <c r="A5771" s="1" t="s">
        <v>8084</v>
      </c>
      <c r="B5771" s="1" t="str">
        <f ca="1">IFERROR(__xludf.DUMMYFUNCTION("GOOGLETRANSLATE(A5771, ""en"", ""fr"")"),"Rejoindre n ° 2")</f>
        <v>Rejoindre n ° 2</v>
      </c>
      <c r="C5771" s="1" t="s">
        <v>185</v>
      </c>
      <c r="D5771" s="1" t="s">
        <v>16612</v>
      </c>
      <c r="F5771" s="1" t="s">
        <v>2</v>
      </c>
      <c r="G5771" s="1" t="s">
        <v>3</v>
      </c>
      <c r="J5771" s="1" t="s">
        <v>6</v>
      </c>
      <c r="N5771" s="1" t="s">
        <v>10</v>
      </c>
      <c r="AN5771" s="1" t="s">
        <v>36</v>
      </c>
      <c r="DN5771" s="1" t="s">
        <v>114</v>
      </c>
      <c r="DX5771" s="1" t="s">
        <v>124</v>
      </c>
      <c r="ED5771" s="1" t="s">
        <v>130</v>
      </c>
      <c r="GD5771" s="1" t="s">
        <v>189</v>
      </c>
      <c r="GE5771" s="1" t="s">
        <v>8085</v>
      </c>
    </row>
    <row r="5772" spans="1:187" ht="11.25" customHeight="1">
      <c r="A5772" s="1" t="s">
        <v>8086</v>
      </c>
      <c r="B5772" s="1" t="str">
        <f ca="1">IFERROR(__xludf.DUMMYFUNCTION("GOOGLETRANSLATE(A5772, ""en"", ""fr"")"),"Rejoindre n ° 3")</f>
        <v>Rejoindre n ° 3</v>
      </c>
      <c r="C5772" s="1" t="s">
        <v>185</v>
      </c>
      <c r="J5772" s="1" t="s">
        <v>6</v>
      </c>
      <c r="N5772" s="1" t="s">
        <v>10</v>
      </c>
      <c r="DD5772" s="1" t="s">
        <v>104</v>
      </c>
      <c r="DN5772" s="1" t="s">
        <v>114</v>
      </c>
      <c r="FP5772" s="1" t="s">
        <v>168</v>
      </c>
      <c r="GD5772" s="1" t="s">
        <v>189</v>
      </c>
      <c r="GE5772" s="1" t="s">
        <v>8087</v>
      </c>
    </row>
    <row r="5773" spans="1:187" ht="11.25" customHeight="1">
      <c r="A5773" s="1" t="s">
        <v>8088</v>
      </c>
      <c r="B5773" s="1" t="str">
        <f ca="1">IFERROR(__xludf.DUMMYFUNCTION("GOOGLETRANSLATE(A5773, ""en"", ""fr"")"),"MENUISIER")</f>
        <v>MENUISIER</v>
      </c>
      <c r="C5773" s="1" t="s">
        <v>185</v>
      </c>
      <c r="G5773" s="1" t="s">
        <v>3</v>
      </c>
      <c r="AJ5773" s="1" t="s">
        <v>32</v>
      </c>
      <c r="AT5773" s="1" t="s">
        <v>42</v>
      </c>
      <c r="DX5773" s="1" t="s">
        <v>124</v>
      </c>
      <c r="ED5773" s="1" t="s">
        <v>130</v>
      </c>
      <c r="GD5773" s="1" t="s">
        <v>193</v>
      </c>
      <c r="GE5773" s="1" t="s">
        <v>190</v>
      </c>
    </row>
    <row r="5774" spans="1:187" ht="11.25" customHeight="1">
      <c r="A5774" s="1" t="s">
        <v>8089</v>
      </c>
      <c r="B5774" s="1" t="str">
        <f ca="1">IFERROR(__xludf.DUMMYFUNCTION("GOOGLETRANSLATE(A5774, ""en"", ""fr"")"),"ARTICULATION")</f>
        <v>ARTICULATION</v>
      </c>
      <c r="C5774" s="1" t="s">
        <v>196</v>
      </c>
      <c r="DX5774" s="1" t="s">
        <v>124</v>
      </c>
      <c r="ED5774" s="1" t="s">
        <v>130</v>
      </c>
      <c r="GD5774" s="1" t="s">
        <v>202</v>
      </c>
    </row>
    <row r="5775" spans="1:187" ht="11.25" customHeight="1">
      <c r="A5775" s="1" t="s">
        <v>8090</v>
      </c>
      <c r="B5775" s="1" t="str">
        <f ca="1">IFERROR(__xludf.DUMMYFUNCTION("GOOGLETRANSLATE(A5775, ""en"", ""fr"")"),"CONJOINTEMENT")</f>
        <v>CONJOINTEMENT</v>
      </c>
      <c r="C5775" s="1" t="s">
        <v>185</v>
      </c>
      <c r="D5775" s="1" t="s">
        <v>16612</v>
      </c>
      <c r="F5775" s="1" t="s">
        <v>2</v>
      </c>
      <c r="G5775" s="1" t="s">
        <v>3</v>
      </c>
      <c r="J5775" s="1" t="s">
        <v>6</v>
      </c>
      <c r="DD5775" s="1" t="s">
        <v>104</v>
      </c>
      <c r="DX5775" s="1" t="s">
        <v>124</v>
      </c>
      <c r="ED5775" s="1" t="s">
        <v>130</v>
      </c>
      <c r="GD5775" s="1" t="s">
        <v>236</v>
      </c>
      <c r="GE5775" s="1" t="s">
        <v>190</v>
      </c>
    </row>
    <row r="5776" spans="1:187" ht="11.25" customHeight="1">
      <c r="A5776" s="1" t="s">
        <v>8091</v>
      </c>
      <c r="B5776" s="1" t="str">
        <f ca="1">IFERROR(__xludf.DUMMYFUNCTION("GOOGLETRANSLATE(A5776, ""en"", ""fr"")"),"Blague n ° 1")</f>
        <v>Blague n ° 1</v>
      </c>
      <c r="C5776" s="1" t="s">
        <v>185</v>
      </c>
      <c r="D5776" s="1" t="s">
        <v>16612</v>
      </c>
      <c r="F5776" s="1" t="s">
        <v>2</v>
      </c>
      <c r="AD5776" s="1" t="s">
        <v>26</v>
      </c>
      <c r="BK5776" s="1" t="s">
        <v>59</v>
      </c>
      <c r="GC5776" s="1" t="s">
        <v>181</v>
      </c>
      <c r="GD5776" s="1" t="s">
        <v>849</v>
      </c>
      <c r="GE5776" s="1" t="s">
        <v>8092</v>
      </c>
    </row>
    <row r="5777" spans="1:187" ht="11.25" customHeight="1">
      <c r="A5777" s="1" t="s">
        <v>8093</v>
      </c>
      <c r="B5777" s="1" t="str">
        <f ca="1">IFERROR(__xludf.DUMMYFUNCTION("GOOGLETRANSLATE(A5777, ""en"", ""fr"")"),"Blague n ° 2")</f>
        <v>Blague n ° 2</v>
      </c>
      <c r="C5777" s="1" t="s">
        <v>185</v>
      </c>
      <c r="D5777" s="1" t="s">
        <v>16612</v>
      </c>
      <c r="F5777" s="1" t="s">
        <v>2</v>
      </c>
      <c r="AD5777" s="1" t="s">
        <v>26</v>
      </c>
      <c r="BK5777" s="1" t="s">
        <v>59</v>
      </c>
      <c r="DN5777" s="1" t="s">
        <v>114</v>
      </c>
      <c r="GD5777" s="1" t="s">
        <v>189</v>
      </c>
      <c r="GE5777" s="1" t="s">
        <v>8094</v>
      </c>
    </row>
    <row r="5778" spans="1:187" ht="11.25" customHeight="1">
      <c r="A5778" s="1" t="s">
        <v>8095</v>
      </c>
      <c r="B5778" s="1" t="str">
        <f ca="1">IFERROR(__xludf.DUMMYFUNCTION("GOOGLETRANSLATE(A5778, ""en"", ""fr"")"),"Blague # 3")</f>
        <v>Blague # 3</v>
      </c>
      <c r="C5778" s="1" t="s">
        <v>185</v>
      </c>
      <c r="D5778" s="1" t="s">
        <v>16612</v>
      </c>
      <c r="F5778" s="1" t="s">
        <v>2</v>
      </c>
      <c r="BK5778" s="1" t="s">
        <v>59</v>
      </c>
      <c r="GC5778" s="1" t="s">
        <v>181</v>
      </c>
      <c r="GD5778" s="1" t="s">
        <v>202</v>
      </c>
      <c r="GE5778" s="1" t="s">
        <v>8096</v>
      </c>
    </row>
    <row r="5779" spans="1:187" ht="11.25" customHeight="1">
      <c r="A5779" s="1" t="s">
        <v>8097</v>
      </c>
      <c r="B5779" s="1" t="str">
        <f ca="1">IFERROR(__xludf.DUMMYFUNCTION("GOOGLETRANSLATE(A5779, ""en"", ""fr"")"),"JOKER")</f>
        <v>JOKER</v>
      </c>
      <c r="C5779" s="1" t="s">
        <v>185</v>
      </c>
      <c r="AD5779" s="1" t="s">
        <v>26</v>
      </c>
      <c r="AJ5779" s="1" t="s">
        <v>32</v>
      </c>
      <c r="AT5779" s="1" t="s">
        <v>42</v>
      </c>
      <c r="GD5779" s="1" t="s">
        <v>193</v>
      </c>
      <c r="GE5779" s="1" t="s">
        <v>190</v>
      </c>
    </row>
    <row r="5780" spans="1:187" ht="11.25" customHeight="1">
      <c r="A5780" s="1" t="s">
        <v>8098</v>
      </c>
      <c r="B5780" s="1" t="str">
        <f ca="1">IFERROR(__xludf.DUMMYFUNCTION("GOOGLETRANSLATE(A5780, ""en"", ""fr"")"),"GAI")</f>
        <v>GAI</v>
      </c>
      <c r="C5780" s="1" t="s">
        <v>192</v>
      </c>
      <c r="D5780" s="1" t="s">
        <v>16612</v>
      </c>
      <c r="P5780" s="1" t="s">
        <v>12</v>
      </c>
      <c r="T5780" s="1" t="s">
        <v>16</v>
      </c>
      <c r="DR5780" s="1" t="s">
        <v>118</v>
      </c>
      <c r="GD5780" s="1" t="s">
        <v>202</v>
      </c>
      <c r="GE5780" s="1" t="s">
        <v>190</v>
      </c>
    </row>
    <row r="5781" spans="1:187" ht="11.25" customHeight="1">
      <c r="A5781" s="1" t="s">
        <v>8099</v>
      </c>
      <c r="B5781" s="1" t="str">
        <f ca="1">IFERROR(__xludf.DUMMYFUNCTION("GOOGLETRANSLATE(A5781, ""en"", ""fr"")"),"JORDAN")</f>
        <v>JORDAN</v>
      </c>
      <c r="C5781" s="1" t="s">
        <v>196</v>
      </c>
      <c r="FU5781" s="1" t="s">
        <v>173</v>
      </c>
      <c r="GD5781" s="1" t="s">
        <v>545</v>
      </c>
    </row>
    <row r="5782" spans="1:187" ht="11.25" customHeight="1">
      <c r="A5782" s="1" t="s">
        <v>8100</v>
      </c>
      <c r="B5782" s="1" t="str">
        <f ca="1">IFERROR(__xludf.DUMMYFUNCTION("GOOGLETRANSLATE(A5782, ""en"", ""fr"")"),"JOURNAL")</f>
        <v>JOURNAL</v>
      </c>
      <c r="C5782" s="1" t="s">
        <v>185</v>
      </c>
      <c r="BC5782" s="1" t="s">
        <v>51</v>
      </c>
      <c r="BH5782" s="1" t="s">
        <v>56</v>
      </c>
      <c r="BL5782" s="1" t="s">
        <v>60</v>
      </c>
      <c r="FH5782" s="1" t="s">
        <v>160</v>
      </c>
      <c r="FI5782" s="1" t="s">
        <v>161</v>
      </c>
      <c r="GD5782" s="1" t="s">
        <v>193</v>
      </c>
      <c r="GE5782" s="1" t="s">
        <v>190</v>
      </c>
    </row>
    <row r="5783" spans="1:187" ht="11.25" customHeight="1">
      <c r="A5783" s="1" t="s">
        <v>8101</v>
      </c>
      <c r="B5783" s="1" t="str">
        <f ca="1">IFERROR(__xludf.DUMMYFUNCTION("GOOGLETRANSLATE(A5783, ""en"", ""fr"")"),"JOURNALISTE")</f>
        <v>JOURNALISTE</v>
      </c>
      <c r="C5783" s="1" t="s">
        <v>185</v>
      </c>
      <c r="AA5783" s="1" t="s">
        <v>23</v>
      </c>
      <c r="AJ5783" s="1" t="s">
        <v>32</v>
      </c>
      <c r="AT5783" s="1" t="s">
        <v>42</v>
      </c>
      <c r="FG5783" s="1" t="s">
        <v>159</v>
      </c>
      <c r="FI5783" s="1" t="s">
        <v>161</v>
      </c>
      <c r="GD5783" s="1" t="s">
        <v>193</v>
      </c>
      <c r="GE5783" s="1" t="s">
        <v>190</v>
      </c>
    </row>
    <row r="5784" spans="1:187" ht="11.25" customHeight="1">
      <c r="A5784" s="1" t="s">
        <v>8102</v>
      </c>
      <c r="B5784" s="1" t="str">
        <f ca="1">IFERROR(__xludf.DUMMYFUNCTION("GOOGLETRANSLATE(A5784, ""en"", ""fr"")"),"Voyage n ° 1")</f>
        <v>Voyage n ° 1</v>
      </c>
      <c r="C5784" s="1" t="s">
        <v>185</v>
      </c>
      <c r="N5784" s="1" t="s">
        <v>10</v>
      </c>
      <c r="CE5784" s="1" t="s">
        <v>79</v>
      </c>
      <c r="GD5784" s="1" t="s">
        <v>849</v>
      </c>
      <c r="GE5784" s="1" t="s">
        <v>8103</v>
      </c>
    </row>
    <row r="5785" spans="1:187" ht="11.25" customHeight="1">
      <c r="A5785" s="1" t="s">
        <v>8104</v>
      </c>
      <c r="B5785" s="1" t="str">
        <f ca="1">IFERROR(__xludf.DUMMYFUNCTION("GOOGLETRANSLATE(A5785, ""en"", ""fr"")"),"Journey # 2")</f>
        <v>Journey # 2</v>
      </c>
      <c r="C5785" s="1" t="s">
        <v>185</v>
      </c>
      <c r="N5785" s="1" t="s">
        <v>10</v>
      </c>
      <c r="CE5785" s="1" t="s">
        <v>79</v>
      </c>
      <c r="DN5785" s="1" t="s">
        <v>114</v>
      </c>
      <c r="GD5785" s="1" t="s">
        <v>189</v>
      </c>
      <c r="GE5785" s="1" t="s">
        <v>8105</v>
      </c>
    </row>
    <row r="5786" spans="1:187" ht="11.25" customHeight="1">
      <c r="A5786" s="1" t="s">
        <v>8106</v>
      </c>
      <c r="B5786" s="1" t="str">
        <f ca="1">IFERROR(__xludf.DUMMYFUNCTION("GOOGLETRANSLATE(A5786, ""en"", ""fr"")"),"JOIE")</f>
        <v>JOIE</v>
      </c>
      <c r="C5786" s="1" t="s">
        <v>185</v>
      </c>
      <c r="D5786" s="1" t="s">
        <v>16612</v>
      </c>
      <c r="F5786" s="1" t="s">
        <v>2</v>
      </c>
      <c r="P5786" s="1" t="s">
        <v>12</v>
      </c>
      <c r="T5786" s="1" t="s">
        <v>16</v>
      </c>
      <c r="FA5786" s="1" t="s">
        <v>153</v>
      </c>
      <c r="FC5786" s="1" t="s">
        <v>155</v>
      </c>
      <c r="GD5786" s="1" t="s">
        <v>193</v>
      </c>
      <c r="GE5786" s="1" t="s">
        <v>8107</v>
      </c>
    </row>
    <row r="5787" spans="1:187" ht="11.25" customHeight="1">
      <c r="A5787" s="1" t="s">
        <v>8108</v>
      </c>
      <c r="B5787" s="1" t="str">
        <f ca="1">IFERROR(__xludf.DUMMYFUNCTION("GOOGLETRANSLATE(A5787, ""en"", ""fr"")"),"JOYEUX")</f>
        <v>JOYEUX</v>
      </c>
      <c r="C5787" s="1" t="s">
        <v>185</v>
      </c>
      <c r="D5787" s="1" t="s">
        <v>16612</v>
      </c>
      <c r="P5787" s="1" t="s">
        <v>12</v>
      </c>
      <c r="T5787" s="1" t="s">
        <v>16</v>
      </c>
      <c r="DR5787" s="1" t="s">
        <v>118</v>
      </c>
      <c r="FA5787" s="1" t="s">
        <v>153</v>
      </c>
      <c r="FC5787" s="1" t="s">
        <v>155</v>
      </c>
      <c r="GD5787" s="1" t="s">
        <v>202</v>
      </c>
      <c r="GE5787" s="1" t="s">
        <v>190</v>
      </c>
    </row>
    <row r="5788" spans="1:187" ht="11.25" customHeight="1">
      <c r="A5788" s="1" t="s">
        <v>8109</v>
      </c>
      <c r="B5788" s="1" t="str">
        <f ca="1">IFERROR(__xludf.DUMMYFUNCTION("GOOGLETRANSLATE(A5788, ""en"", ""fr"")"),"JOYEUX")</f>
        <v>JOYEUX</v>
      </c>
      <c r="C5788" s="1" t="s">
        <v>196</v>
      </c>
      <c r="FA5788" s="1" t="s">
        <v>153</v>
      </c>
      <c r="FC5788" s="1" t="s">
        <v>155</v>
      </c>
      <c r="GD5788" s="1" t="s">
        <v>202</v>
      </c>
    </row>
    <row r="5789" spans="1:187" ht="11.25" customHeight="1">
      <c r="A5789" s="1" t="s">
        <v>8110</v>
      </c>
      <c r="B5789" s="1" t="str">
        <f ca="1">IFERROR(__xludf.DUMMYFUNCTION("GOOGLETRANSLATE(A5789, ""en"", ""fr"")"),"RADIEUX")</f>
        <v>RADIEUX</v>
      </c>
      <c r="C5789" s="1" t="s">
        <v>185</v>
      </c>
      <c r="D5789" s="1" t="s">
        <v>16612</v>
      </c>
      <c r="P5789" s="1" t="s">
        <v>12</v>
      </c>
      <c r="T5789" s="1" t="s">
        <v>16</v>
      </c>
      <c r="DR5789" s="1" t="s">
        <v>118</v>
      </c>
      <c r="FA5789" s="1" t="s">
        <v>153</v>
      </c>
      <c r="FC5789" s="1" t="s">
        <v>155</v>
      </c>
      <c r="GD5789" s="1" t="s">
        <v>202</v>
      </c>
      <c r="GE5789" s="1" t="s">
        <v>190</v>
      </c>
    </row>
    <row r="5790" spans="1:187" ht="11.25" customHeight="1">
      <c r="A5790" s="1" t="s">
        <v>8111</v>
      </c>
      <c r="B5790" s="1" t="str">
        <f ca="1">IFERROR(__xludf.DUMMYFUNCTION("GOOGLETRANSLATE(A5790, ""en"", ""fr"")"),"JUBILÉ")</f>
        <v>JUBILÉ</v>
      </c>
      <c r="C5790" s="1" t="s">
        <v>192</v>
      </c>
      <c r="D5790" s="1" t="s">
        <v>16612</v>
      </c>
      <c r="P5790" s="1" t="s">
        <v>12</v>
      </c>
      <c r="AM5790" s="1" t="s">
        <v>35</v>
      </c>
      <c r="GD5790" s="1" t="s">
        <v>193</v>
      </c>
      <c r="GE5790" s="1" t="s">
        <v>190</v>
      </c>
    </row>
    <row r="5791" spans="1:187" ht="11.25" customHeight="1">
      <c r="A5791" s="1" t="s">
        <v>8112</v>
      </c>
      <c r="B5791" s="1" t="str">
        <f ca="1">IFERROR(__xludf.DUMMYFUNCTION("GOOGLETRANSLATE(A5791, ""en"", ""fr"")"),"Juge n ° 1")</f>
        <v>Juge n ° 1</v>
      </c>
      <c r="C5791" s="1" t="s">
        <v>185</v>
      </c>
      <c r="J5791" s="1" t="s">
        <v>6</v>
      </c>
      <c r="K5791" s="1" t="s">
        <v>7</v>
      </c>
      <c r="N5791" s="1" t="s">
        <v>10</v>
      </c>
      <c r="AE5791" s="1" t="s">
        <v>27</v>
      </c>
      <c r="CO5791" s="1" t="s">
        <v>89</v>
      </c>
      <c r="DN5791" s="1" t="s">
        <v>114</v>
      </c>
      <c r="FP5791" s="1" t="s">
        <v>168</v>
      </c>
      <c r="GD5791" s="1" t="s">
        <v>189</v>
      </c>
      <c r="GE5791" s="1" t="s">
        <v>8113</v>
      </c>
    </row>
    <row r="5792" spans="1:187" ht="11.25" customHeight="1">
      <c r="A5792" s="1" t="s">
        <v>8114</v>
      </c>
      <c r="B5792" s="1" t="str">
        <f ca="1">IFERROR(__xludf.DUMMYFUNCTION("GOOGLETRANSLATE(A5792, ""en"", ""fr"")"),"Juge n ° 2")</f>
        <v>Juge n ° 2</v>
      </c>
      <c r="C5792" s="1" t="s">
        <v>185</v>
      </c>
      <c r="J5792" s="1" t="s">
        <v>6</v>
      </c>
      <c r="K5792" s="1" t="s">
        <v>7</v>
      </c>
      <c r="N5792" s="1" t="s">
        <v>10</v>
      </c>
      <c r="AE5792" s="1" t="s">
        <v>27</v>
      </c>
      <c r="AH5792" s="1" t="s">
        <v>30</v>
      </c>
      <c r="AJ5792" s="1" t="s">
        <v>32</v>
      </c>
      <c r="AT5792" s="1" t="s">
        <v>42</v>
      </c>
      <c r="DY5792" s="1" t="s">
        <v>125</v>
      </c>
      <c r="ED5792" s="1" t="s">
        <v>130</v>
      </c>
      <c r="GD5792" s="1" t="s">
        <v>193</v>
      </c>
      <c r="GE5792" s="1" t="s">
        <v>8115</v>
      </c>
    </row>
    <row r="5793" spans="1:187" ht="11.25" customHeight="1">
      <c r="A5793" s="1" t="s">
        <v>8116</v>
      </c>
      <c r="B5793" s="1" t="str">
        <f ca="1">IFERROR(__xludf.DUMMYFUNCTION("GOOGLETRANSLATE(A5793, ""en"", ""fr"")"),"Juge n ° 3")</f>
        <v>Juge n ° 3</v>
      </c>
      <c r="C5793" s="1" t="s">
        <v>185</v>
      </c>
      <c r="J5793" s="1" t="s">
        <v>6</v>
      </c>
      <c r="K5793" s="1" t="s">
        <v>7</v>
      </c>
      <c r="N5793" s="1" t="s">
        <v>10</v>
      </c>
      <c r="AJ5793" s="1" t="s">
        <v>32</v>
      </c>
      <c r="AT5793" s="1" t="s">
        <v>42</v>
      </c>
      <c r="FG5793" s="1" t="s">
        <v>159</v>
      </c>
      <c r="FI5793" s="1" t="s">
        <v>161</v>
      </c>
      <c r="GD5793" s="1" t="s">
        <v>193</v>
      </c>
      <c r="GE5793" s="1" t="s">
        <v>8117</v>
      </c>
    </row>
    <row r="5794" spans="1:187" ht="11.25" customHeight="1">
      <c r="A5794" s="1" t="s">
        <v>8118</v>
      </c>
      <c r="B5794" s="1" t="str">
        <f ca="1">IFERROR(__xludf.DUMMYFUNCTION("GOOGLETRANSLATE(A5794, ""en"", ""fr"")"),"Jugement n ° 1")</f>
        <v>Jugement n ° 1</v>
      </c>
      <c r="C5794" s="1" t="s">
        <v>185</v>
      </c>
      <c r="AE5794" s="1" t="s">
        <v>27</v>
      </c>
      <c r="BK5794" s="1" t="s">
        <v>59</v>
      </c>
      <c r="BL5794" s="1" t="s">
        <v>60</v>
      </c>
      <c r="EB5794" s="1" t="s">
        <v>128</v>
      </c>
      <c r="ED5794" s="1" t="s">
        <v>130</v>
      </c>
      <c r="GC5794" s="1" t="s">
        <v>181</v>
      </c>
      <c r="GD5794" s="1" t="s">
        <v>193</v>
      </c>
      <c r="GE5794" s="1" t="s">
        <v>8119</v>
      </c>
    </row>
    <row r="5795" spans="1:187" ht="11.25" customHeight="1">
      <c r="A5795" s="1" t="s">
        <v>8120</v>
      </c>
      <c r="B5795" s="1" t="str">
        <f ca="1">IFERROR(__xludf.DUMMYFUNCTION("GOOGLETRANSLATE(A5795, ""en"", ""fr"")"),"Jugement n ° 2")</f>
        <v>Jugement n ° 2</v>
      </c>
      <c r="C5795" s="1" t="s">
        <v>185</v>
      </c>
      <c r="J5795" s="1" t="s">
        <v>6</v>
      </c>
      <c r="K5795" s="1" t="s">
        <v>7</v>
      </c>
      <c r="BQ5795" s="1" t="s">
        <v>65</v>
      </c>
      <c r="FL5795" s="1" t="s">
        <v>164</v>
      </c>
      <c r="FM5795" s="1" t="s">
        <v>418</v>
      </c>
      <c r="GD5795" s="1" t="s">
        <v>193</v>
      </c>
      <c r="GE5795" s="1" t="s">
        <v>8121</v>
      </c>
    </row>
    <row r="5796" spans="1:187" ht="11.25" customHeight="1">
      <c r="A5796" s="1" t="s">
        <v>8122</v>
      </c>
      <c r="B5796" s="1" t="str">
        <f ca="1">IFERROR(__xludf.DUMMYFUNCTION("GOOGLETRANSLATE(A5796, ""en"", ""fr"")"),"JUDICIAIRE")</f>
        <v>JUDICIAIRE</v>
      </c>
      <c r="C5796" s="1" t="s">
        <v>185</v>
      </c>
      <c r="J5796" s="1" t="s">
        <v>6</v>
      </c>
      <c r="Z5796" s="1" t="s">
        <v>22</v>
      </c>
      <c r="AE5796" s="1" t="s">
        <v>27</v>
      </c>
      <c r="AH5796" s="1" t="s">
        <v>30</v>
      </c>
      <c r="EB5796" s="1" t="s">
        <v>128</v>
      </c>
      <c r="ED5796" s="1" t="s">
        <v>130</v>
      </c>
      <c r="GD5796" s="1" t="s">
        <v>202</v>
      </c>
      <c r="GE5796" s="1" t="s">
        <v>190</v>
      </c>
    </row>
    <row r="5797" spans="1:187" ht="11.25" customHeight="1">
      <c r="A5797" s="1" t="s">
        <v>8123</v>
      </c>
      <c r="B5797" s="1" t="str">
        <f ca="1">IFERROR(__xludf.DUMMYFUNCTION("GOOGLETRANSLATE(A5797, ""en"", ""fr"")"),"JUDICIEUX")</f>
        <v>JUDICIEUX</v>
      </c>
      <c r="C5797" s="1" t="s">
        <v>196</v>
      </c>
      <c r="FL5797" s="1" t="s">
        <v>164</v>
      </c>
      <c r="FM5797" s="1" t="s">
        <v>418</v>
      </c>
      <c r="GD5797" s="1" t="s">
        <v>202</v>
      </c>
    </row>
    <row r="5798" spans="1:187" ht="11.25" customHeight="1">
      <c r="A5798" s="1" t="s">
        <v>8124</v>
      </c>
      <c r="B5798" s="1" t="str">
        <f ca="1">IFERROR(__xludf.DUMMYFUNCTION("GOOGLETRANSLATE(A5798, ""en"", ""fr"")"),"CRUCHE")</f>
        <v>CRUCHE</v>
      </c>
      <c r="C5798" s="1" t="s">
        <v>185</v>
      </c>
      <c r="BC5798" s="1" t="s">
        <v>51</v>
      </c>
      <c r="BD5798" s="1" t="s">
        <v>52</v>
      </c>
      <c r="GD5798" s="1" t="s">
        <v>193</v>
      </c>
      <c r="GE5798" s="1" t="s">
        <v>190</v>
      </c>
    </row>
    <row r="5799" spans="1:187" ht="11.25" customHeight="1">
      <c r="A5799" s="1" t="s">
        <v>8125</v>
      </c>
      <c r="B5799" s="1" t="str">
        <f ca="1">IFERROR(__xludf.DUMMYFUNCTION("GOOGLETRANSLATE(A5799, ""en"", ""fr"")"),"JUS")</f>
        <v>JUS</v>
      </c>
      <c r="C5799" s="1" t="s">
        <v>185</v>
      </c>
      <c r="BC5799" s="1" t="s">
        <v>51</v>
      </c>
      <c r="BE5799" s="1" t="s">
        <v>53</v>
      </c>
      <c r="GD5799" s="1" t="s">
        <v>193</v>
      </c>
      <c r="GE5799" s="1" t="s">
        <v>190</v>
      </c>
    </row>
    <row r="5800" spans="1:187" ht="11.25" customHeight="1">
      <c r="A5800" s="1" t="s">
        <v>8126</v>
      </c>
      <c r="B5800" s="1" t="str">
        <f ca="1">IFERROR(__xludf.DUMMYFUNCTION("GOOGLETRANSLATE(A5800, ""en"", ""fr"")"),"JUTEUX")</f>
        <v>JUTEUX</v>
      </c>
      <c r="C5800" s="1" t="s">
        <v>185</v>
      </c>
      <c r="CR5800" s="1" t="s">
        <v>92</v>
      </c>
      <c r="GD5800" s="1" t="s">
        <v>202</v>
      </c>
      <c r="GE5800" s="1" t="s">
        <v>190</v>
      </c>
    </row>
    <row r="5801" spans="1:187" ht="11.25" customHeight="1">
      <c r="A5801" s="1" t="s">
        <v>8127</v>
      </c>
      <c r="B5801" s="1" t="str">
        <f ca="1">IFERROR(__xludf.DUMMYFUNCTION("GOOGLETRANSLATE(A5801, ""en"", ""fr"")"),"JUILLET")</f>
        <v>JUILLET</v>
      </c>
      <c r="C5801" s="1" t="s">
        <v>185</v>
      </c>
      <c r="CQ5801" s="1" t="s">
        <v>91</v>
      </c>
      <c r="CY5801" s="1" t="s">
        <v>99</v>
      </c>
      <c r="CZ5801" s="1" t="s">
        <v>100</v>
      </c>
      <c r="GB5801" s="1" t="s">
        <v>180</v>
      </c>
      <c r="GD5801" s="1" t="s">
        <v>193</v>
      </c>
      <c r="GE5801" s="1" t="s">
        <v>190</v>
      </c>
    </row>
    <row r="5802" spans="1:187" ht="11.25" customHeight="1">
      <c r="A5802" s="1" t="s">
        <v>8128</v>
      </c>
      <c r="B5802" s="1" t="str">
        <f ca="1">IFERROR(__xludf.DUMMYFUNCTION("GOOGLETRANSLATE(A5802, ""en"", ""fr"")"),"Jump # 1")</f>
        <v>Jump # 1</v>
      </c>
      <c r="C5802" s="1" t="s">
        <v>185</v>
      </c>
      <c r="N5802" s="1" t="s">
        <v>10</v>
      </c>
      <c r="CB5802" s="1" t="s">
        <v>76</v>
      </c>
      <c r="DO5802" s="1" t="s">
        <v>115</v>
      </c>
      <c r="GD5802" s="1" t="s">
        <v>400</v>
      </c>
      <c r="GE5802" s="1" t="s">
        <v>8129</v>
      </c>
    </row>
    <row r="5803" spans="1:187" ht="11.25" customHeight="1">
      <c r="A5803" s="1" t="s">
        <v>8130</v>
      </c>
      <c r="B5803" s="1" t="str">
        <f ca="1">IFERROR(__xludf.DUMMYFUNCTION("GOOGLETRANSLATE(A5803, ""en"", ""fr"")"),"Jump # 2")</f>
        <v>Jump # 2</v>
      </c>
      <c r="C5803" s="1" t="s">
        <v>185</v>
      </c>
      <c r="N5803" s="1" t="s">
        <v>10</v>
      </c>
      <c r="DA5803" s="1" t="s">
        <v>101</v>
      </c>
      <c r="GD5803" s="1" t="s">
        <v>193</v>
      </c>
      <c r="GE5803" s="1" t="s">
        <v>8131</v>
      </c>
    </row>
    <row r="5804" spans="1:187" ht="11.25" customHeight="1">
      <c r="A5804" s="1" t="s">
        <v>8132</v>
      </c>
      <c r="B5804" s="1" t="str">
        <f ca="1">IFERROR(__xludf.DUMMYFUNCTION("GOOGLETRANSLATE(A5804, ""en"", ""fr"")"),"NERVEUX")</f>
        <v>NERVEUX</v>
      </c>
      <c r="C5804" s="1" t="s">
        <v>192</v>
      </c>
      <c r="E5804" s="1" t="s">
        <v>16613</v>
      </c>
      <c r="BW5804" s="1" t="s">
        <v>71</v>
      </c>
      <c r="DR5804" s="1" t="s">
        <v>118</v>
      </c>
      <c r="GD5804" s="1" t="s">
        <v>202</v>
      </c>
      <c r="GE5804" s="1" t="s">
        <v>190</v>
      </c>
    </row>
    <row r="5805" spans="1:187" ht="11.25" customHeight="1">
      <c r="A5805" s="1" t="s">
        <v>8133</v>
      </c>
      <c r="B5805" s="1" t="str">
        <f ca="1">IFERROR(__xludf.DUMMYFUNCTION("GOOGLETRANSLATE(A5805, ""en"", ""fr"")"),"CONJONCTURE")</f>
        <v>CONJONCTURE</v>
      </c>
      <c r="C5805" s="1" t="s">
        <v>196</v>
      </c>
      <c r="GD5805" s="1" t="s">
        <v>193</v>
      </c>
    </row>
    <row r="5806" spans="1:187" ht="11.25" customHeight="1">
      <c r="A5806" s="1" t="s">
        <v>8134</v>
      </c>
      <c r="B5806" s="1" t="str">
        <f ca="1">IFERROR(__xludf.DUMMYFUNCTION("GOOGLETRANSLATE(A5806, ""en"", ""fr"")"),"JUIN")</f>
        <v>JUIN</v>
      </c>
      <c r="C5806" s="1" t="s">
        <v>185</v>
      </c>
      <c r="CQ5806" s="1" t="s">
        <v>91</v>
      </c>
      <c r="CY5806" s="1" t="s">
        <v>99</v>
      </c>
      <c r="CZ5806" s="1" t="s">
        <v>100</v>
      </c>
      <c r="GB5806" s="1" t="s">
        <v>180</v>
      </c>
      <c r="GD5806" s="1" t="s">
        <v>193</v>
      </c>
      <c r="GE5806" s="1" t="s">
        <v>190</v>
      </c>
    </row>
    <row r="5807" spans="1:187" ht="11.25" customHeight="1">
      <c r="A5807" s="1" t="s">
        <v>8135</v>
      </c>
      <c r="B5807" s="1" t="str">
        <f ca="1">IFERROR(__xludf.DUMMYFUNCTION("GOOGLETRANSLATE(A5807, ""en"", ""fr"")"),"JUNGLE")</f>
        <v>JUNGLE</v>
      </c>
      <c r="C5807" s="1" t="s">
        <v>185</v>
      </c>
      <c r="AV5807" s="1" t="s">
        <v>44</v>
      </c>
      <c r="BA5807" s="1" t="s">
        <v>49</v>
      </c>
      <c r="FL5807" s="1" t="s">
        <v>164</v>
      </c>
      <c r="FM5807" s="1" t="s">
        <v>418</v>
      </c>
      <c r="GD5807" s="1" t="s">
        <v>193</v>
      </c>
      <c r="GE5807" s="1" t="s">
        <v>8136</v>
      </c>
    </row>
    <row r="5808" spans="1:187" ht="11.25" customHeight="1">
      <c r="A5808" s="1" t="s">
        <v>8137</v>
      </c>
      <c r="B5808" s="1" t="str">
        <f ca="1">IFERROR(__xludf.DUMMYFUNCTION("GOOGLETRANSLATE(A5808, ""en"", ""fr"")"),"Junior # 1")</f>
        <v>Junior # 1</v>
      </c>
      <c r="C5808" s="1" t="s">
        <v>185</v>
      </c>
      <c r="Y5808" s="1" t="s">
        <v>21</v>
      </c>
      <c r="CY5808" s="1" t="s">
        <v>99</v>
      </c>
      <c r="FG5808" s="1" t="s">
        <v>159</v>
      </c>
      <c r="FI5808" s="1" t="s">
        <v>161</v>
      </c>
      <c r="GD5808" s="1" t="s">
        <v>202</v>
      </c>
      <c r="GE5808" s="1" t="s">
        <v>8138</v>
      </c>
    </row>
    <row r="5809" spans="1:187" ht="11.25" customHeight="1">
      <c r="A5809" s="1" t="s">
        <v>8139</v>
      </c>
      <c r="B5809" s="1" t="str">
        <f ca="1">IFERROR(__xludf.DUMMYFUNCTION("GOOGLETRANSLATE(A5809, ""en"", ""fr"")"),"Junior # 2")</f>
        <v>Junior # 2</v>
      </c>
      <c r="C5809" s="1" t="s">
        <v>185</v>
      </c>
      <c r="CY5809" s="1" t="s">
        <v>99</v>
      </c>
      <c r="EM5809" s="1" t="s">
        <v>139</v>
      </c>
      <c r="EN5809" s="1" t="s">
        <v>140</v>
      </c>
      <c r="GD5809" s="1" t="s">
        <v>202</v>
      </c>
      <c r="GE5809" s="1" t="s">
        <v>8140</v>
      </c>
    </row>
    <row r="5810" spans="1:187" ht="11.25" customHeight="1">
      <c r="A5810" s="1" t="s">
        <v>8141</v>
      </c>
      <c r="B5810" s="1" t="str">
        <f ca="1">IFERROR(__xludf.DUMMYFUNCTION("GOOGLETRANSLATE(A5810, ""en"", ""fr"")"),"ORDURE")</f>
        <v>ORDURE</v>
      </c>
      <c r="C5810" s="1" t="s">
        <v>192</v>
      </c>
      <c r="E5810" s="1" t="s">
        <v>16613</v>
      </c>
      <c r="CM5810" s="1" t="s">
        <v>87</v>
      </c>
      <c r="CR5810" s="1" t="s">
        <v>92</v>
      </c>
      <c r="GD5810" s="1" t="s">
        <v>193</v>
      </c>
      <c r="GE5810" s="1" t="s">
        <v>190</v>
      </c>
    </row>
    <row r="5811" spans="1:187" ht="11.25" customHeight="1">
      <c r="A5811" s="1" t="s">
        <v>8142</v>
      </c>
      <c r="B5811" s="1" t="str">
        <f ca="1">IFERROR(__xludf.DUMMYFUNCTION("GOOGLETRANSLATE(A5811, ""en"", ""fr"")"),"JUNTE")</f>
        <v>JUNTE</v>
      </c>
      <c r="C5811" s="1" t="s">
        <v>185</v>
      </c>
      <c r="K5811" s="1" t="s">
        <v>7</v>
      </c>
      <c r="AE5811" s="1" t="s">
        <v>27</v>
      </c>
      <c r="AG5811" s="1" t="s">
        <v>29</v>
      </c>
      <c r="AH5811" s="1" t="s">
        <v>30</v>
      </c>
      <c r="AK5811" s="1" t="s">
        <v>33</v>
      </c>
      <c r="AT5811" s="1" t="s">
        <v>42</v>
      </c>
      <c r="DZ5811" s="1" t="s">
        <v>126</v>
      </c>
      <c r="ED5811" s="1" t="s">
        <v>130</v>
      </c>
      <c r="GD5811" s="1" t="s">
        <v>193</v>
      </c>
      <c r="GE5811" s="1" t="s">
        <v>190</v>
      </c>
    </row>
    <row r="5812" spans="1:187" ht="11.25" customHeight="1">
      <c r="A5812" s="1" t="s">
        <v>8143</v>
      </c>
      <c r="B5812" s="1" t="str">
        <f ca="1">IFERROR(__xludf.DUMMYFUNCTION("GOOGLETRANSLATE(A5812, ""en"", ""fr"")"),"JURIDICTION")</f>
        <v>JURIDICTION</v>
      </c>
      <c r="C5812" s="1" t="s">
        <v>185</v>
      </c>
      <c r="J5812" s="1" t="s">
        <v>6</v>
      </c>
      <c r="K5812" s="1" t="s">
        <v>7</v>
      </c>
      <c r="Z5812" s="1" t="s">
        <v>22</v>
      </c>
      <c r="AE5812" s="1" t="s">
        <v>27</v>
      </c>
      <c r="AG5812" s="1" t="s">
        <v>29</v>
      </c>
      <c r="AH5812" s="1" t="s">
        <v>30</v>
      </c>
      <c r="EB5812" s="1" t="s">
        <v>128</v>
      </c>
      <c r="ED5812" s="1" t="s">
        <v>130</v>
      </c>
      <c r="GD5812" s="1" t="s">
        <v>193</v>
      </c>
      <c r="GE5812" s="1" t="s">
        <v>190</v>
      </c>
    </row>
    <row r="5813" spans="1:187" ht="11.25" customHeight="1">
      <c r="A5813" s="1" t="s">
        <v>8144</v>
      </c>
      <c r="B5813" s="1" t="str">
        <f ca="1">IFERROR(__xludf.DUMMYFUNCTION("GOOGLETRANSLATE(A5813, ""en"", ""fr"")"),"JURÉ")</f>
        <v>JURÉ</v>
      </c>
      <c r="C5813" s="1" t="s">
        <v>185</v>
      </c>
      <c r="J5813" s="1" t="s">
        <v>6</v>
      </c>
      <c r="K5813" s="1" t="s">
        <v>7</v>
      </c>
      <c r="AE5813" s="1" t="s">
        <v>27</v>
      </c>
      <c r="AJ5813" s="1" t="s">
        <v>32</v>
      </c>
      <c r="AT5813" s="1" t="s">
        <v>42</v>
      </c>
      <c r="DY5813" s="1" t="s">
        <v>125</v>
      </c>
      <c r="ED5813" s="1" t="s">
        <v>130</v>
      </c>
      <c r="GD5813" s="1" t="s">
        <v>193</v>
      </c>
      <c r="GE5813" s="1" t="s">
        <v>190</v>
      </c>
    </row>
    <row r="5814" spans="1:187" ht="11.25" customHeight="1">
      <c r="A5814" s="1" t="s">
        <v>8145</v>
      </c>
      <c r="B5814" s="1" t="str">
        <f ca="1">IFERROR(__xludf.DUMMYFUNCTION("GOOGLETRANSLATE(A5814, ""en"", ""fr"")"),"JURY")</f>
        <v>JURY</v>
      </c>
      <c r="C5814" s="1" t="s">
        <v>185</v>
      </c>
      <c r="J5814" s="1" t="s">
        <v>6</v>
      </c>
      <c r="K5814" s="1" t="s">
        <v>7</v>
      </c>
      <c r="AE5814" s="1" t="s">
        <v>27</v>
      </c>
      <c r="AH5814" s="1" t="s">
        <v>30</v>
      </c>
      <c r="AK5814" s="1" t="s">
        <v>33</v>
      </c>
      <c r="AT5814" s="1" t="s">
        <v>42</v>
      </c>
      <c r="DY5814" s="1" t="s">
        <v>125</v>
      </c>
      <c r="ED5814" s="1" t="s">
        <v>130</v>
      </c>
      <c r="GD5814" s="1" t="s">
        <v>193</v>
      </c>
      <c r="GE5814" s="1" t="s">
        <v>190</v>
      </c>
    </row>
    <row r="5815" spans="1:187" ht="11.25" customHeight="1">
      <c r="A5815" s="1" t="s">
        <v>8146</v>
      </c>
      <c r="B5815" s="1" t="str">
        <f ca="1">IFERROR(__xludf.DUMMYFUNCTION("GOOGLETRANSLATE(A5815, ""en"", ""fr"")"),"SEULEMENT 1")</f>
        <v>SEULEMENT 1</v>
      </c>
      <c r="C5815" s="1" t="s">
        <v>185</v>
      </c>
      <c r="W5815" s="1" t="s">
        <v>19</v>
      </c>
      <c r="CS5815" s="1" t="s">
        <v>93</v>
      </c>
      <c r="GD5815" s="1" t="s">
        <v>236</v>
      </c>
      <c r="GE5815" s="1" t="s">
        <v>8147</v>
      </c>
    </row>
    <row r="5816" spans="1:187" ht="11.25" customHeight="1">
      <c r="A5816" s="1" t="s">
        <v>8148</v>
      </c>
      <c r="B5816" s="1" t="str">
        <f ca="1">IFERROR(__xludf.DUMMYFUNCTION("GOOGLETRANSLATE(A5816, ""en"", ""fr"")"),"SEULEMENT 2")</f>
        <v>SEULEMENT 2</v>
      </c>
      <c r="C5816" s="1" t="s">
        <v>185</v>
      </c>
      <c r="CY5816" s="1" t="s">
        <v>99</v>
      </c>
      <c r="GB5816" s="1" t="s">
        <v>180</v>
      </c>
      <c r="GD5816" s="1" t="s">
        <v>236</v>
      </c>
      <c r="GE5816" s="1" t="s">
        <v>8149</v>
      </c>
    </row>
    <row r="5817" spans="1:187" ht="11.25" customHeight="1">
      <c r="A5817" s="1" t="s">
        <v>8150</v>
      </c>
      <c r="B5817" s="1" t="str">
        <f ca="1">IFERROR(__xludf.DUMMYFUNCTION("GOOGLETRANSLATE(A5817, ""en"", ""fr"")"),"Juste # 3")</f>
        <v>Juste # 3</v>
      </c>
      <c r="C5817" s="1" t="s">
        <v>185</v>
      </c>
      <c r="D5817" s="1" t="s">
        <v>16612</v>
      </c>
      <c r="F5817" s="1" t="s">
        <v>2</v>
      </c>
      <c r="U5817" s="1" t="s">
        <v>17</v>
      </c>
      <c r="AE5817" s="1" t="s">
        <v>27</v>
      </c>
      <c r="EE5817" s="1" t="s">
        <v>131</v>
      </c>
      <c r="EJ5817" s="1" t="s">
        <v>136</v>
      </c>
      <c r="GD5817" s="1" t="s">
        <v>202</v>
      </c>
      <c r="GE5817" s="1" t="s">
        <v>8151</v>
      </c>
    </row>
    <row r="5818" spans="1:187" ht="11.25" customHeight="1">
      <c r="A5818" s="1" t="s">
        <v>8152</v>
      </c>
      <c r="B5818" s="1" t="str">
        <f ca="1">IFERROR(__xludf.DUMMYFUNCTION("GOOGLETRANSLATE(A5818, ""en"", ""fr"")"),"Juste # 4")</f>
        <v>Juste # 4</v>
      </c>
      <c r="C5818" s="1" t="s">
        <v>185</v>
      </c>
      <c r="D5818" s="1" t="s">
        <v>16612</v>
      </c>
      <c r="F5818" s="1" t="s">
        <v>2</v>
      </c>
      <c r="U5818" s="1" t="s">
        <v>17</v>
      </c>
      <c r="AE5818" s="1" t="s">
        <v>27</v>
      </c>
      <c r="EE5818" s="1" t="s">
        <v>131</v>
      </c>
      <c r="EJ5818" s="1" t="s">
        <v>136</v>
      </c>
      <c r="GD5818" s="1" t="s">
        <v>236</v>
      </c>
      <c r="GE5818" s="1" t="s">
        <v>8153</v>
      </c>
    </row>
    <row r="5819" spans="1:187" ht="11.25" customHeight="1">
      <c r="A5819" s="1" t="s">
        <v>8154</v>
      </c>
      <c r="B5819" s="1" t="str">
        <f ca="1">IFERROR(__xludf.DUMMYFUNCTION("GOOGLETRANSLATE(A5819, ""en"", ""fr"")"),"JUSTICE")</f>
        <v>JUSTICE</v>
      </c>
      <c r="C5819" s="1" t="s">
        <v>185</v>
      </c>
      <c r="D5819" s="1" t="s">
        <v>16612</v>
      </c>
      <c r="F5819" s="1" t="s">
        <v>2</v>
      </c>
      <c r="K5819" s="1" t="s">
        <v>7</v>
      </c>
      <c r="Z5819" s="1" t="s">
        <v>22</v>
      </c>
      <c r="AE5819" s="1" t="s">
        <v>27</v>
      </c>
      <c r="AH5819" s="1" t="s">
        <v>30</v>
      </c>
      <c r="CP5819" s="1" t="s">
        <v>90</v>
      </c>
      <c r="CQ5819" s="1" t="s">
        <v>91</v>
      </c>
      <c r="EE5819" s="1" t="s">
        <v>131</v>
      </c>
      <c r="EJ5819" s="1" t="s">
        <v>136</v>
      </c>
      <c r="GD5819" s="1" t="s">
        <v>193</v>
      </c>
      <c r="GE5819" s="1" t="s">
        <v>190</v>
      </c>
    </row>
    <row r="5820" spans="1:187" ht="11.25" customHeight="1">
      <c r="A5820" s="1" t="s">
        <v>8155</v>
      </c>
      <c r="B5820" s="1" t="str">
        <f ca="1">IFERROR(__xludf.DUMMYFUNCTION("GOOGLETRANSLATE(A5820, ""en"", ""fr"")"),"JUSTIFIABLE")</f>
        <v>JUSTIFIABLE</v>
      </c>
      <c r="C5820" s="1" t="s">
        <v>196</v>
      </c>
      <c r="EE5820" s="1" t="s">
        <v>131</v>
      </c>
      <c r="EJ5820" s="1" t="s">
        <v>136</v>
      </c>
      <c r="GD5820" s="1" t="s">
        <v>202</v>
      </c>
    </row>
    <row r="5821" spans="1:187" ht="11.25" customHeight="1">
      <c r="A5821" s="1" t="s">
        <v>8156</v>
      </c>
      <c r="B5821" s="1" t="str">
        <f ca="1">IFERROR(__xludf.DUMMYFUNCTION("GOOGLETRANSLATE(A5821, ""en"", ""fr"")"),"À juste titre")</f>
        <v>À juste titre</v>
      </c>
      <c r="C5821" s="1" t="s">
        <v>185</v>
      </c>
      <c r="D5821" s="1" t="s">
        <v>16612</v>
      </c>
      <c r="F5821" s="1" t="s">
        <v>2</v>
      </c>
      <c r="U5821" s="1" t="s">
        <v>17</v>
      </c>
      <c r="W5821" s="1" t="s">
        <v>19</v>
      </c>
      <c r="EE5821" s="1" t="s">
        <v>131</v>
      </c>
      <c r="EJ5821" s="1" t="s">
        <v>136</v>
      </c>
      <c r="GD5821" s="1" t="s">
        <v>236</v>
      </c>
      <c r="GE5821" s="1" t="s">
        <v>190</v>
      </c>
    </row>
    <row r="5822" spans="1:187" ht="11.25" customHeight="1">
      <c r="A5822" s="1" t="s">
        <v>8157</v>
      </c>
      <c r="B5822" s="1" t="str">
        <f ca="1">IFERROR(__xludf.DUMMYFUNCTION("GOOGLETRANSLATE(A5822, ""en"", ""fr"")"),"JUSTIFICATION")</f>
        <v>JUSTIFICATION</v>
      </c>
      <c r="C5822" s="1" t="s">
        <v>185</v>
      </c>
      <c r="D5822" s="1" t="s">
        <v>16612</v>
      </c>
      <c r="F5822" s="1" t="s">
        <v>2</v>
      </c>
      <c r="U5822" s="1" t="s">
        <v>17</v>
      </c>
      <c r="W5822" s="1" t="s">
        <v>19</v>
      </c>
      <c r="EE5822" s="1" t="s">
        <v>131</v>
      </c>
      <c r="EJ5822" s="1" t="s">
        <v>136</v>
      </c>
      <c r="GD5822" s="1" t="s">
        <v>193</v>
      </c>
      <c r="GE5822" s="1" t="s">
        <v>190</v>
      </c>
    </row>
    <row r="5823" spans="1:187" ht="11.25" customHeight="1">
      <c r="A5823" s="1" t="s">
        <v>8158</v>
      </c>
      <c r="B5823" s="1" t="str">
        <f ca="1">IFERROR(__xludf.DUMMYFUNCTION("GOOGLETRANSLATE(A5823, ""en"", ""fr"")"),"JUSTIFIER")</f>
        <v>JUSTIFIER</v>
      </c>
      <c r="C5823" s="1" t="s">
        <v>185</v>
      </c>
      <c r="D5823" s="1" t="s">
        <v>16612</v>
      </c>
      <c r="F5823" s="1" t="s">
        <v>2</v>
      </c>
      <c r="W5823" s="1" t="s">
        <v>19</v>
      </c>
      <c r="BK5823" s="1" t="s">
        <v>59</v>
      </c>
      <c r="DN5823" s="1" t="s">
        <v>114</v>
      </c>
      <c r="EG5823" s="1" t="s">
        <v>133</v>
      </c>
      <c r="EJ5823" s="1" t="s">
        <v>136</v>
      </c>
      <c r="GD5823" s="1" t="s">
        <v>189</v>
      </c>
      <c r="GE5823" s="1" t="s">
        <v>190</v>
      </c>
    </row>
    <row r="5824" spans="1:187" ht="11.25" customHeight="1">
      <c r="A5824" s="1" t="s">
        <v>8159</v>
      </c>
      <c r="B5824" s="1" t="str">
        <f ca="1">IFERROR(__xludf.DUMMYFUNCTION("GOOGLETRANSLATE(A5824, ""en"", ""fr"")"),"JUVÉNILE")</f>
        <v>JUVÉNILE</v>
      </c>
      <c r="C5824" s="1" t="s">
        <v>196</v>
      </c>
      <c r="EM5824" s="1" t="s">
        <v>139</v>
      </c>
      <c r="EN5824" s="1" t="s">
        <v>140</v>
      </c>
      <c r="GD5824" s="1" t="s">
        <v>202</v>
      </c>
    </row>
    <row r="5825" spans="1:187" ht="11.25" customHeight="1">
      <c r="A5825" s="1" t="s">
        <v>8160</v>
      </c>
      <c r="B5825" s="1" t="str">
        <f ca="1">IFERROR(__xludf.DUMMYFUNCTION("GOOGLETRANSLATE(A5825, ""en"", ""fr"")"),"KANSAS")</f>
        <v>KANSAS</v>
      </c>
      <c r="C5825" s="1" t="s">
        <v>196</v>
      </c>
      <c r="GD5825" s="1" t="s">
        <v>653</v>
      </c>
    </row>
    <row r="5826" spans="1:187" ht="11.25" customHeight="1">
      <c r="A5826" s="1" t="s">
        <v>8161</v>
      </c>
      <c r="B5826" s="1" t="str">
        <f ca="1">IFERROR(__xludf.DUMMYFUNCTION("GOOGLETRANSLATE(A5826, ""en"", ""fr"")"),"QUILLE")</f>
        <v>QUILLE</v>
      </c>
      <c r="C5826" s="1" t="s">
        <v>185</v>
      </c>
      <c r="BC5826" s="1" t="s">
        <v>51</v>
      </c>
      <c r="BD5826" s="1" t="s">
        <v>52</v>
      </c>
      <c r="GD5826" s="1" t="s">
        <v>193</v>
      </c>
      <c r="GE5826" s="1" t="s">
        <v>190</v>
      </c>
    </row>
    <row r="5827" spans="1:187" ht="11.25" customHeight="1">
      <c r="A5827" s="1" t="s">
        <v>8162</v>
      </c>
      <c r="B5827" s="1" t="str">
        <f ca="1">IFERROR(__xludf.DUMMYFUNCTION("GOOGLETRANSLATE(A5827, ""en"", ""fr"")"),"PASSIONNÉ")</f>
        <v>PASSIONNÉ</v>
      </c>
      <c r="C5827" s="1" t="s">
        <v>185</v>
      </c>
      <c r="D5827" s="1" t="s">
        <v>16612</v>
      </c>
      <c r="F5827" s="1" t="s">
        <v>2</v>
      </c>
      <c r="J5827" s="1" t="s">
        <v>6</v>
      </c>
      <c r="U5827" s="1" t="s">
        <v>17</v>
      </c>
      <c r="FX5827" s="1" t="s">
        <v>176</v>
      </c>
      <c r="GD5827" s="1" t="s">
        <v>202</v>
      </c>
      <c r="GE5827" s="1" t="s">
        <v>190</v>
      </c>
    </row>
    <row r="5828" spans="1:187" ht="11.25" customHeight="1">
      <c r="A5828" s="1" t="s">
        <v>8163</v>
      </c>
      <c r="B5828" s="1" t="str">
        <f ca="1">IFERROR(__xludf.DUMMYFUNCTION("GOOGLETRANSLATE(A5828, ""en"", ""fr"")"),"Gardez # 1")</f>
        <v>Gardez # 1</v>
      </c>
      <c r="C5828" s="1" t="s">
        <v>185</v>
      </c>
      <c r="N5828" s="1" t="s">
        <v>10</v>
      </c>
      <c r="BR5828" s="1" t="s">
        <v>66</v>
      </c>
      <c r="DN5828" s="1" t="s">
        <v>114</v>
      </c>
      <c r="FP5828" s="1" t="s">
        <v>168</v>
      </c>
      <c r="GD5828" s="1" t="s">
        <v>189</v>
      </c>
      <c r="GE5828" s="1" t="s">
        <v>8164</v>
      </c>
    </row>
    <row r="5829" spans="1:187" ht="11.25" customHeight="1">
      <c r="A5829" s="1" t="s">
        <v>8165</v>
      </c>
      <c r="B5829" s="1" t="str">
        <f ca="1">IFERROR(__xludf.DUMMYFUNCTION("GOOGLETRANSLATE(A5829, ""en"", ""fr"")"),"Garder le n ° 2")</f>
        <v>Garder le n ° 2</v>
      </c>
      <c r="C5829" s="1" t="s">
        <v>185</v>
      </c>
      <c r="I5829" s="1" t="s">
        <v>5</v>
      </c>
      <c r="J5829" s="1" t="s">
        <v>6</v>
      </c>
      <c r="K5829" s="1" t="s">
        <v>7</v>
      </c>
      <c r="N5829" s="1" t="s">
        <v>10</v>
      </c>
      <c r="AN5829" s="1" t="s">
        <v>36</v>
      </c>
      <c r="DN5829" s="1" t="s">
        <v>114</v>
      </c>
      <c r="FP5829" s="1" t="s">
        <v>168</v>
      </c>
      <c r="GD5829" s="1" t="s">
        <v>189</v>
      </c>
      <c r="GE5829" s="1" t="s">
        <v>8166</v>
      </c>
    </row>
    <row r="5830" spans="1:187" ht="11.25" customHeight="1">
      <c r="A5830" s="1" t="s">
        <v>8167</v>
      </c>
      <c r="B5830" s="1" t="str">
        <f ca="1">IFERROR(__xludf.DUMMYFUNCTION("GOOGLETRANSLATE(A5830, ""en"", ""fr"")"),"Gardez # 3")</f>
        <v>Gardez # 3</v>
      </c>
      <c r="C5830" s="1" t="s">
        <v>185</v>
      </c>
      <c r="N5830" s="1" t="s">
        <v>10</v>
      </c>
      <c r="BP5830" s="1" t="s">
        <v>64</v>
      </c>
      <c r="DN5830" s="1" t="s">
        <v>114</v>
      </c>
      <c r="FP5830" s="1" t="s">
        <v>168</v>
      </c>
      <c r="GD5830" s="1" t="s">
        <v>189</v>
      </c>
      <c r="GE5830" s="1" t="s">
        <v>8168</v>
      </c>
    </row>
    <row r="5831" spans="1:187" ht="11.25" customHeight="1">
      <c r="A5831" s="1" t="s">
        <v>8169</v>
      </c>
      <c r="B5831" s="1" t="str">
        <f ca="1">IFERROR(__xludf.DUMMYFUNCTION("GOOGLETRANSLATE(A5831, ""en"", ""fr"")"),"Gardez # 4")</f>
        <v>Gardez # 4</v>
      </c>
      <c r="C5831" s="1" t="s">
        <v>185</v>
      </c>
      <c r="J5831" s="1" t="s">
        <v>6</v>
      </c>
      <c r="BS5831" s="1" t="s">
        <v>67</v>
      </c>
      <c r="DN5831" s="1" t="s">
        <v>114</v>
      </c>
      <c r="FP5831" s="1" t="s">
        <v>168</v>
      </c>
      <c r="GD5831" s="1" t="s">
        <v>189</v>
      </c>
      <c r="GE5831" s="1" t="s">
        <v>8170</v>
      </c>
    </row>
    <row r="5832" spans="1:187" ht="11.25" customHeight="1">
      <c r="A5832" s="1" t="s">
        <v>8171</v>
      </c>
      <c r="B5832" s="1" t="str">
        <f ca="1">IFERROR(__xludf.DUMMYFUNCTION("GOOGLETRANSLATE(A5832, ""en"", ""fr"")"),"Garder # 5")</f>
        <v>Garder # 5</v>
      </c>
      <c r="C5832" s="1" t="s">
        <v>185</v>
      </c>
      <c r="J5832" s="1" t="s">
        <v>6</v>
      </c>
      <c r="N5832" s="1" t="s">
        <v>10</v>
      </c>
      <c r="CK5832" s="1" t="s">
        <v>85</v>
      </c>
      <c r="DN5832" s="1" t="s">
        <v>114</v>
      </c>
      <c r="GD5832" s="1" t="s">
        <v>4701</v>
      </c>
      <c r="GE5832" s="1" t="s">
        <v>8172</v>
      </c>
    </row>
    <row r="5833" spans="1:187" ht="11.25" customHeight="1">
      <c r="A5833" s="1" t="s">
        <v>8173</v>
      </c>
      <c r="B5833" s="1" t="str">
        <f ca="1">IFERROR(__xludf.DUMMYFUNCTION("GOOGLETRANSLATE(A5833, ""en"", ""fr"")"),"Garder le n ° 6")</f>
        <v>Garder le n ° 6</v>
      </c>
      <c r="C5833" s="1" t="s">
        <v>185</v>
      </c>
      <c r="BQ5833" s="1" t="s">
        <v>65</v>
      </c>
      <c r="GD5833" s="1" t="s">
        <v>193</v>
      </c>
      <c r="GE5833" s="1" t="s">
        <v>8174</v>
      </c>
    </row>
    <row r="5834" spans="1:187" ht="11.25" customHeight="1">
      <c r="A5834" s="1" t="s">
        <v>8175</v>
      </c>
      <c r="B5834" s="1" t="str">
        <f ca="1">IFERROR(__xludf.DUMMYFUNCTION("GOOGLETRANSLATE(A5834, ""en"", ""fr"")"),"Garder le n ° 7")</f>
        <v>Garder le n ° 7</v>
      </c>
      <c r="C5834" s="1" t="s">
        <v>185</v>
      </c>
      <c r="GD5834" s="1" t="s">
        <v>225</v>
      </c>
      <c r="GE5834" s="1" t="s">
        <v>8176</v>
      </c>
    </row>
    <row r="5835" spans="1:187" ht="11.25" customHeight="1">
      <c r="A5835" s="1" t="s">
        <v>8177</v>
      </c>
      <c r="B5835" s="1" t="str">
        <f ca="1">IFERROR(__xludf.DUMMYFUNCTION("GOOGLETRANSLATE(A5835, ""en"", ""fr"")"),"Garder # 8")</f>
        <v>Garder # 8</v>
      </c>
      <c r="C5835" s="1" t="s">
        <v>185</v>
      </c>
      <c r="GD5835" s="1" t="s">
        <v>225</v>
      </c>
      <c r="GE5835" s="1" t="s">
        <v>8178</v>
      </c>
    </row>
    <row r="5836" spans="1:187" ht="11.25" customHeight="1">
      <c r="A5836" s="1" t="s">
        <v>8179</v>
      </c>
      <c r="B5836" s="1" t="str">
        <f ca="1">IFERROR(__xludf.DUMMYFUNCTION("GOOGLETRANSLATE(A5836, ""en"", ""fr"")"),"GARDIEN")</f>
        <v>GARDIEN</v>
      </c>
      <c r="C5836" s="1" t="s">
        <v>185</v>
      </c>
      <c r="J5836" s="1" t="s">
        <v>6</v>
      </c>
      <c r="K5836" s="1" t="s">
        <v>7</v>
      </c>
      <c r="AJ5836" s="1" t="s">
        <v>32</v>
      </c>
      <c r="AT5836" s="1" t="s">
        <v>42</v>
      </c>
      <c r="FT5836" s="1" t="s">
        <v>172</v>
      </c>
      <c r="GD5836" s="1" t="s">
        <v>193</v>
      </c>
      <c r="GE5836" s="1" t="s">
        <v>190</v>
      </c>
    </row>
    <row r="5837" spans="1:187" ht="11.25" customHeight="1">
      <c r="A5837" s="1" t="s">
        <v>8180</v>
      </c>
      <c r="B5837" s="1" t="str">
        <f ca="1">IFERROR(__xludf.DUMMYFUNCTION("GOOGLETRANSLATE(A5837, ""en"", ""fr"")"),"KENTUCKY")</f>
        <v>KENTUCKY</v>
      </c>
      <c r="C5837" s="1" t="s">
        <v>196</v>
      </c>
      <c r="GD5837" s="1" t="s">
        <v>653</v>
      </c>
    </row>
    <row r="5838" spans="1:187" ht="11.25" customHeight="1">
      <c r="A5838" s="1" t="s">
        <v>8181</v>
      </c>
      <c r="B5838" s="1" t="str">
        <f ca="1">IFERROR(__xludf.DUMMYFUNCTION("GOOGLETRANSLATE(A5838, ""en"", ""fr"")"),"KENYA")</f>
        <v>KENYA</v>
      </c>
      <c r="C5838" s="1" t="s">
        <v>196</v>
      </c>
      <c r="FU5838" s="1" t="s">
        <v>173</v>
      </c>
      <c r="GD5838" s="1" t="s">
        <v>416</v>
      </c>
    </row>
    <row r="5839" spans="1:187" ht="11.25" customHeight="1">
      <c r="A5839" s="1" t="s">
        <v>8182</v>
      </c>
      <c r="B5839" s="1" t="str">
        <f ca="1">IFERROR(__xludf.DUMMYFUNCTION("GOOGLETRANSLATE(A5839, ""en"", ""fr"")"),"Conservé n ° 1")</f>
        <v>Conservé n ° 1</v>
      </c>
      <c r="C5839" s="1" t="s">
        <v>192</v>
      </c>
      <c r="GD5839" s="1" t="s">
        <v>1085</v>
      </c>
      <c r="GE5839" s="1" t="s">
        <v>190</v>
      </c>
    </row>
    <row r="5840" spans="1:187" ht="11.25" customHeight="1">
      <c r="A5840" s="1" t="s">
        <v>8183</v>
      </c>
      <c r="B5840" s="1" t="str">
        <f ca="1">IFERROR(__xludf.DUMMYFUNCTION("GOOGLETRANSLATE(A5840, ""en"", ""fr"")"),"CLÉ")</f>
        <v>CLÉ</v>
      </c>
      <c r="C5840" s="1" t="s">
        <v>185</v>
      </c>
      <c r="BC5840" s="1" t="s">
        <v>51</v>
      </c>
      <c r="BD5840" s="1" t="s">
        <v>52</v>
      </c>
      <c r="FH5840" s="1" t="s">
        <v>160</v>
      </c>
      <c r="FI5840" s="1" t="s">
        <v>161</v>
      </c>
      <c r="GD5840" s="1" t="s">
        <v>193</v>
      </c>
      <c r="GE5840" s="1" t="s">
        <v>190</v>
      </c>
    </row>
    <row r="5841" spans="1:187" ht="11.25" customHeight="1">
      <c r="A5841" s="1" t="s">
        <v>8184</v>
      </c>
      <c r="B5841" s="1" t="str">
        <f ca="1">IFERROR(__xludf.DUMMYFUNCTION("GOOGLETRANSLATE(A5841, ""en"", ""fr"")"),"CLAVIER")</f>
        <v>CLAVIER</v>
      </c>
      <c r="C5841" s="1" t="s">
        <v>185</v>
      </c>
      <c r="AD5841" s="1" t="s">
        <v>26</v>
      </c>
      <c r="BC5841" s="1" t="s">
        <v>51</v>
      </c>
      <c r="BD5841" s="1" t="s">
        <v>52</v>
      </c>
      <c r="GD5841" s="1" t="s">
        <v>193</v>
      </c>
      <c r="GE5841" s="1" t="s">
        <v>190</v>
      </c>
    </row>
    <row r="5842" spans="1:187" ht="11.25" customHeight="1">
      <c r="A5842" s="1" t="s">
        <v>8185</v>
      </c>
      <c r="B5842" s="1" t="str">
        <f ca="1">IFERROR(__xludf.DUMMYFUNCTION("GOOGLETRANSLATE(A5842, ""en"", ""fr"")"),"Coup de pied # 1")</f>
        <v>Coup de pied # 1</v>
      </c>
      <c r="C5842" s="1" t="s">
        <v>185</v>
      </c>
      <c r="E5842" s="1" t="s">
        <v>16613</v>
      </c>
      <c r="H5842" s="1" t="s">
        <v>4</v>
      </c>
      <c r="I5842" s="1" t="s">
        <v>5</v>
      </c>
      <c r="J5842" s="1" t="s">
        <v>6</v>
      </c>
      <c r="N5842" s="1" t="s">
        <v>10</v>
      </c>
      <c r="CC5842" s="1" t="s">
        <v>77</v>
      </c>
      <c r="DO5842" s="1" t="s">
        <v>115</v>
      </c>
      <c r="FO5842" s="1" t="s">
        <v>167</v>
      </c>
      <c r="GD5842" s="1" t="s">
        <v>189</v>
      </c>
      <c r="GE5842" s="1" t="s">
        <v>8186</v>
      </c>
    </row>
    <row r="5843" spans="1:187" ht="11.25" customHeight="1">
      <c r="A5843" s="1" t="s">
        <v>8187</v>
      </c>
      <c r="B5843" s="1" t="str">
        <f ca="1">IFERROR(__xludf.DUMMYFUNCTION("GOOGLETRANSLATE(A5843, ""en"", ""fr"")"),"Coup de pied # 2")</f>
        <v>Coup de pied # 2</v>
      </c>
      <c r="C5843" s="1" t="s">
        <v>185</v>
      </c>
      <c r="J5843" s="1" t="s">
        <v>6</v>
      </c>
      <c r="N5843" s="1" t="s">
        <v>10</v>
      </c>
      <c r="BV5843" s="1" t="s">
        <v>70</v>
      </c>
      <c r="DN5843" s="1" t="s">
        <v>114</v>
      </c>
      <c r="FO5843" s="1" t="s">
        <v>167</v>
      </c>
      <c r="GD5843" s="1" t="s">
        <v>189</v>
      </c>
      <c r="GE5843" s="1" t="s">
        <v>8188</v>
      </c>
    </row>
    <row r="5844" spans="1:187" ht="11.25" customHeight="1">
      <c r="A5844" s="1" t="s">
        <v>8189</v>
      </c>
      <c r="B5844" s="1" t="str">
        <f ca="1">IFERROR(__xludf.DUMMYFUNCTION("GOOGLETRANSLATE(A5844, ""en"", ""fr"")"),"Coup de pied # 3")</f>
        <v>Coup de pied # 3</v>
      </c>
      <c r="C5844" s="1" t="s">
        <v>185</v>
      </c>
      <c r="E5844" s="1" t="s">
        <v>16613</v>
      </c>
      <c r="H5844" s="1" t="s">
        <v>4</v>
      </c>
      <c r="I5844" s="1" t="s">
        <v>5</v>
      </c>
      <c r="J5844" s="1" t="s">
        <v>6</v>
      </c>
      <c r="N5844" s="1" t="s">
        <v>10</v>
      </c>
      <c r="CC5844" s="1" t="s">
        <v>77</v>
      </c>
      <c r="GD5844" s="1" t="s">
        <v>193</v>
      </c>
      <c r="GE5844" s="1" t="s">
        <v>8190</v>
      </c>
    </row>
    <row r="5845" spans="1:187" ht="11.25" customHeight="1">
      <c r="A5845" s="1" t="s">
        <v>8191</v>
      </c>
      <c r="B5845" s="1" t="str">
        <f ca="1">IFERROR(__xludf.DUMMYFUNCTION("GOOGLETRANSLATE(A5845, ""en"", ""fr"")"),"Coup de pied # 4")</f>
        <v>Coup de pied # 4</v>
      </c>
      <c r="C5845" s="1" t="s">
        <v>185</v>
      </c>
      <c r="E5845" s="1" t="s">
        <v>16613</v>
      </c>
      <c r="H5845" s="1" t="s">
        <v>4</v>
      </c>
      <c r="I5845" s="1" t="s">
        <v>5</v>
      </c>
      <c r="J5845" s="1" t="s">
        <v>6</v>
      </c>
      <c r="N5845" s="1" t="s">
        <v>10</v>
      </c>
      <c r="AN5845" s="1" t="s">
        <v>36</v>
      </c>
      <c r="DN5845" s="1" t="s">
        <v>114</v>
      </c>
      <c r="FO5845" s="1" t="s">
        <v>167</v>
      </c>
      <c r="GD5845" s="1" t="s">
        <v>189</v>
      </c>
      <c r="GE5845" s="1" t="s">
        <v>8192</v>
      </c>
    </row>
    <row r="5846" spans="1:187" ht="11.25" customHeight="1">
      <c r="A5846" s="1" t="s">
        <v>8193</v>
      </c>
      <c r="B5846" s="1" t="str">
        <f ca="1">IFERROR(__xludf.DUMMYFUNCTION("GOOGLETRANSLATE(A5846, ""en"", ""fr"")"),"Kid # 1")</f>
        <v>Kid # 1</v>
      </c>
      <c r="C5846" s="1" t="s">
        <v>185</v>
      </c>
      <c r="AJ5846" s="1" t="s">
        <v>32</v>
      </c>
      <c r="AS5846" s="1" t="s">
        <v>41</v>
      </c>
      <c r="AT5846" s="1" t="s">
        <v>42</v>
      </c>
      <c r="EM5846" s="1" t="s">
        <v>139</v>
      </c>
      <c r="EN5846" s="1" t="s">
        <v>140</v>
      </c>
      <c r="GD5846" s="1" t="s">
        <v>849</v>
      </c>
      <c r="GE5846" s="1" t="s">
        <v>8194</v>
      </c>
    </row>
    <row r="5847" spans="1:187" ht="11.25" customHeight="1">
      <c r="A5847" s="1" t="s">
        <v>8195</v>
      </c>
      <c r="B5847" s="1" t="str">
        <f ca="1">IFERROR(__xludf.DUMMYFUNCTION("GOOGLETRANSLATE(A5847, ""en"", ""fr"")"),"Kid # 2")</f>
        <v>Kid # 2</v>
      </c>
      <c r="C5847" s="1" t="s">
        <v>185</v>
      </c>
      <c r="D5847" s="1" t="s">
        <v>16612</v>
      </c>
      <c r="F5847" s="1" t="s">
        <v>2</v>
      </c>
      <c r="G5847" s="1" t="s">
        <v>3</v>
      </c>
      <c r="AD5847" s="1" t="s">
        <v>26</v>
      </c>
      <c r="BK5847" s="1" t="s">
        <v>59</v>
      </c>
      <c r="DN5847" s="1" t="s">
        <v>114</v>
      </c>
      <c r="GD5847" s="1" t="s">
        <v>189</v>
      </c>
      <c r="GE5847" s="1" t="s">
        <v>8196</v>
      </c>
    </row>
    <row r="5848" spans="1:187" ht="11.25" customHeight="1">
      <c r="A5848" s="1" t="s">
        <v>8197</v>
      </c>
      <c r="B5848" s="1" t="str">
        <f ca="1">IFERROR(__xludf.DUMMYFUNCTION("GOOGLETRANSLATE(A5848, ""en"", ""fr"")"),"KIDNAPPER")</f>
        <v>KIDNAPPER</v>
      </c>
      <c r="C5848" s="1" t="s">
        <v>192</v>
      </c>
      <c r="E5848" s="1" t="s">
        <v>16613</v>
      </c>
      <c r="I5848" s="1" t="s">
        <v>5</v>
      </c>
      <c r="N5848" s="1" t="s">
        <v>10</v>
      </c>
      <c r="AE5848" s="1" t="s">
        <v>27</v>
      </c>
      <c r="CD5848" s="1" t="s">
        <v>78</v>
      </c>
      <c r="DN5848" s="1" t="s">
        <v>114</v>
      </c>
      <c r="GD5848" s="1" t="s">
        <v>670</v>
      </c>
      <c r="GE5848" s="1" t="s">
        <v>190</v>
      </c>
    </row>
    <row r="5849" spans="1:187" ht="11.25" customHeight="1">
      <c r="A5849" s="1" t="s">
        <v>8198</v>
      </c>
      <c r="B5849" s="1" t="str">
        <f ca="1">IFERROR(__xludf.DUMMYFUNCTION("GOOGLETRANSLATE(A5849, ""en"", ""fr"")"),"REIN")</f>
        <v>REIN</v>
      </c>
      <c r="C5849" s="1" t="s">
        <v>185</v>
      </c>
      <c r="BJ5849" s="1" t="s">
        <v>58</v>
      </c>
      <c r="GD5849" s="1" t="s">
        <v>193</v>
      </c>
      <c r="GE5849" s="1" t="s">
        <v>190</v>
      </c>
    </row>
    <row r="5850" spans="1:187" ht="11.25" customHeight="1">
      <c r="A5850" s="1" t="s">
        <v>8199</v>
      </c>
      <c r="B5850" s="1" t="str">
        <f ca="1">IFERROR(__xludf.DUMMYFUNCTION("GOOGLETRANSLATE(A5850, ""en"", ""fr"")"),"Kill # 1")</f>
        <v>Kill # 1</v>
      </c>
      <c r="C5850" s="1" t="s">
        <v>185</v>
      </c>
      <c r="E5850" s="1" t="s">
        <v>16613</v>
      </c>
      <c r="H5850" s="1" t="s">
        <v>4</v>
      </c>
      <c r="I5850" s="1" t="s">
        <v>5</v>
      </c>
      <c r="J5850" s="1" t="s">
        <v>6</v>
      </c>
      <c r="N5850" s="1" t="s">
        <v>10</v>
      </c>
      <c r="AN5850" s="1" t="s">
        <v>36</v>
      </c>
      <c r="DO5850" s="1" t="s">
        <v>115</v>
      </c>
      <c r="FO5850" s="1" t="s">
        <v>167</v>
      </c>
      <c r="GD5850" s="1" t="s">
        <v>400</v>
      </c>
      <c r="GE5850" s="1" t="s">
        <v>8200</v>
      </c>
    </row>
    <row r="5851" spans="1:187" ht="11.25" customHeight="1">
      <c r="A5851" s="1" t="s">
        <v>8201</v>
      </c>
      <c r="B5851" s="1" t="str">
        <f ca="1">IFERROR(__xludf.DUMMYFUNCTION("GOOGLETRANSLATE(A5851, ""en"", ""fr"")"),"Kill # 2")</f>
        <v>Kill # 2</v>
      </c>
      <c r="C5851" s="1" t="s">
        <v>185</v>
      </c>
      <c r="E5851" s="1" t="s">
        <v>16613</v>
      </c>
      <c r="H5851" s="1" t="s">
        <v>4</v>
      </c>
      <c r="I5851" s="1" t="s">
        <v>5</v>
      </c>
      <c r="J5851" s="1" t="s">
        <v>6</v>
      </c>
      <c r="N5851" s="1" t="s">
        <v>10</v>
      </c>
      <c r="AN5851" s="1" t="s">
        <v>36</v>
      </c>
      <c r="FO5851" s="1" t="s">
        <v>167</v>
      </c>
      <c r="GD5851" s="1" t="s">
        <v>193</v>
      </c>
      <c r="GE5851" s="1" t="s">
        <v>8202</v>
      </c>
    </row>
    <row r="5852" spans="1:187" ht="11.25" customHeight="1">
      <c r="A5852" s="1" t="s">
        <v>8203</v>
      </c>
      <c r="B5852" s="1" t="str">
        <f ca="1">IFERROR(__xludf.DUMMYFUNCTION("GOOGLETRANSLATE(A5852, ""en"", ""fr"")"),"TUEUR")</f>
        <v>TUEUR</v>
      </c>
      <c r="C5852" s="1" t="s">
        <v>185</v>
      </c>
      <c r="E5852" s="1" t="s">
        <v>16613</v>
      </c>
      <c r="H5852" s="1" t="s">
        <v>4</v>
      </c>
      <c r="I5852" s="1" t="s">
        <v>5</v>
      </c>
      <c r="J5852" s="1" t="s">
        <v>6</v>
      </c>
      <c r="N5852" s="1" t="s">
        <v>10</v>
      </c>
      <c r="AJ5852" s="1" t="s">
        <v>32</v>
      </c>
      <c r="AT5852" s="1" t="s">
        <v>42</v>
      </c>
      <c r="GD5852" s="1" t="s">
        <v>193</v>
      </c>
      <c r="GE5852" s="1" t="s">
        <v>190</v>
      </c>
    </row>
    <row r="5853" spans="1:187" ht="11.25" customHeight="1">
      <c r="A5853" s="1" t="s">
        <v>8204</v>
      </c>
      <c r="B5853" s="1" t="str">
        <f ca="1">IFERROR(__xludf.DUMMYFUNCTION("GOOGLETRANSLATE(A5853, ""en"", ""fr"")"),"KILOMÈTRE")</f>
        <v>KILOMÈTRE</v>
      </c>
      <c r="C5853" s="1" t="s">
        <v>185</v>
      </c>
      <c r="CQ5853" s="1" t="s">
        <v>91</v>
      </c>
      <c r="CX5853" s="1" t="s">
        <v>98</v>
      </c>
      <c r="DA5853" s="1" t="s">
        <v>101</v>
      </c>
      <c r="GB5853" s="1" t="s">
        <v>180</v>
      </c>
      <c r="GD5853" s="1" t="s">
        <v>193</v>
      </c>
      <c r="GE5853" s="1" t="s">
        <v>190</v>
      </c>
    </row>
    <row r="5854" spans="1:187" ht="11.25" customHeight="1">
      <c r="A5854" s="1" t="s">
        <v>8205</v>
      </c>
      <c r="B5854" s="1" t="str">
        <f ca="1">IFERROR(__xludf.DUMMYFUNCTION("GOOGLETRANSLATE(A5854, ""en"", ""fr"")"),"Kilomètre n ° 1")</f>
        <v>Kilomètre n ° 1</v>
      </c>
      <c r="C5854" s="1" t="s">
        <v>192</v>
      </c>
      <c r="GE5854" s="1" t="s">
        <v>190</v>
      </c>
    </row>
    <row r="5855" spans="1:187" ht="11.25" customHeight="1">
      <c r="A5855" s="1" t="s">
        <v>8206</v>
      </c>
      <c r="B5855" s="1" t="str">
        <f ca="1">IFERROR(__xludf.DUMMYFUNCTION("GOOGLETRANSLATE(A5855, ""en"", ""fr"")"),"PROCHE")</f>
        <v>PROCHE</v>
      </c>
      <c r="C5855" s="1" t="s">
        <v>185</v>
      </c>
      <c r="AJ5855" s="1" t="s">
        <v>32</v>
      </c>
      <c r="AP5855" s="1" t="s">
        <v>38</v>
      </c>
      <c r="AT5855" s="1" t="s">
        <v>42</v>
      </c>
      <c r="EQ5855" s="1" t="s">
        <v>143</v>
      </c>
      <c r="ES5855" s="1" t="s">
        <v>145</v>
      </c>
      <c r="GD5855" s="1" t="s">
        <v>193</v>
      </c>
      <c r="GE5855" s="1" t="s">
        <v>190</v>
      </c>
    </row>
    <row r="5856" spans="1:187" ht="11.25" customHeight="1">
      <c r="A5856" s="1" t="s">
        <v>8207</v>
      </c>
      <c r="B5856" s="1" t="str">
        <f ca="1">IFERROR(__xludf.DUMMYFUNCTION("GOOGLETRANSLATE(A5856, ""en"", ""fr"")"),"Genre # 1")</f>
        <v>Genre # 1</v>
      </c>
      <c r="C5856" s="1" t="s">
        <v>185</v>
      </c>
      <c r="CH5856" s="1" t="s">
        <v>82</v>
      </c>
      <c r="CP5856" s="1" t="s">
        <v>90</v>
      </c>
      <c r="CQ5856" s="1" t="s">
        <v>91</v>
      </c>
      <c r="FX5856" s="1" t="s">
        <v>176</v>
      </c>
      <c r="GD5856" s="1" t="s">
        <v>193</v>
      </c>
      <c r="GE5856" s="1" t="s">
        <v>8208</v>
      </c>
    </row>
    <row r="5857" spans="1:187" ht="11.25" customHeight="1">
      <c r="A5857" s="1" t="s">
        <v>8209</v>
      </c>
      <c r="B5857" s="1" t="str">
        <f ca="1">IFERROR(__xludf.DUMMYFUNCTION("GOOGLETRANSLATE(A5857, ""en"", ""fr"")"),"Kind # 2")</f>
        <v>Kind # 2</v>
      </c>
      <c r="C5857" s="1" t="s">
        <v>185</v>
      </c>
      <c r="D5857" s="1" t="s">
        <v>16612</v>
      </c>
      <c r="F5857" s="1" t="s">
        <v>2</v>
      </c>
      <c r="G5857" s="1" t="s">
        <v>3</v>
      </c>
      <c r="U5857" s="1" t="s">
        <v>17</v>
      </c>
      <c r="CN5857" s="1" t="s">
        <v>88</v>
      </c>
      <c r="FX5857" s="1" t="s">
        <v>176</v>
      </c>
      <c r="GD5857" s="1" t="s">
        <v>202</v>
      </c>
      <c r="GE5857" s="1" t="s">
        <v>8210</v>
      </c>
    </row>
    <row r="5858" spans="1:187" ht="11.25" customHeight="1">
      <c r="A5858" s="1" t="s">
        <v>8211</v>
      </c>
      <c r="B5858" s="1" t="str">
        <f ca="1">IFERROR(__xludf.DUMMYFUNCTION("GOOGLETRANSLATE(A5858, ""en"", ""fr"")"),"Genre # 3")</f>
        <v>Genre # 3</v>
      </c>
      <c r="C5858" s="1" t="s">
        <v>185</v>
      </c>
      <c r="X5858" s="1" t="s">
        <v>20</v>
      </c>
      <c r="FZ5858" s="1" t="s">
        <v>178</v>
      </c>
      <c r="GD5858" s="1" t="s">
        <v>236</v>
      </c>
      <c r="GE5858" s="1" t="s">
        <v>8212</v>
      </c>
    </row>
    <row r="5859" spans="1:187" ht="11.25" customHeight="1">
      <c r="A5859" s="1" t="s">
        <v>8213</v>
      </c>
      <c r="B5859" s="1" t="str">
        <f ca="1">IFERROR(__xludf.DUMMYFUNCTION("GOOGLETRANSLATE(A5859, ""en"", ""fr"")"),"Genre # 4")</f>
        <v>Genre # 4</v>
      </c>
      <c r="C5859" s="1" t="s">
        <v>185</v>
      </c>
      <c r="BK5859" s="1" t="s">
        <v>59</v>
      </c>
      <c r="GC5859" s="1" t="s">
        <v>181</v>
      </c>
      <c r="GD5859" s="1" t="s">
        <v>236</v>
      </c>
      <c r="GE5859" s="1" t="s">
        <v>8214</v>
      </c>
    </row>
    <row r="5860" spans="1:187" ht="11.25" customHeight="1">
      <c r="A5860" s="1" t="s">
        <v>8215</v>
      </c>
      <c r="B5860" s="1" t="str">
        <f ca="1">IFERROR(__xludf.DUMMYFUNCTION("GOOGLETRANSLATE(A5860, ""en"", ""fr"")"),"Genre # 5")</f>
        <v>Genre # 5</v>
      </c>
      <c r="C5860" s="1" t="s">
        <v>185</v>
      </c>
      <c r="D5860" s="1" t="s">
        <v>16612</v>
      </c>
      <c r="F5860" s="1" t="s">
        <v>2</v>
      </c>
      <c r="G5860" s="1" t="s">
        <v>3</v>
      </c>
      <c r="U5860" s="1" t="s">
        <v>17</v>
      </c>
      <c r="FX5860" s="1" t="s">
        <v>176</v>
      </c>
      <c r="GD5860" s="1" t="s">
        <v>236</v>
      </c>
      <c r="GE5860" s="1" t="s">
        <v>8216</v>
      </c>
    </row>
    <row r="5861" spans="1:187" ht="11.25" customHeight="1">
      <c r="A5861" s="1" t="s">
        <v>8217</v>
      </c>
      <c r="B5861" s="1" t="str">
        <f ca="1">IFERROR(__xludf.DUMMYFUNCTION("GOOGLETRANSLATE(A5861, ""en"", ""fr"")"),"ALLUMER")</f>
        <v>ALLUMER</v>
      </c>
      <c r="C5861" s="1" t="s">
        <v>196</v>
      </c>
      <c r="FP5861" s="1" t="s">
        <v>168</v>
      </c>
      <c r="GD5861" s="1" t="s">
        <v>189</v>
      </c>
    </row>
    <row r="5862" spans="1:187" ht="11.25" customHeight="1">
      <c r="A5862" s="1" t="s">
        <v>8218</v>
      </c>
      <c r="B5862" s="1" t="str">
        <f ca="1">IFERROR(__xludf.DUMMYFUNCTION("GOOGLETRANSLATE(A5862, ""en"", ""fr"")"),"GENTILLESSE")</f>
        <v>GENTILLESSE</v>
      </c>
      <c r="C5862" s="1" t="s">
        <v>185</v>
      </c>
      <c r="D5862" s="1" t="s">
        <v>16612</v>
      </c>
      <c r="F5862" s="1" t="s">
        <v>2</v>
      </c>
      <c r="G5862" s="1" t="s">
        <v>3</v>
      </c>
      <c r="U5862" s="1" t="s">
        <v>17</v>
      </c>
      <c r="FX5862" s="1" t="s">
        <v>176</v>
      </c>
      <c r="GD5862" s="1" t="s">
        <v>193</v>
      </c>
      <c r="GE5862" s="1" t="s">
        <v>190</v>
      </c>
    </row>
    <row r="5863" spans="1:187" ht="11.25" customHeight="1">
      <c r="A5863" s="1" t="s">
        <v>8219</v>
      </c>
      <c r="B5863" s="1" t="str">
        <f ca="1">IFERROR(__xludf.DUMMYFUNCTION("GOOGLETRANSLATE(A5863, ""en"", ""fr"")"),"PARENTÉ")</f>
        <v>PARENTÉ</v>
      </c>
      <c r="C5863" s="1" t="s">
        <v>185</v>
      </c>
      <c r="AK5863" s="1" t="s">
        <v>33</v>
      </c>
      <c r="AP5863" s="1" t="s">
        <v>38</v>
      </c>
      <c r="AT5863" s="1" t="s">
        <v>42</v>
      </c>
      <c r="ER5863" s="1" t="s">
        <v>144</v>
      </c>
      <c r="ES5863" s="1" t="s">
        <v>145</v>
      </c>
      <c r="GD5863" s="1" t="s">
        <v>193</v>
      </c>
      <c r="GE5863" s="1" t="s">
        <v>190</v>
      </c>
    </row>
    <row r="5864" spans="1:187" ht="11.25" customHeight="1">
      <c r="A5864" s="1" t="s">
        <v>8220</v>
      </c>
      <c r="B5864" s="1" t="str">
        <f ca="1">IFERROR(__xludf.DUMMYFUNCTION("GOOGLETRANSLATE(A5864, ""en"", ""fr"")"),"ROI")</f>
        <v>ROI</v>
      </c>
      <c r="C5864" s="1" t="s">
        <v>185</v>
      </c>
      <c r="J5864" s="1" t="s">
        <v>6</v>
      </c>
      <c r="K5864" s="1" t="s">
        <v>7</v>
      </c>
      <c r="AG5864" s="1" t="s">
        <v>29</v>
      </c>
      <c r="AH5864" s="1" t="s">
        <v>30</v>
      </c>
      <c r="AJ5864" s="1" t="s">
        <v>32</v>
      </c>
      <c r="AQ5864" s="1" t="s">
        <v>39</v>
      </c>
      <c r="AT5864" s="1" t="s">
        <v>42</v>
      </c>
      <c r="DV5864" s="1" t="s">
        <v>122</v>
      </c>
      <c r="ED5864" s="1" t="s">
        <v>130</v>
      </c>
      <c r="GD5864" s="1" t="s">
        <v>193</v>
      </c>
      <c r="GE5864" s="1" t="s">
        <v>8221</v>
      </c>
    </row>
    <row r="5865" spans="1:187" ht="11.25" customHeight="1">
      <c r="A5865" s="1" t="s">
        <v>8222</v>
      </c>
      <c r="B5865" s="1" t="str">
        <f ca="1">IFERROR(__xludf.DUMMYFUNCTION("GOOGLETRANSLATE(A5865, ""en"", ""fr"")"),"ROYAUME")</f>
        <v>ROYAUME</v>
      </c>
      <c r="C5865" s="1" t="s">
        <v>185</v>
      </c>
      <c r="AG5865" s="1" t="s">
        <v>29</v>
      </c>
      <c r="AH5865" s="1" t="s">
        <v>30</v>
      </c>
      <c r="AV5865" s="1" t="s">
        <v>44</v>
      </c>
      <c r="AX5865" s="1" t="s">
        <v>46</v>
      </c>
      <c r="DV5865" s="1" t="s">
        <v>122</v>
      </c>
      <c r="ED5865" s="1" t="s">
        <v>130</v>
      </c>
      <c r="GD5865" s="1" t="s">
        <v>193</v>
      </c>
      <c r="GE5865" s="1" t="s">
        <v>8223</v>
      </c>
    </row>
    <row r="5866" spans="1:187" ht="11.25" customHeight="1">
      <c r="A5866" s="1" t="s">
        <v>8224</v>
      </c>
      <c r="B5866" s="1" t="str">
        <f ca="1">IFERROR(__xludf.DUMMYFUNCTION("GOOGLETRANSLATE(A5866, ""en"", ""fr"")"),"Kiss # 1")</f>
        <v>Kiss # 1</v>
      </c>
      <c r="C5866" s="1" t="s">
        <v>185</v>
      </c>
      <c r="D5866" s="1" t="s">
        <v>16612</v>
      </c>
      <c r="F5866" s="1" t="s">
        <v>2</v>
      </c>
      <c r="G5866" s="1" t="s">
        <v>3</v>
      </c>
      <c r="N5866" s="1" t="s">
        <v>10</v>
      </c>
      <c r="BK5866" s="1" t="s">
        <v>59</v>
      </c>
      <c r="EO5866" s="1" t="s">
        <v>141</v>
      </c>
      <c r="ES5866" s="1" t="s">
        <v>145</v>
      </c>
      <c r="GC5866" s="1" t="s">
        <v>181</v>
      </c>
      <c r="GD5866" s="1" t="s">
        <v>193</v>
      </c>
      <c r="GE5866" s="1" t="s">
        <v>190</v>
      </c>
    </row>
    <row r="5867" spans="1:187" ht="11.25" customHeight="1">
      <c r="A5867" s="1" t="s">
        <v>8225</v>
      </c>
      <c r="B5867" s="1" t="str">
        <f ca="1">IFERROR(__xludf.DUMMYFUNCTION("GOOGLETRANSLATE(A5867, ""en"", ""fr"")"),"Kiss # 2")</f>
        <v>Kiss # 2</v>
      </c>
      <c r="C5867" s="1" t="s">
        <v>185</v>
      </c>
      <c r="D5867" s="1" t="s">
        <v>16612</v>
      </c>
      <c r="F5867" s="1" t="s">
        <v>2</v>
      </c>
      <c r="G5867" s="1" t="s">
        <v>3</v>
      </c>
      <c r="N5867" s="1" t="s">
        <v>10</v>
      </c>
      <c r="AN5867" s="1" t="s">
        <v>36</v>
      </c>
      <c r="DO5867" s="1" t="s">
        <v>115</v>
      </c>
      <c r="EO5867" s="1" t="s">
        <v>141</v>
      </c>
      <c r="ES5867" s="1" t="s">
        <v>145</v>
      </c>
      <c r="GD5867" s="1" t="s">
        <v>189</v>
      </c>
      <c r="GE5867" s="1" t="s">
        <v>190</v>
      </c>
    </row>
    <row r="5868" spans="1:187" ht="11.25" customHeight="1">
      <c r="A5868" s="1" t="s">
        <v>8226</v>
      </c>
      <c r="B5868" s="1" t="str">
        <f ca="1">IFERROR(__xludf.DUMMYFUNCTION("GOOGLETRANSLATE(A5868, ""en"", ""fr"")"),"CUISINE")</f>
        <v>CUISINE</v>
      </c>
      <c r="C5868" s="1" t="s">
        <v>185</v>
      </c>
      <c r="BC5868" s="1" t="s">
        <v>51</v>
      </c>
      <c r="BG5868" s="1" t="s">
        <v>55</v>
      </c>
      <c r="FL5868" s="1" t="s">
        <v>164</v>
      </c>
      <c r="FM5868" s="1" t="s">
        <v>418</v>
      </c>
      <c r="GD5868" s="1" t="s">
        <v>193</v>
      </c>
      <c r="GE5868" s="1" t="s">
        <v>8227</v>
      </c>
    </row>
    <row r="5869" spans="1:187" ht="11.25" customHeight="1">
      <c r="A5869" s="1" t="s">
        <v>8228</v>
      </c>
      <c r="B5869" s="1" t="str">
        <f ca="1">IFERROR(__xludf.DUMMYFUNCTION("GOOGLETRANSLATE(A5869, ""en"", ""fr"")"),"CHATON")</f>
        <v>CHATON</v>
      </c>
      <c r="C5869" s="1" t="s">
        <v>196</v>
      </c>
      <c r="GD5869" s="1" t="s">
        <v>193</v>
      </c>
    </row>
    <row r="5870" spans="1:187" ht="11.25" customHeight="1">
      <c r="A5870" s="1" t="s">
        <v>8229</v>
      </c>
      <c r="B5870" s="1" t="str">
        <f ca="1">IFERROR(__xludf.DUMMYFUNCTION("GOOGLETRANSLATE(A5870, ""en"", ""fr"")"),"GENOU")</f>
        <v>GENOU</v>
      </c>
      <c r="C5870" s="1" t="s">
        <v>185</v>
      </c>
      <c r="BJ5870" s="1" t="s">
        <v>58</v>
      </c>
      <c r="EZ5870" s="1" t="s">
        <v>152</v>
      </c>
      <c r="FC5870" s="1" t="s">
        <v>155</v>
      </c>
      <c r="GD5870" s="1" t="s">
        <v>193</v>
      </c>
      <c r="GE5870" s="1" t="s">
        <v>190</v>
      </c>
    </row>
    <row r="5871" spans="1:187" ht="11.25" customHeight="1">
      <c r="A5871" s="1" t="s">
        <v>8230</v>
      </c>
      <c r="B5871" s="1" t="str">
        <f ca="1">IFERROR(__xludf.DUMMYFUNCTION("GOOGLETRANSLATE(A5871, ""en"", ""fr"")"),"S'AGENOUILLER")</f>
        <v>S'AGENOUILLER</v>
      </c>
      <c r="C5871" s="1" t="s">
        <v>185</v>
      </c>
      <c r="L5871" s="1" t="s">
        <v>8</v>
      </c>
      <c r="M5871" s="1" t="s">
        <v>9</v>
      </c>
      <c r="O5871" s="1" t="s">
        <v>11</v>
      </c>
      <c r="CA5871" s="1" t="s">
        <v>75</v>
      </c>
      <c r="DO5871" s="1" t="s">
        <v>115</v>
      </c>
      <c r="EM5871" s="1" t="s">
        <v>139</v>
      </c>
      <c r="EN5871" s="1" t="s">
        <v>140</v>
      </c>
      <c r="GD5871" s="1" t="s">
        <v>189</v>
      </c>
      <c r="GE5871" s="1" t="s">
        <v>190</v>
      </c>
    </row>
    <row r="5872" spans="1:187" ht="11.25" customHeight="1">
      <c r="A5872" s="1" t="s">
        <v>8231</v>
      </c>
      <c r="B5872" s="1" t="str">
        <f ca="1">IFERROR(__xludf.DUMMYFUNCTION("GOOGLETRANSLATE(A5872, ""en"", ""fr"")"),"AGENOUILLÉ")</f>
        <v>AGENOUILLÉ</v>
      </c>
      <c r="C5872" s="1" t="s">
        <v>185</v>
      </c>
      <c r="L5872" s="1" t="s">
        <v>8</v>
      </c>
      <c r="M5872" s="1" t="s">
        <v>9</v>
      </c>
      <c r="O5872" s="1" t="s">
        <v>11</v>
      </c>
      <c r="CA5872" s="1" t="s">
        <v>75</v>
      </c>
      <c r="DO5872" s="1" t="s">
        <v>115</v>
      </c>
      <c r="EM5872" s="1" t="s">
        <v>139</v>
      </c>
      <c r="EN5872" s="1" t="s">
        <v>140</v>
      </c>
      <c r="GD5872" s="1" t="s">
        <v>1076</v>
      </c>
      <c r="GE5872" s="1" t="s">
        <v>190</v>
      </c>
    </row>
    <row r="5873" spans="1:187" ht="11.25" customHeight="1">
      <c r="A5873" s="1" t="s">
        <v>8232</v>
      </c>
      <c r="B5873" s="1" t="str">
        <f ca="1">IFERROR(__xludf.DUMMYFUNCTION("GOOGLETRANSLATE(A5873, ""en"", ""fr"")"),"SAVAIT")</f>
        <v>SAVAIT</v>
      </c>
      <c r="C5873" s="1" t="s">
        <v>185</v>
      </c>
      <c r="O5873" s="1" t="s">
        <v>11</v>
      </c>
      <c r="CO5873" s="1" t="s">
        <v>89</v>
      </c>
      <c r="DP5873" s="1" t="s">
        <v>116</v>
      </c>
      <c r="FH5873" s="1" t="s">
        <v>160</v>
      </c>
      <c r="FI5873" s="1" t="s">
        <v>161</v>
      </c>
      <c r="GD5873" s="1" t="s">
        <v>1076</v>
      </c>
      <c r="GE5873" s="1" t="s">
        <v>8233</v>
      </c>
    </row>
    <row r="5874" spans="1:187" ht="11.25" customHeight="1">
      <c r="A5874" s="1" t="s">
        <v>8234</v>
      </c>
      <c r="B5874" s="1" t="str">
        <f ca="1">IFERROR(__xludf.DUMMYFUNCTION("GOOGLETRANSLATE(A5874, ""en"", ""fr"")"),"Couteau n ° 1")</f>
        <v>Couteau n ° 1</v>
      </c>
      <c r="C5874" s="1" t="s">
        <v>185</v>
      </c>
      <c r="I5874" s="1" t="s">
        <v>5</v>
      </c>
      <c r="BC5874" s="1" t="s">
        <v>51</v>
      </c>
      <c r="BD5874" s="1" t="s">
        <v>52</v>
      </c>
      <c r="GD5874" s="1" t="s">
        <v>849</v>
      </c>
      <c r="GE5874" s="1" t="s">
        <v>8235</v>
      </c>
    </row>
    <row r="5875" spans="1:187" ht="11.25" customHeight="1">
      <c r="A5875" s="1" t="s">
        <v>8236</v>
      </c>
      <c r="B5875" s="1" t="str">
        <f ca="1">IFERROR(__xludf.DUMMYFUNCTION("GOOGLETRANSLATE(A5875, ""en"", ""fr"")"),"Couteau n ° 2")</f>
        <v>Couteau n ° 2</v>
      </c>
      <c r="C5875" s="1" t="s">
        <v>185</v>
      </c>
      <c r="E5875" s="1" t="s">
        <v>16613</v>
      </c>
      <c r="H5875" s="1" t="s">
        <v>4</v>
      </c>
      <c r="I5875" s="1" t="s">
        <v>5</v>
      </c>
      <c r="J5875" s="1" t="s">
        <v>6</v>
      </c>
      <c r="CC5875" s="1" t="s">
        <v>77</v>
      </c>
      <c r="DO5875" s="1" t="s">
        <v>115</v>
      </c>
      <c r="FO5875" s="1" t="s">
        <v>167</v>
      </c>
      <c r="GD5875" s="1" t="s">
        <v>189</v>
      </c>
      <c r="GE5875" s="1" t="s">
        <v>8237</v>
      </c>
    </row>
    <row r="5876" spans="1:187" ht="11.25" customHeight="1">
      <c r="A5876" s="1" t="s">
        <v>8238</v>
      </c>
      <c r="B5876" s="1" t="str">
        <f ca="1">IFERROR(__xludf.DUMMYFUNCTION("GOOGLETRANSLATE(A5876, ""en"", ""fr"")"),"TRICOTER")</f>
        <v>TRICOTER</v>
      </c>
      <c r="C5876" s="1" t="s">
        <v>196</v>
      </c>
      <c r="GD5876" s="1" t="s">
        <v>189</v>
      </c>
    </row>
    <row r="5877" spans="1:187" ht="11.25" customHeight="1">
      <c r="A5877" s="1" t="s">
        <v>8239</v>
      </c>
      <c r="B5877" s="1" t="str">
        <f ca="1">IFERROR(__xludf.DUMMYFUNCTION("GOOGLETRANSLATE(A5877, ""en"", ""fr"")"),"Couteaux # 1")</f>
        <v>Couteaux # 1</v>
      </c>
      <c r="C5877" s="1" t="s">
        <v>192</v>
      </c>
      <c r="GD5877" s="1" t="s">
        <v>8240</v>
      </c>
      <c r="GE5877" s="1" t="s">
        <v>190</v>
      </c>
    </row>
    <row r="5878" spans="1:187" ht="11.25" customHeight="1">
      <c r="A5878" s="1" t="s">
        <v>8241</v>
      </c>
      <c r="B5878" s="1" t="str">
        <f ca="1">IFERROR(__xludf.DUMMYFUNCTION("GOOGLETRANSLATE(A5878, ""en"", ""fr"")"),"Frapper # 1")</f>
        <v>Frapper # 1</v>
      </c>
      <c r="C5878" s="1" t="s">
        <v>185</v>
      </c>
      <c r="E5878" s="1" t="s">
        <v>16613</v>
      </c>
      <c r="H5878" s="1" t="s">
        <v>4</v>
      </c>
      <c r="I5878" s="1" t="s">
        <v>5</v>
      </c>
      <c r="J5878" s="1" t="s">
        <v>6</v>
      </c>
      <c r="N5878" s="1" t="s">
        <v>10</v>
      </c>
      <c r="AN5878" s="1" t="s">
        <v>36</v>
      </c>
      <c r="DO5878" s="1" t="s">
        <v>115</v>
      </c>
      <c r="GD5878" s="1" t="s">
        <v>189</v>
      </c>
      <c r="GE5878" s="1" t="s">
        <v>8242</v>
      </c>
    </row>
    <row r="5879" spans="1:187" ht="11.25" customHeight="1">
      <c r="A5879" s="1" t="s">
        <v>8243</v>
      </c>
      <c r="B5879" s="1" t="str">
        <f ca="1">IFERROR(__xludf.DUMMYFUNCTION("GOOGLETRANSLATE(A5879, ""en"", ""fr"")"),"Frapper # 2")</f>
        <v>Frapper # 2</v>
      </c>
      <c r="C5879" s="1" t="s">
        <v>185</v>
      </c>
      <c r="E5879" s="1" t="s">
        <v>16613</v>
      </c>
      <c r="H5879" s="1" t="s">
        <v>4</v>
      </c>
      <c r="I5879" s="1" t="s">
        <v>5</v>
      </c>
      <c r="J5879" s="1" t="s">
        <v>6</v>
      </c>
      <c r="N5879" s="1" t="s">
        <v>10</v>
      </c>
      <c r="CC5879" s="1" t="s">
        <v>77</v>
      </c>
      <c r="GD5879" s="1" t="s">
        <v>193</v>
      </c>
      <c r="GE5879" s="1" t="s">
        <v>8244</v>
      </c>
    </row>
    <row r="5880" spans="1:187" ht="11.25" customHeight="1">
      <c r="A5880" s="1" t="s">
        <v>8245</v>
      </c>
      <c r="B5880" s="1" t="str">
        <f ca="1">IFERROR(__xludf.DUMMYFUNCTION("GOOGLETRANSLATE(A5880, ""en"", ""fr"")"),"Frapper # 3")</f>
        <v>Frapper # 3</v>
      </c>
      <c r="C5880" s="1" t="s">
        <v>185</v>
      </c>
      <c r="E5880" s="1" t="s">
        <v>16613</v>
      </c>
      <c r="H5880" s="1" t="s">
        <v>4</v>
      </c>
      <c r="J5880" s="1" t="s">
        <v>6</v>
      </c>
      <c r="N5880" s="1" t="s">
        <v>10</v>
      </c>
      <c r="CF5880" s="1" t="s">
        <v>80</v>
      </c>
      <c r="DN5880" s="1" t="s">
        <v>114</v>
      </c>
      <c r="DW5880" s="1" t="s">
        <v>123</v>
      </c>
      <c r="ED5880" s="1" t="s">
        <v>130</v>
      </c>
      <c r="GD5880" s="1" t="s">
        <v>189</v>
      </c>
      <c r="GE5880" s="1" t="s">
        <v>8246</v>
      </c>
    </row>
    <row r="5881" spans="1:187" ht="11.25" customHeight="1">
      <c r="A5881" s="1" t="s">
        <v>8247</v>
      </c>
      <c r="B5881" s="1" t="str">
        <f ca="1">IFERROR(__xludf.DUMMYFUNCTION("GOOGLETRANSLATE(A5881, ""en"", ""fr"")"),"Frapper # 4")</f>
        <v>Frapper # 4</v>
      </c>
      <c r="C5881" s="1" t="s">
        <v>185</v>
      </c>
      <c r="BZ5881" s="1" t="s">
        <v>74</v>
      </c>
      <c r="DN5881" s="1" t="s">
        <v>114</v>
      </c>
      <c r="GD5881" s="1" t="s">
        <v>189</v>
      </c>
      <c r="GE5881" s="1" t="s">
        <v>8248</v>
      </c>
    </row>
    <row r="5882" spans="1:187" ht="11.25" customHeight="1">
      <c r="A5882" s="1" t="s">
        <v>8249</v>
      </c>
      <c r="B5882" s="1" t="str">
        <f ca="1">IFERROR(__xludf.DUMMYFUNCTION("GOOGLETRANSLATE(A5882, ""en"", ""fr"")"),"HEURTOIR")</f>
        <v>HEURTOIR</v>
      </c>
      <c r="C5882" s="1" t="s">
        <v>185</v>
      </c>
      <c r="BC5882" s="1" t="s">
        <v>51</v>
      </c>
      <c r="BD5882" s="1" t="s">
        <v>52</v>
      </c>
      <c r="GD5882" s="1" t="s">
        <v>193</v>
      </c>
      <c r="GE5882" s="1" t="s">
        <v>190</v>
      </c>
    </row>
    <row r="5883" spans="1:187" ht="11.25" customHeight="1">
      <c r="A5883" s="1" t="s">
        <v>8250</v>
      </c>
      <c r="B5883" s="1" t="str">
        <f ca="1">IFERROR(__xludf.DUMMYFUNCTION("GOOGLETRANSLATE(A5883, ""en"", ""fr"")"),"Connaissez # 1")</f>
        <v>Connaissez # 1</v>
      </c>
      <c r="C5883" s="1" t="s">
        <v>185</v>
      </c>
      <c r="O5883" s="1" t="s">
        <v>11</v>
      </c>
      <c r="CO5883" s="1" t="s">
        <v>89</v>
      </c>
      <c r="DP5883" s="1" t="s">
        <v>116</v>
      </c>
      <c r="FH5883" s="1" t="s">
        <v>160</v>
      </c>
      <c r="FI5883" s="1" t="s">
        <v>161</v>
      </c>
      <c r="GD5883" s="1" t="s">
        <v>400</v>
      </c>
      <c r="GE5883" s="1" t="s">
        <v>8251</v>
      </c>
    </row>
    <row r="5884" spans="1:187" ht="11.25" customHeight="1">
      <c r="A5884" s="1" t="s">
        <v>8252</v>
      </c>
      <c r="B5884" s="1" t="str">
        <f ca="1">IFERROR(__xludf.DUMMYFUNCTION("GOOGLETRANSLATE(A5884, ""en"", ""fr"")"),"Savoir # 2")</f>
        <v>Savoir # 2</v>
      </c>
      <c r="C5884" s="1" t="s">
        <v>185</v>
      </c>
      <c r="DM5884" s="1" t="s">
        <v>113</v>
      </c>
      <c r="GD5884" s="1" t="s">
        <v>3750</v>
      </c>
      <c r="GE5884" s="1" t="s">
        <v>8253</v>
      </c>
    </row>
    <row r="5885" spans="1:187" ht="11.25" customHeight="1">
      <c r="A5885" s="1" t="s">
        <v>8254</v>
      </c>
      <c r="B5885" s="1" t="str">
        <f ca="1">IFERROR(__xludf.DUMMYFUNCTION("GOOGLETRANSLATE(A5885, ""en"", ""fr"")"),"Savoir # 3")</f>
        <v>Savoir # 3</v>
      </c>
      <c r="C5885" s="1" t="s">
        <v>185</v>
      </c>
      <c r="D5885" s="1" t="s">
        <v>16612</v>
      </c>
      <c r="F5885" s="1" t="s">
        <v>2</v>
      </c>
      <c r="O5885" s="1" t="s">
        <v>11</v>
      </c>
      <c r="CH5885" s="1" t="s">
        <v>82</v>
      </c>
      <c r="FH5885" s="1" t="s">
        <v>160</v>
      </c>
      <c r="FI5885" s="1" t="s">
        <v>161</v>
      </c>
      <c r="GD5885" s="1" t="s">
        <v>202</v>
      </c>
      <c r="GE5885" s="1" t="s">
        <v>8255</v>
      </c>
    </row>
    <row r="5886" spans="1:187" ht="11.25" customHeight="1">
      <c r="A5886" s="1" t="s">
        <v>8256</v>
      </c>
      <c r="B5886" s="1" t="str">
        <f ca="1">IFERROR(__xludf.DUMMYFUNCTION("GOOGLETRANSLATE(A5886, ""en"", ""fr"")"),"Savoir # 4")</f>
        <v>Savoir # 4</v>
      </c>
      <c r="C5886" s="1" t="s">
        <v>185</v>
      </c>
      <c r="D5886" s="1" t="s">
        <v>16612</v>
      </c>
      <c r="F5886" s="1" t="s">
        <v>2</v>
      </c>
      <c r="N5886" s="1" t="s">
        <v>10</v>
      </c>
      <c r="CH5886" s="1" t="s">
        <v>82</v>
      </c>
      <c r="FH5886" s="1" t="s">
        <v>160</v>
      </c>
      <c r="FI5886" s="1" t="s">
        <v>161</v>
      </c>
      <c r="GD5886" s="1" t="s">
        <v>236</v>
      </c>
      <c r="GE5886" s="1" t="s">
        <v>8257</v>
      </c>
    </row>
    <row r="5887" spans="1:187" ht="11.25" customHeight="1">
      <c r="A5887" s="1" t="s">
        <v>8258</v>
      </c>
      <c r="B5887" s="1" t="str">
        <f ca="1">IFERROR(__xludf.DUMMYFUNCTION("GOOGLETRANSLATE(A5887, ""en"", ""fr"")"),"SAVOIR COMMENT")</f>
        <v>SAVOIR COMMENT</v>
      </c>
      <c r="C5887" s="1" t="s">
        <v>196</v>
      </c>
      <c r="FH5887" s="1" t="s">
        <v>160</v>
      </c>
      <c r="FI5887" s="1" t="s">
        <v>161</v>
      </c>
      <c r="GD5887" s="1" t="s">
        <v>193</v>
      </c>
    </row>
    <row r="5888" spans="1:187" ht="11.25" customHeight="1">
      <c r="A5888" s="1" t="s">
        <v>8259</v>
      </c>
      <c r="B5888" s="1" t="str">
        <f ca="1">IFERROR(__xludf.DUMMYFUNCTION("GOOGLETRANSLATE(A5888, ""en"", ""fr"")"),"CONNAISSANCE")</f>
        <v>CONNAISSANCE</v>
      </c>
      <c r="C5888" s="1" t="s">
        <v>185</v>
      </c>
      <c r="D5888" s="1" t="s">
        <v>16612</v>
      </c>
      <c r="F5888" s="1" t="s">
        <v>2</v>
      </c>
      <c r="J5888" s="1" t="s">
        <v>6</v>
      </c>
      <c r="Y5888" s="1" t="s">
        <v>21</v>
      </c>
      <c r="CH5888" s="1" t="s">
        <v>82</v>
      </c>
      <c r="CP5888" s="1" t="s">
        <v>90</v>
      </c>
      <c r="CQ5888" s="1" t="s">
        <v>91</v>
      </c>
      <c r="FH5888" s="1" t="s">
        <v>160</v>
      </c>
      <c r="FI5888" s="1" t="s">
        <v>161</v>
      </c>
      <c r="GD5888" s="1" t="s">
        <v>193</v>
      </c>
      <c r="GE5888" s="1" t="s">
        <v>8260</v>
      </c>
    </row>
    <row r="5889" spans="1:187" ht="11.25" customHeight="1">
      <c r="A5889" s="1" t="s">
        <v>8261</v>
      </c>
      <c r="B5889" s="1" t="str">
        <f ca="1">IFERROR(__xludf.DUMMYFUNCTION("GOOGLETRANSLATE(A5889, ""en"", ""fr"")"),"Connu n ° 1")</f>
        <v>Connu n ° 1</v>
      </c>
      <c r="C5889" s="1" t="s">
        <v>185</v>
      </c>
      <c r="CO5889" s="1" t="s">
        <v>89</v>
      </c>
      <c r="DP5889" s="1" t="s">
        <v>116</v>
      </c>
      <c r="FH5889" s="1" t="s">
        <v>160</v>
      </c>
      <c r="FI5889" s="1" t="s">
        <v>161</v>
      </c>
      <c r="GD5889" s="1" t="s">
        <v>1076</v>
      </c>
      <c r="GE5889" s="1" t="s">
        <v>8262</v>
      </c>
    </row>
    <row r="5890" spans="1:187" ht="11.25" customHeight="1">
      <c r="A5890" s="1" t="s">
        <v>8263</v>
      </c>
      <c r="B5890" s="1" t="str">
        <f ca="1">IFERROR(__xludf.DUMMYFUNCTION("GOOGLETRANSLATE(A5890, ""en"", ""fr"")"),"Connu n ° 2")</f>
        <v>Connu n ° 2</v>
      </c>
      <c r="C5890" s="1" t="s">
        <v>185</v>
      </c>
      <c r="O5890" s="1" t="s">
        <v>11</v>
      </c>
      <c r="X5890" s="1" t="s">
        <v>20</v>
      </c>
      <c r="CH5890" s="1" t="s">
        <v>82</v>
      </c>
      <c r="EM5890" s="1" t="s">
        <v>139</v>
      </c>
      <c r="EN5890" s="1" t="s">
        <v>140</v>
      </c>
      <c r="GD5890" s="1" t="s">
        <v>202</v>
      </c>
      <c r="GE5890" s="1" t="s">
        <v>8264</v>
      </c>
    </row>
    <row r="5891" spans="1:187" ht="11.25" customHeight="1">
      <c r="A5891" s="1" t="s">
        <v>8265</v>
      </c>
      <c r="B5891" s="1" t="str">
        <f ca="1">IFERROR(__xludf.DUMMYFUNCTION("GOOGLETRANSLATE(A5891, ""en"", ""fr"")"),"CORÉE")</f>
        <v>CORÉE</v>
      </c>
      <c r="C5891" s="1" t="s">
        <v>196</v>
      </c>
      <c r="FU5891" s="1" t="s">
        <v>173</v>
      </c>
      <c r="GD5891" s="1" t="s">
        <v>416</v>
      </c>
    </row>
    <row r="5892" spans="1:187" ht="11.25" customHeight="1">
      <c r="A5892" s="1" t="s">
        <v>8266</v>
      </c>
      <c r="B5892" s="1" t="str">
        <f ca="1">IFERROR(__xludf.DUMMYFUNCTION("GOOGLETRANSLATE(A5892, ""en"", ""fr"")"),"CORÉEN")</f>
        <v>CORÉEN</v>
      </c>
      <c r="C5892" s="1" t="s">
        <v>196</v>
      </c>
      <c r="DV5892" s="1" t="s">
        <v>122</v>
      </c>
      <c r="ED5892" s="1" t="s">
        <v>130</v>
      </c>
      <c r="GD5892" s="1" t="s">
        <v>202</v>
      </c>
    </row>
    <row r="5893" spans="1:187" ht="11.25" customHeight="1">
      <c r="A5893" s="1" t="s">
        <v>8267</v>
      </c>
      <c r="B5893" s="1" t="str">
        <f ca="1">IFERROR(__xludf.DUMMYFUNCTION("GOOGLETRANSLATE(A5893, ""en"", ""fr"")"),"KREMLIN")</f>
        <v>KREMLIN</v>
      </c>
      <c r="C5893" s="1" t="s">
        <v>196</v>
      </c>
      <c r="FU5893" s="1" t="s">
        <v>173</v>
      </c>
      <c r="GD5893" s="1" t="s">
        <v>545</v>
      </c>
    </row>
    <row r="5894" spans="1:187" ht="11.25" customHeight="1">
      <c r="A5894" s="1" t="s">
        <v>8268</v>
      </c>
      <c r="B5894" s="1" t="str">
        <f ca="1">IFERROR(__xludf.DUMMYFUNCTION("GOOGLETRANSLATE(A5894, ""en"", ""fr"")"),"KOWEIT")</f>
        <v>KOWEIT</v>
      </c>
      <c r="C5894" s="1" t="s">
        <v>196</v>
      </c>
      <c r="FU5894" s="1" t="s">
        <v>173</v>
      </c>
      <c r="GD5894" s="1" t="s">
        <v>545</v>
      </c>
    </row>
    <row r="5895" spans="1:187" ht="11.25" customHeight="1">
      <c r="A5895" s="1" t="s">
        <v>8269</v>
      </c>
      <c r="B5895" s="1" t="str">
        <f ca="1">IFERROR(__xludf.DUMMYFUNCTION("GOOGLETRANSLATE(A5895, ""en"", ""fr"")"),"LABORATOIRE")</f>
        <v>LABORATOIRE</v>
      </c>
      <c r="C5895" s="1" t="s">
        <v>185</v>
      </c>
      <c r="Y5895" s="1" t="s">
        <v>21</v>
      </c>
      <c r="AA5895" s="1" t="s">
        <v>23</v>
      </c>
      <c r="BC5895" s="1" t="s">
        <v>51</v>
      </c>
      <c r="BG5895" s="1" t="s">
        <v>55</v>
      </c>
      <c r="FH5895" s="1" t="s">
        <v>160</v>
      </c>
      <c r="FI5895" s="1" t="s">
        <v>161</v>
      </c>
      <c r="GD5895" s="1" t="s">
        <v>193</v>
      </c>
      <c r="GE5895" s="1" t="s">
        <v>190</v>
      </c>
    </row>
    <row r="5896" spans="1:187" ht="11.25" customHeight="1">
      <c r="A5896" s="1" t="s">
        <v>8270</v>
      </c>
      <c r="B5896" s="1" t="str">
        <f ca="1">IFERROR(__xludf.DUMMYFUNCTION("GOOGLETRANSLATE(A5896, ""en"", ""fr"")"),"Étiquette n ° 1")</f>
        <v>Étiquette n ° 1</v>
      </c>
      <c r="C5896" s="1" t="s">
        <v>185</v>
      </c>
      <c r="BC5896" s="1" t="s">
        <v>51</v>
      </c>
      <c r="BH5896" s="1" t="s">
        <v>56</v>
      </c>
      <c r="BL5896" s="1" t="s">
        <v>60</v>
      </c>
      <c r="FH5896" s="1" t="s">
        <v>160</v>
      </c>
      <c r="FI5896" s="1" t="s">
        <v>161</v>
      </c>
      <c r="GD5896" s="1" t="s">
        <v>193</v>
      </c>
      <c r="GE5896" s="1" t="s">
        <v>190</v>
      </c>
    </row>
    <row r="5897" spans="1:187" ht="11.25" customHeight="1">
      <c r="A5897" s="1" t="s">
        <v>8271</v>
      </c>
      <c r="B5897" s="1" t="str">
        <f ca="1">IFERROR(__xludf.DUMMYFUNCTION("GOOGLETRANSLATE(A5897, ""en"", ""fr"")"),"Étiquette n ° 2")</f>
        <v>Étiquette n ° 2</v>
      </c>
      <c r="C5897" s="1" t="s">
        <v>185</v>
      </c>
      <c r="BK5897" s="1" t="s">
        <v>59</v>
      </c>
      <c r="DN5897" s="1" t="s">
        <v>114</v>
      </c>
      <c r="FH5897" s="1" t="s">
        <v>160</v>
      </c>
      <c r="FI5897" s="1" t="s">
        <v>161</v>
      </c>
      <c r="GD5897" s="1" t="s">
        <v>189</v>
      </c>
      <c r="GE5897" s="1" t="s">
        <v>190</v>
      </c>
    </row>
    <row r="5898" spans="1:187" ht="11.25" customHeight="1">
      <c r="A5898" s="1" t="s">
        <v>8272</v>
      </c>
      <c r="B5898" s="1" t="str">
        <f ca="1">IFERROR(__xludf.DUMMYFUNCTION("GOOGLETRANSLATE(A5898, ""en"", ""fr"")"),"Travail n ° 1")</f>
        <v>Travail n ° 1</v>
      </c>
      <c r="C5898" s="1" t="s">
        <v>185</v>
      </c>
      <c r="J5898" s="1" t="s">
        <v>6</v>
      </c>
      <c r="N5898" s="1" t="s">
        <v>10</v>
      </c>
      <c r="AA5898" s="1" t="s">
        <v>23</v>
      </c>
      <c r="AC5898" s="1" t="s">
        <v>25</v>
      </c>
      <c r="AK5898" s="1" t="s">
        <v>33</v>
      </c>
      <c r="AT5898" s="1" t="s">
        <v>42</v>
      </c>
      <c r="FL5898" s="1" t="s">
        <v>164</v>
      </c>
      <c r="FM5898" s="1" t="s">
        <v>418</v>
      </c>
      <c r="GD5898" s="1" t="s">
        <v>193</v>
      </c>
      <c r="GE5898" s="1" t="s">
        <v>8273</v>
      </c>
    </row>
    <row r="5899" spans="1:187" ht="11.25" customHeight="1">
      <c r="A5899" s="1" t="s">
        <v>8274</v>
      </c>
      <c r="B5899" s="1" t="str">
        <f ca="1">IFERROR(__xludf.DUMMYFUNCTION("GOOGLETRANSLATE(A5899, ""en"", ""fr"")"),"Travail # 2")</f>
        <v>Travail # 2</v>
      </c>
      <c r="C5899" s="1" t="s">
        <v>185</v>
      </c>
      <c r="AC5899" s="1" t="s">
        <v>25</v>
      </c>
      <c r="AG5899" s="1" t="s">
        <v>29</v>
      </c>
      <c r="AH5899" s="1" t="s">
        <v>30</v>
      </c>
      <c r="AK5899" s="1" t="s">
        <v>33</v>
      </c>
      <c r="AT5899" s="1" t="s">
        <v>42</v>
      </c>
      <c r="DY5899" s="1" t="s">
        <v>125</v>
      </c>
      <c r="ED5899" s="1" t="s">
        <v>130</v>
      </c>
      <c r="GD5899" s="1" t="s">
        <v>193</v>
      </c>
      <c r="GE5899" s="1" t="s">
        <v>8275</v>
      </c>
    </row>
    <row r="5900" spans="1:187" ht="11.25" customHeight="1">
      <c r="A5900" s="1" t="s">
        <v>8276</v>
      </c>
      <c r="B5900" s="1" t="str">
        <f ca="1">IFERROR(__xludf.DUMMYFUNCTION("GOOGLETRANSLATE(A5900, ""en"", ""fr"")"),"Travail # 3")</f>
        <v>Travail # 3</v>
      </c>
      <c r="C5900" s="1" t="s">
        <v>185</v>
      </c>
      <c r="J5900" s="1" t="s">
        <v>6</v>
      </c>
      <c r="N5900" s="1" t="s">
        <v>10</v>
      </c>
      <c r="AA5900" s="1" t="s">
        <v>23</v>
      </c>
      <c r="AL5900" s="1" t="s">
        <v>34</v>
      </c>
      <c r="DN5900" s="1" t="s">
        <v>114</v>
      </c>
      <c r="FL5900" s="1" t="s">
        <v>164</v>
      </c>
      <c r="FM5900" s="1" t="s">
        <v>418</v>
      </c>
      <c r="GD5900" s="1" t="s">
        <v>189</v>
      </c>
      <c r="GE5900" s="1" t="s">
        <v>8277</v>
      </c>
    </row>
    <row r="5901" spans="1:187" ht="11.25" customHeight="1">
      <c r="A5901" s="1" t="s">
        <v>8278</v>
      </c>
      <c r="B5901" s="1" t="str">
        <f ca="1">IFERROR(__xludf.DUMMYFUNCTION("GOOGLETRANSLATE(A5901, ""en"", ""fr"")"),"Travail # 4")</f>
        <v>Travail # 4</v>
      </c>
      <c r="C5901" s="1" t="s">
        <v>185</v>
      </c>
      <c r="J5901" s="1" t="s">
        <v>6</v>
      </c>
      <c r="N5901" s="1" t="s">
        <v>10</v>
      </c>
      <c r="AL5901" s="1" t="s">
        <v>34</v>
      </c>
      <c r="FL5901" s="1" t="s">
        <v>164</v>
      </c>
      <c r="FM5901" s="1" t="s">
        <v>418</v>
      </c>
      <c r="GD5901" s="1" t="s">
        <v>202</v>
      </c>
      <c r="GE5901" s="1" t="s">
        <v>8279</v>
      </c>
    </row>
    <row r="5902" spans="1:187" ht="11.25" customHeight="1">
      <c r="A5902" s="1" t="s">
        <v>8280</v>
      </c>
      <c r="B5902" s="1" t="str">
        <f ca="1">IFERROR(__xludf.DUMMYFUNCTION("GOOGLETRANSLATE(A5902, ""en"", ""fr"")"),"LABORATOIRE")</f>
        <v>LABORATOIRE</v>
      </c>
      <c r="C5902" s="1" t="s">
        <v>185</v>
      </c>
      <c r="Y5902" s="1" t="s">
        <v>21</v>
      </c>
      <c r="AA5902" s="1" t="s">
        <v>23</v>
      </c>
      <c r="AC5902" s="1" t="s">
        <v>25</v>
      </c>
      <c r="BC5902" s="1" t="s">
        <v>51</v>
      </c>
      <c r="BG5902" s="1" t="s">
        <v>55</v>
      </c>
      <c r="FH5902" s="1" t="s">
        <v>160</v>
      </c>
      <c r="FI5902" s="1" t="s">
        <v>161</v>
      </c>
      <c r="GD5902" s="1" t="s">
        <v>193</v>
      </c>
      <c r="GE5902" s="1" t="s">
        <v>190</v>
      </c>
    </row>
    <row r="5903" spans="1:187" ht="11.25" customHeight="1">
      <c r="A5903" s="1" t="s">
        <v>8281</v>
      </c>
      <c r="B5903" s="1" t="str">
        <f ca="1">IFERROR(__xludf.DUMMYFUNCTION("GOOGLETRANSLATE(A5903, ""en"", ""fr"")"),"OUVRIER")</f>
        <v>OUVRIER</v>
      </c>
      <c r="C5903" s="1" t="s">
        <v>185</v>
      </c>
      <c r="M5903" s="1" t="s">
        <v>9</v>
      </c>
      <c r="AA5903" s="1" t="s">
        <v>23</v>
      </c>
      <c r="AC5903" s="1" t="s">
        <v>25</v>
      </c>
      <c r="AJ5903" s="1" t="s">
        <v>32</v>
      </c>
      <c r="AT5903" s="1" t="s">
        <v>42</v>
      </c>
      <c r="ET5903" s="1" t="s">
        <v>146</v>
      </c>
      <c r="EW5903" s="1" t="s">
        <v>149</v>
      </c>
      <c r="GD5903" s="1" t="s">
        <v>193</v>
      </c>
      <c r="GE5903" s="1" t="s">
        <v>190</v>
      </c>
    </row>
    <row r="5904" spans="1:187" ht="11.25" customHeight="1">
      <c r="A5904" s="1" t="s">
        <v>8282</v>
      </c>
      <c r="B5904" s="1" t="str">
        <f ca="1">IFERROR(__xludf.DUMMYFUNCTION("GOOGLETRANSLATE(A5904, ""en"", ""fr"")"),"Travail n ° 1")</f>
        <v>Travail n ° 1</v>
      </c>
      <c r="C5904" s="1" t="s">
        <v>192</v>
      </c>
      <c r="GE5904" s="1" t="s">
        <v>190</v>
      </c>
    </row>
    <row r="5905" spans="1:187" ht="11.25" customHeight="1">
      <c r="A5905" s="1" t="s">
        <v>8283</v>
      </c>
      <c r="B5905" s="1" t="str">
        <f ca="1">IFERROR(__xludf.DUMMYFUNCTION("GOOGLETRANSLATE(A5905, ""en"", ""fr"")"),"Ouvrier n ° 1")</f>
        <v>Ouvrier n ° 1</v>
      </c>
      <c r="C5905" s="1" t="s">
        <v>192</v>
      </c>
      <c r="GE5905" s="1" t="s">
        <v>190</v>
      </c>
    </row>
    <row r="5906" spans="1:187" ht="11.25" customHeight="1">
      <c r="A5906" s="1" t="s">
        <v>8284</v>
      </c>
      <c r="B5906" s="1" t="str">
        <f ca="1">IFERROR(__xludf.DUMMYFUNCTION("GOOGLETRANSLATE(A5906, ""en"", ""fr"")"),"Manque n ° 1")</f>
        <v>Manque n ° 1</v>
      </c>
      <c r="C5906" s="1" t="s">
        <v>185</v>
      </c>
      <c r="E5906" s="1" t="s">
        <v>16613</v>
      </c>
      <c r="H5906" s="1" t="s">
        <v>4</v>
      </c>
      <c r="L5906" s="1" t="s">
        <v>8</v>
      </c>
      <c r="O5906" s="1" t="s">
        <v>11</v>
      </c>
      <c r="V5906" s="1" t="s">
        <v>18</v>
      </c>
      <c r="FR5906" s="1" t="s">
        <v>170</v>
      </c>
      <c r="GD5906" s="1" t="s">
        <v>193</v>
      </c>
      <c r="GE5906" s="1" t="s">
        <v>8285</v>
      </c>
    </row>
    <row r="5907" spans="1:187" ht="11.25" customHeight="1">
      <c r="A5907" s="1" t="s">
        <v>8286</v>
      </c>
      <c r="B5907" s="1" t="str">
        <f ca="1">IFERROR(__xludf.DUMMYFUNCTION("GOOGLETRANSLATE(A5907, ""en"", ""fr"")"),"Manque n ° 2")</f>
        <v>Manque n ° 2</v>
      </c>
      <c r="C5907" s="1" t="s">
        <v>185</v>
      </c>
      <c r="E5907" s="1" t="s">
        <v>16613</v>
      </c>
      <c r="H5907" s="1" t="s">
        <v>4</v>
      </c>
      <c r="L5907" s="1" t="s">
        <v>8</v>
      </c>
      <c r="O5907" s="1" t="s">
        <v>11</v>
      </c>
      <c r="BN5907" s="1" t="s">
        <v>62</v>
      </c>
      <c r="DN5907" s="1" t="s">
        <v>114</v>
      </c>
      <c r="FO5907" s="1" t="s">
        <v>167</v>
      </c>
      <c r="GD5907" s="1" t="s">
        <v>189</v>
      </c>
      <c r="GE5907" s="1" t="s">
        <v>8287</v>
      </c>
    </row>
    <row r="5908" spans="1:187" ht="11.25" customHeight="1">
      <c r="A5908" s="1" t="s">
        <v>8288</v>
      </c>
      <c r="B5908" s="1" t="str">
        <f ca="1">IFERROR(__xludf.DUMMYFUNCTION("GOOGLETRANSLATE(A5908, ""en"", ""fr"")"),"Manque # 3")</f>
        <v>Manque # 3</v>
      </c>
      <c r="C5908" s="1" t="s">
        <v>185</v>
      </c>
      <c r="E5908" s="1" t="s">
        <v>16613</v>
      </c>
      <c r="H5908" s="1" t="s">
        <v>4</v>
      </c>
      <c r="L5908" s="1" t="s">
        <v>8</v>
      </c>
      <c r="O5908" s="1" t="s">
        <v>11</v>
      </c>
      <c r="V5908" s="1" t="s">
        <v>18</v>
      </c>
      <c r="FR5908" s="1" t="s">
        <v>170</v>
      </c>
      <c r="GD5908" s="1" t="s">
        <v>202</v>
      </c>
      <c r="GE5908" s="1" t="s">
        <v>8289</v>
      </c>
    </row>
    <row r="5909" spans="1:187" ht="11.25" customHeight="1">
      <c r="A5909" s="1" t="s">
        <v>8290</v>
      </c>
      <c r="B5909" s="1" t="str">
        <f ca="1">IFERROR(__xludf.DUMMYFUNCTION("GOOGLETRANSLATE(A5909, ""en"", ""fr"")"),"GARÇON")</f>
        <v>GARÇON</v>
      </c>
      <c r="C5909" s="1" t="s">
        <v>196</v>
      </c>
      <c r="FT5909" s="1" t="s">
        <v>172</v>
      </c>
      <c r="GD5909" s="1" t="s">
        <v>193</v>
      </c>
    </row>
    <row r="5910" spans="1:187" ht="11.25" customHeight="1">
      <c r="A5910" s="1" t="s">
        <v>8291</v>
      </c>
      <c r="B5910" s="1" t="str">
        <f ca="1">IFERROR(__xludf.DUMMYFUNCTION("GOOGLETRANSLATE(A5910, ""en"", ""fr"")"),"ÉCHELLE")</f>
        <v>ÉCHELLE</v>
      </c>
      <c r="C5910" s="1" t="s">
        <v>185</v>
      </c>
      <c r="BC5910" s="1" t="s">
        <v>51</v>
      </c>
      <c r="BD5910" s="1" t="s">
        <v>52</v>
      </c>
      <c r="GD5910" s="1" t="s">
        <v>193</v>
      </c>
      <c r="GE5910" s="1" t="s">
        <v>190</v>
      </c>
    </row>
    <row r="5911" spans="1:187" ht="11.25" customHeight="1">
      <c r="A5911" s="1" t="s">
        <v>8292</v>
      </c>
      <c r="B5911" s="1" t="str">
        <f ca="1">IFERROR(__xludf.DUMMYFUNCTION("GOOGLETRANSLATE(A5911, ""en"", ""fr"")"),"DAME")</f>
        <v>DAME</v>
      </c>
      <c r="C5911" s="1" t="s">
        <v>185</v>
      </c>
      <c r="AJ5911" s="1" t="s">
        <v>32</v>
      </c>
      <c r="AR5911" s="1" t="s">
        <v>40</v>
      </c>
      <c r="AT5911" s="1" t="s">
        <v>42</v>
      </c>
      <c r="EM5911" s="1" t="s">
        <v>139</v>
      </c>
      <c r="EN5911" s="1" t="s">
        <v>140</v>
      </c>
      <c r="GD5911" s="1" t="s">
        <v>193</v>
      </c>
      <c r="GE5911" s="1" t="s">
        <v>8293</v>
      </c>
    </row>
    <row r="5912" spans="1:187" ht="11.25" customHeight="1">
      <c r="A5912" s="1" t="s">
        <v>8294</v>
      </c>
      <c r="B5912" s="1" t="str">
        <f ca="1">IFERROR(__xludf.DUMMYFUNCTION("GOOGLETRANSLATE(A5912, ""en"", ""fr"")"),"DÉCALAGE")</f>
        <v>DÉCALAGE</v>
      </c>
      <c r="C5912" s="1" t="s">
        <v>192</v>
      </c>
      <c r="E5912" s="1" t="s">
        <v>16613</v>
      </c>
      <c r="L5912" s="1" t="s">
        <v>8</v>
      </c>
      <c r="O5912" s="1" t="s">
        <v>11</v>
      </c>
      <c r="BT5912" s="1" t="s">
        <v>68</v>
      </c>
      <c r="DN5912" s="1" t="s">
        <v>114</v>
      </c>
      <c r="GD5912" s="1" t="s">
        <v>189</v>
      </c>
      <c r="GE5912" s="1" t="s">
        <v>190</v>
      </c>
    </row>
    <row r="5913" spans="1:187" ht="11.25" customHeight="1">
      <c r="A5913" s="1" t="s">
        <v>8295</v>
      </c>
      <c r="B5913" s="1" t="str">
        <f ca="1">IFERROR(__xludf.DUMMYFUNCTION("GOOGLETRANSLATE(A5913, ""en"", ""fr"")"),"Posé # 1")</f>
        <v>Posé # 1</v>
      </c>
      <c r="C5913" s="1" t="s">
        <v>185</v>
      </c>
      <c r="CA5913" s="1" t="s">
        <v>75</v>
      </c>
      <c r="DO5913" s="1" t="s">
        <v>115</v>
      </c>
      <c r="GD5913" s="1" t="s">
        <v>1076</v>
      </c>
      <c r="GE5913" s="1" t="s">
        <v>8296</v>
      </c>
    </row>
    <row r="5914" spans="1:187" ht="11.25" customHeight="1">
      <c r="A5914" s="1" t="s">
        <v>8297</v>
      </c>
      <c r="B5914" s="1" t="str">
        <f ca="1">IFERROR(__xludf.DUMMYFUNCTION("GOOGLETRANSLATE(A5914, ""en"", ""fr"")"),"Posé # 2")</f>
        <v>Posé # 2</v>
      </c>
      <c r="C5914" s="1" t="s">
        <v>185</v>
      </c>
      <c r="E5914" s="1" t="s">
        <v>16613</v>
      </c>
      <c r="H5914" s="1" t="s">
        <v>4</v>
      </c>
      <c r="I5914" s="1" t="s">
        <v>5</v>
      </c>
      <c r="K5914" s="1" t="s">
        <v>7</v>
      </c>
      <c r="AA5914" s="1" t="s">
        <v>23</v>
      </c>
      <c r="AN5914" s="1" t="s">
        <v>36</v>
      </c>
      <c r="DN5914" s="1" t="s">
        <v>114</v>
      </c>
      <c r="FO5914" s="1" t="s">
        <v>167</v>
      </c>
      <c r="GD5914" s="1" t="s">
        <v>189</v>
      </c>
      <c r="GE5914" s="1" t="s">
        <v>8298</v>
      </c>
    </row>
    <row r="5915" spans="1:187" ht="11.25" customHeight="1">
      <c r="A5915" s="1" t="s">
        <v>8299</v>
      </c>
      <c r="B5915" s="1" t="str">
        <f ca="1">IFERROR(__xludf.DUMMYFUNCTION("GOOGLETRANSLATE(A5915, ""en"", ""fr"")"),"Se ranger")</f>
        <v>Se ranger</v>
      </c>
      <c r="C5915" s="1" t="s">
        <v>196</v>
      </c>
      <c r="GD5915" s="1" t="s">
        <v>189</v>
      </c>
    </row>
    <row r="5916" spans="1:187" ht="11.25" customHeight="1">
      <c r="A5916" s="1" t="s">
        <v>8300</v>
      </c>
      <c r="B5916" s="1" t="str">
        <f ca="1">IFERROR(__xludf.DUMMYFUNCTION("GOOGLETRANSLATE(A5916, ""en"", ""fr"")"),"LAC")</f>
        <v>LAC</v>
      </c>
      <c r="C5916" s="1" t="s">
        <v>185</v>
      </c>
      <c r="AV5916" s="1" t="s">
        <v>44</v>
      </c>
      <c r="AZ5916" s="1" t="s">
        <v>48</v>
      </c>
      <c r="GD5916" s="1" t="s">
        <v>193</v>
      </c>
      <c r="GE5916" s="1" t="s">
        <v>8301</v>
      </c>
    </row>
    <row r="5917" spans="1:187" ht="11.25" customHeight="1">
      <c r="A5917" s="1" t="s">
        <v>8302</v>
      </c>
      <c r="B5917" s="1" t="str">
        <f ca="1">IFERROR(__xludf.DUMMYFUNCTION("GOOGLETRANSLATE(A5917, ""en"", ""fr"")"),"AGNEAU")</f>
        <v>AGNEAU</v>
      </c>
      <c r="C5917" s="1" t="s">
        <v>196</v>
      </c>
      <c r="GD5917" s="1" t="s">
        <v>193</v>
      </c>
    </row>
    <row r="5918" spans="1:187" ht="11.25" customHeight="1">
      <c r="A5918" s="1" t="s">
        <v>8303</v>
      </c>
      <c r="B5918" s="1" t="str">
        <f ca="1">IFERROR(__xludf.DUMMYFUNCTION("GOOGLETRANSLATE(A5918, ""en"", ""fr"")"),"BOITEUX")</f>
        <v>BOITEUX</v>
      </c>
      <c r="C5918" s="1" t="s">
        <v>192</v>
      </c>
      <c r="E5918" s="1" t="s">
        <v>16613</v>
      </c>
      <c r="L5918" s="1" t="s">
        <v>8</v>
      </c>
      <c r="BT5918" s="1" t="s">
        <v>68</v>
      </c>
      <c r="DR5918" s="1" t="s">
        <v>118</v>
      </c>
      <c r="GD5918" s="1" t="s">
        <v>202</v>
      </c>
      <c r="GE5918" s="1" t="s">
        <v>190</v>
      </c>
    </row>
    <row r="5919" spans="1:187" ht="11.25" customHeight="1">
      <c r="A5919" s="1" t="s">
        <v>8304</v>
      </c>
      <c r="B5919" s="1" t="str">
        <f ca="1">IFERROR(__xludf.DUMMYFUNCTION("GOOGLETRANSLATE(A5919, ""en"", ""fr"")"),"COMPLAINTE")</f>
        <v>COMPLAINTE</v>
      </c>
      <c r="C5919" s="1" t="s">
        <v>192</v>
      </c>
      <c r="E5919" s="1" t="s">
        <v>16613</v>
      </c>
      <c r="N5919" s="1" t="s">
        <v>10</v>
      </c>
      <c r="Q5919" s="1" t="s">
        <v>13</v>
      </c>
      <c r="T5919" s="1" t="s">
        <v>16</v>
      </c>
      <c r="CG5919" s="1" t="s">
        <v>81</v>
      </c>
      <c r="DP5919" s="1" t="s">
        <v>116</v>
      </c>
      <c r="GD5919" s="1" t="s">
        <v>189</v>
      </c>
      <c r="GE5919" s="1" t="s">
        <v>190</v>
      </c>
    </row>
    <row r="5920" spans="1:187" ht="11.25" customHeight="1">
      <c r="A5920" s="1" t="s">
        <v>8305</v>
      </c>
      <c r="B5920" s="1" t="str">
        <f ca="1">IFERROR(__xludf.DUMMYFUNCTION("GOOGLETRANSLATE(A5920, ""en"", ""fr"")"),"LAMENTABLE")</f>
        <v>LAMENTABLE</v>
      </c>
      <c r="C5920" s="1" t="s">
        <v>192</v>
      </c>
      <c r="E5920" s="1" t="s">
        <v>16613</v>
      </c>
      <c r="Q5920" s="1" t="s">
        <v>13</v>
      </c>
      <c r="T5920" s="1" t="s">
        <v>16</v>
      </c>
      <c r="DR5920" s="1" t="s">
        <v>118</v>
      </c>
      <c r="GD5920" s="1" t="s">
        <v>202</v>
      </c>
      <c r="GE5920" s="1" t="s">
        <v>190</v>
      </c>
    </row>
    <row r="5921" spans="1:187" ht="11.25" customHeight="1">
      <c r="A5921" s="1" t="s">
        <v>8306</v>
      </c>
      <c r="B5921" s="1" t="str">
        <f ca="1">IFERROR(__xludf.DUMMYFUNCTION("GOOGLETRANSLATE(A5921, ""en"", ""fr"")"),"Terrain n ° 1")</f>
        <v>Terrain n ° 1</v>
      </c>
      <c r="C5921" s="1" t="s">
        <v>185</v>
      </c>
      <c r="AH5921" s="1" t="s">
        <v>30</v>
      </c>
      <c r="AV5921" s="1" t="s">
        <v>44</v>
      </c>
      <c r="BA5921" s="1" t="s">
        <v>49</v>
      </c>
      <c r="EC5921" s="1" t="s">
        <v>129</v>
      </c>
      <c r="ED5921" s="1" t="s">
        <v>130</v>
      </c>
      <c r="GD5921" s="1" t="s">
        <v>849</v>
      </c>
      <c r="GE5921" s="1" t="s">
        <v>8307</v>
      </c>
    </row>
    <row r="5922" spans="1:187" ht="11.25" customHeight="1">
      <c r="A5922" s="1" t="s">
        <v>8308</v>
      </c>
      <c r="B5922" s="1" t="str">
        <f ca="1">IFERROR(__xludf.DUMMYFUNCTION("GOOGLETRANSLATE(A5922, ""en"", ""fr"")"),"Terrain n ° 2")</f>
        <v>Terrain n ° 2</v>
      </c>
      <c r="C5922" s="1" t="s">
        <v>185</v>
      </c>
      <c r="N5922" s="1" t="s">
        <v>10</v>
      </c>
      <c r="CE5922" s="1" t="s">
        <v>79</v>
      </c>
      <c r="DO5922" s="1" t="s">
        <v>115</v>
      </c>
      <c r="EC5922" s="1" t="s">
        <v>129</v>
      </c>
      <c r="ED5922" s="1" t="s">
        <v>130</v>
      </c>
      <c r="GD5922" s="1" t="s">
        <v>189</v>
      </c>
      <c r="GE5922" s="1" t="s">
        <v>8309</v>
      </c>
    </row>
    <row r="5923" spans="1:187" ht="11.25" customHeight="1">
      <c r="A5923" s="1" t="s">
        <v>8310</v>
      </c>
      <c r="B5923" s="1" t="str">
        <f ca="1">IFERROR(__xludf.DUMMYFUNCTION("GOOGLETRANSLATE(A5923, ""en"", ""fr"")"),"Terrain n ° 3")</f>
        <v>Terrain n ° 3</v>
      </c>
      <c r="C5923" s="1" t="s">
        <v>185</v>
      </c>
      <c r="N5923" s="1" t="s">
        <v>10</v>
      </c>
      <c r="AV5923" s="1" t="s">
        <v>44</v>
      </c>
      <c r="AW5923" s="1" t="s">
        <v>45</v>
      </c>
      <c r="EC5923" s="1" t="s">
        <v>129</v>
      </c>
      <c r="ED5923" s="1" t="s">
        <v>130</v>
      </c>
      <c r="GD5923" s="1" t="s">
        <v>193</v>
      </c>
      <c r="GE5923" s="1" t="s">
        <v>8311</v>
      </c>
    </row>
    <row r="5924" spans="1:187" ht="11.25" customHeight="1">
      <c r="A5924" s="1" t="s">
        <v>8312</v>
      </c>
      <c r="B5924" s="1" t="str">
        <f ca="1">IFERROR(__xludf.DUMMYFUNCTION("GOOGLETRANSLATE(A5924, ""en"", ""fr"")"),"PROPRIÉTAIRE")</f>
        <v>PROPRIÉTAIRE</v>
      </c>
      <c r="C5924" s="1" t="s">
        <v>185</v>
      </c>
      <c r="J5924" s="1" t="s">
        <v>6</v>
      </c>
      <c r="K5924" s="1" t="s">
        <v>7</v>
      </c>
      <c r="AA5924" s="1" t="s">
        <v>23</v>
      </c>
      <c r="AC5924" s="1" t="s">
        <v>25</v>
      </c>
      <c r="AJ5924" s="1" t="s">
        <v>32</v>
      </c>
      <c r="AT5924" s="1" t="s">
        <v>42</v>
      </c>
      <c r="DZ5924" s="1" t="s">
        <v>126</v>
      </c>
      <c r="ED5924" s="1" t="s">
        <v>130</v>
      </c>
      <c r="GD5924" s="1" t="s">
        <v>193</v>
      </c>
      <c r="GE5924" s="1" t="s">
        <v>190</v>
      </c>
    </row>
    <row r="5925" spans="1:187" ht="11.25" customHeight="1">
      <c r="A5925" s="1" t="s">
        <v>8313</v>
      </c>
      <c r="B5925" s="1" t="str">
        <f ca="1">IFERROR(__xludf.DUMMYFUNCTION("GOOGLETRANSLATE(A5925, ""en"", ""fr"")"),"POINT DE REPÈRE")</f>
        <v>POINT DE REPÈRE</v>
      </c>
      <c r="C5925" s="1" t="s">
        <v>185</v>
      </c>
      <c r="AV5925" s="1" t="s">
        <v>44</v>
      </c>
      <c r="BA5925" s="1" t="s">
        <v>49</v>
      </c>
      <c r="GD5925" s="1" t="s">
        <v>193</v>
      </c>
      <c r="GE5925" s="1" t="s">
        <v>190</v>
      </c>
    </row>
    <row r="5926" spans="1:187" ht="11.25" customHeight="1">
      <c r="A5926" s="1" t="s">
        <v>8314</v>
      </c>
      <c r="B5926" s="1" t="str">
        <f ca="1">IFERROR(__xludf.DUMMYFUNCTION("GOOGLETRANSLATE(A5926, ""en"", ""fr"")"),"PAYSAGE")</f>
        <v>PAYSAGE</v>
      </c>
      <c r="C5926" s="1" t="s">
        <v>185</v>
      </c>
      <c r="AV5926" s="1" t="s">
        <v>44</v>
      </c>
      <c r="BA5926" s="1" t="s">
        <v>49</v>
      </c>
      <c r="GD5926" s="1" t="s">
        <v>193</v>
      </c>
      <c r="GE5926" s="1" t="s">
        <v>190</v>
      </c>
    </row>
    <row r="5927" spans="1:187" ht="11.25" customHeight="1">
      <c r="A5927" s="1" t="s">
        <v>8315</v>
      </c>
      <c r="B5927" s="1" t="str">
        <f ca="1">IFERROR(__xludf.DUMMYFUNCTION("GOOGLETRANSLATE(A5927, ""en"", ""fr"")"),"VOIE")</f>
        <v>VOIE</v>
      </c>
      <c r="C5927" s="1" t="s">
        <v>185</v>
      </c>
      <c r="AV5927" s="1" t="s">
        <v>44</v>
      </c>
      <c r="AY5927" s="1" t="s">
        <v>47</v>
      </c>
      <c r="GD5927" s="1" t="s">
        <v>193</v>
      </c>
      <c r="GE5927" s="1" t="s">
        <v>190</v>
      </c>
    </row>
    <row r="5928" spans="1:187" ht="11.25" customHeight="1">
      <c r="A5928" s="1" t="s">
        <v>8316</v>
      </c>
      <c r="B5928" s="1" t="str">
        <f ca="1">IFERROR(__xludf.DUMMYFUNCTION("GOOGLETRANSLATE(A5928, ""en"", ""fr"")"),"LANGUE")</f>
        <v>LANGUE</v>
      </c>
      <c r="C5928" s="1" t="s">
        <v>185</v>
      </c>
      <c r="BK5928" s="1" t="s">
        <v>59</v>
      </c>
      <c r="BL5928" s="1" t="s">
        <v>60</v>
      </c>
      <c r="FH5928" s="1" t="s">
        <v>160</v>
      </c>
      <c r="FI5928" s="1" t="s">
        <v>161</v>
      </c>
      <c r="GC5928" s="1" t="s">
        <v>181</v>
      </c>
      <c r="GD5928" s="1" t="s">
        <v>193</v>
      </c>
      <c r="GE5928" s="1" t="s">
        <v>8317</v>
      </c>
    </row>
    <row r="5929" spans="1:187" ht="11.25" customHeight="1">
      <c r="A5929" s="1" t="s">
        <v>8318</v>
      </c>
      <c r="B5929" s="1" t="str">
        <f ca="1">IFERROR(__xludf.DUMMYFUNCTION("GOOGLETRANSLATE(A5929, ""en"", ""fr"")"),"LANGUIR")</f>
        <v>LANGUIR</v>
      </c>
      <c r="C5929" s="1" t="s">
        <v>192</v>
      </c>
      <c r="E5929" s="1" t="s">
        <v>16613</v>
      </c>
      <c r="L5929" s="1" t="s">
        <v>8</v>
      </c>
      <c r="O5929" s="1" t="s">
        <v>11</v>
      </c>
      <c r="BT5929" s="1" t="s">
        <v>68</v>
      </c>
      <c r="BY5929" s="1" t="s">
        <v>73</v>
      </c>
      <c r="DP5929" s="1" t="s">
        <v>116</v>
      </c>
      <c r="GD5929" s="1" t="s">
        <v>189</v>
      </c>
      <c r="GE5929" s="1" t="s">
        <v>190</v>
      </c>
    </row>
    <row r="5930" spans="1:187" ht="11.25" customHeight="1">
      <c r="A5930" s="1" t="s">
        <v>8319</v>
      </c>
      <c r="B5930" s="1" t="str">
        <f ca="1">IFERROR(__xludf.DUMMYFUNCTION("GOOGLETRANSLATE(A5930, ""en"", ""fr"")"),"LAOS")</f>
        <v>LAOS</v>
      </c>
      <c r="C5930" s="1" t="s">
        <v>196</v>
      </c>
      <c r="FU5930" s="1" t="s">
        <v>173</v>
      </c>
      <c r="GD5930" s="1" t="s">
        <v>3591</v>
      </c>
    </row>
    <row r="5931" spans="1:187" ht="11.25" customHeight="1">
      <c r="A5931" s="1" t="s">
        <v>8320</v>
      </c>
      <c r="B5931" s="1" t="str">
        <f ca="1">IFERROR(__xludf.DUMMYFUNCTION("GOOGLETRANSLATE(A5931, ""en"", ""fr"")"),"LAPS")</f>
        <v>LAPS</v>
      </c>
      <c r="C5931" s="1" t="s">
        <v>192</v>
      </c>
      <c r="E5931" s="1" t="s">
        <v>16613</v>
      </c>
      <c r="BT5931" s="1" t="s">
        <v>68</v>
      </c>
      <c r="GD5931" s="1" t="s">
        <v>193</v>
      </c>
      <c r="GE5931" s="1" t="s">
        <v>190</v>
      </c>
    </row>
    <row r="5932" spans="1:187" ht="11.25" customHeight="1">
      <c r="A5932" s="1" t="s">
        <v>8321</v>
      </c>
      <c r="B5932" s="1" t="str">
        <f ca="1">IFERROR(__xludf.DUMMYFUNCTION("GOOGLETRANSLATE(A5932, ""en"", ""fr"")"),"Grand # 1")</f>
        <v>Grand # 1</v>
      </c>
      <c r="C5932" s="1" t="s">
        <v>185</v>
      </c>
      <c r="J5932" s="1" t="s">
        <v>6</v>
      </c>
      <c r="W5932" s="1" t="s">
        <v>19</v>
      </c>
      <c r="CS5932" s="1" t="s">
        <v>93</v>
      </c>
      <c r="DC5932" s="1" t="s">
        <v>103</v>
      </c>
      <c r="GD5932" s="1" t="s">
        <v>202</v>
      </c>
      <c r="GE5932" s="1" t="s">
        <v>8322</v>
      </c>
    </row>
    <row r="5933" spans="1:187" ht="11.25" customHeight="1">
      <c r="A5933" s="1" t="s">
        <v>8323</v>
      </c>
      <c r="B5933" s="1" t="str">
        <f ca="1">IFERROR(__xludf.DUMMYFUNCTION("GOOGLETRANSLATE(A5933, ""en"", ""fr"")"),"Grand # 2")</f>
        <v>Grand # 2</v>
      </c>
      <c r="C5933" s="1" t="s">
        <v>185</v>
      </c>
      <c r="J5933" s="1" t="s">
        <v>6</v>
      </c>
      <c r="W5933" s="1" t="s">
        <v>19</v>
      </c>
      <c r="CS5933" s="1" t="s">
        <v>93</v>
      </c>
      <c r="DC5933" s="1" t="s">
        <v>103</v>
      </c>
      <c r="GD5933" s="1" t="s">
        <v>202</v>
      </c>
      <c r="GE5933" s="1" t="s">
        <v>8324</v>
      </c>
    </row>
    <row r="5934" spans="1:187" ht="11.25" customHeight="1">
      <c r="A5934" s="1" t="s">
        <v>8325</v>
      </c>
      <c r="B5934" s="1" t="str">
        <f ca="1">IFERROR(__xludf.DUMMYFUNCTION("GOOGLETRANSLATE(A5934, ""en"", ""fr"")"),"Grand # 3")</f>
        <v>Grand # 3</v>
      </c>
      <c r="C5934" s="1" t="s">
        <v>185</v>
      </c>
      <c r="J5934" s="1" t="s">
        <v>6</v>
      </c>
      <c r="W5934" s="1" t="s">
        <v>19</v>
      </c>
      <c r="CS5934" s="1" t="s">
        <v>93</v>
      </c>
      <c r="DC5934" s="1" t="s">
        <v>103</v>
      </c>
      <c r="GD5934" s="1" t="s">
        <v>202</v>
      </c>
      <c r="GE5934" s="1" t="s">
        <v>8326</v>
      </c>
    </row>
    <row r="5935" spans="1:187" ht="11.25" customHeight="1">
      <c r="A5935" s="1" t="s">
        <v>8327</v>
      </c>
      <c r="B5935" s="1" t="str">
        <f ca="1">IFERROR(__xludf.DUMMYFUNCTION("GOOGLETRANSLATE(A5935, ""en"", ""fr"")"),"Grand # 4")</f>
        <v>Grand # 4</v>
      </c>
      <c r="C5935" s="1" t="s">
        <v>185</v>
      </c>
      <c r="W5935" s="1" t="s">
        <v>19</v>
      </c>
      <c r="CS5935" s="1" t="s">
        <v>93</v>
      </c>
      <c r="GD5935" s="1" t="s">
        <v>236</v>
      </c>
      <c r="GE5935" s="1" t="s">
        <v>8328</v>
      </c>
    </row>
    <row r="5936" spans="1:187" ht="11.25" customHeight="1">
      <c r="A5936" s="1" t="s">
        <v>8329</v>
      </c>
      <c r="B5936" s="1" t="str">
        <f ca="1">IFERROR(__xludf.DUMMYFUNCTION("GOOGLETRANSLATE(A5936, ""en"", ""fr"")"),"Grand # 5")</f>
        <v>Grand # 5</v>
      </c>
      <c r="C5936" s="1" t="s">
        <v>185</v>
      </c>
      <c r="X5936" s="1" t="s">
        <v>20</v>
      </c>
      <c r="CH5936" s="1" t="s">
        <v>82</v>
      </c>
      <c r="GD5936" s="1" t="s">
        <v>236</v>
      </c>
      <c r="GE5936" s="1" t="s">
        <v>8330</v>
      </c>
    </row>
    <row r="5937" spans="1:187" ht="11.25" customHeight="1">
      <c r="A5937" s="1" t="s">
        <v>8331</v>
      </c>
      <c r="B5937" s="1" t="str">
        <f ca="1">IFERROR(__xludf.DUMMYFUNCTION("GOOGLETRANSLATE(A5937, ""en"", ""fr"")"),"GRANDE ÉCHELLE")</f>
        <v>GRANDE ÉCHELLE</v>
      </c>
      <c r="C5937" s="1" t="s">
        <v>196</v>
      </c>
      <c r="GD5937" s="1" t="s">
        <v>8332</v>
      </c>
    </row>
    <row r="5938" spans="1:187" ht="11.25" customHeight="1">
      <c r="A5938" s="1" t="s">
        <v>8333</v>
      </c>
      <c r="B5938" s="1" t="str">
        <f ca="1">IFERROR(__xludf.DUMMYFUNCTION("GOOGLETRANSLATE(A5938, ""en"", ""fr"")"),"Dernière # 1")</f>
        <v>Dernière # 1</v>
      </c>
      <c r="C5938" s="1" t="s">
        <v>185</v>
      </c>
      <c r="CT5938" s="1" t="s">
        <v>94</v>
      </c>
      <c r="CU5938" s="1" t="s">
        <v>95</v>
      </c>
      <c r="CY5938" s="1" t="s">
        <v>99</v>
      </c>
      <c r="GB5938" s="1" t="s">
        <v>180</v>
      </c>
      <c r="GD5938" s="1" t="s">
        <v>5766</v>
      </c>
      <c r="GE5938" s="1" t="s">
        <v>8334</v>
      </c>
    </row>
    <row r="5939" spans="1:187" ht="11.25" customHeight="1">
      <c r="A5939" s="1" t="s">
        <v>8335</v>
      </c>
      <c r="B5939" s="1" t="str">
        <f ca="1">IFERROR(__xludf.DUMMYFUNCTION("GOOGLETRANSLATE(A5939, ""en"", ""fr"")"),"Dernière # 2")</f>
        <v>Dernière # 2</v>
      </c>
      <c r="C5939" s="1" t="s">
        <v>185</v>
      </c>
      <c r="W5939" s="1" t="s">
        <v>19</v>
      </c>
      <c r="CT5939" s="1" t="s">
        <v>94</v>
      </c>
      <c r="CU5939" s="1" t="s">
        <v>95</v>
      </c>
      <c r="DB5939" s="1" t="s">
        <v>102</v>
      </c>
      <c r="DD5939" s="1" t="s">
        <v>104</v>
      </c>
      <c r="GB5939" s="1" t="s">
        <v>180</v>
      </c>
      <c r="GD5939" s="1" t="s">
        <v>5766</v>
      </c>
      <c r="GE5939" s="1" t="s">
        <v>8336</v>
      </c>
    </row>
    <row r="5940" spans="1:187" ht="11.25" customHeight="1">
      <c r="A5940" s="1" t="s">
        <v>8337</v>
      </c>
      <c r="B5940" s="1" t="str">
        <f ca="1">IFERROR(__xludf.DUMMYFUNCTION("GOOGLETRANSLATE(A5940, ""en"", ""fr"")"),"Dernière # 3")</f>
        <v>Dernière # 3</v>
      </c>
      <c r="C5940" s="1" t="s">
        <v>185</v>
      </c>
      <c r="W5940" s="1" t="s">
        <v>19</v>
      </c>
      <c r="CY5940" s="1" t="s">
        <v>99</v>
      </c>
      <c r="GB5940" s="1" t="s">
        <v>180</v>
      </c>
      <c r="GD5940" s="1" t="s">
        <v>236</v>
      </c>
      <c r="GE5940" s="1" t="s">
        <v>8338</v>
      </c>
    </row>
    <row r="5941" spans="1:187" ht="11.25" customHeight="1">
      <c r="A5941" s="1" t="s">
        <v>8339</v>
      </c>
      <c r="B5941" s="1" t="str">
        <f ca="1">IFERROR(__xludf.DUMMYFUNCTION("GOOGLETRANSLATE(A5941, ""en"", ""fr"")"),"Dernière # 4")</f>
        <v>Dernière # 4</v>
      </c>
      <c r="C5941" s="1" t="s">
        <v>185</v>
      </c>
      <c r="J5941" s="1" t="s">
        <v>6</v>
      </c>
      <c r="BR5941" s="1" t="s">
        <v>66</v>
      </c>
      <c r="DN5941" s="1" t="s">
        <v>114</v>
      </c>
      <c r="FR5941" s="1" t="s">
        <v>170</v>
      </c>
      <c r="GD5941" s="1" t="s">
        <v>189</v>
      </c>
      <c r="GE5941" s="1" t="s">
        <v>8340</v>
      </c>
    </row>
    <row r="5942" spans="1:187" ht="11.25" customHeight="1">
      <c r="A5942" s="1" t="s">
        <v>8341</v>
      </c>
      <c r="B5942" s="1" t="str">
        <f ca="1">IFERROR(__xludf.DUMMYFUNCTION("GOOGLETRANSLATE(A5942, ""en"", ""fr"")"),"Dernière # 5")</f>
        <v>Dernière # 5</v>
      </c>
      <c r="C5942" s="1" t="s">
        <v>185</v>
      </c>
      <c r="J5942" s="1" t="s">
        <v>6</v>
      </c>
      <c r="BR5942" s="1" t="s">
        <v>66</v>
      </c>
      <c r="GD5942" s="1" t="s">
        <v>202</v>
      </c>
      <c r="GE5942" s="1" t="s">
        <v>8342</v>
      </c>
    </row>
    <row r="5943" spans="1:187" ht="11.25" customHeight="1">
      <c r="A5943" s="1" t="s">
        <v>8343</v>
      </c>
      <c r="B5943" s="1" t="str">
        <f ca="1">IFERROR(__xludf.DUMMYFUNCTION("GOOGLETRANSLATE(A5943, ""en"", ""fr"")"),"Tardif n ° 1")</f>
        <v>Tardif n ° 1</v>
      </c>
      <c r="C5943" s="1" t="s">
        <v>185</v>
      </c>
      <c r="CY5943" s="1" t="s">
        <v>99</v>
      </c>
      <c r="GB5943" s="1" t="s">
        <v>180</v>
      </c>
      <c r="GD5943" s="1" t="s">
        <v>202</v>
      </c>
      <c r="GE5943" s="1" t="s">
        <v>8344</v>
      </c>
    </row>
    <row r="5944" spans="1:187" ht="11.25" customHeight="1">
      <c r="A5944" s="1" t="s">
        <v>8345</v>
      </c>
      <c r="B5944" s="1" t="str">
        <f ca="1">IFERROR(__xludf.DUMMYFUNCTION("GOOGLETRANSLATE(A5944, ""en"", ""fr"")"),"Tard # 2")</f>
        <v>Tard # 2</v>
      </c>
      <c r="C5944" s="1" t="s">
        <v>185</v>
      </c>
      <c r="CY5944" s="1" t="s">
        <v>99</v>
      </c>
      <c r="GB5944" s="1" t="s">
        <v>180</v>
      </c>
      <c r="GD5944" s="1" t="s">
        <v>202</v>
      </c>
      <c r="GE5944" s="1" t="s">
        <v>8346</v>
      </c>
    </row>
    <row r="5945" spans="1:187" ht="11.25" customHeight="1">
      <c r="A5945" s="1" t="s">
        <v>8347</v>
      </c>
      <c r="B5945" s="1" t="str">
        <f ca="1">IFERROR(__xludf.DUMMYFUNCTION("GOOGLETRANSLATE(A5945, ""en"", ""fr"")"),"Tard # 3")</f>
        <v>Tard # 3</v>
      </c>
      <c r="C5945" s="1" t="s">
        <v>185</v>
      </c>
      <c r="CY5945" s="1" t="s">
        <v>99</v>
      </c>
      <c r="GB5945" s="1" t="s">
        <v>180</v>
      </c>
      <c r="GD5945" s="1" t="s">
        <v>236</v>
      </c>
      <c r="GE5945" s="1" t="s">
        <v>8348</v>
      </c>
    </row>
    <row r="5946" spans="1:187" ht="11.25" customHeight="1">
      <c r="A5946" s="1" t="s">
        <v>8349</v>
      </c>
      <c r="B5946" s="1" t="str">
        <f ca="1">IFERROR(__xludf.DUMMYFUNCTION("GOOGLETRANSLATE(A5946, ""en"", ""fr"")"),"Tardif n ° 4")</f>
        <v>Tardif n ° 4</v>
      </c>
      <c r="C5946" s="1" t="s">
        <v>185</v>
      </c>
      <c r="CY5946" s="1" t="s">
        <v>99</v>
      </c>
      <c r="GB5946" s="1" t="s">
        <v>180</v>
      </c>
      <c r="GD5946" s="1" t="s">
        <v>202</v>
      </c>
      <c r="GE5946" s="1" t="s">
        <v>8350</v>
      </c>
    </row>
    <row r="5947" spans="1:187" ht="11.25" customHeight="1">
      <c r="A5947" s="1" t="s">
        <v>8351</v>
      </c>
      <c r="B5947" s="1" t="str">
        <f ca="1">IFERROR(__xludf.DUMMYFUNCTION("GOOGLETRANSLATE(A5947, ""en"", ""fr"")"),"Tardif n ° 5")</f>
        <v>Tardif n ° 5</v>
      </c>
      <c r="C5947" s="1" t="s">
        <v>185</v>
      </c>
      <c r="O5947" s="1" t="s">
        <v>11</v>
      </c>
      <c r="BU5947" s="1" t="s">
        <v>69</v>
      </c>
      <c r="GB5947" s="1" t="s">
        <v>180</v>
      </c>
      <c r="GD5947" s="1" t="s">
        <v>202</v>
      </c>
      <c r="GE5947" s="1" t="s">
        <v>8352</v>
      </c>
    </row>
    <row r="5948" spans="1:187" ht="11.25" customHeight="1">
      <c r="A5948" s="1" t="s">
        <v>8353</v>
      </c>
      <c r="B5948" s="1" t="str">
        <f ca="1">IFERROR(__xludf.DUMMYFUNCTION("GOOGLETRANSLATE(A5948, ""en"", ""fr"")"),"Tard # 6")</f>
        <v>Tard # 6</v>
      </c>
      <c r="C5948" s="1" t="s">
        <v>185</v>
      </c>
      <c r="CY5948" s="1" t="s">
        <v>99</v>
      </c>
      <c r="GB5948" s="1" t="s">
        <v>180</v>
      </c>
      <c r="GD5948" s="1" t="s">
        <v>202</v>
      </c>
      <c r="GE5948" s="1" t="s">
        <v>8354</v>
      </c>
    </row>
    <row r="5949" spans="1:187" ht="11.25" customHeight="1">
      <c r="A5949" s="1" t="s">
        <v>8355</v>
      </c>
      <c r="B5949" s="1" t="str">
        <f ca="1">IFERROR(__xludf.DUMMYFUNCTION("GOOGLETRANSLATE(A5949, ""en"", ""fr"")"),"LATENT")</f>
        <v>LATENT</v>
      </c>
      <c r="C5949" s="1" t="s">
        <v>185</v>
      </c>
      <c r="O5949" s="1" t="s">
        <v>11</v>
      </c>
      <c r="CH5949" s="1" t="s">
        <v>82</v>
      </c>
      <c r="GD5949" s="1" t="s">
        <v>202</v>
      </c>
      <c r="GE5949" s="1" t="s">
        <v>190</v>
      </c>
    </row>
    <row r="5950" spans="1:187" ht="11.25" customHeight="1">
      <c r="A5950" s="1" t="s">
        <v>8356</v>
      </c>
      <c r="B5950" s="1" t="str">
        <f ca="1">IFERROR(__xludf.DUMMYFUNCTION("GOOGLETRANSLATE(A5950, ""en"", ""fr"")"),"LATIN")</f>
        <v>LATIN</v>
      </c>
      <c r="C5950" s="1" t="s">
        <v>185</v>
      </c>
      <c r="AC5950" s="1" t="s">
        <v>25</v>
      </c>
      <c r="AH5950" s="1" t="s">
        <v>30</v>
      </c>
      <c r="AV5950" s="1" t="s">
        <v>44</v>
      </c>
      <c r="AX5950" s="1" t="s">
        <v>46</v>
      </c>
      <c r="DI5950" s="1" t="s">
        <v>109</v>
      </c>
      <c r="FU5950" s="1" t="s">
        <v>173</v>
      </c>
      <c r="GD5950" s="1" t="s">
        <v>193</v>
      </c>
      <c r="GE5950" s="1" t="s">
        <v>190</v>
      </c>
    </row>
    <row r="5951" spans="1:187" ht="11.25" customHeight="1">
      <c r="A5951" s="1" t="s">
        <v>8357</v>
      </c>
      <c r="B5951" s="1" t="str">
        <f ca="1">IFERROR(__xludf.DUMMYFUNCTION("GOOGLETRANSLATE(A5951, ""en"", ""fr"")"),"Dernier # 1")</f>
        <v>Dernier # 1</v>
      </c>
      <c r="C5951" s="1" t="s">
        <v>185</v>
      </c>
      <c r="GD5951" s="1" t="s">
        <v>884</v>
      </c>
      <c r="GE5951" s="1" t="s">
        <v>8358</v>
      </c>
    </row>
    <row r="5952" spans="1:187" ht="11.25" customHeight="1">
      <c r="A5952" s="1" t="s">
        <v>8359</v>
      </c>
      <c r="B5952" s="1" t="str">
        <f ca="1">IFERROR(__xludf.DUMMYFUNCTION("GOOGLETRANSLATE(A5952, ""en"", ""fr"")"),"Dernier # 2")</f>
        <v>Dernier # 2</v>
      </c>
      <c r="C5952" s="1" t="s">
        <v>185</v>
      </c>
      <c r="CY5952" s="1" t="s">
        <v>99</v>
      </c>
      <c r="GD5952" s="1" t="s">
        <v>679</v>
      </c>
      <c r="GE5952" s="1" t="s">
        <v>8360</v>
      </c>
    </row>
    <row r="5953" spans="1:187" ht="11.25" customHeight="1">
      <c r="A5953" s="1" t="s">
        <v>8361</v>
      </c>
      <c r="B5953" s="1" t="str">
        <f ca="1">IFERROR(__xludf.DUMMYFUNCTION("GOOGLETRANSLATE(A5953, ""en"", ""fr"")"),"LOUABLE")</f>
        <v>LOUABLE</v>
      </c>
      <c r="C5953" s="1" t="s">
        <v>192</v>
      </c>
      <c r="D5953" s="1" t="s">
        <v>16612</v>
      </c>
      <c r="G5953" s="1" t="s">
        <v>3</v>
      </c>
      <c r="CM5953" s="1" t="s">
        <v>87</v>
      </c>
      <c r="CR5953" s="1" t="s">
        <v>92</v>
      </c>
      <c r="DQ5953" s="1" t="s">
        <v>117</v>
      </c>
      <c r="GD5953" s="1" t="s">
        <v>202</v>
      </c>
      <c r="GE5953" s="1" t="s">
        <v>190</v>
      </c>
    </row>
    <row r="5954" spans="1:187" ht="11.25" customHeight="1">
      <c r="A5954" s="1" t="s">
        <v>8362</v>
      </c>
      <c r="B5954" s="1" t="str">
        <f ca="1">IFERROR(__xludf.DUMMYFUNCTION("GOOGLETRANSLATE(A5954, ""en"", ""fr"")"),"Rire # 1")</f>
        <v>Rire # 1</v>
      </c>
      <c r="C5954" s="1" t="s">
        <v>185</v>
      </c>
      <c r="D5954" s="1" t="s">
        <v>16612</v>
      </c>
      <c r="F5954" s="1" t="s">
        <v>2</v>
      </c>
      <c r="O5954" s="1" t="s">
        <v>11</v>
      </c>
      <c r="AD5954" s="1" t="s">
        <v>26</v>
      </c>
      <c r="BK5954" s="1" t="s">
        <v>59</v>
      </c>
      <c r="BL5954" s="1" t="s">
        <v>60</v>
      </c>
      <c r="FA5954" s="1" t="s">
        <v>153</v>
      </c>
      <c r="FC5954" s="1" t="s">
        <v>155</v>
      </c>
      <c r="GC5954" s="1" t="s">
        <v>181</v>
      </c>
      <c r="GD5954" s="1" t="s">
        <v>193</v>
      </c>
      <c r="GE5954" s="1" t="s">
        <v>8363</v>
      </c>
    </row>
    <row r="5955" spans="1:187" ht="11.25" customHeight="1">
      <c r="A5955" s="1" t="s">
        <v>8364</v>
      </c>
      <c r="B5955" s="1" t="str">
        <f ca="1">IFERROR(__xludf.DUMMYFUNCTION("GOOGLETRANSLATE(A5955, ""en"", ""fr"")"),"Rire # 2")</f>
        <v>Rire # 2</v>
      </c>
      <c r="C5955" s="1" t="s">
        <v>185</v>
      </c>
      <c r="D5955" s="1" t="s">
        <v>16612</v>
      </c>
      <c r="F5955" s="1" t="s">
        <v>2</v>
      </c>
      <c r="O5955" s="1" t="s">
        <v>11</v>
      </c>
      <c r="AD5955" s="1" t="s">
        <v>26</v>
      </c>
      <c r="BK5955" s="1" t="s">
        <v>59</v>
      </c>
      <c r="DO5955" s="1" t="s">
        <v>115</v>
      </c>
      <c r="FA5955" s="1" t="s">
        <v>153</v>
      </c>
      <c r="FC5955" s="1" t="s">
        <v>155</v>
      </c>
      <c r="GD5955" s="1" t="s">
        <v>189</v>
      </c>
      <c r="GE5955" s="1" t="s">
        <v>8365</v>
      </c>
    </row>
    <row r="5956" spans="1:187" ht="11.25" customHeight="1">
      <c r="A5956" s="1" t="s">
        <v>8366</v>
      </c>
      <c r="B5956" s="1" t="str">
        <f ca="1">IFERROR(__xludf.DUMMYFUNCTION("GOOGLETRANSLATE(A5956, ""en"", ""fr"")"),"Rire # 3")</f>
        <v>Rire # 3</v>
      </c>
      <c r="C5956" s="1" t="s">
        <v>185</v>
      </c>
      <c r="E5956" s="1" t="s">
        <v>16613</v>
      </c>
      <c r="H5956" s="1" t="s">
        <v>4</v>
      </c>
      <c r="I5956" s="1" t="s">
        <v>5</v>
      </c>
      <c r="N5956" s="1" t="s">
        <v>10</v>
      </c>
      <c r="BK5956" s="1" t="s">
        <v>59</v>
      </c>
      <c r="DN5956" s="1" t="s">
        <v>114</v>
      </c>
      <c r="EL5956" s="1" t="s">
        <v>138</v>
      </c>
      <c r="EN5956" s="1" t="s">
        <v>140</v>
      </c>
      <c r="GD5956" s="1" t="s">
        <v>189</v>
      </c>
      <c r="GE5956" s="1" t="s">
        <v>8367</v>
      </c>
    </row>
    <row r="5957" spans="1:187" ht="11.25" customHeight="1">
      <c r="A5957" s="1" t="s">
        <v>8368</v>
      </c>
      <c r="B5957" s="1" t="str">
        <f ca="1">IFERROR(__xludf.DUMMYFUNCTION("GOOGLETRANSLATE(A5957, ""en"", ""fr"")"),"Rire # 4")</f>
        <v>Rire # 4</v>
      </c>
      <c r="C5957" s="1" t="s">
        <v>185</v>
      </c>
      <c r="N5957" s="1" t="s">
        <v>10</v>
      </c>
      <c r="X5957" s="1" t="s">
        <v>20</v>
      </c>
      <c r="BK5957" s="1" t="s">
        <v>59</v>
      </c>
      <c r="DN5957" s="1" t="s">
        <v>114</v>
      </c>
      <c r="GD5957" s="1" t="s">
        <v>189</v>
      </c>
      <c r="GE5957" s="1" t="s">
        <v>8369</v>
      </c>
    </row>
    <row r="5958" spans="1:187" ht="11.25" customHeight="1">
      <c r="A5958" s="1" t="s">
        <v>8370</v>
      </c>
      <c r="B5958" s="1" t="str">
        <f ca="1">IFERROR(__xludf.DUMMYFUNCTION("GOOGLETRANSLATE(A5958, ""en"", ""fr"")"),"Rire # 5")</f>
        <v>Rire # 5</v>
      </c>
      <c r="C5958" s="1" t="s">
        <v>185</v>
      </c>
      <c r="D5958" s="1" t="s">
        <v>16612</v>
      </c>
      <c r="F5958" s="1" t="s">
        <v>2</v>
      </c>
      <c r="O5958" s="1" t="s">
        <v>11</v>
      </c>
      <c r="AD5958" s="1" t="s">
        <v>26</v>
      </c>
      <c r="BK5958" s="1" t="s">
        <v>59</v>
      </c>
      <c r="FA5958" s="1" t="s">
        <v>153</v>
      </c>
      <c r="FC5958" s="1" t="s">
        <v>155</v>
      </c>
      <c r="GD5958" s="1" t="s">
        <v>202</v>
      </c>
      <c r="GE5958" s="1" t="s">
        <v>8371</v>
      </c>
    </row>
    <row r="5959" spans="1:187" ht="11.25" customHeight="1">
      <c r="A5959" s="1" t="s">
        <v>8372</v>
      </c>
      <c r="B5959" s="1" t="str">
        <f ca="1">IFERROR(__xludf.DUMMYFUNCTION("GOOGLETRANSLATE(A5959, ""en"", ""fr"")"),"Rire # 6")</f>
        <v>Rire # 6</v>
      </c>
      <c r="C5959" s="1" t="s">
        <v>185</v>
      </c>
      <c r="D5959" s="1" t="s">
        <v>16612</v>
      </c>
      <c r="F5959" s="1" t="s">
        <v>2</v>
      </c>
      <c r="O5959" s="1" t="s">
        <v>11</v>
      </c>
      <c r="AD5959" s="1" t="s">
        <v>26</v>
      </c>
      <c r="BK5959" s="1" t="s">
        <v>59</v>
      </c>
      <c r="BL5959" s="1" t="s">
        <v>60</v>
      </c>
      <c r="FA5959" s="1" t="s">
        <v>153</v>
      </c>
      <c r="FC5959" s="1" t="s">
        <v>155</v>
      </c>
      <c r="GC5959" s="1" t="s">
        <v>181</v>
      </c>
      <c r="GD5959" s="1" t="s">
        <v>193</v>
      </c>
      <c r="GE5959" s="1" t="s">
        <v>8373</v>
      </c>
    </row>
    <row r="5960" spans="1:187" ht="11.25" customHeight="1">
      <c r="A5960" s="1" t="s">
        <v>8374</v>
      </c>
      <c r="B5960" s="1" t="str">
        <f ca="1">IFERROR(__xludf.DUMMYFUNCTION("GOOGLETRANSLATE(A5960, ""en"", ""fr"")"),"RIRE")</f>
        <v>RIRE</v>
      </c>
      <c r="C5960" s="1" t="s">
        <v>185</v>
      </c>
      <c r="D5960" s="1" t="s">
        <v>16612</v>
      </c>
      <c r="F5960" s="1" t="s">
        <v>2</v>
      </c>
      <c r="O5960" s="1" t="s">
        <v>11</v>
      </c>
      <c r="AD5960" s="1" t="s">
        <v>26</v>
      </c>
      <c r="BK5960" s="1" t="s">
        <v>59</v>
      </c>
      <c r="BL5960" s="1" t="s">
        <v>60</v>
      </c>
      <c r="FA5960" s="1" t="s">
        <v>153</v>
      </c>
      <c r="FC5960" s="1" t="s">
        <v>155</v>
      </c>
      <c r="GC5960" s="1" t="s">
        <v>181</v>
      </c>
      <c r="GD5960" s="1" t="s">
        <v>193</v>
      </c>
      <c r="GE5960" s="1" t="s">
        <v>8375</v>
      </c>
    </row>
    <row r="5961" spans="1:187" ht="11.25" customHeight="1">
      <c r="A5961" s="1" t="s">
        <v>8376</v>
      </c>
      <c r="B5961" s="1" t="str">
        <f ca="1">IFERROR(__xludf.DUMMYFUNCTION("GOOGLETRANSLATE(A5961, ""en"", ""fr"")"),"LANCEMENT")</f>
        <v>LANCEMENT</v>
      </c>
      <c r="C5961" s="1" t="s">
        <v>185</v>
      </c>
      <c r="J5961" s="1" t="s">
        <v>6</v>
      </c>
      <c r="N5961" s="1" t="s">
        <v>10</v>
      </c>
      <c r="BV5961" s="1" t="s">
        <v>70</v>
      </c>
      <c r="DN5961" s="1" t="s">
        <v>114</v>
      </c>
      <c r="FP5961" s="1" t="s">
        <v>168</v>
      </c>
      <c r="GD5961" s="1" t="s">
        <v>189</v>
      </c>
      <c r="GE5961" s="1" t="s">
        <v>190</v>
      </c>
    </row>
    <row r="5962" spans="1:187" ht="11.25" customHeight="1">
      <c r="A5962" s="1" t="s">
        <v>8377</v>
      </c>
      <c r="B5962" s="1" t="str">
        <f ca="1">IFERROR(__xludf.DUMMYFUNCTION("GOOGLETRANSLATE(A5962, ""en"", ""fr"")"),"TOILETTES")</f>
        <v>TOILETTES</v>
      </c>
      <c r="C5962" s="1" t="s">
        <v>185</v>
      </c>
      <c r="BC5962" s="1" t="s">
        <v>51</v>
      </c>
      <c r="BG5962" s="1" t="s">
        <v>55</v>
      </c>
      <c r="GD5962" s="1" t="s">
        <v>193</v>
      </c>
      <c r="GE5962" s="1" t="s">
        <v>190</v>
      </c>
    </row>
    <row r="5963" spans="1:187" ht="11.25" customHeight="1">
      <c r="A5963" s="1" t="s">
        <v>8378</v>
      </c>
      <c r="B5963" s="1" t="str">
        <f ca="1">IFERROR(__xludf.DUMMYFUNCTION("GOOGLETRANSLATE(A5963, ""en"", ""fr"")"),"SOMPTUEUX")</f>
        <v>SOMPTUEUX</v>
      </c>
      <c r="C5963" s="1" t="s">
        <v>192</v>
      </c>
      <c r="D5963" s="1" t="s">
        <v>16612</v>
      </c>
      <c r="CM5963" s="1" t="s">
        <v>87</v>
      </c>
      <c r="CR5963" s="1" t="s">
        <v>92</v>
      </c>
      <c r="DR5963" s="1" t="s">
        <v>118</v>
      </c>
      <c r="GD5963" s="1" t="s">
        <v>202</v>
      </c>
      <c r="GE5963" s="1" t="s">
        <v>190</v>
      </c>
    </row>
    <row r="5964" spans="1:187" ht="11.25" customHeight="1">
      <c r="A5964" s="1" t="s">
        <v>8379</v>
      </c>
      <c r="B5964" s="1" t="str">
        <f ca="1">IFERROR(__xludf.DUMMYFUNCTION("GOOGLETRANSLATE(A5964, ""en"", ""fr"")"),"LOI")</f>
        <v>LOI</v>
      </c>
      <c r="C5964" s="1" t="s">
        <v>185</v>
      </c>
      <c r="D5964" s="1" t="s">
        <v>16612</v>
      </c>
      <c r="F5964" s="1" t="s">
        <v>2</v>
      </c>
      <c r="Z5964" s="1" t="s">
        <v>22</v>
      </c>
      <c r="AE5964" s="1" t="s">
        <v>27</v>
      </c>
      <c r="AH5964" s="1" t="s">
        <v>30</v>
      </c>
      <c r="EB5964" s="1" t="s">
        <v>128</v>
      </c>
      <c r="ED5964" s="1" t="s">
        <v>130</v>
      </c>
      <c r="GD5964" s="1" t="s">
        <v>193</v>
      </c>
      <c r="GE5964" s="1" t="s">
        <v>8380</v>
      </c>
    </row>
    <row r="5965" spans="1:187" ht="11.25" customHeight="1">
      <c r="A5965" s="1" t="s">
        <v>8381</v>
      </c>
      <c r="B5965" s="1" t="str">
        <f ca="1">IFERROR(__xludf.DUMMYFUNCTION("GOOGLETRANSLATE(A5965, ""en"", ""fr"")"),"LÉGITIME")</f>
        <v>LÉGITIME</v>
      </c>
      <c r="C5965" s="1" t="s">
        <v>185</v>
      </c>
      <c r="D5965" s="1" t="s">
        <v>16612</v>
      </c>
      <c r="U5965" s="1" t="s">
        <v>17</v>
      </c>
      <c r="AE5965" s="1" t="s">
        <v>27</v>
      </c>
      <c r="DR5965" s="1" t="s">
        <v>118</v>
      </c>
      <c r="EB5965" s="1" t="s">
        <v>128</v>
      </c>
      <c r="ED5965" s="1" t="s">
        <v>130</v>
      </c>
      <c r="GD5965" s="1" t="s">
        <v>202</v>
      </c>
      <c r="GE5965" s="1" t="s">
        <v>190</v>
      </c>
    </row>
    <row r="5966" spans="1:187" ht="11.25" customHeight="1">
      <c r="A5966" s="1" t="s">
        <v>8382</v>
      </c>
      <c r="B5966" s="1" t="str">
        <f ca="1">IFERROR(__xludf.DUMMYFUNCTION("GOOGLETRANSLATE(A5966, ""en"", ""fr"")"),"SANS FOI NI LOI")</f>
        <v>SANS FOI NI LOI</v>
      </c>
      <c r="C5966" s="1" t="s">
        <v>192</v>
      </c>
      <c r="E5966" s="1" t="s">
        <v>16613</v>
      </c>
      <c r="I5966" s="1" t="s">
        <v>5</v>
      </c>
      <c r="AE5966" s="1" t="s">
        <v>27</v>
      </c>
      <c r="DR5966" s="1" t="s">
        <v>118</v>
      </c>
      <c r="GD5966" s="1" t="s">
        <v>202</v>
      </c>
      <c r="GE5966" s="1" t="s">
        <v>190</v>
      </c>
    </row>
    <row r="5967" spans="1:187" ht="11.25" customHeight="1">
      <c r="A5967" s="1" t="s">
        <v>8383</v>
      </c>
      <c r="B5967" s="1" t="str">
        <f ca="1">IFERROR(__xludf.DUMMYFUNCTION("GOOGLETRANSLATE(A5967, ""en"", ""fr"")"),"PELOUSE")</f>
        <v>PELOUSE</v>
      </c>
      <c r="C5967" s="1" t="s">
        <v>185</v>
      </c>
      <c r="AV5967" s="1" t="s">
        <v>44</v>
      </c>
      <c r="AW5967" s="1" t="s">
        <v>45</v>
      </c>
      <c r="GD5967" s="1" t="s">
        <v>193</v>
      </c>
      <c r="GE5967" s="1" t="s">
        <v>190</v>
      </c>
    </row>
    <row r="5968" spans="1:187" ht="11.25" customHeight="1">
      <c r="A5968" s="1" t="s">
        <v>8384</v>
      </c>
      <c r="B5968" s="1" t="str">
        <f ca="1">IFERROR(__xludf.DUMMYFUNCTION("GOOGLETRANSLATE(A5968, ""en"", ""fr"")"),"AVOCAT")</f>
        <v>AVOCAT</v>
      </c>
      <c r="C5968" s="1" t="s">
        <v>185</v>
      </c>
      <c r="AE5968" s="1" t="s">
        <v>27</v>
      </c>
      <c r="AJ5968" s="1" t="s">
        <v>32</v>
      </c>
      <c r="AT5968" s="1" t="s">
        <v>42</v>
      </c>
      <c r="FK5968" s="1" t="s">
        <v>163</v>
      </c>
      <c r="FM5968" s="1" t="s">
        <v>418</v>
      </c>
      <c r="GD5968" s="1" t="s">
        <v>193</v>
      </c>
      <c r="GE5968" s="1" t="s">
        <v>8385</v>
      </c>
    </row>
    <row r="5969" spans="1:187" ht="11.25" customHeight="1">
      <c r="A5969" s="1" t="s">
        <v>8386</v>
      </c>
      <c r="B5969" s="1" t="str">
        <f ca="1">IFERROR(__xludf.DUMMYFUNCTION("GOOGLETRANSLATE(A5969, ""en"", ""fr"")"),"Lay # 1")</f>
        <v>Lay # 1</v>
      </c>
      <c r="C5969" s="1" t="s">
        <v>185</v>
      </c>
      <c r="O5969" s="1" t="s">
        <v>11</v>
      </c>
      <c r="CA5969" s="1" t="s">
        <v>75</v>
      </c>
      <c r="DO5969" s="1" t="s">
        <v>115</v>
      </c>
      <c r="GD5969" s="1" t="s">
        <v>400</v>
      </c>
      <c r="GE5969" s="1" t="s">
        <v>8387</v>
      </c>
    </row>
    <row r="5970" spans="1:187" ht="11.25" customHeight="1">
      <c r="A5970" s="1" t="s">
        <v>8388</v>
      </c>
      <c r="B5970" s="1" t="str">
        <f ca="1">IFERROR(__xludf.DUMMYFUNCTION("GOOGLETRANSLATE(A5970, ""en"", ""fr"")"),"Lay # 2")</f>
        <v>Lay # 2</v>
      </c>
      <c r="C5970" s="1" t="s">
        <v>185</v>
      </c>
      <c r="N5970" s="1" t="s">
        <v>10</v>
      </c>
      <c r="O5970" s="1" t="s">
        <v>11</v>
      </c>
      <c r="CD5970" s="1" t="s">
        <v>78</v>
      </c>
      <c r="DO5970" s="1" t="s">
        <v>115</v>
      </c>
      <c r="GD5970" s="1" t="s">
        <v>189</v>
      </c>
      <c r="GE5970" s="1" t="s">
        <v>8389</v>
      </c>
    </row>
    <row r="5971" spans="1:187" ht="11.25" customHeight="1">
      <c r="A5971" s="1" t="s">
        <v>8390</v>
      </c>
      <c r="B5971" s="1" t="str">
        <f ca="1">IFERROR(__xludf.DUMMYFUNCTION("GOOGLETRANSLATE(A5971, ""en"", ""fr"")"),"Lay # 3")</f>
        <v>Lay # 3</v>
      </c>
      <c r="C5971" s="1" t="s">
        <v>185</v>
      </c>
      <c r="E5971" s="1" t="s">
        <v>16613</v>
      </c>
      <c r="H5971" s="1" t="s">
        <v>4</v>
      </c>
      <c r="I5971" s="1" t="s">
        <v>5</v>
      </c>
      <c r="J5971" s="1" t="s">
        <v>6</v>
      </c>
      <c r="K5971" s="1" t="s">
        <v>7</v>
      </c>
      <c r="N5971" s="1" t="s">
        <v>10</v>
      </c>
      <c r="AA5971" s="1" t="s">
        <v>23</v>
      </c>
      <c r="AN5971" s="1" t="s">
        <v>36</v>
      </c>
      <c r="DN5971" s="1" t="s">
        <v>114</v>
      </c>
      <c r="FO5971" s="1" t="s">
        <v>167</v>
      </c>
      <c r="GD5971" s="1" t="s">
        <v>189</v>
      </c>
      <c r="GE5971" s="1" t="s">
        <v>8391</v>
      </c>
    </row>
    <row r="5972" spans="1:187" ht="11.25" customHeight="1">
      <c r="A5972" s="1" t="s">
        <v>8392</v>
      </c>
      <c r="B5972" s="1" t="str">
        <f ca="1">IFERROR(__xludf.DUMMYFUNCTION("GOOGLETRANSLATE(A5972, ""en"", ""fr"")"),"Lay # 4")</f>
        <v>Lay # 4</v>
      </c>
      <c r="C5972" s="1" t="s">
        <v>185</v>
      </c>
      <c r="AK5972" s="1" t="s">
        <v>33</v>
      </c>
      <c r="AT5972" s="1" t="s">
        <v>42</v>
      </c>
      <c r="FL5972" s="1" t="s">
        <v>164</v>
      </c>
      <c r="FM5972" s="1" t="s">
        <v>418</v>
      </c>
      <c r="GD5972" s="1" t="s">
        <v>193</v>
      </c>
      <c r="GE5972" s="1" t="s">
        <v>8393</v>
      </c>
    </row>
    <row r="5973" spans="1:187" ht="11.25" customHeight="1">
      <c r="A5973" s="1" t="s">
        <v>8394</v>
      </c>
      <c r="B5973" s="1" t="str">
        <f ca="1">IFERROR(__xludf.DUMMYFUNCTION("GOOGLETRANSLATE(A5973, ""en"", ""fr"")"),"COUCHE")</f>
        <v>COUCHE</v>
      </c>
      <c r="C5973" s="1" t="s">
        <v>185</v>
      </c>
      <c r="DA5973" s="1" t="s">
        <v>101</v>
      </c>
      <c r="GB5973" s="1" t="s">
        <v>180</v>
      </c>
      <c r="GD5973" s="1" t="s">
        <v>193</v>
      </c>
      <c r="GE5973" s="1" t="s">
        <v>190</v>
      </c>
    </row>
    <row r="5974" spans="1:187" ht="11.25" customHeight="1">
      <c r="A5974" s="1" t="s">
        <v>8395</v>
      </c>
      <c r="B5974" s="1" t="str">
        <f ca="1">IFERROR(__xludf.DUMMYFUNCTION("GOOGLETRANSLATE(A5974, ""en"", ""fr"")"),"PARESSEUSEMENT")</f>
        <v>PARESSEUSEMENT</v>
      </c>
      <c r="C5974" s="1" t="s">
        <v>192</v>
      </c>
      <c r="E5974" s="1" t="s">
        <v>16613</v>
      </c>
      <c r="L5974" s="1" t="s">
        <v>8</v>
      </c>
      <c r="BT5974" s="1" t="s">
        <v>68</v>
      </c>
      <c r="GD5974" s="1" t="s">
        <v>202</v>
      </c>
      <c r="GE5974" s="1" t="s">
        <v>190</v>
      </c>
    </row>
    <row r="5975" spans="1:187" ht="11.25" customHeight="1">
      <c r="A5975" s="1" t="s">
        <v>8396</v>
      </c>
      <c r="B5975" s="1" t="str">
        <f ca="1">IFERROR(__xludf.DUMMYFUNCTION("GOOGLETRANSLATE(A5975, ""en"", ""fr"")"),"PARESSEUX")</f>
        <v>PARESSEUX</v>
      </c>
      <c r="C5975" s="1" t="s">
        <v>185</v>
      </c>
      <c r="E5975" s="1" t="s">
        <v>16613</v>
      </c>
      <c r="H5975" s="1" t="s">
        <v>4</v>
      </c>
      <c r="L5975" s="1" t="s">
        <v>8</v>
      </c>
      <c r="O5975" s="1" t="s">
        <v>11</v>
      </c>
      <c r="V5975" s="1" t="s">
        <v>18</v>
      </c>
      <c r="GD5975" s="1" t="s">
        <v>202</v>
      </c>
      <c r="GE5975" s="1" t="s">
        <v>190</v>
      </c>
    </row>
    <row r="5976" spans="1:187" ht="11.25" customHeight="1">
      <c r="A5976" s="1" t="s">
        <v>8397</v>
      </c>
      <c r="B5976" s="1" t="str">
        <f ca="1">IFERROR(__xludf.DUMMYFUNCTION("GOOGLETRANSLATE(A5976, ""en"", ""fr"")"),"Lead n ° 1")</f>
        <v>Lead n ° 1</v>
      </c>
      <c r="C5976" s="1" t="s">
        <v>185</v>
      </c>
      <c r="J5976" s="1" t="s">
        <v>6</v>
      </c>
      <c r="K5976" s="1" t="s">
        <v>7</v>
      </c>
      <c r="N5976" s="1" t="s">
        <v>10</v>
      </c>
      <c r="AN5976" s="1" t="s">
        <v>36</v>
      </c>
      <c r="DN5976" s="1" t="s">
        <v>114</v>
      </c>
      <c r="EC5976" s="1" t="s">
        <v>129</v>
      </c>
      <c r="ED5976" s="1" t="s">
        <v>130</v>
      </c>
      <c r="GD5976" s="1" t="s">
        <v>189</v>
      </c>
      <c r="GE5976" s="1" t="s">
        <v>8398</v>
      </c>
    </row>
    <row r="5977" spans="1:187" ht="11.25" customHeight="1">
      <c r="A5977" s="1" t="s">
        <v>8399</v>
      </c>
      <c r="B5977" s="1" t="str">
        <f ca="1">IFERROR(__xludf.DUMMYFUNCTION("GOOGLETRANSLATE(A5977, ""en"", ""fr"")"),"Lead n ° 2")</f>
        <v>Lead n ° 2</v>
      </c>
      <c r="C5977" s="1" t="s">
        <v>185</v>
      </c>
      <c r="N5977" s="1" t="s">
        <v>10</v>
      </c>
      <c r="CI5977" s="1" t="s">
        <v>83</v>
      </c>
      <c r="DN5977" s="1" t="s">
        <v>114</v>
      </c>
      <c r="FP5977" s="1" t="s">
        <v>168</v>
      </c>
      <c r="GD5977" s="1" t="s">
        <v>189</v>
      </c>
      <c r="GE5977" s="1" t="s">
        <v>8400</v>
      </c>
    </row>
    <row r="5978" spans="1:187" ht="11.25" customHeight="1">
      <c r="A5978" s="1" t="s">
        <v>8401</v>
      </c>
      <c r="B5978" s="1" t="str">
        <f ca="1">IFERROR(__xludf.DUMMYFUNCTION("GOOGLETRANSLATE(A5978, ""en"", ""fr"")"),"Lead n ° 3")</f>
        <v>Lead n ° 3</v>
      </c>
      <c r="C5978" s="1" t="s">
        <v>185</v>
      </c>
      <c r="J5978" s="1" t="s">
        <v>6</v>
      </c>
      <c r="W5978" s="1" t="s">
        <v>19</v>
      </c>
      <c r="BQ5978" s="1" t="s">
        <v>65</v>
      </c>
      <c r="GD5978" s="1" t="s">
        <v>193</v>
      </c>
      <c r="GE5978" s="1" t="s">
        <v>8402</v>
      </c>
    </row>
    <row r="5979" spans="1:187" ht="11.25" customHeight="1">
      <c r="A5979" s="1" t="s">
        <v>8403</v>
      </c>
      <c r="B5979" s="1" t="str">
        <f ca="1">IFERROR(__xludf.DUMMYFUNCTION("GOOGLETRANSLATE(A5979, ""en"", ""fr"")"),"Lead n ° 4")</f>
        <v>Lead n ° 4</v>
      </c>
      <c r="C5979" s="1" t="s">
        <v>185</v>
      </c>
      <c r="D5979" s="1" t="s">
        <v>16612</v>
      </c>
      <c r="F5979" s="1" t="s">
        <v>2</v>
      </c>
      <c r="J5979" s="1" t="s">
        <v>6</v>
      </c>
      <c r="U5979" s="1" t="s">
        <v>17</v>
      </c>
      <c r="W5979" s="1" t="s">
        <v>19</v>
      </c>
      <c r="CN5979" s="1" t="s">
        <v>88</v>
      </c>
      <c r="FX5979" s="1" t="s">
        <v>176</v>
      </c>
      <c r="GD5979" s="1" t="s">
        <v>202</v>
      </c>
      <c r="GE5979" s="1" t="s">
        <v>8404</v>
      </c>
    </row>
    <row r="5980" spans="1:187" ht="11.25" customHeight="1">
      <c r="A5980" s="1" t="s">
        <v>8405</v>
      </c>
      <c r="B5980" s="1" t="str">
        <f ca="1">IFERROR(__xludf.DUMMYFUNCTION("GOOGLETRANSLATE(A5980, ""en"", ""fr"")"),"Lead n ° 5")</f>
        <v>Lead n ° 5</v>
      </c>
      <c r="C5980" s="1" t="s">
        <v>185</v>
      </c>
      <c r="N5980" s="1" t="s">
        <v>10</v>
      </c>
      <c r="BR5980" s="1" t="s">
        <v>66</v>
      </c>
      <c r="DN5980" s="1" t="s">
        <v>114</v>
      </c>
      <c r="EZ5980" s="1" t="s">
        <v>152</v>
      </c>
      <c r="FC5980" s="1" t="s">
        <v>155</v>
      </c>
      <c r="GD5980" s="1" t="s">
        <v>189</v>
      </c>
      <c r="GE5980" s="1" t="s">
        <v>8406</v>
      </c>
    </row>
    <row r="5981" spans="1:187" ht="11.25" customHeight="1">
      <c r="A5981" s="1" t="s">
        <v>8407</v>
      </c>
      <c r="B5981" s="1" t="str">
        <f ca="1">IFERROR(__xludf.DUMMYFUNCTION("GOOGLETRANSLATE(A5981, ""en"", ""fr"")"),"Lead n ° 6")</f>
        <v>Lead n ° 6</v>
      </c>
      <c r="C5981" s="1" t="s">
        <v>185</v>
      </c>
      <c r="I5981" s="1" t="s">
        <v>5</v>
      </c>
      <c r="BK5981" s="1" t="s">
        <v>59</v>
      </c>
      <c r="DW5981" s="1" t="s">
        <v>123</v>
      </c>
      <c r="ED5981" s="1" t="s">
        <v>130</v>
      </c>
      <c r="GC5981" s="1" t="s">
        <v>181</v>
      </c>
      <c r="GD5981" s="1" t="s">
        <v>193</v>
      </c>
      <c r="GE5981" s="1" t="s">
        <v>8408</v>
      </c>
    </row>
    <row r="5982" spans="1:187" ht="11.25" customHeight="1">
      <c r="A5982" s="1" t="s">
        <v>8409</v>
      </c>
      <c r="B5982" s="1" t="str">
        <f ca="1">IFERROR(__xludf.DUMMYFUNCTION("GOOGLETRANSLATE(A5982, ""en"", ""fr"")"),"CHEF")</f>
        <v>CHEF</v>
      </c>
      <c r="C5982" s="1" t="s">
        <v>185</v>
      </c>
      <c r="J5982" s="1" t="s">
        <v>6</v>
      </c>
      <c r="K5982" s="1" t="s">
        <v>7</v>
      </c>
      <c r="N5982" s="1" t="s">
        <v>10</v>
      </c>
      <c r="AH5982" s="1" t="s">
        <v>30</v>
      </c>
      <c r="AJ5982" s="1" t="s">
        <v>32</v>
      </c>
      <c r="AT5982" s="1" t="s">
        <v>42</v>
      </c>
      <c r="DZ5982" s="1" t="s">
        <v>126</v>
      </c>
      <c r="ED5982" s="1" t="s">
        <v>130</v>
      </c>
      <c r="GD5982" s="1" t="s">
        <v>193</v>
      </c>
      <c r="GE5982" s="1" t="s">
        <v>8410</v>
      </c>
    </row>
    <row r="5983" spans="1:187" ht="11.25" customHeight="1">
      <c r="A5983" s="1" t="s">
        <v>8411</v>
      </c>
      <c r="B5983" s="1" t="str">
        <f ca="1">IFERROR(__xludf.DUMMYFUNCTION("GOOGLETRANSLATE(A5983, ""en"", ""fr"")"),"DIRECTION")</f>
        <v>DIRECTION</v>
      </c>
      <c r="C5983" s="1" t="s">
        <v>185</v>
      </c>
      <c r="J5983" s="1" t="s">
        <v>6</v>
      </c>
      <c r="K5983" s="1" t="s">
        <v>7</v>
      </c>
      <c r="Z5983" s="1" t="s">
        <v>22</v>
      </c>
      <c r="AH5983" s="1" t="s">
        <v>30</v>
      </c>
      <c r="CP5983" s="1" t="s">
        <v>90</v>
      </c>
      <c r="CQ5983" s="1" t="s">
        <v>91</v>
      </c>
      <c r="DU5983" s="1" t="s">
        <v>121</v>
      </c>
      <c r="ED5983" s="1" t="s">
        <v>130</v>
      </c>
      <c r="GD5983" s="1" t="s">
        <v>193</v>
      </c>
      <c r="GE5983" s="1" t="s">
        <v>8412</v>
      </c>
    </row>
    <row r="5984" spans="1:187" ht="11.25" customHeight="1">
      <c r="A5984" s="1" t="s">
        <v>8413</v>
      </c>
      <c r="B5984" s="1" t="str">
        <f ca="1">IFERROR(__xludf.DUMMYFUNCTION("GOOGLETRANSLATE(A5984, ""en"", ""fr"")"),"FEUILLE")</f>
        <v>FEUILLE</v>
      </c>
      <c r="C5984" s="1" t="s">
        <v>185</v>
      </c>
      <c r="BC5984" s="1" t="s">
        <v>51</v>
      </c>
      <c r="BI5984" s="1" t="s">
        <v>57</v>
      </c>
      <c r="BU5984" s="1" t="s">
        <v>69</v>
      </c>
      <c r="GD5984" s="1" t="s">
        <v>193</v>
      </c>
      <c r="GE5984" s="1" t="s">
        <v>190</v>
      </c>
    </row>
    <row r="5985" spans="1:187" ht="11.25" customHeight="1">
      <c r="A5985" s="1" t="s">
        <v>8414</v>
      </c>
      <c r="B5985" s="1" t="str">
        <f ca="1">IFERROR(__xludf.DUMMYFUNCTION("GOOGLETRANSLATE(A5985, ""en"", ""fr"")"),"Ligue n ° 1")</f>
        <v>Ligue n ° 1</v>
      </c>
      <c r="C5985" s="1" t="s">
        <v>185</v>
      </c>
      <c r="G5985" s="1" t="s">
        <v>3</v>
      </c>
      <c r="J5985" s="1" t="s">
        <v>6</v>
      </c>
      <c r="AG5985" s="1" t="s">
        <v>29</v>
      </c>
      <c r="AK5985" s="1" t="s">
        <v>33</v>
      </c>
      <c r="AT5985" s="1" t="s">
        <v>42</v>
      </c>
      <c r="DZ5985" s="1" t="s">
        <v>126</v>
      </c>
      <c r="ED5985" s="1" t="s">
        <v>130</v>
      </c>
      <c r="GD5985" s="1" t="s">
        <v>849</v>
      </c>
      <c r="GE5985" s="1" t="s">
        <v>8415</v>
      </c>
    </row>
    <row r="5986" spans="1:187" ht="11.25" customHeight="1">
      <c r="A5986" s="1" t="s">
        <v>8416</v>
      </c>
      <c r="B5986" s="1" t="str">
        <f ca="1">IFERROR(__xludf.DUMMYFUNCTION("GOOGLETRANSLATE(A5986, ""en"", ""fr"")"),"Ligue n ° 2")</f>
        <v>Ligue n ° 2</v>
      </c>
      <c r="C5986" s="1" t="s">
        <v>185</v>
      </c>
      <c r="G5986" s="1" t="s">
        <v>3</v>
      </c>
      <c r="J5986" s="1" t="s">
        <v>6</v>
      </c>
      <c r="AN5986" s="1" t="s">
        <v>36</v>
      </c>
      <c r="DN5986" s="1" t="s">
        <v>114</v>
      </c>
      <c r="EC5986" s="1" t="s">
        <v>129</v>
      </c>
      <c r="ED5986" s="1" t="s">
        <v>130</v>
      </c>
      <c r="GD5986" s="1" t="s">
        <v>189</v>
      </c>
      <c r="GE5986" s="1" t="s">
        <v>8417</v>
      </c>
    </row>
    <row r="5987" spans="1:187" ht="11.25" customHeight="1">
      <c r="A5987" s="1" t="s">
        <v>8418</v>
      </c>
      <c r="B5987" s="1" t="str">
        <f ca="1">IFERROR(__xludf.DUMMYFUNCTION("GOOGLETRANSLATE(A5987, ""en"", ""fr"")"),"Ligue n ° 3")</f>
        <v>Ligue n ° 3</v>
      </c>
      <c r="C5987" s="1" t="s">
        <v>185</v>
      </c>
      <c r="CQ5987" s="1" t="s">
        <v>91</v>
      </c>
      <c r="CX5987" s="1" t="s">
        <v>98</v>
      </c>
      <c r="DA5987" s="1" t="s">
        <v>101</v>
      </c>
      <c r="GB5987" s="1" t="s">
        <v>180</v>
      </c>
      <c r="GD5987" s="1" t="s">
        <v>193</v>
      </c>
      <c r="GE5987" s="1" t="s">
        <v>8419</v>
      </c>
    </row>
    <row r="5988" spans="1:187" ht="11.25" customHeight="1">
      <c r="A5988" s="1" t="s">
        <v>8420</v>
      </c>
      <c r="B5988" s="1" t="str">
        <f ca="1">IFERROR(__xludf.DUMMYFUNCTION("GOOGLETRANSLATE(A5988, ""en"", ""fr"")"),"LIGUE DES NATIONS")</f>
        <v>LIGUE DES NATIONS</v>
      </c>
      <c r="C5988" s="1" t="s">
        <v>196</v>
      </c>
      <c r="GD5988" s="1" t="s">
        <v>2981</v>
      </c>
    </row>
    <row r="5989" spans="1:187" ht="11.25" customHeight="1">
      <c r="A5989" s="1" t="s">
        <v>8421</v>
      </c>
      <c r="B5989" s="1" t="str">
        <f ca="1">IFERROR(__xludf.DUMMYFUNCTION("GOOGLETRANSLATE(A5989, ""en"", ""fr"")"),"FUIR")</f>
        <v>FUIR</v>
      </c>
      <c r="C5989" s="1" t="s">
        <v>192</v>
      </c>
      <c r="E5989" s="1" t="s">
        <v>16613</v>
      </c>
      <c r="O5989" s="1" t="s">
        <v>11</v>
      </c>
      <c r="BK5989" s="1" t="s">
        <v>59</v>
      </c>
      <c r="BT5989" s="1" t="s">
        <v>68</v>
      </c>
      <c r="DN5989" s="1" t="s">
        <v>114</v>
      </c>
      <c r="GD5989" s="1" t="s">
        <v>189</v>
      </c>
      <c r="GE5989" s="1" t="s">
        <v>190</v>
      </c>
    </row>
    <row r="5990" spans="1:187" ht="11.25" customHeight="1">
      <c r="A5990" s="1" t="s">
        <v>8422</v>
      </c>
      <c r="B5990" s="1" t="str">
        <f ca="1">IFERROR(__xludf.DUMMYFUNCTION("GOOGLETRANSLATE(A5990, ""en"", ""fr"")"),"FUITE")</f>
        <v>FUITE</v>
      </c>
      <c r="C5990" s="1" t="s">
        <v>192</v>
      </c>
      <c r="E5990" s="1" t="s">
        <v>16613</v>
      </c>
      <c r="BY5990" s="1" t="s">
        <v>73</v>
      </c>
      <c r="GD5990" s="1" t="s">
        <v>193</v>
      </c>
      <c r="GE5990" s="1" t="s">
        <v>190</v>
      </c>
    </row>
    <row r="5991" spans="1:187" ht="11.25" customHeight="1">
      <c r="A5991" s="1" t="s">
        <v>8423</v>
      </c>
      <c r="B5991" s="1" t="str">
        <f ca="1">IFERROR(__xludf.DUMMYFUNCTION("GOOGLETRANSLATE(A5991, ""en"", ""fr"")"),"Lean # 1")</f>
        <v>Lean # 1</v>
      </c>
      <c r="C5991" s="1" t="s">
        <v>185</v>
      </c>
      <c r="L5991" s="1" t="s">
        <v>8</v>
      </c>
      <c r="CA5991" s="1" t="s">
        <v>75</v>
      </c>
      <c r="DO5991" s="1" t="s">
        <v>115</v>
      </c>
      <c r="GD5991" s="1" t="s">
        <v>189</v>
      </c>
      <c r="GE5991" s="1" t="s">
        <v>8424</v>
      </c>
    </row>
    <row r="5992" spans="1:187" ht="11.25" customHeight="1">
      <c r="A5992" s="1" t="s">
        <v>8425</v>
      </c>
      <c r="B5992" s="1" t="str">
        <f ca="1">IFERROR(__xludf.DUMMYFUNCTION("GOOGLETRANSLATE(A5992, ""en"", ""fr"")"),"Lean # 2")</f>
        <v>Lean # 2</v>
      </c>
      <c r="C5992" s="1" t="s">
        <v>185</v>
      </c>
      <c r="CR5992" s="1" t="s">
        <v>92</v>
      </c>
      <c r="DC5992" s="1" t="s">
        <v>103</v>
      </c>
      <c r="GD5992" s="1" t="s">
        <v>202</v>
      </c>
      <c r="GE5992" s="1" t="s">
        <v>8426</v>
      </c>
    </row>
    <row r="5993" spans="1:187" ht="11.25" customHeight="1">
      <c r="A5993" s="1" t="s">
        <v>8427</v>
      </c>
      <c r="B5993" s="1" t="str">
        <f ca="1">IFERROR(__xludf.DUMMYFUNCTION("GOOGLETRANSLATE(A5993, ""en"", ""fr"")"),"Lean # 3")</f>
        <v>Lean # 3</v>
      </c>
      <c r="C5993" s="1" t="s">
        <v>185</v>
      </c>
      <c r="L5993" s="1" t="s">
        <v>8</v>
      </c>
      <c r="M5993" s="1" t="s">
        <v>9</v>
      </c>
      <c r="AN5993" s="1" t="s">
        <v>36</v>
      </c>
      <c r="DN5993" s="1" t="s">
        <v>114</v>
      </c>
      <c r="EC5993" s="1" t="s">
        <v>129</v>
      </c>
      <c r="ED5993" s="1" t="s">
        <v>130</v>
      </c>
      <c r="GD5993" s="1" t="s">
        <v>189</v>
      </c>
      <c r="GE5993" s="1" t="s">
        <v>8428</v>
      </c>
    </row>
    <row r="5994" spans="1:187" ht="11.25" customHeight="1">
      <c r="A5994" s="1" t="s">
        <v>8429</v>
      </c>
      <c r="B5994" s="1" t="str">
        <f ca="1">IFERROR(__xludf.DUMMYFUNCTION("GOOGLETRANSLATE(A5994, ""en"", ""fr"")"),"Lean # 4")</f>
        <v>Lean # 4</v>
      </c>
      <c r="C5994" s="1" t="s">
        <v>185</v>
      </c>
      <c r="CH5994" s="1" t="s">
        <v>82</v>
      </c>
      <c r="EC5994" s="1" t="s">
        <v>129</v>
      </c>
      <c r="ED5994" s="1" t="s">
        <v>130</v>
      </c>
      <c r="GD5994" s="1" t="s">
        <v>193</v>
      </c>
      <c r="GE5994" s="1" t="s">
        <v>8430</v>
      </c>
    </row>
    <row r="5995" spans="1:187" ht="11.25" customHeight="1">
      <c r="A5995" s="1" t="s">
        <v>8431</v>
      </c>
      <c r="B5995" s="1" t="str">
        <f ca="1">IFERROR(__xludf.DUMMYFUNCTION("GOOGLETRANSLATE(A5995, ""en"", ""fr"")"),"Leap n ° 1")</f>
        <v>Leap n ° 1</v>
      </c>
      <c r="C5995" s="1" t="s">
        <v>185</v>
      </c>
      <c r="N5995" s="1" t="s">
        <v>10</v>
      </c>
      <c r="CB5995" s="1" t="s">
        <v>76</v>
      </c>
      <c r="FP5995" s="1" t="s">
        <v>168</v>
      </c>
      <c r="GD5995" s="1" t="s">
        <v>193</v>
      </c>
      <c r="GE5995" s="1" t="s">
        <v>190</v>
      </c>
    </row>
    <row r="5996" spans="1:187" ht="11.25" customHeight="1">
      <c r="A5996" s="1" t="s">
        <v>8432</v>
      </c>
      <c r="B5996" s="1" t="str">
        <f ca="1">IFERROR(__xludf.DUMMYFUNCTION("GOOGLETRANSLATE(A5996, ""en"", ""fr"")"),"Leap n ° 2")</f>
        <v>Leap n ° 2</v>
      </c>
      <c r="C5996" s="1" t="s">
        <v>185</v>
      </c>
      <c r="N5996" s="1" t="s">
        <v>10</v>
      </c>
      <c r="CB5996" s="1" t="s">
        <v>76</v>
      </c>
      <c r="DO5996" s="1" t="s">
        <v>115</v>
      </c>
      <c r="FP5996" s="1" t="s">
        <v>168</v>
      </c>
      <c r="GD5996" s="1" t="s">
        <v>189</v>
      </c>
      <c r="GE5996" s="1" t="s">
        <v>190</v>
      </c>
    </row>
    <row r="5997" spans="1:187" ht="11.25" customHeight="1">
      <c r="A5997" s="1" t="s">
        <v>8433</v>
      </c>
      <c r="B5997" s="1" t="str">
        <f ca="1">IFERROR(__xludf.DUMMYFUNCTION("GOOGLETRANSLATE(A5997, ""en"", ""fr"")"),"Apprendre # 1")</f>
        <v>Apprendre # 1</v>
      </c>
      <c r="C5997" s="1" t="s">
        <v>185</v>
      </c>
      <c r="N5997" s="1" t="s">
        <v>10</v>
      </c>
      <c r="Y5997" s="1" t="s">
        <v>21</v>
      </c>
      <c r="CO5997" s="1" t="s">
        <v>89</v>
      </c>
      <c r="DN5997" s="1" t="s">
        <v>114</v>
      </c>
      <c r="FF5997" s="1" t="s">
        <v>158</v>
      </c>
      <c r="FI5997" s="1" t="s">
        <v>161</v>
      </c>
      <c r="GD5997" s="1" t="s">
        <v>400</v>
      </c>
      <c r="GE5997" s="1" t="s">
        <v>8434</v>
      </c>
    </row>
    <row r="5998" spans="1:187" ht="11.25" customHeight="1">
      <c r="A5998" s="1" t="s">
        <v>8435</v>
      </c>
      <c r="B5998" s="1" t="str">
        <f ca="1">IFERROR(__xludf.DUMMYFUNCTION("GOOGLETRANSLATE(A5998, ""en"", ""fr"")"),"Apprendre # 2")</f>
        <v>Apprendre # 2</v>
      </c>
      <c r="C5998" s="1" t="s">
        <v>185</v>
      </c>
      <c r="D5998" s="1" t="s">
        <v>16612</v>
      </c>
      <c r="F5998" s="1" t="s">
        <v>2</v>
      </c>
      <c r="U5998" s="1" t="s">
        <v>17</v>
      </c>
      <c r="Y5998" s="1" t="s">
        <v>21</v>
      </c>
      <c r="CP5998" s="1" t="s">
        <v>90</v>
      </c>
      <c r="CQ5998" s="1" t="s">
        <v>91</v>
      </c>
      <c r="FH5998" s="1" t="s">
        <v>160</v>
      </c>
      <c r="FI5998" s="1" t="s">
        <v>161</v>
      </c>
      <c r="GD5998" s="1" t="s">
        <v>193</v>
      </c>
      <c r="GE5998" s="1" t="s">
        <v>8436</v>
      </c>
    </row>
    <row r="5999" spans="1:187" ht="11.25" customHeight="1">
      <c r="A5999" s="1" t="s">
        <v>8437</v>
      </c>
      <c r="B5999" s="1" t="str">
        <f ca="1">IFERROR(__xludf.DUMMYFUNCTION("GOOGLETRANSLATE(A5999, ""en"", ""fr"")"),"Apprendre # 3")</f>
        <v>Apprendre # 3</v>
      </c>
      <c r="C5999" s="1" t="s">
        <v>185</v>
      </c>
      <c r="D5999" s="1" t="s">
        <v>16612</v>
      </c>
      <c r="F5999" s="1" t="s">
        <v>2</v>
      </c>
      <c r="U5999" s="1" t="s">
        <v>17</v>
      </c>
      <c r="Y5999" s="1" t="s">
        <v>21</v>
      </c>
      <c r="FH5999" s="1" t="s">
        <v>160</v>
      </c>
      <c r="FI5999" s="1" t="s">
        <v>161</v>
      </c>
      <c r="GD5999" s="1" t="s">
        <v>202</v>
      </c>
      <c r="GE5999" s="1" t="s">
        <v>8438</v>
      </c>
    </row>
    <row r="6000" spans="1:187" ht="11.25" customHeight="1">
      <c r="A6000" s="1" t="s">
        <v>8439</v>
      </c>
      <c r="B6000" s="1" t="str">
        <f ca="1">IFERROR(__xludf.DUMMYFUNCTION("GOOGLETRANSLATE(A6000, ""en"", ""fr"")"),"APPRENANT")</f>
        <v>APPRENANT</v>
      </c>
      <c r="C6000" s="1" t="s">
        <v>185</v>
      </c>
      <c r="D6000" s="1" t="s">
        <v>16612</v>
      </c>
      <c r="F6000" s="1" t="s">
        <v>2</v>
      </c>
      <c r="M6000" s="1" t="s">
        <v>9</v>
      </c>
      <c r="Y6000" s="1" t="s">
        <v>21</v>
      </c>
      <c r="AJ6000" s="1" t="s">
        <v>32</v>
      </c>
      <c r="AT6000" s="1" t="s">
        <v>42</v>
      </c>
      <c r="FG6000" s="1" t="s">
        <v>159</v>
      </c>
      <c r="FI6000" s="1" t="s">
        <v>161</v>
      </c>
      <c r="GD6000" s="1" t="s">
        <v>193</v>
      </c>
      <c r="GE6000" s="1" t="s">
        <v>190</v>
      </c>
    </row>
    <row r="6001" spans="1:187" ht="11.25" customHeight="1">
      <c r="A6001" s="1" t="s">
        <v>8440</v>
      </c>
      <c r="B6001" s="1" t="str">
        <f ca="1">IFERROR(__xludf.DUMMYFUNCTION("GOOGLETRANSLATE(A6001, ""en"", ""fr"")"),"Le moins # 1")</f>
        <v>Le moins # 1</v>
      </c>
      <c r="C6001" s="1" t="s">
        <v>185</v>
      </c>
      <c r="W6001" s="1" t="s">
        <v>19</v>
      </c>
      <c r="CS6001" s="1" t="s">
        <v>93</v>
      </c>
      <c r="FY6001" s="1" t="s">
        <v>177</v>
      </c>
      <c r="GD6001" s="1" t="s">
        <v>1357</v>
      </c>
      <c r="GE6001" s="1" t="s">
        <v>8441</v>
      </c>
    </row>
    <row r="6002" spans="1:187" ht="11.25" customHeight="1">
      <c r="A6002" s="1" t="s">
        <v>8442</v>
      </c>
      <c r="B6002" s="1" t="str">
        <f ca="1">IFERROR(__xludf.DUMMYFUNCTION("GOOGLETRANSLATE(A6002, ""en"", ""fr"")"),"Le moins # 2")</f>
        <v>Le moins # 2</v>
      </c>
      <c r="C6002" s="1" t="s">
        <v>185</v>
      </c>
      <c r="L6002" s="1" t="s">
        <v>8</v>
      </c>
      <c r="X6002" s="1" t="s">
        <v>20</v>
      </c>
      <c r="CL6002" s="1" t="s">
        <v>86</v>
      </c>
      <c r="CS6002" s="1" t="s">
        <v>93</v>
      </c>
      <c r="DC6002" s="1" t="s">
        <v>103</v>
      </c>
      <c r="GD6002" s="1" t="s">
        <v>8443</v>
      </c>
      <c r="GE6002" s="1" t="s">
        <v>8444</v>
      </c>
    </row>
    <row r="6003" spans="1:187" ht="11.25" customHeight="1">
      <c r="A6003" s="1" t="s">
        <v>8445</v>
      </c>
      <c r="B6003" s="1" t="str">
        <f ca="1">IFERROR(__xludf.DUMMYFUNCTION("GOOGLETRANSLATE(A6003, ""en"", ""fr"")"),"Le moins # 3")</f>
        <v>Le moins # 3</v>
      </c>
      <c r="C6003" s="1" t="s">
        <v>185</v>
      </c>
      <c r="W6003" s="1" t="s">
        <v>19</v>
      </c>
      <c r="DL6003" s="1" t="s">
        <v>112</v>
      </c>
      <c r="FY6003" s="1" t="s">
        <v>177</v>
      </c>
      <c r="GD6003" s="1" t="s">
        <v>236</v>
      </c>
      <c r="GE6003" s="1" t="s">
        <v>8446</v>
      </c>
    </row>
    <row r="6004" spans="1:187" ht="11.25" customHeight="1">
      <c r="A6004" s="1" t="s">
        <v>8447</v>
      </c>
      <c r="B6004" s="1" t="str">
        <f ca="1">IFERROR(__xludf.DUMMYFUNCTION("GOOGLETRANSLATE(A6004, ""en"", ""fr"")"),"Le moins # 4")</f>
        <v>Le moins # 4</v>
      </c>
      <c r="C6004" s="1" t="s">
        <v>185</v>
      </c>
      <c r="W6004" s="1" t="s">
        <v>19</v>
      </c>
      <c r="DJ6004" s="1" t="s">
        <v>110</v>
      </c>
      <c r="DM6004" s="1" t="s">
        <v>113</v>
      </c>
      <c r="FY6004" s="1" t="s">
        <v>177</v>
      </c>
      <c r="GD6004" s="1" t="s">
        <v>3750</v>
      </c>
      <c r="GE6004" s="1" t="s">
        <v>8448</v>
      </c>
    </row>
    <row r="6005" spans="1:187" ht="11.25" customHeight="1">
      <c r="A6005" s="1" t="s">
        <v>8449</v>
      </c>
      <c r="B6005" s="1" t="str">
        <f ca="1">IFERROR(__xludf.DUMMYFUNCTION("GOOGLETRANSLATE(A6005, ""en"", ""fr"")"),"CUIR")</f>
        <v>CUIR</v>
      </c>
      <c r="C6005" s="1" t="s">
        <v>185</v>
      </c>
      <c r="BC6005" s="1" t="s">
        <v>51</v>
      </c>
      <c r="BD6005" s="1" t="s">
        <v>52</v>
      </c>
      <c r="GD6005" s="1" t="s">
        <v>193</v>
      </c>
      <c r="GE6005" s="1" t="s">
        <v>190</v>
      </c>
    </row>
    <row r="6006" spans="1:187" ht="11.25" customHeight="1">
      <c r="A6006" s="1" t="s">
        <v>8450</v>
      </c>
      <c r="B6006" s="1" t="str">
        <f ca="1">IFERROR(__xludf.DUMMYFUNCTION("GOOGLETRANSLATE(A6006, ""en"", ""fr"")"),"Laisser n ° 1")</f>
        <v>Laisser n ° 1</v>
      </c>
      <c r="C6006" s="1" t="s">
        <v>185</v>
      </c>
      <c r="N6006" s="1" t="s">
        <v>10</v>
      </c>
      <c r="CE6006" s="1" t="s">
        <v>79</v>
      </c>
      <c r="DO6006" s="1" t="s">
        <v>115</v>
      </c>
      <c r="FP6006" s="1" t="s">
        <v>168</v>
      </c>
      <c r="GD6006" s="1" t="s">
        <v>400</v>
      </c>
      <c r="GE6006" s="1" t="s">
        <v>8451</v>
      </c>
    </row>
    <row r="6007" spans="1:187" ht="11.25" customHeight="1">
      <c r="A6007" s="1" t="s">
        <v>8452</v>
      </c>
      <c r="B6007" s="1" t="str">
        <f ca="1">IFERROR(__xludf.DUMMYFUNCTION("GOOGLETRANSLATE(A6007, ""en"", ""fr"")"),"Laisser n ° 2")</f>
        <v>Laisser n ° 2</v>
      </c>
      <c r="C6007" s="1" t="s">
        <v>185</v>
      </c>
      <c r="BC6007" s="1" t="s">
        <v>51</v>
      </c>
      <c r="BI6007" s="1" t="s">
        <v>57</v>
      </c>
      <c r="GD6007" s="1" t="s">
        <v>193</v>
      </c>
      <c r="GE6007" s="1" t="s">
        <v>8453</v>
      </c>
    </row>
    <row r="6008" spans="1:187" ht="11.25" customHeight="1">
      <c r="A6008" s="1" t="s">
        <v>8454</v>
      </c>
      <c r="B6008" s="1" t="str">
        <f ca="1">IFERROR(__xludf.DUMMYFUNCTION("GOOGLETRANSLATE(A6008, ""en"", ""fr"")"),"Laisser n ° 3")</f>
        <v>Laisser n ° 3</v>
      </c>
      <c r="C6008" s="1" t="s">
        <v>185</v>
      </c>
      <c r="N6008" s="1" t="s">
        <v>10</v>
      </c>
      <c r="CE6008" s="1" t="s">
        <v>79</v>
      </c>
      <c r="GD6008" s="1" t="s">
        <v>193</v>
      </c>
      <c r="GE6008" s="1" t="s">
        <v>8455</v>
      </c>
    </row>
    <row r="6009" spans="1:187" ht="11.25" customHeight="1">
      <c r="A6009" s="1" t="s">
        <v>8456</v>
      </c>
      <c r="B6009" s="1" t="str">
        <f ca="1">IFERROR(__xludf.DUMMYFUNCTION("GOOGLETRANSLATE(A6009, ""en"", ""fr"")"),"Laisser n ° 4")</f>
        <v>Laisser n ° 4</v>
      </c>
      <c r="C6009" s="1" t="s">
        <v>185</v>
      </c>
      <c r="K6009" s="1" t="s">
        <v>7</v>
      </c>
      <c r="BK6009" s="1" t="s">
        <v>59</v>
      </c>
      <c r="BL6009" s="1" t="s">
        <v>60</v>
      </c>
      <c r="GC6009" s="1" t="s">
        <v>181</v>
      </c>
      <c r="GD6009" s="1" t="s">
        <v>193</v>
      </c>
      <c r="GE6009" s="1" t="s">
        <v>8457</v>
      </c>
    </row>
    <row r="6010" spans="1:187" ht="11.25" customHeight="1">
      <c r="A6010" s="1" t="s">
        <v>8458</v>
      </c>
      <c r="B6010" s="1" t="str">
        <f ca="1">IFERROR(__xludf.DUMMYFUNCTION("GOOGLETRANSLATE(A6010, ""en"", ""fr"")"),"LIBAN")</f>
        <v>LIBAN</v>
      </c>
      <c r="C6010" s="1" t="s">
        <v>196</v>
      </c>
      <c r="FU6010" s="1" t="s">
        <v>173</v>
      </c>
      <c r="GD6010" s="1" t="s">
        <v>545</v>
      </c>
    </row>
    <row r="6011" spans="1:187" ht="11.25" customHeight="1">
      <c r="A6011" s="1" t="s">
        <v>8459</v>
      </c>
      <c r="B6011" s="1" t="str">
        <f ca="1">IFERROR(__xludf.DUMMYFUNCTION("GOOGLETRANSLATE(A6011, ""en"", ""fr"")"),"Conférence n ° 1")</f>
        <v>Conférence n ° 1</v>
      </c>
      <c r="C6011" s="1" t="s">
        <v>185</v>
      </c>
      <c r="N6011" s="1" t="s">
        <v>10</v>
      </c>
      <c r="Y6011" s="1" t="s">
        <v>21</v>
      </c>
      <c r="BK6011" s="1" t="s">
        <v>59</v>
      </c>
      <c r="BL6011" s="1" t="s">
        <v>60</v>
      </c>
      <c r="FH6011" s="1" t="s">
        <v>160</v>
      </c>
      <c r="FI6011" s="1" t="s">
        <v>161</v>
      </c>
      <c r="GC6011" s="1" t="s">
        <v>181</v>
      </c>
      <c r="GD6011" s="1" t="s">
        <v>193</v>
      </c>
      <c r="GE6011" s="1" t="s">
        <v>190</v>
      </c>
    </row>
    <row r="6012" spans="1:187" ht="11.25" customHeight="1">
      <c r="A6012" s="1" t="s">
        <v>8460</v>
      </c>
      <c r="B6012" s="1" t="str">
        <f ca="1">IFERROR(__xludf.DUMMYFUNCTION("GOOGLETRANSLATE(A6012, ""en"", ""fr"")"),"Conférence n ° 2")</f>
        <v>Conférence n ° 2</v>
      </c>
      <c r="C6012" s="1" t="s">
        <v>185</v>
      </c>
      <c r="N6012" s="1" t="s">
        <v>10</v>
      </c>
      <c r="Y6012" s="1" t="s">
        <v>21</v>
      </c>
      <c r="BK6012" s="1" t="s">
        <v>59</v>
      </c>
      <c r="DO6012" s="1" t="s">
        <v>115</v>
      </c>
      <c r="FH6012" s="1" t="s">
        <v>160</v>
      </c>
      <c r="FI6012" s="1" t="s">
        <v>161</v>
      </c>
      <c r="GD6012" s="1" t="s">
        <v>189</v>
      </c>
      <c r="GE6012" s="1" t="s">
        <v>190</v>
      </c>
    </row>
    <row r="6013" spans="1:187" ht="11.25" customHeight="1">
      <c r="A6013" s="1" t="s">
        <v>8461</v>
      </c>
      <c r="B6013" s="1" t="str">
        <f ca="1">IFERROR(__xludf.DUMMYFUNCTION("GOOGLETRANSLATE(A6013, ""en"", ""fr"")"),"LED n ° 1")</f>
        <v>LED n ° 1</v>
      </c>
      <c r="C6013" s="1" t="s">
        <v>192</v>
      </c>
      <c r="GD6013" s="1" t="s">
        <v>1085</v>
      </c>
      <c r="GE6013" s="1" t="s">
        <v>190</v>
      </c>
    </row>
    <row r="6014" spans="1:187" ht="11.25" customHeight="1">
      <c r="A6014" s="1" t="s">
        <v>8462</v>
      </c>
      <c r="B6014" s="1" t="str">
        <f ca="1">IFERROR(__xludf.DUMMYFUNCTION("GOOGLETRANSLATE(A6014, ""en"", ""fr"")"),"REBORD")</f>
        <v>REBORD</v>
      </c>
      <c r="C6014" s="1" t="s">
        <v>185</v>
      </c>
      <c r="AV6014" s="1" t="s">
        <v>44</v>
      </c>
      <c r="BA6014" s="1" t="s">
        <v>49</v>
      </c>
      <c r="GD6014" s="1" t="s">
        <v>193</v>
      </c>
      <c r="GE6014" s="1" t="s">
        <v>190</v>
      </c>
    </row>
    <row r="6015" spans="1:187" ht="11.25" customHeight="1">
      <c r="A6015" s="1" t="s">
        <v>8463</v>
      </c>
      <c r="B6015" s="1" t="str">
        <f ca="1">IFERROR(__xludf.DUMMYFUNCTION("GOOGLETRANSLATE(A6015, ""en"", ""fr"")"),"REGISTRE")</f>
        <v>REGISTRE</v>
      </c>
      <c r="C6015" s="1" t="s">
        <v>185</v>
      </c>
      <c r="AA6015" s="1" t="s">
        <v>23</v>
      </c>
      <c r="AC6015" s="1" t="s">
        <v>25</v>
      </c>
      <c r="BC6015" s="1" t="s">
        <v>51</v>
      </c>
      <c r="BH6015" s="1" t="s">
        <v>56</v>
      </c>
      <c r="BL6015" s="1" t="s">
        <v>60</v>
      </c>
      <c r="EV6015" s="1" t="s">
        <v>148</v>
      </c>
      <c r="EW6015" s="1" t="s">
        <v>149</v>
      </c>
      <c r="GD6015" s="1" t="s">
        <v>193</v>
      </c>
      <c r="GE6015" s="1" t="s">
        <v>190</v>
      </c>
    </row>
    <row r="6016" spans="1:187" ht="11.25" customHeight="1">
      <c r="A6016" s="1" t="s">
        <v>8464</v>
      </c>
      <c r="B6016" s="1" t="str">
        <f ca="1">IFERROR(__xludf.DUMMYFUNCTION("GOOGLETRANSLATE(A6016, ""en"", ""fr"")"),"Gauche n ° 1")</f>
        <v>Gauche n ° 1</v>
      </c>
      <c r="C6016" s="1" t="s">
        <v>185</v>
      </c>
      <c r="DA6016" s="1" t="s">
        <v>101</v>
      </c>
      <c r="GB6016" s="1" t="s">
        <v>180</v>
      </c>
      <c r="GD6016" s="1" t="s">
        <v>193</v>
      </c>
      <c r="GE6016" s="1" t="s">
        <v>8465</v>
      </c>
    </row>
    <row r="6017" spans="1:187" ht="11.25" customHeight="1">
      <c r="A6017" s="1" t="s">
        <v>8466</v>
      </c>
      <c r="B6017" s="1" t="str">
        <f ca="1">IFERROR(__xludf.DUMMYFUNCTION("GOOGLETRANSLATE(A6017, ""en"", ""fr"")"),"Gauche n ° 2")</f>
        <v>Gauche n ° 2</v>
      </c>
      <c r="C6017" s="1" t="s">
        <v>185</v>
      </c>
      <c r="AG6017" s="1" t="s">
        <v>29</v>
      </c>
      <c r="AH6017" s="1" t="s">
        <v>30</v>
      </c>
      <c r="AK6017" s="1" t="s">
        <v>33</v>
      </c>
      <c r="AT6017" s="1" t="s">
        <v>42</v>
      </c>
      <c r="EA6017" s="1" t="s">
        <v>127</v>
      </c>
      <c r="ED6017" s="1" t="s">
        <v>130</v>
      </c>
      <c r="GD6017" s="1" t="s">
        <v>193</v>
      </c>
      <c r="GE6017" s="1" t="s">
        <v>8467</v>
      </c>
    </row>
    <row r="6018" spans="1:187" ht="11.25" customHeight="1">
      <c r="A6018" s="1" t="s">
        <v>8468</v>
      </c>
      <c r="B6018" s="1" t="str">
        <f ca="1">IFERROR(__xludf.DUMMYFUNCTION("GOOGLETRANSLATE(A6018, ""en"", ""fr"")"),"Gauche # 3")</f>
        <v>Gauche # 3</v>
      </c>
      <c r="C6018" s="1" t="s">
        <v>185</v>
      </c>
      <c r="N6018" s="1" t="s">
        <v>10</v>
      </c>
      <c r="CE6018" s="1" t="s">
        <v>79</v>
      </c>
      <c r="DO6018" s="1" t="s">
        <v>115</v>
      </c>
      <c r="FP6018" s="1" t="s">
        <v>168</v>
      </c>
      <c r="GD6018" s="1" t="s">
        <v>1076</v>
      </c>
      <c r="GE6018" s="1" t="s">
        <v>8469</v>
      </c>
    </row>
    <row r="6019" spans="1:187" ht="11.25" customHeight="1">
      <c r="A6019" s="1" t="s">
        <v>8470</v>
      </c>
      <c r="B6019" s="1" t="str">
        <f ca="1">IFERROR(__xludf.DUMMYFUNCTION("GOOGLETRANSLATE(A6019, ""en"", ""fr"")"),"Gauche n ° 4")</f>
        <v>Gauche n ° 4</v>
      </c>
      <c r="C6019" s="1" t="s">
        <v>185</v>
      </c>
      <c r="CS6019" s="1" t="s">
        <v>93</v>
      </c>
      <c r="GD6019" s="1" t="s">
        <v>202</v>
      </c>
      <c r="GE6019" s="1" t="s">
        <v>8471</v>
      </c>
    </row>
    <row r="6020" spans="1:187" ht="11.25" customHeight="1">
      <c r="A6020" s="1" t="s">
        <v>8472</v>
      </c>
      <c r="B6020" s="1" t="str">
        <f ca="1">IFERROR(__xludf.DUMMYFUNCTION("GOOGLETRANSLATE(A6020, ""en"", ""fr"")"),"Gauche n ° 5")</f>
        <v>Gauche n ° 5</v>
      </c>
      <c r="C6020" s="1" t="s">
        <v>185</v>
      </c>
      <c r="CS6020" s="1" t="s">
        <v>93</v>
      </c>
      <c r="GD6020" s="1" t="s">
        <v>202</v>
      </c>
      <c r="GE6020" s="1" t="s">
        <v>8473</v>
      </c>
    </row>
    <row r="6021" spans="1:187" ht="11.25" customHeight="1">
      <c r="A6021" s="1" t="s">
        <v>8474</v>
      </c>
      <c r="B6021" s="1" t="str">
        <f ca="1">IFERROR(__xludf.DUMMYFUNCTION("GOOGLETRANSLATE(A6021, ""en"", ""fr"")"),"JAMBE")</f>
        <v>JAMBE</v>
      </c>
      <c r="C6021" s="1" t="s">
        <v>185</v>
      </c>
      <c r="BJ6021" s="1" t="s">
        <v>58</v>
      </c>
      <c r="EZ6021" s="1" t="s">
        <v>152</v>
      </c>
      <c r="FC6021" s="1" t="s">
        <v>155</v>
      </c>
      <c r="GD6021" s="1" t="s">
        <v>193</v>
      </c>
      <c r="GE6021" s="1" t="s">
        <v>8475</v>
      </c>
    </row>
    <row r="6022" spans="1:187" ht="11.25" customHeight="1">
      <c r="A6022" s="1" t="s">
        <v>8476</v>
      </c>
      <c r="B6022" s="1" t="str">
        <f ca="1">IFERROR(__xludf.DUMMYFUNCTION("GOOGLETRANSLATE(A6022, ""en"", ""fr"")"),"LÉGAL")</f>
        <v>LÉGAL</v>
      </c>
      <c r="C6022" s="1" t="s">
        <v>185</v>
      </c>
      <c r="D6022" s="1" t="s">
        <v>16612</v>
      </c>
      <c r="F6022" s="1" t="s">
        <v>2</v>
      </c>
      <c r="Z6022" s="1" t="s">
        <v>22</v>
      </c>
      <c r="AC6022" s="1" t="s">
        <v>25</v>
      </c>
      <c r="AE6022" s="1" t="s">
        <v>27</v>
      </c>
      <c r="AH6022" s="1" t="s">
        <v>30</v>
      </c>
      <c r="EB6022" s="1" t="s">
        <v>128</v>
      </c>
      <c r="ED6022" s="1" t="s">
        <v>130</v>
      </c>
      <c r="GD6022" s="1" t="s">
        <v>202</v>
      </c>
      <c r="GE6022" s="1" t="s">
        <v>190</v>
      </c>
    </row>
    <row r="6023" spans="1:187" ht="11.25" customHeight="1">
      <c r="A6023" s="1" t="s">
        <v>8477</v>
      </c>
      <c r="B6023" s="1" t="str">
        <f ca="1">IFERROR(__xludf.DUMMYFUNCTION("GOOGLETRANSLATE(A6023, ""en"", ""fr"")"),"LÉGENDE")</f>
        <v>LÉGENDE</v>
      </c>
      <c r="C6023" s="1" t="s">
        <v>185</v>
      </c>
      <c r="AD6023" s="1" t="s">
        <v>26</v>
      </c>
      <c r="BK6023" s="1" t="s">
        <v>59</v>
      </c>
      <c r="BL6023" s="1" t="s">
        <v>60</v>
      </c>
      <c r="GC6023" s="1" t="s">
        <v>181</v>
      </c>
      <c r="GD6023" s="1" t="s">
        <v>193</v>
      </c>
      <c r="GE6023" s="1" t="s">
        <v>190</v>
      </c>
    </row>
    <row r="6024" spans="1:187" ht="11.25" customHeight="1">
      <c r="A6024" s="1" t="s">
        <v>8478</v>
      </c>
      <c r="B6024" s="1" t="str">
        <f ca="1">IFERROR(__xludf.DUMMYFUNCTION("GOOGLETRANSLATE(A6024, ""en"", ""fr"")"),"Légion # 1")</f>
        <v>Légion # 1</v>
      </c>
      <c r="C6024" s="1" t="s">
        <v>185</v>
      </c>
      <c r="AF6024" s="1" t="s">
        <v>28</v>
      </c>
      <c r="AG6024" s="1" t="s">
        <v>29</v>
      </c>
      <c r="AH6024" s="1" t="s">
        <v>30</v>
      </c>
      <c r="AK6024" s="1" t="s">
        <v>33</v>
      </c>
      <c r="AT6024" s="1" t="s">
        <v>42</v>
      </c>
      <c r="DZ6024" s="1" t="s">
        <v>126</v>
      </c>
      <c r="ED6024" s="1" t="s">
        <v>130</v>
      </c>
      <c r="GD6024" s="1" t="s">
        <v>849</v>
      </c>
      <c r="GE6024" s="1" t="s">
        <v>8479</v>
      </c>
    </row>
    <row r="6025" spans="1:187" ht="11.25" customHeight="1">
      <c r="A6025" s="1" t="s">
        <v>8480</v>
      </c>
      <c r="B6025" s="1" t="str">
        <f ca="1">IFERROR(__xludf.DUMMYFUNCTION("GOOGLETRANSLATE(A6025, ""en"", ""fr"")"),"Légion # 2")</f>
        <v>Légion # 2</v>
      </c>
      <c r="C6025" s="1" t="s">
        <v>185</v>
      </c>
      <c r="J6025" s="1" t="s">
        <v>6</v>
      </c>
      <c r="AK6025" s="1" t="s">
        <v>33</v>
      </c>
      <c r="AT6025" s="1" t="s">
        <v>42</v>
      </c>
      <c r="DZ6025" s="1" t="s">
        <v>126</v>
      </c>
      <c r="ED6025" s="1" t="s">
        <v>130</v>
      </c>
      <c r="GD6025" s="1" t="s">
        <v>193</v>
      </c>
      <c r="GE6025" s="1" t="s">
        <v>8481</v>
      </c>
    </row>
    <row r="6026" spans="1:187" ht="11.25" customHeight="1">
      <c r="A6026" s="1" t="s">
        <v>8482</v>
      </c>
      <c r="B6026" s="1" t="str">
        <f ca="1">IFERROR(__xludf.DUMMYFUNCTION("GOOGLETRANSLATE(A6026, ""en"", ""fr"")"),"LÉGISLATION")</f>
        <v>LÉGISLATION</v>
      </c>
      <c r="C6026" s="1" t="s">
        <v>185</v>
      </c>
      <c r="J6026" s="1" t="s">
        <v>6</v>
      </c>
      <c r="K6026" s="1" t="s">
        <v>7</v>
      </c>
      <c r="Z6026" s="1" t="s">
        <v>22</v>
      </c>
      <c r="AE6026" s="1" t="s">
        <v>27</v>
      </c>
      <c r="AG6026" s="1" t="s">
        <v>29</v>
      </c>
      <c r="AH6026" s="1" t="s">
        <v>30</v>
      </c>
      <c r="EC6026" s="1" t="s">
        <v>129</v>
      </c>
      <c r="ED6026" s="1" t="s">
        <v>130</v>
      </c>
      <c r="GD6026" s="1" t="s">
        <v>193</v>
      </c>
      <c r="GE6026" s="1" t="s">
        <v>8483</v>
      </c>
    </row>
    <row r="6027" spans="1:187" ht="11.25" customHeight="1">
      <c r="A6027" s="1" t="s">
        <v>8484</v>
      </c>
      <c r="B6027" s="1" t="str">
        <f ca="1">IFERROR(__xludf.DUMMYFUNCTION("GOOGLETRANSLATE(A6027, ""en"", ""fr"")"),"LÉGISLATIF")</f>
        <v>LÉGISLATIF</v>
      </c>
      <c r="C6027" s="1" t="s">
        <v>185</v>
      </c>
      <c r="J6027" s="1" t="s">
        <v>6</v>
      </c>
      <c r="K6027" s="1" t="s">
        <v>7</v>
      </c>
      <c r="Z6027" s="1" t="s">
        <v>22</v>
      </c>
      <c r="AE6027" s="1" t="s">
        <v>27</v>
      </c>
      <c r="AG6027" s="1" t="s">
        <v>29</v>
      </c>
      <c r="AH6027" s="1" t="s">
        <v>30</v>
      </c>
      <c r="EC6027" s="1" t="s">
        <v>129</v>
      </c>
      <c r="ED6027" s="1" t="s">
        <v>130</v>
      </c>
      <c r="GD6027" s="1" t="s">
        <v>202</v>
      </c>
      <c r="GE6027" s="1" t="s">
        <v>190</v>
      </c>
    </row>
    <row r="6028" spans="1:187" ht="11.25" customHeight="1">
      <c r="A6028" s="1" t="s">
        <v>8485</v>
      </c>
      <c r="B6028" s="1" t="str">
        <f ca="1">IFERROR(__xludf.DUMMYFUNCTION("GOOGLETRANSLATE(A6028, ""en"", ""fr"")"),"LÉGISLATEUR")</f>
        <v>LÉGISLATEUR</v>
      </c>
      <c r="C6028" s="1" t="s">
        <v>185</v>
      </c>
      <c r="J6028" s="1" t="s">
        <v>6</v>
      </c>
      <c r="K6028" s="1" t="s">
        <v>7</v>
      </c>
      <c r="AE6028" s="1" t="s">
        <v>27</v>
      </c>
      <c r="AG6028" s="1" t="s">
        <v>29</v>
      </c>
      <c r="AH6028" s="1" t="s">
        <v>30</v>
      </c>
      <c r="AJ6028" s="1" t="s">
        <v>32</v>
      </c>
      <c r="AT6028" s="1" t="s">
        <v>42</v>
      </c>
      <c r="DY6028" s="1" t="s">
        <v>125</v>
      </c>
      <c r="ED6028" s="1" t="s">
        <v>130</v>
      </c>
      <c r="GD6028" s="1" t="s">
        <v>193</v>
      </c>
      <c r="GE6028" s="1" t="s">
        <v>190</v>
      </c>
    </row>
    <row r="6029" spans="1:187" ht="11.25" customHeight="1">
      <c r="A6029" s="1" t="s">
        <v>8486</v>
      </c>
      <c r="B6029" s="1" t="str">
        <f ca="1">IFERROR(__xludf.DUMMYFUNCTION("GOOGLETRANSLATE(A6029, ""en"", ""fr"")"),"CORPS LÉGISLATIF")</f>
        <v>CORPS LÉGISLATIF</v>
      </c>
      <c r="C6029" s="1" t="s">
        <v>185</v>
      </c>
      <c r="DY6029" s="1" t="s">
        <v>125</v>
      </c>
      <c r="ED6029" s="1" t="s">
        <v>130</v>
      </c>
      <c r="GD6029" s="1" t="s">
        <v>2030</v>
      </c>
      <c r="GE6029" s="1" t="s">
        <v>190</v>
      </c>
    </row>
    <row r="6030" spans="1:187" ht="11.25" customHeight="1">
      <c r="A6030" s="1" t="s">
        <v>8487</v>
      </c>
      <c r="B6030" s="1" t="str">
        <f ca="1">IFERROR(__xludf.DUMMYFUNCTION("GOOGLETRANSLATE(A6030, ""en"", ""fr"")"),"LÉGITIMITÉ")</f>
        <v>LÉGITIMITÉ</v>
      </c>
      <c r="C6030" s="1" t="s">
        <v>192</v>
      </c>
      <c r="D6030" s="1" t="s">
        <v>16612</v>
      </c>
      <c r="U6030" s="1" t="s">
        <v>17</v>
      </c>
      <c r="AE6030" s="1" t="s">
        <v>27</v>
      </c>
      <c r="GD6030" s="1" t="s">
        <v>193</v>
      </c>
      <c r="GE6030" s="1" t="s">
        <v>190</v>
      </c>
    </row>
    <row r="6031" spans="1:187" ht="11.25" customHeight="1">
      <c r="A6031" s="1" t="s">
        <v>8488</v>
      </c>
      <c r="B6031" s="1" t="str">
        <f ca="1">IFERROR(__xludf.DUMMYFUNCTION("GOOGLETRANSLATE(A6031, ""en"", ""fr"")"),"LÉGITIME")</f>
        <v>LÉGITIME</v>
      </c>
      <c r="C6031" s="1" t="s">
        <v>185</v>
      </c>
      <c r="D6031" s="1" t="s">
        <v>16612</v>
      </c>
      <c r="F6031" s="1" t="s">
        <v>2</v>
      </c>
      <c r="U6031" s="1" t="s">
        <v>17</v>
      </c>
      <c r="AE6031" s="1" t="s">
        <v>27</v>
      </c>
      <c r="EB6031" s="1" t="s">
        <v>128</v>
      </c>
      <c r="ED6031" s="1" t="s">
        <v>130</v>
      </c>
      <c r="GD6031" s="1" t="s">
        <v>202</v>
      </c>
      <c r="GE6031" s="1" t="s">
        <v>190</v>
      </c>
    </row>
    <row r="6032" spans="1:187" ht="11.25" customHeight="1">
      <c r="A6032" s="1" t="s">
        <v>8489</v>
      </c>
      <c r="B6032" s="1" t="str">
        <f ca="1">IFERROR(__xludf.DUMMYFUNCTION("GOOGLETRANSLATE(A6032, ""en"", ""fr"")"),"LOISIRS")</f>
        <v>LOISIRS</v>
      </c>
      <c r="C6032" s="1" t="s">
        <v>185</v>
      </c>
      <c r="D6032" s="1" t="s">
        <v>16612</v>
      </c>
      <c r="F6032" s="1" t="s">
        <v>2</v>
      </c>
      <c r="O6032" s="1" t="s">
        <v>11</v>
      </c>
      <c r="U6032" s="1" t="s">
        <v>17</v>
      </c>
      <c r="AD6032" s="1" t="s">
        <v>26</v>
      </c>
      <c r="GD6032" s="1" t="s">
        <v>193</v>
      </c>
      <c r="GE6032" s="1" t="s">
        <v>190</v>
      </c>
    </row>
    <row r="6033" spans="1:187" ht="11.25" customHeight="1">
      <c r="A6033" s="1" t="s">
        <v>8490</v>
      </c>
      <c r="B6033" s="1" t="str">
        <f ca="1">IFERROR(__xludf.DUMMYFUNCTION("GOOGLETRANSLATE(A6033, ""en"", ""fr"")"),"CITRON")</f>
        <v>CITRON</v>
      </c>
      <c r="C6033" s="1" t="s">
        <v>185</v>
      </c>
      <c r="BC6033" s="1" t="s">
        <v>51</v>
      </c>
      <c r="BE6033" s="1" t="s">
        <v>53</v>
      </c>
      <c r="GD6033" s="1" t="s">
        <v>193</v>
      </c>
      <c r="GE6033" s="1" t="s">
        <v>190</v>
      </c>
    </row>
    <row r="6034" spans="1:187" ht="11.25" customHeight="1">
      <c r="A6034" s="1" t="s">
        <v>8491</v>
      </c>
      <c r="B6034" s="1" t="str">
        <f ca="1">IFERROR(__xludf.DUMMYFUNCTION("GOOGLETRANSLATE(A6034, ""en"", ""fr"")"),"LIMONADE")</f>
        <v>LIMONADE</v>
      </c>
      <c r="C6034" s="1" t="s">
        <v>185</v>
      </c>
      <c r="BC6034" s="1" t="s">
        <v>51</v>
      </c>
      <c r="BE6034" s="1" t="s">
        <v>53</v>
      </c>
      <c r="GD6034" s="1" t="s">
        <v>193</v>
      </c>
      <c r="GE6034" s="1" t="s">
        <v>190</v>
      </c>
    </row>
    <row r="6035" spans="1:187" ht="11.25" customHeight="1">
      <c r="A6035" s="1" t="s">
        <v>8492</v>
      </c>
      <c r="B6035" s="1" t="str">
        <f ca="1">IFERROR(__xludf.DUMMYFUNCTION("GOOGLETRANSLATE(A6035, ""en"", ""fr"")"),"PRÊTER")</f>
        <v>PRÊTER</v>
      </c>
      <c r="C6035" s="1" t="s">
        <v>185</v>
      </c>
      <c r="G6035" s="1" t="s">
        <v>3</v>
      </c>
      <c r="N6035" s="1" t="s">
        <v>10</v>
      </c>
      <c r="AA6035" s="1" t="s">
        <v>23</v>
      </c>
      <c r="AB6035" s="1" t="s">
        <v>24</v>
      </c>
      <c r="DO6035" s="1" t="s">
        <v>115</v>
      </c>
      <c r="EU6035" s="1" t="s">
        <v>147</v>
      </c>
      <c r="EW6035" s="1" t="s">
        <v>149</v>
      </c>
      <c r="GD6035" s="1" t="s">
        <v>189</v>
      </c>
      <c r="GE6035" s="1" t="s">
        <v>190</v>
      </c>
    </row>
    <row r="6036" spans="1:187" ht="11.25" customHeight="1">
      <c r="A6036" s="1" t="s">
        <v>8493</v>
      </c>
      <c r="B6036" s="1" t="str">
        <f ca="1">IFERROR(__xludf.DUMMYFUNCTION("GOOGLETRANSLATE(A6036, ""en"", ""fr"")"),"Longueur n ° 1")</f>
        <v>Longueur n ° 1</v>
      </c>
      <c r="C6036" s="1" t="s">
        <v>185</v>
      </c>
      <c r="CQ6036" s="1" t="s">
        <v>91</v>
      </c>
      <c r="CX6036" s="1" t="s">
        <v>98</v>
      </c>
      <c r="DA6036" s="1" t="s">
        <v>101</v>
      </c>
      <c r="GB6036" s="1" t="s">
        <v>180</v>
      </c>
      <c r="GD6036" s="1" t="s">
        <v>193</v>
      </c>
      <c r="GE6036" s="1" t="s">
        <v>8494</v>
      </c>
    </row>
    <row r="6037" spans="1:187" ht="11.25" customHeight="1">
      <c r="A6037" s="1" t="s">
        <v>8495</v>
      </c>
      <c r="B6037" s="1" t="str">
        <f ca="1">IFERROR(__xludf.DUMMYFUNCTION("GOOGLETRANSLATE(A6037, ""en"", ""fr"")"),"Longueur n ° 2")</f>
        <v>Longueur n ° 2</v>
      </c>
      <c r="C6037" s="1" t="s">
        <v>185</v>
      </c>
      <c r="W6037" s="1" t="s">
        <v>19</v>
      </c>
      <c r="CY6037" s="1" t="s">
        <v>99</v>
      </c>
      <c r="GB6037" s="1" t="s">
        <v>180</v>
      </c>
      <c r="GD6037" s="1" t="s">
        <v>236</v>
      </c>
      <c r="GE6037" s="1" t="s">
        <v>8496</v>
      </c>
    </row>
    <row r="6038" spans="1:187" ht="11.25" customHeight="1">
      <c r="A6038" s="1" t="s">
        <v>8497</v>
      </c>
      <c r="B6038" s="1" t="str">
        <f ca="1">IFERROR(__xludf.DUMMYFUNCTION("GOOGLETRANSLATE(A6038, ""en"", ""fr"")"),"Longueur n ° 3")</f>
        <v>Longueur n ° 3</v>
      </c>
      <c r="C6038" s="1" t="s">
        <v>185</v>
      </c>
      <c r="J6038" s="1" t="s">
        <v>6</v>
      </c>
      <c r="W6038" s="1" t="s">
        <v>19</v>
      </c>
      <c r="CS6038" s="1" t="s">
        <v>93</v>
      </c>
      <c r="FY6038" s="1" t="s">
        <v>177</v>
      </c>
      <c r="GD6038" s="1" t="s">
        <v>236</v>
      </c>
      <c r="GE6038" s="1" t="s">
        <v>8498</v>
      </c>
    </row>
    <row r="6039" spans="1:187" ht="11.25" customHeight="1">
      <c r="A6039" s="1" t="s">
        <v>8499</v>
      </c>
      <c r="B6039" s="1" t="str">
        <f ca="1">IFERROR(__xludf.DUMMYFUNCTION("GOOGLETRANSLATE(A6039, ""en"", ""fr"")"),"LONGUE")</f>
        <v>LONGUE</v>
      </c>
      <c r="C6039" s="1" t="s">
        <v>185</v>
      </c>
      <c r="W6039" s="1" t="s">
        <v>19</v>
      </c>
      <c r="DA6039" s="1" t="s">
        <v>101</v>
      </c>
      <c r="GB6039" s="1" t="s">
        <v>180</v>
      </c>
      <c r="GD6039" s="1" t="s">
        <v>202</v>
      </c>
      <c r="GE6039" s="1" t="s">
        <v>190</v>
      </c>
    </row>
    <row r="6040" spans="1:187" ht="11.25" customHeight="1">
      <c r="A6040" s="1" t="s">
        <v>8500</v>
      </c>
      <c r="B6040" s="1" t="str">
        <f ca="1">IFERROR(__xludf.DUMMYFUNCTION("GOOGLETRANSLATE(A6040, ""en"", ""fr"")"),"LÉNINISME")</f>
        <v>LÉNINISME</v>
      </c>
      <c r="C6040" s="1" t="s">
        <v>196</v>
      </c>
      <c r="EA6040" s="1" t="s">
        <v>127</v>
      </c>
      <c r="ED6040" s="1" t="s">
        <v>130</v>
      </c>
      <c r="GD6040" s="1" t="s">
        <v>193</v>
      </c>
    </row>
    <row r="6041" spans="1:187" ht="11.25" customHeight="1">
      <c r="A6041" s="1" t="s">
        <v>8501</v>
      </c>
      <c r="B6041" s="1" t="str">
        <f ca="1">IFERROR(__xludf.DUMMYFUNCTION("GOOGLETRANSLATE(A6041, ""en"", ""fr"")"),"PRÊTÉ")</f>
        <v>PRÊTÉ</v>
      </c>
      <c r="C6041" s="1" t="s">
        <v>185</v>
      </c>
      <c r="G6041" s="1" t="s">
        <v>3</v>
      </c>
      <c r="N6041" s="1" t="s">
        <v>10</v>
      </c>
      <c r="AA6041" s="1" t="s">
        <v>23</v>
      </c>
      <c r="AB6041" s="1" t="s">
        <v>24</v>
      </c>
      <c r="DO6041" s="1" t="s">
        <v>115</v>
      </c>
      <c r="EU6041" s="1" t="s">
        <v>147</v>
      </c>
      <c r="EW6041" s="1" t="s">
        <v>149</v>
      </c>
      <c r="GD6041" s="1" t="s">
        <v>1076</v>
      </c>
      <c r="GE6041" s="1" t="s">
        <v>190</v>
      </c>
    </row>
    <row r="6042" spans="1:187" ht="11.25" customHeight="1">
      <c r="A6042" s="1" t="s">
        <v>8502</v>
      </c>
      <c r="B6042" s="1" t="str">
        <f ca="1">IFERROR(__xludf.DUMMYFUNCTION("GOOGLETRANSLATE(A6042, ""en"", ""fr"")"),"Moins # 1")</f>
        <v>Moins # 1</v>
      </c>
      <c r="C6042" s="1" t="s">
        <v>185</v>
      </c>
      <c r="L6042" s="1" t="s">
        <v>8</v>
      </c>
      <c r="CL6042" s="1" t="s">
        <v>86</v>
      </c>
      <c r="CS6042" s="1" t="s">
        <v>93</v>
      </c>
      <c r="GD6042" s="1" t="s">
        <v>5541</v>
      </c>
      <c r="GE6042" s="1" t="s">
        <v>8503</v>
      </c>
    </row>
    <row r="6043" spans="1:187" ht="11.25" customHeight="1">
      <c r="A6043" s="1" t="s">
        <v>8504</v>
      </c>
      <c r="B6043" s="1" t="str">
        <f ca="1">IFERROR(__xludf.DUMMYFUNCTION("GOOGLETRANSLATE(A6043, ""en"", ""fr"")"),"Moins # 2")</f>
        <v>Moins # 2</v>
      </c>
      <c r="C6043" s="1" t="s">
        <v>185</v>
      </c>
      <c r="X6043" s="1" t="s">
        <v>20</v>
      </c>
      <c r="GD6043" s="1" t="s">
        <v>236</v>
      </c>
      <c r="GE6043" s="1" t="s">
        <v>8505</v>
      </c>
    </row>
    <row r="6044" spans="1:187" ht="11.25" customHeight="1">
      <c r="A6044" s="1" t="s">
        <v>8506</v>
      </c>
      <c r="B6044" s="1" t="str">
        <f ca="1">IFERROR(__xludf.DUMMYFUNCTION("GOOGLETRANSLATE(A6044, ""en"", ""fr"")"),"Moins # 3")</f>
        <v>Moins # 3</v>
      </c>
      <c r="C6044" s="1" t="s">
        <v>185</v>
      </c>
      <c r="X6044" s="1" t="s">
        <v>20</v>
      </c>
      <c r="CS6044" s="1" t="s">
        <v>93</v>
      </c>
      <c r="GD6044" s="1" t="s">
        <v>236</v>
      </c>
      <c r="GE6044" s="1" t="s">
        <v>8507</v>
      </c>
    </row>
    <row r="6045" spans="1:187" ht="11.25" customHeight="1">
      <c r="A6045" s="1" t="s">
        <v>8508</v>
      </c>
      <c r="B6045" s="1" t="str">
        <f ca="1">IFERROR(__xludf.DUMMYFUNCTION("GOOGLETRANSLATE(A6045, ""en"", ""fr"")"),"Moins # 4")</f>
        <v>Moins # 4</v>
      </c>
      <c r="C6045" s="1" t="s">
        <v>185</v>
      </c>
      <c r="L6045" s="1" t="s">
        <v>8</v>
      </c>
      <c r="X6045" s="1" t="s">
        <v>20</v>
      </c>
      <c r="CS6045" s="1" t="s">
        <v>93</v>
      </c>
      <c r="GD6045" s="1" t="s">
        <v>193</v>
      </c>
      <c r="GE6045" s="1" t="s">
        <v>8509</v>
      </c>
    </row>
    <row r="6046" spans="1:187" ht="11.25" customHeight="1">
      <c r="A6046" s="1" t="s">
        <v>8510</v>
      </c>
      <c r="B6046" s="1" t="str">
        <f ca="1">IFERROR(__xludf.DUMMYFUNCTION("GOOGLETRANSLATE(A6046, ""en"", ""fr"")"),"RÉDUIRE")</f>
        <v>RÉDUIRE</v>
      </c>
      <c r="C6046" s="1" t="s">
        <v>196</v>
      </c>
      <c r="FP6046" s="1" t="s">
        <v>168</v>
      </c>
      <c r="GD6046" s="1" t="s">
        <v>189</v>
      </c>
    </row>
    <row r="6047" spans="1:187" ht="11.25" customHeight="1">
      <c r="A6047" s="1" t="s">
        <v>8511</v>
      </c>
      <c r="B6047" s="1" t="str">
        <f ca="1">IFERROR(__xludf.DUMMYFUNCTION("GOOGLETRANSLATE(A6047, ""en"", ""fr"")"),"LEÇON")</f>
        <v>LEÇON</v>
      </c>
      <c r="C6047" s="1" t="s">
        <v>185</v>
      </c>
      <c r="Y6047" s="1" t="s">
        <v>21</v>
      </c>
      <c r="BK6047" s="1" t="s">
        <v>59</v>
      </c>
      <c r="BL6047" s="1" t="s">
        <v>60</v>
      </c>
      <c r="FH6047" s="1" t="s">
        <v>160</v>
      </c>
      <c r="FI6047" s="1" t="s">
        <v>161</v>
      </c>
      <c r="GC6047" s="1" t="s">
        <v>181</v>
      </c>
      <c r="GD6047" s="1" t="s">
        <v>193</v>
      </c>
      <c r="GE6047" s="1" t="s">
        <v>8512</v>
      </c>
    </row>
    <row r="6048" spans="1:187" ht="11.25" customHeight="1">
      <c r="A6048" s="1" t="s">
        <v>8513</v>
      </c>
      <c r="B6048" s="1" t="str">
        <f ca="1">IFERROR(__xludf.DUMMYFUNCTION("GOOGLETRANSLATE(A6048, ""en"", ""fr"")"),"De peur")</f>
        <v>De peur</v>
      </c>
      <c r="C6048" s="1" t="s">
        <v>185</v>
      </c>
      <c r="GD6048" s="1" t="s">
        <v>763</v>
      </c>
      <c r="GE6048" s="1" t="s">
        <v>190</v>
      </c>
    </row>
    <row r="6049" spans="1:187" ht="11.25" customHeight="1">
      <c r="A6049" s="1" t="s">
        <v>8514</v>
      </c>
      <c r="B6049" s="1" t="str">
        <f ca="1">IFERROR(__xludf.DUMMYFUNCTION("GOOGLETRANSLATE(A6049, ""en"", ""fr"")"),"Laissez # 1")</f>
        <v>Laissez # 1</v>
      </c>
      <c r="C6049" s="1" t="s">
        <v>185</v>
      </c>
      <c r="J6049" s="1" t="s">
        <v>6</v>
      </c>
      <c r="K6049" s="1" t="s">
        <v>7</v>
      </c>
      <c r="AN6049" s="1" t="s">
        <v>36</v>
      </c>
      <c r="DN6049" s="1" t="s">
        <v>114</v>
      </c>
      <c r="FP6049" s="1" t="s">
        <v>168</v>
      </c>
      <c r="GD6049" s="1" t="s">
        <v>222</v>
      </c>
      <c r="GE6049" s="1" t="s">
        <v>8515</v>
      </c>
    </row>
    <row r="6050" spans="1:187" ht="11.25" customHeight="1">
      <c r="A6050" s="1" t="s">
        <v>8516</v>
      </c>
      <c r="B6050" s="1" t="str">
        <f ca="1">IFERROR(__xludf.DUMMYFUNCTION("GOOGLETRANSLATE(A6050, ""en"", ""fr"")"),"Let # 2")</f>
        <v>Let # 2</v>
      </c>
      <c r="C6050" s="1" t="s">
        <v>185</v>
      </c>
      <c r="K6050" s="1" t="s">
        <v>7</v>
      </c>
      <c r="AN6050" s="1" t="s">
        <v>36</v>
      </c>
      <c r="DM6050" s="1" t="s">
        <v>113</v>
      </c>
      <c r="DN6050" s="1" t="s">
        <v>114</v>
      </c>
      <c r="FY6050" s="1" t="s">
        <v>177</v>
      </c>
      <c r="GD6050" s="1" t="s">
        <v>189</v>
      </c>
      <c r="GE6050" s="1" t="s">
        <v>8517</v>
      </c>
    </row>
    <row r="6051" spans="1:187" ht="11.25" customHeight="1">
      <c r="A6051" s="1" t="s">
        <v>8518</v>
      </c>
      <c r="B6051" s="1" t="str">
        <f ca="1">IFERROR(__xludf.DUMMYFUNCTION("GOOGLETRANSLATE(A6051, ""en"", ""fr"")"),"Let # 3")</f>
        <v>Let # 3</v>
      </c>
      <c r="C6051" s="1" t="s">
        <v>185</v>
      </c>
      <c r="E6051" s="1" t="s">
        <v>16613</v>
      </c>
      <c r="H6051" s="1" t="s">
        <v>4</v>
      </c>
      <c r="BT6051" s="1" t="s">
        <v>68</v>
      </c>
      <c r="DN6051" s="1" t="s">
        <v>114</v>
      </c>
      <c r="FO6051" s="1" t="s">
        <v>167</v>
      </c>
      <c r="GD6051" s="1" t="s">
        <v>189</v>
      </c>
      <c r="GE6051" s="1" t="s">
        <v>8519</v>
      </c>
    </row>
    <row r="6052" spans="1:187" ht="11.25" customHeight="1">
      <c r="A6052" s="1" t="s">
        <v>8520</v>
      </c>
      <c r="B6052" s="1" t="str">
        <f ca="1">IFERROR(__xludf.DUMMYFUNCTION("GOOGLETRANSLATE(A6052, ""en"", ""fr"")"),"Let # 4")</f>
        <v>Let # 4</v>
      </c>
      <c r="C6052" s="1" t="s">
        <v>185</v>
      </c>
      <c r="GD6052" s="1" t="s">
        <v>225</v>
      </c>
      <c r="GE6052" s="1" t="s">
        <v>8521</v>
      </c>
    </row>
    <row r="6053" spans="1:187" ht="11.25" customHeight="1">
      <c r="A6053" s="1" t="s">
        <v>8522</v>
      </c>
      <c r="B6053" s="1" t="str">
        <f ca="1">IFERROR(__xludf.DUMMYFUNCTION("GOOGLETRANSLATE(A6053, ""en"", ""fr"")"),"Faisons")</f>
        <v>Faisons</v>
      </c>
      <c r="C6053" s="1" t="s">
        <v>185</v>
      </c>
      <c r="DG6053" s="1" t="s">
        <v>107</v>
      </c>
      <c r="GD6053" s="1" t="s">
        <v>8523</v>
      </c>
      <c r="GE6053" s="1" t="s">
        <v>190</v>
      </c>
    </row>
    <row r="6054" spans="1:187" ht="11.25" customHeight="1">
      <c r="A6054" s="1" t="s">
        <v>8524</v>
      </c>
      <c r="B6054" s="1" t="str">
        <f ca="1">IFERROR(__xludf.DUMMYFUNCTION("GOOGLETRANSLATE(A6054, ""en"", ""fr"")"),"Lettre n ° 1")</f>
        <v>Lettre n ° 1</v>
      </c>
      <c r="C6054" s="1" t="s">
        <v>185</v>
      </c>
      <c r="BC6054" s="1" t="s">
        <v>51</v>
      </c>
      <c r="BH6054" s="1" t="s">
        <v>56</v>
      </c>
      <c r="BL6054" s="1" t="s">
        <v>60</v>
      </c>
      <c r="FH6054" s="1" t="s">
        <v>160</v>
      </c>
      <c r="FI6054" s="1" t="s">
        <v>161</v>
      </c>
      <c r="GD6054" s="1" t="s">
        <v>849</v>
      </c>
      <c r="GE6054" s="1" t="s">
        <v>8525</v>
      </c>
    </row>
    <row r="6055" spans="1:187" ht="11.25" customHeight="1">
      <c r="A6055" s="1" t="s">
        <v>8526</v>
      </c>
      <c r="B6055" s="1" t="str">
        <f ca="1">IFERROR(__xludf.DUMMYFUNCTION("GOOGLETRANSLATE(A6055, ""en"", ""fr"")"),"Lettre n ° 2")</f>
        <v>Lettre n ° 2</v>
      </c>
      <c r="C6055" s="1" t="s">
        <v>185</v>
      </c>
      <c r="BC6055" s="1" t="s">
        <v>51</v>
      </c>
      <c r="BH6055" s="1" t="s">
        <v>56</v>
      </c>
      <c r="BL6055" s="1" t="s">
        <v>60</v>
      </c>
      <c r="FH6055" s="1" t="s">
        <v>160</v>
      </c>
      <c r="FI6055" s="1" t="s">
        <v>161</v>
      </c>
      <c r="GD6055" s="1" t="s">
        <v>193</v>
      </c>
      <c r="GE6055" s="1" t="s">
        <v>8527</v>
      </c>
    </row>
    <row r="6056" spans="1:187" ht="11.25" customHeight="1">
      <c r="A6056" s="1" t="s">
        <v>8528</v>
      </c>
      <c r="B6056" s="1" t="str">
        <f ca="1">IFERROR(__xludf.DUMMYFUNCTION("GOOGLETRANSLATE(A6056, ""en"", ""fr"")"),"Lettre n ° 3")</f>
        <v>Lettre n ° 3</v>
      </c>
      <c r="C6056" s="1" t="s">
        <v>185</v>
      </c>
      <c r="Y6056" s="1" t="s">
        <v>21</v>
      </c>
      <c r="Z6056" s="1" t="s">
        <v>22</v>
      </c>
      <c r="FH6056" s="1" t="s">
        <v>160</v>
      </c>
      <c r="FI6056" s="1" t="s">
        <v>161</v>
      </c>
      <c r="GD6056" s="1" t="s">
        <v>193</v>
      </c>
      <c r="GE6056" s="1" t="s">
        <v>8529</v>
      </c>
    </row>
    <row r="6057" spans="1:187" ht="11.25" customHeight="1">
      <c r="A6057" s="1" t="s">
        <v>8530</v>
      </c>
      <c r="B6057" s="1" t="str">
        <f ca="1">IFERROR(__xludf.DUMMYFUNCTION("GOOGLETRANSLATE(A6057, ""en"", ""fr"")"),"Lettre n ° 4")</f>
        <v>Lettre n ° 4</v>
      </c>
      <c r="C6057" s="1" t="s">
        <v>185</v>
      </c>
      <c r="N6057" s="1" t="s">
        <v>10</v>
      </c>
      <c r="AL6057" s="1" t="s">
        <v>34</v>
      </c>
      <c r="DO6057" s="1" t="s">
        <v>115</v>
      </c>
      <c r="FH6057" s="1" t="s">
        <v>160</v>
      </c>
      <c r="FI6057" s="1" t="s">
        <v>161</v>
      </c>
      <c r="GD6057" s="1" t="s">
        <v>189</v>
      </c>
      <c r="GE6057" s="1" t="s">
        <v>8531</v>
      </c>
    </row>
    <row r="6058" spans="1:187" ht="11.25" customHeight="1">
      <c r="A6058" s="1" t="s">
        <v>8532</v>
      </c>
      <c r="B6058" s="1" t="str">
        <f ca="1">IFERROR(__xludf.DUMMYFUNCTION("GOOGLETRANSLATE(A6058, ""en"", ""fr"")"),"Lettre n ° 5")</f>
        <v>Lettre n ° 5</v>
      </c>
      <c r="C6058" s="1" t="s">
        <v>185</v>
      </c>
      <c r="BK6058" s="1" t="s">
        <v>59</v>
      </c>
      <c r="FH6058" s="1" t="s">
        <v>160</v>
      </c>
      <c r="FI6058" s="1" t="s">
        <v>161</v>
      </c>
      <c r="GC6058" s="1" t="s">
        <v>181</v>
      </c>
      <c r="GD6058" s="1" t="s">
        <v>193</v>
      </c>
      <c r="GE6058" s="1" t="s">
        <v>8533</v>
      </c>
    </row>
    <row r="6059" spans="1:187" ht="11.25" customHeight="1">
      <c r="A6059" s="1" t="s">
        <v>8534</v>
      </c>
      <c r="B6059" s="1" t="str">
        <f ca="1">IFERROR(__xludf.DUMMYFUNCTION("GOOGLETRANSLATE(A6059, ""en"", ""fr"")"),"NIVEAU 1")</f>
        <v>NIVEAU 1</v>
      </c>
      <c r="C6059" s="1" t="s">
        <v>185</v>
      </c>
      <c r="DA6059" s="1" t="s">
        <v>101</v>
      </c>
      <c r="FQ6059" s="1" t="s">
        <v>169</v>
      </c>
      <c r="GD6059" s="1" t="s">
        <v>849</v>
      </c>
      <c r="GE6059" s="1" t="s">
        <v>8535</v>
      </c>
    </row>
    <row r="6060" spans="1:187" ht="11.25" customHeight="1">
      <c r="A6060" s="1" t="s">
        <v>8536</v>
      </c>
      <c r="B6060" s="1" t="str">
        <f ca="1">IFERROR(__xludf.DUMMYFUNCTION("GOOGLETRANSLATE(A6060, ""en"", ""fr"")"),"NIVEAU 2")</f>
        <v>NIVEAU 2</v>
      </c>
      <c r="C6060" s="1" t="s">
        <v>185</v>
      </c>
      <c r="J6060" s="1" t="s">
        <v>6</v>
      </c>
      <c r="N6060" s="1" t="s">
        <v>10</v>
      </c>
      <c r="AL6060" s="1" t="s">
        <v>34</v>
      </c>
      <c r="DO6060" s="1" t="s">
        <v>115</v>
      </c>
      <c r="FP6060" s="1" t="s">
        <v>168</v>
      </c>
      <c r="GD6060" s="1" t="s">
        <v>189</v>
      </c>
      <c r="GE6060" s="1" t="s">
        <v>8537</v>
      </c>
    </row>
    <row r="6061" spans="1:187" ht="11.25" customHeight="1">
      <c r="A6061" s="1" t="s">
        <v>8538</v>
      </c>
      <c r="B6061" s="1" t="str">
        <f ca="1">IFERROR(__xludf.DUMMYFUNCTION("GOOGLETRANSLATE(A6061, ""en"", ""fr"")"),"NIVEAU 3")</f>
        <v>NIVEAU 3</v>
      </c>
      <c r="C6061" s="1" t="s">
        <v>185</v>
      </c>
      <c r="CR6061" s="1" t="s">
        <v>92</v>
      </c>
      <c r="GD6061" s="1" t="s">
        <v>202</v>
      </c>
      <c r="GE6061" s="1" t="s">
        <v>8539</v>
      </c>
    </row>
    <row r="6062" spans="1:187" ht="11.25" customHeight="1">
      <c r="A6062" s="1" t="s">
        <v>8540</v>
      </c>
      <c r="B6062" s="1" t="str">
        <f ca="1">IFERROR(__xludf.DUMMYFUNCTION("GOOGLETRANSLATE(A6062, ""en"", ""fr"")"),"RESPONSABILITÉ")</f>
        <v>RESPONSABILITÉ</v>
      </c>
      <c r="C6062" s="1" t="s">
        <v>185</v>
      </c>
      <c r="E6062" s="1" t="s">
        <v>16613</v>
      </c>
      <c r="L6062" s="1" t="s">
        <v>8</v>
      </c>
      <c r="CI6062" s="1" t="s">
        <v>83</v>
      </c>
      <c r="EV6062" s="1" t="s">
        <v>148</v>
      </c>
      <c r="EW6062" s="1" t="s">
        <v>149</v>
      </c>
      <c r="GD6062" s="1" t="s">
        <v>193</v>
      </c>
      <c r="GE6062" s="1" t="s">
        <v>190</v>
      </c>
    </row>
    <row r="6063" spans="1:187" ht="11.25" customHeight="1">
      <c r="A6063" s="1" t="s">
        <v>8541</v>
      </c>
      <c r="B6063" s="1" t="str">
        <f ca="1">IFERROR(__xludf.DUMMYFUNCTION("GOOGLETRANSLATE(A6063, ""en"", ""fr"")"),"Responsable")</f>
        <v>Responsable</v>
      </c>
      <c r="C6063" s="1" t="s">
        <v>185</v>
      </c>
      <c r="E6063" s="1" t="s">
        <v>16613</v>
      </c>
      <c r="CI6063" s="1" t="s">
        <v>83</v>
      </c>
      <c r="DR6063" s="1" t="s">
        <v>118</v>
      </c>
      <c r="GD6063" s="1" t="s">
        <v>202</v>
      </c>
      <c r="GE6063" s="1" t="s">
        <v>190</v>
      </c>
    </row>
    <row r="6064" spans="1:187" ht="11.25" customHeight="1">
      <c r="A6064" s="1" t="s">
        <v>8542</v>
      </c>
      <c r="B6064" s="1" t="str">
        <f ca="1">IFERROR(__xludf.DUMMYFUNCTION("GOOGLETRANSLATE(A6064, ""en"", ""fr"")"),"MENTEUR")</f>
        <v>MENTEUR</v>
      </c>
      <c r="C6064" s="1" t="s">
        <v>185</v>
      </c>
      <c r="E6064" s="1" t="s">
        <v>16613</v>
      </c>
      <c r="H6064" s="1" t="s">
        <v>4</v>
      </c>
      <c r="I6064" s="1" t="s">
        <v>5</v>
      </c>
      <c r="AJ6064" s="1" t="s">
        <v>32</v>
      </c>
      <c r="AT6064" s="1" t="s">
        <v>42</v>
      </c>
      <c r="EE6064" s="1" t="s">
        <v>131</v>
      </c>
      <c r="EJ6064" s="1" t="s">
        <v>136</v>
      </c>
      <c r="GD6064" s="1" t="s">
        <v>193</v>
      </c>
      <c r="GE6064" s="1" t="s">
        <v>190</v>
      </c>
    </row>
    <row r="6065" spans="1:187" ht="11.25" customHeight="1">
      <c r="A6065" s="1" t="s">
        <v>8543</v>
      </c>
      <c r="B6065" s="1" t="str">
        <f ca="1">IFERROR(__xludf.DUMMYFUNCTION("GOOGLETRANSLATE(A6065, ""en"", ""fr"")"),"Libéral # 1")</f>
        <v>Libéral # 1</v>
      </c>
      <c r="C6065" s="1" t="s">
        <v>185</v>
      </c>
      <c r="Y6065" s="1" t="s">
        <v>21</v>
      </c>
      <c r="Z6065" s="1" t="s">
        <v>22</v>
      </c>
      <c r="FH6065" s="1" t="s">
        <v>160</v>
      </c>
      <c r="FI6065" s="1" t="s">
        <v>161</v>
      </c>
      <c r="GD6065" s="1" t="s">
        <v>202</v>
      </c>
      <c r="GE6065" s="1" t="s">
        <v>8544</v>
      </c>
    </row>
    <row r="6066" spans="1:187" ht="11.25" customHeight="1">
      <c r="A6066" s="1" t="s">
        <v>8545</v>
      </c>
      <c r="B6066" s="1" t="str">
        <f ca="1">IFERROR(__xludf.DUMMYFUNCTION("GOOGLETRANSLATE(A6066, ""en"", ""fr"")"),"Libéral # 2")</f>
        <v>Libéral # 2</v>
      </c>
      <c r="C6066" s="1" t="s">
        <v>185</v>
      </c>
      <c r="D6066" s="1" t="s">
        <v>16612</v>
      </c>
      <c r="F6066" s="1" t="s">
        <v>2</v>
      </c>
      <c r="AG6066" s="1" t="s">
        <v>29</v>
      </c>
      <c r="AH6066" s="1" t="s">
        <v>30</v>
      </c>
      <c r="AJ6066" s="1" t="s">
        <v>32</v>
      </c>
      <c r="AT6066" s="1" t="s">
        <v>42</v>
      </c>
      <c r="EC6066" s="1" t="s">
        <v>129</v>
      </c>
      <c r="ED6066" s="1" t="s">
        <v>130</v>
      </c>
      <c r="GD6066" s="1" t="s">
        <v>1446</v>
      </c>
      <c r="GE6066" s="1" t="s">
        <v>8546</v>
      </c>
    </row>
    <row r="6067" spans="1:187" ht="11.25" customHeight="1">
      <c r="A6067" s="1" t="s">
        <v>8547</v>
      </c>
      <c r="B6067" s="1" t="str">
        <f ca="1">IFERROR(__xludf.DUMMYFUNCTION("GOOGLETRANSLATE(A6067, ""en"", ""fr"")"),"Libéral # 3")</f>
        <v>Libéral # 3</v>
      </c>
      <c r="C6067" s="1" t="s">
        <v>185</v>
      </c>
      <c r="D6067" s="1" t="s">
        <v>16612</v>
      </c>
      <c r="F6067" s="1" t="s">
        <v>2</v>
      </c>
      <c r="G6067" s="1" t="s">
        <v>3</v>
      </c>
      <c r="U6067" s="1" t="s">
        <v>17</v>
      </c>
      <c r="GD6067" s="1" t="s">
        <v>236</v>
      </c>
      <c r="GE6067" s="1" t="s">
        <v>8548</v>
      </c>
    </row>
    <row r="6068" spans="1:187" ht="11.25" customHeight="1">
      <c r="A6068" s="1" t="s">
        <v>8549</v>
      </c>
      <c r="B6068" s="1" t="str">
        <f ca="1">IFERROR(__xludf.DUMMYFUNCTION("GOOGLETRANSLATE(A6068, ""en"", ""fr"")"),"LIBÉRALISME")</f>
        <v>LIBÉRALISME</v>
      </c>
      <c r="C6068" s="1" t="s">
        <v>185</v>
      </c>
      <c r="D6068" s="1" t="s">
        <v>16612</v>
      </c>
      <c r="F6068" s="1" t="s">
        <v>2</v>
      </c>
      <c r="Z6068" s="1" t="s">
        <v>22</v>
      </c>
      <c r="AG6068" s="1" t="s">
        <v>29</v>
      </c>
      <c r="AH6068" s="1" t="s">
        <v>30</v>
      </c>
      <c r="CP6068" s="1" t="s">
        <v>90</v>
      </c>
      <c r="CQ6068" s="1" t="s">
        <v>91</v>
      </c>
      <c r="EA6068" s="1" t="s">
        <v>127</v>
      </c>
      <c r="ED6068" s="1" t="s">
        <v>130</v>
      </c>
      <c r="GD6068" s="1" t="s">
        <v>193</v>
      </c>
      <c r="GE6068" s="1" t="s">
        <v>190</v>
      </c>
    </row>
    <row r="6069" spans="1:187" ht="11.25" customHeight="1">
      <c r="A6069" s="1" t="s">
        <v>8550</v>
      </c>
      <c r="B6069" s="1" t="str">
        <f ca="1">IFERROR(__xludf.DUMMYFUNCTION("GOOGLETRANSLATE(A6069, ""en"", ""fr"")"),"LIBÉRALITÉ")</f>
        <v>LIBÉRALITÉ</v>
      </c>
      <c r="C6069" s="1" t="s">
        <v>196</v>
      </c>
      <c r="GD6069" s="1" t="s">
        <v>193</v>
      </c>
    </row>
    <row r="6070" spans="1:187" ht="11.25" customHeight="1">
      <c r="A6070" s="1" t="s">
        <v>8551</v>
      </c>
      <c r="B6070" s="1" t="str">
        <f ca="1">IFERROR(__xludf.DUMMYFUNCTION("GOOGLETRANSLATE(A6070, ""en"", ""fr"")"),"LIBÉRALISER")</f>
        <v>LIBÉRALISER</v>
      </c>
      <c r="C6070" s="1" t="s">
        <v>196</v>
      </c>
      <c r="FP6070" s="1" t="s">
        <v>168</v>
      </c>
      <c r="GD6070" s="1" t="s">
        <v>189</v>
      </c>
    </row>
    <row r="6071" spans="1:187" ht="11.25" customHeight="1">
      <c r="A6071" s="1" t="s">
        <v>8552</v>
      </c>
      <c r="B6071" s="1" t="str">
        <f ca="1">IFERROR(__xludf.DUMMYFUNCTION("GOOGLETRANSLATE(A6071, ""en"", ""fr"")"),"LIBÉRER")</f>
        <v>LIBÉRER</v>
      </c>
      <c r="C6071" s="1" t="s">
        <v>185</v>
      </c>
      <c r="D6071" s="1" t="s">
        <v>16612</v>
      </c>
      <c r="G6071" s="1" t="s">
        <v>3</v>
      </c>
      <c r="K6071" s="1" t="s">
        <v>7</v>
      </c>
      <c r="N6071" s="1" t="s">
        <v>10</v>
      </c>
      <c r="DN6071" s="1" t="s">
        <v>114</v>
      </c>
      <c r="EE6071" s="1" t="s">
        <v>131</v>
      </c>
      <c r="EJ6071" s="1" t="s">
        <v>136</v>
      </c>
      <c r="GD6071" s="1" t="s">
        <v>670</v>
      </c>
      <c r="GE6071" s="1" t="s">
        <v>190</v>
      </c>
    </row>
    <row r="6072" spans="1:187" ht="11.25" customHeight="1">
      <c r="A6072" s="1" t="s">
        <v>8553</v>
      </c>
      <c r="B6072" s="1" t="str">
        <f ca="1">IFERROR(__xludf.DUMMYFUNCTION("GOOGLETRANSLATE(A6072, ""en"", ""fr"")"),"LIBÉRATION")</f>
        <v>LIBÉRATION</v>
      </c>
      <c r="C6072" s="1" t="s">
        <v>185</v>
      </c>
      <c r="J6072" s="1" t="s">
        <v>6</v>
      </c>
      <c r="K6072" s="1" t="s">
        <v>7</v>
      </c>
      <c r="N6072" s="1" t="s">
        <v>10</v>
      </c>
      <c r="Z6072" s="1" t="s">
        <v>22</v>
      </c>
      <c r="AG6072" s="1" t="s">
        <v>29</v>
      </c>
      <c r="AH6072" s="1" t="s">
        <v>30</v>
      </c>
      <c r="EC6072" s="1" t="s">
        <v>129</v>
      </c>
      <c r="ED6072" s="1" t="s">
        <v>130</v>
      </c>
      <c r="GD6072" s="1" t="s">
        <v>193</v>
      </c>
      <c r="GE6072" s="1" t="s">
        <v>190</v>
      </c>
    </row>
    <row r="6073" spans="1:187" ht="11.25" customHeight="1">
      <c r="A6073" s="1" t="s">
        <v>8554</v>
      </c>
      <c r="B6073" s="1" t="str">
        <f ca="1">IFERROR(__xludf.DUMMYFUNCTION("GOOGLETRANSLATE(A6073, ""en"", ""fr"")"),"LIBÉRIA")</f>
        <v>LIBÉRIA</v>
      </c>
      <c r="C6073" s="1" t="s">
        <v>196</v>
      </c>
      <c r="FU6073" s="1" t="s">
        <v>173</v>
      </c>
      <c r="GD6073" s="1" t="s">
        <v>545</v>
      </c>
    </row>
    <row r="6074" spans="1:187" ht="11.25" customHeight="1">
      <c r="A6074" s="1" t="s">
        <v>8555</v>
      </c>
      <c r="B6074" s="1" t="str">
        <f ca="1">IFERROR(__xludf.DUMMYFUNCTION("GOOGLETRANSLATE(A6074, ""en"", ""fr"")"),"LIBERTÉ")</f>
        <v>LIBERTÉ</v>
      </c>
      <c r="C6074" s="1" t="s">
        <v>185</v>
      </c>
      <c r="D6074" s="1" t="s">
        <v>16612</v>
      </c>
      <c r="F6074" s="1" t="s">
        <v>2</v>
      </c>
      <c r="K6074" s="1" t="s">
        <v>7</v>
      </c>
      <c r="Z6074" s="1" t="s">
        <v>22</v>
      </c>
      <c r="AG6074" s="1" t="s">
        <v>29</v>
      </c>
      <c r="CP6074" s="1" t="s">
        <v>90</v>
      </c>
      <c r="CQ6074" s="1" t="s">
        <v>91</v>
      </c>
      <c r="EC6074" s="1" t="s">
        <v>129</v>
      </c>
      <c r="ED6074" s="1" t="s">
        <v>130</v>
      </c>
      <c r="GD6074" s="1" t="s">
        <v>193</v>
      </c>
      <c r="GE6074" s="1" t="s">
        <v>190</v>
      </c>
    </row>
    <row r="6075" spans="1:187" ht="11.25" customHeight="1">
      <c r="A6075" s="1" t="s">
        <v>8556</v>
      </c>
      <c r="B6075" s="1" t="str">
        <f ca="1">IFERROR(__xludf.DUMMYFUNCTION("GOOGLETRANSLATE(A6075, ""en"", ""fr"")"),"BIBLIOTHÈQUE")</f>
        <v>BIBLIOTHÈQUE</v>
      </c>
      <c r="C6075" s="1" t="s">
        <v>185</v>
      </c>
      <c r="Y6075" s="1" t="s">
        <v>21</v>
      </c>
      <c r="AV6075" s="1" t="s">
        <v>44</v>
      </c>
      <c r="AW6075" s="1" t="s">
        <v>45</v>
      </c>
      <c r="FH6075" s="1" t="s">
        <v>160</v>
      </c>
      <c r="FI6075" s="1" t="s">
        <v>161</v>
      </c>
      <c r="GD6075" s="1" t="s">
        <v>193</v>
      </c>
      <c r="GE6075" s="1" t="s">
        <v>8557</v>
      </c>
    </row>
    <row r="6076" spans="1:187" ht="11.25" customHeight="1">
      <c r="A6076" s="1" t="s">
        <v>8558</v>
      </c>
      <c r="B6076" s="1" t="str">
        <f ca="1">IFERROR(__xludf.DUMMYFUNCTION("GOOGLETRANSLATE(A6076, ""en"", ""fr"")"),"LIBYE")</f>
        <v>LIBYE</v>
      </c>
      <c r="C6076" s="1" t="s">
        <v>196</v>
      </c>
      <c r="FU6076" s="1" t="s">
        <v>173</v>
      </c>
      <c r="GD6076" s="1" t="s">
        <v>545</v>
      </c>
    </row>
    <row r="6077" spans="1:187" ht="11.25" customHeight="1">
      <c r="A6077" s="1" t="s">
        <v>8559</v>
      </c>
      <c r="B6077" s="1" t="str">
        <f ca="1">IFERROR(__xludf.DUMMYFUNCTION("GOOGLETRANSLATE(A6077, ""en"", ""fr"")"),"LICENCE")</f>
        <v>LICENCE</v>
      </c>
      <c r="C6077" s="1" t="s">
        <v>185</v>
      </c>
      <c r="AE6077" s="1" t="s">
        <v>27</v>
      </c>
      <c r="BC6077" s="1" t="s">
        <v>51</v>
      </c>
      <c r="BH6077" s="1" t="s">
        <v>56</v>
      </c>
      <c r="BL6077" s="1" t="s">
        <v>60</v>
      </c>
      <c r="GD6077" s="1" t="s">
        <v>193</v>
      </c>
      <c r="GE6077" s="1" t="s">
        <v>190</v>
      </c>
    </row>
    <row r="6078" spans="1:187" ht="11.25" customHeight="1">
      <c r="A6078" s="1" t="s">
        <v>8560</v>
      </c>
      <c r="B6078" s="1" t="str">
        <f ca="1">IFERROR(__xludf.DUMMYFUNCTION("GOOGLETRANSLATE(A6078, ""en"", ""fr"")"),"LÉCHER")</f>
        <v>LÉCHER</v>
      </c>
      <c r="C6078" s="1" t="s">
        <v>185</v>
      </c>
      <c r="N6078" s="1" t="s">
        <v>10</v>
      </c>
      <c r="BU6078" s="1" t="s">
        <v>69</v>
      </c>
      <c r="DO6078" s="1" t="s">
        <v>115</v>
      </c>
      <c r="GD6078" s="1" t="s">
        <v>189</v>
      </c>
      <c r="GE6078" s="1" t="s">
        <v>190</v>
      </c>
    </row>
    <row r="6079" spans="1:187" ht="11.25" customHeight="1">
      <c r="A6079" s="1" t="s">
        <v>8561</v>
      </c>
      <c r="B6079" s="1" t="str">
        <f ca="1">IFERROR(__xludf.DUMMYFUNCTION("GOOGLETRANSLATE(A6079, ""en"", ""fr"")"),"Mensonge n ° 1")</f>
        <v>Mensonge n ° 1</v>
      </c>
      <c r="C6079" s="1" t="s">
        <v>185</v>
      </c>
      <c r="O6079" s="1" t="s">
        <v>11</v>
      </c>
      <c r="CA6079" s="1" t="s">
        <v>75</v>
      </c>
      <c r="DO6079" s="1" t="s">
        <v>115</v>
      </c>
      <c r="GD6079" s="1" t="s">
        <v>189</v>
      </c>
      <c r="GE6079" s="1" t="s">
        <v>8562</v>
      </c>
    </row>
    <row r="6080" spans="1:187" ht="11.25" customHeight="1">
      <c r="A6080" s="1" t="s">
        <v>8563</v>
      </c>
      <c r="B6080" s="1" t="str">
        <f ca="1">IFERROR(__xludf.DUMMYFUNCTION("GOOGLETRANSLATE(A6080, ""en"", ""fr"")"),"Mensonge n ° 2")</f>
        <v>Mensonge n ° 2</v>
      </c>
      <c r="C6080" s="1" t="s">
        <v>185</v>
      </c>
      <c r="E6080" s="1" t="s">
        <v>16613</v>
      </c>
      <c r="H6080" s="1" t="s">
        <v>4</v>
      </c>
      <c r="I6080" s="1" t="s">
        <v>5</v>
      </c>
      <c r="BK6080" s="1" t="s">
        <v>59</v>
      </c>
      <c r="DO6080" s="1" t="s">
        <v>115</v>
      </c>
      <c r="EE6080" s="1" t="s">
        <v>131</v>
      </c>
      <c r="EJ6080" s="1" t="s">
        <v>136</v>
      </c>
      <c r="GD6080" s="1" t="s">
        <v>189</v>
      </c>
      <c r="GE6080" s="1" t="s">
        <v>8564</v>
      </c>
    </row>
    <row r="6081" spans="1:187" ht="11.25" customHeight="1">
      <c r="A6081" s="1" t="s">
        <v>8565</v>
      </c>
      <c r="B6081" s="1" t="str">
        <f ca="1">IFERROR(__xludf.DUMMYFUNCTION("GOOGLETRANSLATE(A6081, ""en"", ""fr"")"),"Mensonge n ° 3")</f>
        <v>Mensonge n ° 3</v>
      </c>
      <c r="C6081" s="1" t="s">
        <v>185</v>
      </c>
      <c r="E6081" s="1" t="s">
        <v>16613</v>
      </c>
      <c r="H6081" s="1" t="s">
        <v>4</v>
      </c>
      <c r="I6081" s="1" t="s">
        <v>5</v>
      </c>
      <c r="BK6081" s="1" t="s">
        <v>59</v>
      </c>
      <c r="BL6081" s="1" t="s">
        <v>60</v>
      </c>
      <c r="EE6081" s="1" t="s">
        <v>131</v>
      </c>
      <c r="EJ6081" s="1" t="s">
        <v>136</v>
      </c>
      <c r="GC6081" s="1" t="s">
        <v>181</v>
      </c>
      <c r="GD6081" s="1" t="s">
        <v>193</v>
      </c>
      <c r="GE6081" s="1" t="s">
        <v>8566</v>
      </c>
    </row>
    <row r="6082" spans="1:187" ht="11.25" customHeight="1">
      <c r="A6082" s="1" t="s">
        <v>8567</v>
      </c>
      <c r="B6082" s="1" t="str">
        <f ca="1">IFERROR(__xludf.DUMMYFUNCTION("GOOGLETRANSLATE(A6082, ""en"", ""fr"")"),"LIEUTENANT")</f>
        <v>LIEUTENANT</v>
      </c>
      <c r="C6082" s="1" t="s">
        <v>185</v>
      </c>
      <c r="J6082" s="1" t="s">
        <v>6</v>
      </c>
      <c r="K6082" s="1" t="s">
        <v>7</v>
      </c>
      <c r="AF6082" s="1" t="s">
        <v>28</v>
      </c>
      <c r="AH6082" s="1" t="s">
        <v>30</v>
      </c>
      <c r="AJ6082" s="1" t="s">
        <v>32</v>
      </c>
      <c r="AT6082" s="1" t="s">
        <v>42</v>
      </c>
      <c r="DY6082" s="1" t="s">
        <v>125</v>
      </c>
      <c r="ED6082" s="1" t="s">
        <v>130</v>
      </c>
      <c r="GD6082" s="1" t="s">
        <v>193</v>
      </c>
      <c r="GE6082" s="1" t="s">
        <v>190</v>
      </c>
    </row>
    <row r="6083" spans="1:187" ht="11.25" customHeight="1">
      <c r="A6083" s="1" t="s">
        <v>8568</v>
      </c>
      <c r="B6083" s="1" t="str">
        <f ca="1">IFERROR(__xludf.DUMMYFUNCTION("GOOGLETRANSLATE(A6083, ""en"", ""fr"")"),"VIE")</f>
        <v>VIE</v>
      </c>
      <c r="C6083" s="1" t="s">
        <v>185</v>
      </c>
      <c r="BU6083" s="1" t="s">
        <v>69</v>
      </c>
      <c r="EZ6083" s="1" t="s">
        <v>152</v>
      </c>
      <c r="FC6083" s="1" t="s">
        <v>155</v>
      </c>
      <c r="GD6083" s="1" t="s">
        <v>193</v>
      </c>
      <c r="GE6083" s="1" t="s">
        <v>8569</v>
      </c>
    </row>
    <row r="6084" spans="1:187" ht="11.25" customHeight="1">
      <c r="A6084" s="1" t="s">
        <v>8570</v>
      </c>
      <c r="B6084" s="1" t="str">
        <f ca="1">IFERROR(__xludf.DUMMYFUNCTION("GOOGLETRANSLATE(A6084, ""en"", ""fr"")"),"SANS VIE")</f>
        <v>SANS VIE</v>
      </c>
      <c r="C6084" s="1" t="s">
        <v>192</v>
      </c>
      <c r="E6084" s="1" t="s">
        <v>16613</v>
      </c>
      <c r="L6084" s="1" t="s">
        <v>8</v>
      </c>
      <c r="BU6084" s="1" t="s">
        <v>69</v>
      </c>
      <c r="DR6084" s="1" t="s">
        <v>118</v>
      </c>
      <c r="GD6084" s="1" t="s">
        <v>202</v>
      </c>
      <c r="GE6084" s="1" t="s">
        <v>190</v>
      </c>
    </row>
    <row r="6085" spans="1:187" ht="11.25" customHeight="1">
      <c r="A6085" s="1" t="s">
        <v>8571</v>
      </c>
      <c r="B6085" s="1" t="str">
        <f ca="1">IFERROR(__xludf.DUMMYFUNCTION("GOOGLETRANSLATE(A6085, ""en"", ""fr"")"),"Permanent")</f>
        <v>Permanent</v>
      </c>
      <c r="C6085" s="1" t="s">
        <v>192</v>
      </c>
      <c r="D6085" s="1" t="s">
        <v>16612</v>
      </c>
      <c r="CA6085" s="1" t="s">
        <v>75</v>
      </c>
      <c r="DR6085" s="1" t="s">
        <v>118</v>
      </c>
      <c r="GD6085" s="1" t="s">
        <v>202</v>
      </c>
      <c r="GE6085" s="1" t="s">
        <v>190</v>
      </c>
    </row>
    <row r="6086" spans="1:187" ht="11.25" customHeight="1">
      <c r="A6086" s="1" t="s">
        <v>8572</v>
      </c>
      <c r="B6086" s="1" t="str">
        <f ca="1">IFERROR(__xludf.DUMMYFUNCTION("GOOGLETRANSLATE(A6086, ""en"", ""fr"")"),"DURÉE DE VIE")</f>
        <v>DURÉE DE VIE</v>
      </c>
      <c r="C6086" s="1" t="s">
        <v>185</v>
      </c>
      <c r="CY6086" s="1" t="s">
        <v>99</v>
      </c>
      <c r="GB6086" s="1" t="s">
        <v>180</v>
      </c>
      <c r="GD6086" s="1" t="s">
        <v>193</v>
      </c>
      <c r="GE6086" s="1" t="s">
        <v>190</v>
      </c>
    </row>
    <row r="6087" spans="1:187" ht="11.25" customHeight="1">
      <c r="A6087" s="1" t="s">
        <v>8573</v>
      </c>
      <c r="B6087" s="1" t="str">
        <f ca="1">IFERROR(__xludf.DUMMYFUNCTION("GOOGLETRANSLATE(A6087, ""en"", ""fr"")"),"ASCENSEUR")</f>
        <v>ASCENSEUR</v>
      </c>
      <c r="C6087" s="1" t="s">
        <v>185</v>
      </c>
      <c r="J6087" s="1" t="s">
        <v>6</v>
      </c>
      <c r="N6087" s="1" t="s">
        <v>10</v>
      </c>
      <c r="CD6087" s="1" t="s">
        <v>78</v>
      </c>
      <c r="DO6087" s="1" t="s">
        <v>115</v>
      </c>
      <c r="FP6087" s="1" t="s">
        <v>168</v>
      </c>
      <c r="GD6087" s="1" t="s">
        <v>189</v>
      </c>
      <c r="GE6087" s="1" t="s">
        <v>190</v>
      </c>
    </row>
    <row r="6088" spans="1:187" ht="11.25" customHeight="1">
      <c r="A6088" s="1" t="s">
        <v>8574</v>
      </c>
      <c r="B6088" s="1" t="str">
        <f ca="1">IFERROR(__xludf.DUMMYFUNCTION("GOOGLETRANSLATE(A6088, ""en"", ""fr"")"),"Lumière # 1")</f>
        <v>Lumière # 1</v>
      </c>
      <c r="C6088" s="1" t="s">
        <v>185</v>
      </c>
      <c r="D6088" s="1" t="s">
        <v>16612</v>
      </c>
      <c r="F6088" s="1" t="s">
        <v>2</v>
      </c>
      <c r="BU6088" s="1" t="s">
        <v>69</v>
      </c>
      <c r="GD6088" s="1" t="s">
        <v>193</v>
      </c>
      <c r="GE6088" s="1" t="s">
        <v>8575</v>
      </c>
    </row>
    <row r="6089" spans="1:187" ht="11.25" customHeight="1">
      <c r="A6089" s="1" t="s">
        <v>8576</v>
      </c>
      <c r="B6089" s="1" t="str">
        <f ca="1">IFERROR(__xludf.DUMMYFUNCTION("GOOGLETRANSLATE(A6089, ""en"", ""fr"")"),"Lumière # 2")</f>
        <v>Lumière # 2</v>
      </c>
      <c r="C6089" s="1" t="s">
        <v>185</v>
      </c>
      <c r="N6089" s="1" t="s">
        <v>10</v>
      </c>
      <c r="CC6089" s="1" t="s">
        <v>77</v>
      </c>
      <c r="DO6089" s="1" t="s">
        <v>115</v>
      </c>
      <c r="FP6089" s="1" t="s">
        <v>168</v>
      </c>
      <c r="GD6089" s="1" t="s">
        <v>189</v>
      </c>
      <c r="GE6089" s="1" t="s">
        <v>8577</v>
      </c>
    </row>
    <row r="6090" spans="1:187" ht="11.25" customHeight="1">
      <c r="A6090" s="1" t="s">
        <v>8578</v>
      </c>
      <c r="B6090" s="1" t="str">
        <f ca="1">IFERROR(__xludf.DUMMYFUNCTION("GOOGLETRANSLATE(A6090, ""en"", ""fr"")"),"Lumière # 3")</f>
        <v>Lumière # 3</v>
      </c>
      <c r="C6090" s="1" t="s">
        <v>185</v>
      </c>
      <c r="D6090" s="1" t="s">
        <v>16612</v>
      </c>
      <c r="F6090" s="1" t="s">
        <v>2</v>
      </c>
      <c r="CR6090" s="1" t="s">
        <v>92</v>
      </c>
      <c r="GD6090" s="1" t="s">
        <v>202</v>
      </c>
      <c r="GE6090" s="1" t="s">
        <v>8579</v>
      </c>
    </row>
    <row r="6091" spans="1:187" ht="11.25" customHeight="1">
      <c r="A6091" s="1" t="s">
        <v>8580</v>
      </c>
      <c r="B6091" s="1" t="str">
        <f ca="1">IFERROR(__xludf.DUMMYFUNCTION("GOOGLETRANSLATE(A6091, ""en"", ""fr"")"),"Lumière # 4")</f>
        <v>Lumière # 4</v>
      </c>
      <c r="C6091" s="1" t="s">
        <v>185</v>
      </c>
      <c r="L6091" s="1" t="s">
        <v>8</v>
      </c>
      <c r="X6091" s="1" t="s">
        <v>20</v>
      </c>
      <c r="CR6091" s="1" t="s">
        <v>92</v>
      </c>
      <c r="GD6091" s="1" t="s">
        <v>202</v>
      </c>
      <c r="GE6091" s="1" t="s">
        <v>8581</v>
      </c>
    </row>
    <row r="6092" spans="1:187" ht="11.25" customHeight="1">
      <c r="A6092" s="1" t="s">
        <v>8582</v>
      </c>
      <c r="B6092" s="1" t="str">
        <f ca="1">IFERROR(__xludf.DUMMYFUNCTION("GOOGLETRANSLATE(A6092, ""en"", ""fr"")"),"Lumière # 5")</f>
        <v>Lumière # 5</v>
      </c>
      <c r="C6092" s="1" t="s">
        <v>185</v>
      </c>
      <c r="BK6092" s="1" t="s">
        <v>59</v>
      </c>
      <c r="DN6092" s="1" t="s">
        <v>114</v>
      </c>
      <c r="GD6092" s="1" t="s">
        <v>189</v>
      </c>
      <c r="GE6092" s="1" t="s">
        <v>8583</v>
      </c>
    </row>
    <row r="6093" spans="1:187" ht="11.25" customHeight="1">
      <c r="A6093" s="1" t="s">
        <v>8584</v>
      </c>
      <c r="B6093" s="1" t="str">
        <f ca="1">IFERROR(__xludf.DUMMYFUNCTION("GOOGLETRANSLATE(A6093, ""en"", ""fr"")"),"Lumière # 6")</f>
        <v>Lumière # 6</v>
      </c>
      <c r="C6093" s="1" t="s">
        <v>185</v>
      </c>
      <c r="X6093" s="1" t="s">
        <v>20</v>
      </c>
      <c r="CR6093" s="1" t="s">
        <v>92</v>
      </c>
      <c r="GD6093" s="1" t="s">
        <v>236</v>
      </c>
      <c r="GE6093" s="1" t="s">
        <v>8585</v>
      </c>
    </row>
    <row r="6094" spans="1:187" ht="11.25" customHeight="1">
      <c r="A6094" s="1" t="s">
        <v>8586</v>
      </c>
      <c r="B6094" s="1" t="str">
        <f ca="1">IFERROR(__xludf.DUMMYFUNCTION("GOOGLETRANSLATE(A6094, ""en"", ""fr"")"),"Lumière # 7")</f>
        <v>Lumière # 7</v>
      </c>
      <c r="C6094" s="1" t="s">
        <v>185</v>
      </c>
      <c r="BU6094" s="1" t="s">
        <v>69</v>
      </c>
      <c r="GD6094" s="1" t="s">
        <v>202</v>
      </c>
      <c r="GE6094" s="1" t="s">
        <v>8587</v>
      </c>
    </row>
    <row r="6095" spans="1:187" ht="11.25" customHeight="1">
      <c r="A6095" s="1" t="s">
        <v>8588</v>
      </c>
      <c r="B6095" s="1" t="str">
        <f ca="1">IFERROR(__xludf.DUMMYFUNCTION("GOOGLETRANSLATE(A6095, ""en"", ""fr"")"),"Lumière # 8")</f>
        <v>Lumière # 8</v>
      </c>
      <c r="C6095" s="1" t="s">
        <v>185</v>
      </c>
      <c r="CH6095" s="1" t="s">
        <v>82</v>
      </c>
      <c r="FH6095" s="1" t="s">
        <v>160</v>
      </c>
      <c r="FI6095" s="1" t="s">
        <v>161</v>
      </c>
      <c r="GD6095" s="1" t="s">
        <v>215</v>
      </c>
      <c r="GE6095" s="1" t="s">
        <v>8589</v>
      </c>
    </row>
    <row r="6096" spans="1:187" ht="11.25" customHeight="1">
      <c r="A6096" s="1" t="s">
        <v>8590</v>
      </c>
      <c r="B6096" s="1" t="str">
        <f ca="1">IFERROR(__xludf.DUMMYFUNCTION("GOOGLETRANSLATE(A6096, ""en"", ""fr"")"),"ALLÉGER")</f>
        <v>ALLÉGER</v>
      </c>
      <c r="C6096" s="1" t="s">
        <v>185</v>
      </c>
      <c r="BY6096" s="1" t="s">
        <v>73</v>
      </c>
      <c r="DN6096" s="1" t="s">
        <v>114</v>
      </c>
      <c r="GD6096" s="1" t="s">
        <v>189</v>
      </c>
      <c r="GE6096" s="1" t="s">
        <v>190</v>
      </c>
    </row>
    <row r="6097" spans="1:187" ht="11.25" customHeight="1">
      <c r="A6097" s="1" t="s">
        <v>8591</v>
      </c>
      <c r="B6097" s="1" t="str">
        <f ca="1">IFERROR(__xludf.DUMMYFUNCTION("GOOGLETRANSLATE(A6097, ""en"", ""fr"")"),"FOUDRE")</f>
        <v>FOUDRE</v>
      </c>
      <c r="C6097" s="1" t="s">
        <v>185</v>
      </c>
      <c r="J6097" s="1" t="s">
        <v>6</v>
      </c>
      <c r="BU6097" s="1" t="s">
        <v>69</v>
      </c>
      <c r="GD6097" s="1" t="s">
        <v>193</v>
      </c>
      <c r="GE6097" s="1" t="s">
        <v>8592</v>
      </c>
    </row>
    <row r="6098" spans="1:187" ht="11.25" customHeight="1">
      <c r="A6098" s="1" t="s">
        <v>8593</v>
      </c>
      <c r="B6098" s="1" t="str">
        <f ca="1">IFERROR(__xludf.DUMMYFUNCTION("GOOGLETRANSLATE(A6098, ""en"", ""fr"")"),"LIGNITE")</f>
        <v>LIGNITE</v>
      </c>
      <c r="C6098" s="1" t="s">
        <v>185</v>
      </c>
      <c r="BC6098" s="1" t="s">
        <v>51</v>
      </c>
      <c r="BI6098" s="1" t="s">
        <v>57</v>
      </c>
      <c r="GD6098" s="1" t="s">
        <v>193</v>
      </c>
      <c r="GE6098" s="1" t="s">
        <v>190</v>
      </c>
    </row>
    <row r="6099" spans="1:187" ht="11.25" customHeight="1">
      <c r="A6099" s="1" t="s">
        <v>8594</v>
      </c>
      <c r="B6099" s="1" t="str">
        <f ca="1">IFERROR(__xludf.DUMMYFUNCTION("GOOGLETRANSLATE(A6099, ""en"", ""fr"")"),"SYMPATHIQUE")</f>
        <v>SYMPATHIQUE</v>
      </c>
      <c r="C6099" s="1" t="s">
        <v>192</v>
      </c>
      <c r="D6099" s="1" t="s">
        <v>16612</v>
      </c>
      <c r="U6099" s="1" t="s">
        <v>17</v>
      </c>
      <c r="CM6099" s="1" t="s">
        <v>87</v>
      </c>
      <c r="CR6099" s="1" t="s">
        <v>92</v>
      </c>
      <c r="DQ6099" s="1" t="s">
        <v>117</v>
      </c>
      <c r="GD6099" s="1" t="s">
        <v>202</v>
      </c>
      <c r="GE6099" s="1" t="s">
        <v>190</v>
      </c>
    </row>
    <row r="6100" spans="1:187" ht="11.25" customHeight="1">
      <c r="A6100" s="1" t="s">
        <v>8595</v>
      </c>
      <c r="B6100" s="1" t="str">
        <f ca="1">IFERROR(__xludf.DUMMYFUNCTION("GOOGLETRANSLATE(A6100, ""en"", ""fr"")"),"Comme n ° 1")</f>
        <v>Comme n ° 1</v>
      </c>
      <c r="C6100" s="1" t="s">
        <v>185</v>
      </c>
      <c r="DD6100" s="1" t="s">
        <v>104</v>
      </c>
      <c r="GD6100" s="1" t="s">
        <v>1628</v>
      </c>
      <c r="GE6100" s="1" t="s">
        <v>8596</v>
      </c>
    </row>
    <row r="6101" spans="1:187" ht="11.25" customHeight="1">
      <c r="A6101" s="1" t="s">
        <v>8597</v>
      </c>
      <c r="B6101" s="1" t="str">
        <f ca="1">IFERROR(__xludf.DUMMYFUNCTION("GOOGLETRANSLATE(A6101, ""en"", ""fr"")"),"Comme # 2")</f>
        <v>Comme # 2</v>
      </c>
      <c r="C6101" s="1" t="s">
        <v>185</v>
      </c>
      <c r="D6101" s="1" t="s">
        <v>16612</v>
      </c>
      <c r="F6101" s="1" t="s">
        <v>2</v>
      </c>
      <c r="G6101" s="1" t="s">
        <v>3</v>
      </c>
      <c r="O6101" s="1" t="s">
        <v>11</v>
      </c>
      <c r="S6101" s="1" t="s">
        <v>15</v>
      </c>
      <c r="DP6101" s="1" t="s">
        <v>116</v>
      </c>
      <c r="EO6101" s="1" t="s">
        <v>141</v>
      </c>
      <c r="ES6101" s="1" t="s">
        <v>145</v>
      </c>
      <c r="GD6101" s="1" t="s">
        <v>189</v>
      </c>
      <c r="GE6101" s="1" t="s">
        <v>8598</v>
      </c>
    </row>
    <row r="6102" spans="1:187" ht="11.25" customHeight="1">
      <c r="A6102" s="1" t="s">
        <v>8599</v>
      </c>
      <c r="B6102" s="1" t="str">
        <f ca="1">IFERROR(__xludf.DUMMYFUNCTION("GOOGLETRANSLATE(A6102, ""en"", ""fr"")"),"Comme # 3")</f>
        <v>Comme # 3</v>
      </c>
      <c r="C6102" s="1" t="s">
        <v>185</v>
      </c>
      <c r="D6102" s="1" t="s">
        <v>16612</v>
      </c>
      <c r="F6102" s="1" t="s">
        <v>2</v>
      </c>
      <c r="G6102" s="1" t="s">
        <v>3</v>
      </c>
      <c r="O6102" s="1" t="s">
        <v>11</v>
      </c>
      <c r="S6102" s="1" t="s">
        <v>15</v>
      </c>
      <c r="T6102" s="1" t="s">
        <v>16</v>
      </c>
      <c r="FX6102" s="1" t="s">
        <v>176</v>
      </c>
      <c r="GD6102" s="1" t="s">
        <v>193</v>
      </c>
      <c r="GE6102" s="1" t="s">
        <v>8600</v>
      </c>
    </row>
    <row r="6103" spans="1:187" ht="11.25" customHeight="1">
      <c r="A6103" s="1" t="s">
        <v>8601</v>
      </c>
      <c r="B6103" s="1" t="str">
        <f ca="1">IFERROR(__xludf.DUMMYFUNCTION("GOOGLETRANSLATE(A6103, ""en"", ""fr"")"),"PROBABILITÉ")</f>
        <v>PROBABILITÉ</v>
      </c>
      <c r="C6103" s="1" t="s">
        <v>185</v>
      </c>
      <c r="W6103" s="1" t="s">
        <v>19</v>
      </c>
      <c r="CI6103" s="1" t="s">
        <v>83</v>
      </c>
      <c r="GD6103" s="1" t="s">
        <v>236</v>
      </c>
      <c r="GE6103" s="1" t="s">
        <v>190</v>
      </c>
    </row>
    <row r="6104" spans="1:187" ht="11.25" customHeight="1">
      <c r="A6104" s="1" t="s">
        <v>8602</v>
      </c>
      <c r="B6104" s="1" t="str">
        <f ca="1">IFERROR(__xludf.DUMMYFUNCTION("GOOGLETRANSLATE(A6104, ""en"", ""fr"")"),"Probabilité")</f>
        <v>Probabilité</v>
      </c>
      <c r="C6104" s="1" t="s">
        <v>185</v>
      </c>
      <c r="W6104" s="1" t="s">
        <v>19</v>
      </c>
      <c r="CI6104" s="1" t="s">
        <v>83</v>
      </c>
      <c r="GD6104" s="1" t="s">
        <v>236</v>
      </c>
      <c r="GE6104" s="1" t="s">
        <v>190</v>
      </c>
    </row>
    <row r="6105" spans="1:187" ht="11.25" customHeight="1">
      <c r="A6105" s="1" t="s">
        <v>8603</v>
      </c>
      <c r="B6105" s="1" t="str">
        <f ca="1">IFERROR(__xludf.DUMMYFUNCTION("GOOGLETRANSLATE(A6105, ""en"", ""fr"")"),"Probablement # 1")</f>
        <v>Probablement # 1</v>
      </c>
      <c r="C6105" s="1" t="s">
        <v>185</v>
      </c>
      <c r="W6105" s="1" t="s">
        <v>19</v>
      </c>
      <c r="CI6105" s="1" t="s">
        <v>83</v>
      </c>
      <c r="FZ6105" s="1" t="s">
        <v>178</v>
      </c>
      <c r="GD6105" s="1" t="s">
        <v>236</v>
      </c>
      <c r="GE6105" s="1" t="s">
        <v>8604</v>
      </c>
    </row>
    <row r="6106" spans="1:187" ht="11.25" customHeight="1">
      <c r="A6106" s="1" t="s">
        <v>8605</v>
      </c>
      <c r="B6106" s="1" t="str">
        <f ca="1">IFERROR(__xludf.DUMMYFUNCTION("GOOGLETRANSLATE(A6106, ""en"", ""fr"")"),"Probablement # 2")</f>
        <v>Probablement # 2</v>
      </c>
      <c r="C6106" s="1" t="s">
        <v>185</v>
      </c>
      <c r="CI6106" s="1" t="s">
        <v>83</v>
      </c>
      <c r="FZ6106" s="1" t="s">
        <v>178</v>
      </c>
      <c r="GD6106" s="1" t="s">
        <v>202</v>
      </c>
      <c r="GE6106" s="1" t="s">
        <v>8606</v>
      </c>
    </row>
    <row r="6107" spans="1:187" ht="11.25" customHeight="1">
      <c r="A6107" s="1" t="s">
        <v>8607</v>
      </c>
      <c r="B6107" s="1" t="str">
        <f ca="1">IFERROR(__xludf.DUMMYFUNCTION("GOOGLETRANSLATE(A6107, ""en"", ""fr"")"),"DE MÊME")</f>
        <v>DE MÊME</v>
      </c>
      <c r="C6107" s="1" t="s">
        <v>185</v>
      </c>
      <c r="CH6107" s="1" t="s">
        <v>82</v>
      </c>
      <c r="GD6107" s="1" t="s">
        <v>763</v>
      </c>
      <c r="GE6107" s="1" t="s">
        <v>190</v>
      </c>
    </row>
    <row r="6108" spans="1:187" ht="11.25" customHeight="1">
      <c r="A6108" s="1" t="s">
        <v>8608</v>
      </c>
      <c r="B6108" s="1" t="str">
        <f ca="1">IFERROR(__xludf.DUMMYFUNCTION("GOOGLETRANSLATE(A6108, ""en"", ""fr"")"),"MEMBRE")</f>
        <v>MEMBRE</v>
      </c>
      <c r="C6108" s="1" t="s">
        <v>185</v>
      </c>
      <c r="BJ6108" s="1" t="s">
        <v>58</v>
      </c>
      <c r="GD6108" s="1" t="s">
        <v>193</v>
      </c>
      <c r="GE6108" s="1" t="s">
        <v>190</v>
      </c>
    </row>
    <row r="6109" spans="1:187" ht="11.25" customHeight="1">
      <c r="A6109" s="1" t="s">
        <v>8609</v>
      </c>
      <c r="B6109" s="1" t="str">
        <f ca="1">IFERROR(__xludf.DUMMYFUNCTION("GOOGLETRANSLATE(A6109, ""en"", ""fr"")"),"Limite n ° 1")</f>
        <v>Limite n ° 1</v>
      </c>
      <c r="C6109" s="1" t="s">
        <v>185</v>
      </c>
      <c r="CP6109" s="1" t="s">
        <v>90</v>
      </c>
      <c r="CQ6109" s="1" t="s">
        <v>91</v>
      </c>
      <c r="DA6109" s="1" t="s">
        <v>101</v>
      </c>
      <c r="GB6109" s="1" t="s">
        <v>180</v>
      </c>
      <c r="GD6109" s="1" t="s">
        <v>193</v>
      </c>
      <c r="GE6109" s="1" t="s">
        <v>8610</v>
      </c>
    </row>
    <row r="6110" spans="1:187" ht="11.25" customHeight="1">
      <c r="A6110" s="1" t="s">
        <v>8611</v>
      </c>
      <c r="B6110" s="1" t="str">
        <f ca="1">IFERROR(__xludf.DUMMYFUNCTION("GOOGLETRANSLATE(A6110, ""en"", ""fr"")"),"Limite n ° 2")</f>
        <v>Limite n ° 2</v>
      </c>
      <c r="C6110" s="1" t="s">
        <v>185</v>
      </c>
      <c r="E6110" s="1" t="s">
        <v>16613</v>
      </c>
      <c r="H6110" s="1" t="s">
        <v>4</v>
      </c>
      <c r="I6110" s="1" t="s">
        <v>5</v>
      </c>
      <c r="J6110" s="1" t="s">
        <v>6</v>
      </c>
      <c r="N6110" s="1" t="s">
        <v>10</v>
      </c>
      <c r="AN6110" s="1" t="s">
        <v>36</v>
      </c>
      <c r="DN6110" s="1" t="s">
        <v>114</v>
      </c>
      <c r="FO6110" s="1" t="s">
        <v>167</v>
      </c>
      <c r="GD6110" s="1" t="s">
        <v>189</v>
      </c>
      <c r="GE6110" s="1" t="s">
        <v>8612</v>
      </c>
    </row>
    <row r="6111" spans="1:187" ht="11.25" customHeight="1">
      <c r="A6111" s="1" t="s">
        <v>8613</v>
      </c>
      <c r="B6111" s="1" t="str">
        <f ca="1">IFERROR(__xludf.DUMMYFUNCTION("GOOGLETRANSLATE(A6111, ""en"", ""fr"")"),"Limite # 3")</f>
        <v>Limite # 3</v>
      </c>
      <c r="C6111" s="1" t="s">
        <v>185</v>
      </c>
      <c r="E6111" s="1" t="s">
        <v>16613</v>
      </c>
      <c r="H6111" s="1" t="s">
        <v>4</v>
      </c>
      <c r="L6111" s="1" t="s">
        <v>8</v>
      </c>
      <c r="O6111" s="1" t="s">
        <v>11</v>
      </c>
      <c r="X6111" s="1" t="s">
        <v>20</v>
      </c>
      <c r="DA6111" s="1" t="s">
        <v>101</v>
      </c>
      <c r="FO6111" s="1" t="s">
        <v>167</v>
      </c>
      <c r="GD6111" s="1" t="s">
        <v>202</v>
      </c>
      <c r="GE6111" s="1" t="s">
        <v>8614</v>
      </c>
    </row>
    <row r="6112" spans="1:187" ht="11.25" customHeight="1">
      <c r="A6112" s="1" t="s">
        <v>8615</v>
      </c>
      <c r="B6112" s="1" t="str">
        <f ca="1">IFERROR(__xludf.DUMMYFUNCTION("GOOGLETRANSLATE(A6112, ""en"", ""fr"")"),"Limite # 4")</f>
        <v>Limite # 4</v>
      </c>
      <c r="C6112" s="1" t="s">
        <v>185</v>
      </c>
      <c r="E6112" s="1" t="s">
        <v>16613</v>
      </c>
      <c r="H6112" s="1" t="s">
        <v>4</v>
      </c>
      <c r="K6112" s="1" t="s">
        <v>7</v>
      </c>
      <c r="N6112" s="1" t="s">
        <v>10</v>
      </c>
      <c r="V6112" s="1" t="s">
        <v>18</v>
      </c>
      <c r="FO6112" s="1" t="s">
        <v>167</v>
      </c>
      <c r="GD6112" s="1" t="s">
        <v>202</v>
      </c>
      <c r="GE6112" s="1" t="s">
        <v>8616</v>
      </c>
    </row>
    <row r="6113" spans="1:187" ht="11.25" customHeight="1">
      <c r="A6113" s="1" t="s">
        <v>8617</v>
      </c>
      <c r="B6113" s="1" t="str">
        <f ca="1">IFERROR(__xludf.DUMMYFUNCTION("GOOGLETRANSLATE(A6113, ""en"", ""fr"")"),"LIMITATION")</f>
        <v>LIMITATION</v>
      </c>
      <c r="C6113" s="1" t="s">
        <v>185</v>
      </c>
      <c r="E6113" s="1" t="s">
        <v>16613</v>
      </c>
      <c r="H6113" s="1" t="s">
        <v>4</v>
      </c>
      <c r="V6113" s="1" t="s">
        <v>18</v>
      </c>
      <c r="FH6113" s="1" t="s">
        <v>160</v>
      </c>
      <c r="FI6113" s="1" t="s">
        <v>161</v>
      </c>
      <c r="GD6113" s="1" t="s">
        <v>193</v>
      </c>
      <c r="GE6113" s="1" t="s">
        <v>190</v>
      </c>
    </row>
    <row r="6114" spans="1:187" ht="11.25" customHeight="1">
      <c r="A6114" s="1" t="s">
        <v>8618</v>
      </c>
      <c r="B6114" s="1" t="str">
        <f ca="1">IFERROR(__xludf.DUMMYFUNCTION("GOOGLETRANSLATE(A6114, ""en"", ""fr"")"),"ILLIMITÉ")</f>
        <v>ILLIMITÉ</v>
      </c>
      <c r="C6114" s="1" t="s">
        <v>185</v>
      </c>
      <c r="J6114" s="1" t="s">
        <v>6</v>
      </c>
      <c r="W6114" s="1" t="s">
        <v>19</v>
      </c>
      <c r="DA6114" s="1" t="s">
        <v>101</v>
      </c>
      <c r="GB6114" s="1" t="s">
        <v>180</v>
      </c>
      <c r="GD6114" s="1" t="s">
        <v>202</v>
      </c>
      <c r="GE6114" s="1" t="s">
        <v>190</v>
      </c>
    </row>
    <row r="6115" spans="1:187" ht="11.25" customHeight="1">
      <c r="A6115" s="1" t="s">
        <v>8619</v>
      </c>
      <c r="B6115" s="1" t="str">
        <f ca="1">IFERROR(__xludf.DUMMYFUNCTION("GOOGLETRANSLATE(A6115, ""en"", ""fr"")"),"LIMOUSINE")</f>
        <v>LIMOUSINE</v>
      </c>
      <c r="C6115" s="1" t="s">
        <v>185</v>
      </c>
      <c r="BC6115" s="1" t="s">
        <v>51</v>
      </c>
      <c r="BF6115" s="1" t="s">
        <v>54</v>
      </c>
      <c r="EM6115" s="1" t="s">
        <v>139</v>
      </c>
      <c r="EN6115" s="1" t="s">
        <v>140</v>
      </c>
      <c r="GD6115" s="1" t="s">
        <v>193</v>
      </c>
      <c r="GE6115" s="1" t="s">
        <v>190</v>
      </c>
    </row>
    <row r="6116" spans="1:187" ht="11.25" customHeight="1">
      <c r="A6116" s="1" t="s">
        <v>8620</v>
      </c>
      <c r="B6116" s="1" t="str">
        <f ca="1">IFERROR(__xludf.DUMMYFUNCTION("GOOGLETRANSLATE(A6116, ""en"", ""fr"")"),"MOUS")</f>
        <v>MOUS</v>
      </c>
      <c r="C6116" s="1" t="s">
        <v>192</v>
      </c>
      <c r="E6116" s="1" t="s">
        <v>16613</v>
      </c>
      <c r="L6116" s="1" t="s">
        <v>8</v>
      </c>
      <c r="DR6116" s="1" t="s">
        <v>118</v>
      </c>
      <c r="GD6116" s="1" t="s">
        <v>202</v>
      </c>
      <c r="GE6116" s="1" t="s">
        <v>190</v>
      </c>
    </row>
    <row r="6117" spans="1:187" ht="11.25" customHeight="1">
      <c r="A6117" s="1" t="s">
        <v>8621</v>
      </c>
      <c r="B6117" s="1" t="str">
        <f ca="1">IFERROR(__xludf.DUMMYFUNCTION("GOOGLETRANSLATE(A6117, ""en"", ""fr"")"),"LIGNE 1")</f>
        <v>LIGNE 1</v>
      </c>
      <c r="C6117" s="1" t="s">
        <v>185</v>
      </c>
      <c r="DA6117" s="1" t="s">
        <v>101</v>
      </c>
      <c r="GD6117" s="1" t="s">
        <v>849</v>
      </c>
      <c r="GE6117" s="1" t="s">
        <v>8622</v>
      </c>
    </row>
    <row r="6118" spans="1:187" ht="11.25" customHeight="1">
      <c r="A6118" s="1" t="s">
        <v>8623</v>
      </c>
      <c r="B6118" s="1" t="str">
        <f ca="1">IFERROR(__xludf.DUMMYFUNCTION("GOOGLETRANSLATE(A6118, ""en"", ""fr"")"),"LIGNE 2")</f>
        <v>LIGNE 2</v>
      </c>
      <c r="C6118" s="1" t="s">
        <v>185</v>
      </c>
      <c r="AL6118" s="1" t="s">
        <v>34</v>
      </c>
      <c r="DN6118" s="1" t="s">
        <v>114</v>
      </c>
      <c r="FP6118" s="1" t="s">
        <v>168</v>
      </c>
      <c r="GD6118" s="1" t="s">
        <v>189</v>
      </c>
      <c r="GE6118" s="1" t="s">
        <v>8624</v>
      </c>
    </row>
    <row r="6119" spans="1:187" ht="11.25" customHeight="1">
      <c r="A6119" s="1" t="s">
        <v>8625</v>
      </c>
      <c r="B6119" s="1" t="str">
        <f ca="1">IFERROR(__xludf.DUMMYFUNCTION("GOOGLETRANSLATE(A6119, ""en"", ""fr"")"),"Ligne n ° 3")</f>
        <v>Ligne n ° 3</v>
      </c>
      <c r="C6119" s="1" t="s">
        <v>185</v>
      </c>
      <c r="GD6119" s="1" t="s">
        <v>225</v>
      </c>
      <c r="GE6119" s="1" t="s">
        <v>8626</v>
      </c>
    </row>
    <row r="6120" spans="1:187" ht="11.25" customHeight="1">
      <c r="A6120" s="1" t="s">
        <v>8627</v>
      </c>
      <c r="B6120" s="1" t="str">
        <f ca="1">IFERROR(__xludf.DUMMYFUNCTION("GOOGLETRANSLATE(A6120, ""en"", ""fr"")"),"Linguiste")</f>
        <v>Linguiste</v>
      </c>
      <c r="C6120" s="1" t="s">
        <v>185</v>
      </c>
      <c r="Y6120" s="1" t="s">
        <v>21</v>
      </c>
      <c r="AJ6120" s="1" t="s">
        <v>32</v>
      </c>
      <c r="AT6120" s="1" t="s">
        <v>42</v>
      </c>
      <c r="FG6120" s="1" t="s">
        <v>159</v>
      </c>
      <c r="FI6120" s="1" t="s">
        <v>161</v>
      </c>
      <c r="GD6120" s="1" t="s">
        <v>193</v>
      </c>
      <c r="GE6120" s="1" t="s">
        <v>190</v>
      </c>
    </row>
    <row r="6121" spans="1:187" ht="11.25" customHeight="1">
      <c r="A6121" s="1" t="s">
        <v>8628</v>
      </c>
      <c r="B6121" s="1" t="str">
        <f ca="1">IFERROR(__xludf.DUMMYFUNCTION("GOOGLETRANSLATE(A6121, ""en"", ""fr"")"),"Lien n ° 1")</f>
        <v>Lien n ° 1</v>
      </c>
      <c r="C6121" s="1" t="s">
        <v>185</v>
      </c>
      <c r="BC6121" s="1" t="s">
        <v>51</v>
      </c>
      <c r="BD6121" s="1" t="s">
        <v>52</v>
      </c>
      <c r="GD6121" s="1" t="s">
        <v>193</v>
      </c>
      <c r="GE6121" s="1" t="s">
        <v>190</v>
      </c>
    </row>
    <row r="6122" spans="1:187" ht="11.25" customHeight="1">
      <c r="A6122" s="1" t="s">
        <v>8629</v>
      </c>
      <c r="B6122" s="1" t="str">
        <f ca="1">IFERROR(__xludf.DUMMYFUNCTION("GOOGLETRANSLATE(A6122, ""en"", ""fr"")"),"Lien n ° 2")</f>
        <v>Lien n ° 2</v>
      </c>
      <c r="C6122" s="1" t="s">
        <v>185</v>
      </c>
      <c r="N6122" s="1" t="s">
        <v>10</v>
      </c>
      <c r="DA6122" s="1" t="s">
        <v>101</v>
      </c>
      <c r="DN6122" s="1" t="s">
        <v>114</v>
      </c>
      <c r="FP6122" s="1" t="s">
        <v>168</v>
      </c>
      <c r="GD6122" s="1" t="s">
        <v>189</v>
      </c>
      <c r="GE6122" s="1" t="s">
        <v>190</v>
      </c>
    </row>
    <row r="6123" spans="1:187" ht="11.25" customHeight="1">
      <c r="A6123" s="1" t="s">
        <v>8630</v>
      </c>
      <c r="B6123" s="1" t="str">
        <f ca="1">IFERROR(__xludf.DUMMYFUNCTION("GOOGLETRANSLATE(A6123, ""en"", ""fr"")"),"LION")</f>
        <v>LION</v>
      </c>
      <c r="C6123" s="1" t="s">
        <v>185</v>
      </c>
      <c r="J6123" s="1" t="s">
        <v>6</v>
      </c>
      <c r="AQ6123" s="1" t="s">
        <v>39</v>
      </c>
      <c r="AU6123" s="1" t="s">
        <v>43</v>
      </c>
      <c r="GD6123" s="1" t="s">
        <v>193</v>
      </c>
      <c r="GE6123" s="1" t="s">
        <v>8631</v>
      </c>
    </row>
    <row r="6124" spans="1:187" ht="11.25" customHeight="1">
      <c r="A6124" s="1" t="s">
        <v>8632</v>
      </c>
      <c r="B6124" s="1" t="str">
        <f ca="1">IFERROR(__xludf.DUMMYFUNCTION("GOOGLETRANSLATE(A6124, ""en"", ""fr"")"),"LIONNE")</f>
        <v>LIONNE</v>
      </c>
      <c r="C6124" s="1" t="s">
        <v>185</v>
      </c>
      <c r="J6124" s="1" t="s">
        <v>6</v>
      </c>
      <c r="AR6124" s="1" t="s">
        <v>40</v>
      </c>
      <c r="AU6124" s="1" t="s">
        <v>43</v>
      </c>
      <c r="GD6124" s="1" t="s">
        <v>193</v>
      </c>
      <c r="GE6124" s="1" t="s">
        <v>190</v>
      </c>
    </row>
    <row r="6125" spans="1:187" ht="11.25" customHeight="1">
      <c r="A6125" s="1" t="s">
        <v>8633</v>
      </c>
      <c r="B6125" s="1" t="str">
        <f ca="1">IFERROR(__xludf.DUMMYFUNCTION("GOOGLETRANSLATE(A6125, ""en"", ""fr"")"),"LÈVRE")</f>
        <v>LÈVRE</v>
      </c>
      <c r="C6125" s="1" t="s">
        <v>185</v>
      </c>
      <c r="BJ6125" s="1" t="s">
        <v>58</v>
      </c>
      <c r="EZ6125" s="1" t="s">
        <v>152</v>
      </c>
      <c r="FC6125" s="1" t="s">
        <v>155</v>
      </c>
      <c r="GD6125" s="1" t="s">
        <v>193</v>
      </c>
      <c r="GE6125" s="1" t="s">
        <v>190</v>
      </c>
    </row>
    <row r="6126" spans="1:187" ht="11.25" customHeight="1">
      <c r="A6126" s="1" t="s">
        <v>8634</v>
      </c>
      <c r="B6126" s="1" t="str">
        <f ca="1">IFERROR(__xludf.DUMMYFUNCTION("GOOGLETRANSLATE(A6126, ""en"", ""fr"")"),"LIQUIDE")</f>
        <v>LIQUIDE</v>
      </c>
      <c r="C6126" s="1" t="s">
        <v>185</v>
      </c>
      <c r="BC6126" s="1" t="s">
        <v>51</v>
      </c>
      <c r="BD6126" s="1" t="s">
        <v>52</v>
      </c>
      <c r="GD6126" s="1" t="s">
        <v>193</v>
      </c>
      <c r="GE6126" s="1" t="s">
        <v>190</v>
      </c>
    </row>
    <row r="6127" spans="1:187" ht="11.25" customHeight="1">
      <c r="A6127" s="1" t="s">
        <v>8635</v>
      </c>
      <c r="B6127" s="1" t="str">
        <f ca="1">IFERROR(__xludf.DUMMYFUNCTION("GOOGLETRANSLATE(A6127, ""en"", ""fr"")"),"LIQUIDER")</f>
        <v>LIQUIDER</v>
      </c>
      <c r="C6127" s="1" t="s">
        <v>185</v>
      </c>
      <c r="E6127" s="1" t="s">
        <v>16613</v>
      </c>
      <c r="H6127" s="1" t="s">
        <v>4</v>
      </c>
      <c r="I6127" s="1" t="s">
        <v>5</v>
      </c>
      <c r="J6127" s="1" t="s">
        <v>6</v>
      </c>
      <c r="N6127" s="1" t="s">
        <v>10</v>
      </c>
      <c r="AA6127" s="1" t="s">
        <v>23</v>
      </c>
      <c r="AN6127" s="1" t="s">
        <v>36</v>
      </c>
      <c r="DN6127" s="1" t="s">
        <v>114</v>
      </c>
      <c r="FO6127" s="1" t="s">
        <v>167</v>
      </c>
      <c r="GD6127" s="1" t="s">
        <v>189</v>
      </c>
      <c r="GE6127" s="1" t="s">
        <v>190</v>
      </c>
    </row>
    <row r="6128" spans="1:187" ht="11.25" customHeight="1">
      <c r="A6128" s="1" t="s">
        <v>8636</v>
      </c>
      <c r="B6128" s="1" t="str">
        <f ca="1">IFERROR(__xludf.DUMMYFUNCTION("GOOGLETRANSLATE(A6128, ""en"", ""fr"")"),"LIQUIDATION")</f>
        <v>LIQUIDATION</v>
      </c>
      <c r="C6128" s="1" t="s">
        <v>185</v>
      </c>
      <c r="E6128" s="1" t="s">
        <v>16613</v>
      </c>
      <c r="H6128" s="1" t="s">
        <v>4</v>
      </c>
      <c r="I6128" s="1" t="s">
        <v>5</v>
      </c>
      <c r="J6128" s="1" t="s">
        <v>6</v>
      </c>
      <c r="N6128" s="1" t="s">
        <v>10</v>
      </c>
      <c r="V6128" s="1" t="s">
        <v>18</v>
      </c>
      <c r="AA6128" s="1" t="s">
        <v>23</v>
      </c>
      <c r="AC6128" s="1" t="s">
        <v>25</v>
      </c>
      <c r="FO6128" s="1" t="s">
        <v>167</v>
      </c>
      <c r="GD6128" s="1" t="s">
        <v>193</v>
      </c>
      <c r="GE6128" s="1" t="s">
        <v>190</v>
      </c>
    </row>
    <row r="6129" spans="1:187" ht="11.25" customHeight="1">
      <c r="A6129" s="1" t="s">
        <v>8637</v>
      </c>
      <c r="B6129" s="1" t="str">
        <f ca="1">IFERROR(__xludf.DUMMYFUNCTION("GOOGLETRANSLATE(A6129, ""en"", ""fr"")"),"ALCOOL")</f>
        <v>ALCOOL</v>
      </c>
      <c r="C6129" s="1" t="s">
        <v>185</v>
      </c>
      <c r="BC6129" s="1" t="s">
        <v>51</v>
      </c>
      <c r="BE6129" s="1" t="s">
        <v>53</v>
      </c>
      <c r="EZ6129" s="1" t="s">
        <v>152</v>
      </c>
      <c r="FC6129" s="1" t="s">
        <v>155</v>
      </c>
      <c r="GD6129" s="1" t="s">
        <v>193</v>
      </c>
      <c r="GE6129" s="1" t="s">
        <v>190</v>
      </c>
    </row>
    <row r="6130" spans="1:187" ht="11.25" customHeight="1">
      <c r="A6130" s="1" t="s">
        <v>8638</v>
      </c>
      <c r="B6130" s="1" t="str">
        <f ca="1">IFERROR(__xludf.DUMMYFUNCTION("GOOGLETRANSLATE(A6130, ""en"", ""fr"")"),"Liste n ° 1")</f>
        <v>Liste n ° 1</v>
      </c>
      <c r="C6130" s="1" t="s">
        <v>185</v>
      </c>
      <c r="BC6130" s="1" t="s">
        <v>51</v>
      </c>
      <c r="BH6130" s="1" t="s">
        <v>56</v>
      </c>
      <c r="BL6130" s="1" t="s">
        <v>60</v>
      </c>
      <c r="FH6130" s="1" t="s">
        <v>160</v>
      </c>
      <c r="FI6130" s="1" t="s">
        <v>161</v>
      </c>
      <c r="GD6130" s="1" t="s">
        <v>193</v>
      </c>
      <c r="GE6130" s="1" t="s">
        <v>190</v>
      </c>
    </row>
    <row r="6131" spans="1:187" ht="11.25" customHeight="1">
      <c r="A6131" s="1" t="s">
        <v>8639</v>
      </c>
      <c r="B6131" s="1" t="str">
        <f ca="1">IFERROR(__xludf.DUMMYFUNCTION("GOOGLETRANSLATE(A6131, ""en"", ""fr"")"),"Liste n ° 2")</f>
        <v>Liste n ° 2</v>
      </c>
      <c r="C6131" s="1" t="s">
        <v>185</v>
      </c>
      <c r="BK6131" s="1" t="s">
        <v>59</v>
      </c>
      <c r="DO6131" s="1" t="s">
        <v>115</v>
      </c>
      <c r="FP6131" s="1" t="s">
        <v>168</v>
      </c>
      <c r="GD6131" s="1" t="s">
        <v>189</v>
      </c>
      <c r="GE6131" s="1" t="s">
        <v>190</v>
      </c>
    </row>
    <row r="6132" spans="1:187" ht="11.25" customHeight="1">
      <c r="A6132" s="1" t="s">
        <v>8640</v>
      </c>
      <c r="B6132" s="1" t="str">
        <f ca="1">IFERROR(__xludf.DUMMYFUNCTION("GOOGLETRANSLATE(A6132, ""en"", ""fr"")"),"ÉCOUTER")</f>
        <v>ÉCOUTER</v>
      </c>
      <c r="C6132" s="1" t="s">
        <v>185</v>
      </c>
      <c r="O6132" s="1" t="s">
        <v>11</v>
      </c>
      <c r="BK6132" s="1" t="s">
        <v>59</v>
      </c>
      <c r="DO6132" s="1" t="s">
        <v>115</v>
      </c>
      <c r="FH6132" s="1" t="s">
        <v>160</v>
      </c>
      <c r="FI6132" s="1" t="s">
        <v>161</v>
      </c>
      <c r="GD6132" s="1" t="s">
        <v>189</v>
      </c>
      <c r="GE6132" s="1" t="s">
        <v>8641</v>
      </c>
    </row>
    <row r="6133" spans="1:187" ht="11.25" customHeight="1">
      <c r="A6133" s="1" t="s">
        <v>8642</v>
      </c>
      <c r="B6133" s="1" t="str">
        <f ca="1">IFERROR(__xludf.DUMMYFUNCTION("GOOGLETRANSLATE(A6133, ""en"", ""fr"")"),"AUDITEUR")</f>
        <v>AUDITEUR</v>
      </c>
      <c r="C6133" s="1" t="s">
        <v>185</v>
      </c>
      <c r="O6133" s="1" t="s">
        <v>11</v>
      </c>
      <c r="AJ6133" s="1" t="s">
        <v>32</v>
      </c>
      <c r="AT6133" s="1" t="s">
        <v>42</v>
      </c>
      <c r="GD6133" s="1" t="s">
        <v>193</v>
      </c>
      <c r="GE6133" s="1" t="s">
        <v>190</v>
      </c>
    </row>
    <row r="6134" spans="1:187" ht="11.25" customHeight="1">
      <c r="A6134" s="1" t="s">
        <v>8643</v>
      </c>
      <c r="B6134" s="1" t="str">
        <f ca="1">IFERROR(__xludf.DUMMYFUNCTION("GOOGLETRANSLATE(A6134, ""en"", ""fr"")"),"Éclairé")</f>
        <v>Éclairé</v>
      </c>
      <c r="C6134" s="1" t="s">
        <v>185</v>
      </c>
      <c r="N6134" s="1" t="s">
        <v>10</v>
      </c>
      <c r="CC6134" s="1" t="s">
        <v>77</v>
      </c>
      <c r="DP6134" s="1" t="s">
        <v>116</v>
      </c>
      <c r="FP6134" s="1" t="s">
        <v>168</v>
      </c>
      <c r="GD6134" s="1" t="s">
        <v>1076</v>
      </c>
      <c r="GE6134" s="1" t="s">
        <v>190</v>
      </c>
    </row>
    <row r="6135" spans="1:187" ht="11.25" customHeight="1">
      <c r="A6135" s="1" t="s">
        <v>8644</v>
      </c>
      <c r="B6135" s="1" t="str">
        <f ca="1">IFERROR(__xludf.DUMMYFUNCTION("GOOGLETRANSLATE(A6135, ""en"", ""fr"")"),"LITTÉRAL")</f>
        <v>LITTÉRAL</v>
      </c>
      <c r="C6135" s="1" t="s">
        <v>185</v>
      </c>
      <c r="CH6135" s="1" t="s">
        <v>82</v>
      </c>
      <c r="GC6135" s="1" t="s">
        <v>181</v>
      </c>
      <c r="GD6135" s="1" t="s">
        <v>202</v>
      </c>
      <c r="GE6135" s="1" t="s">
        <v>190</v>
      </c>
    </row>
    <row r="6136" spans="1:187" ht="11.25" customHeight="1">
      <c r="A6136" s="1" t="s">
        <v>8645</v>
      </c>
      <c r="B6136" s="1" t="str">
        <f ca="1">IFERROR(__xludf.DUMMYFUNCTION("GOOGLETRANSLATE(A6136, ""en"", ""fr"")"),"LITTÉRALEMENT")</f>
        <v>LITTÉRALEMENT</v>
      </c>
      <c r="C6136" s="1" t="s">
        <v>185</v>
      </c>
      <c r="W6136" s="1" t="s">
        <v>19</v>
      </c>
      <c r="CH6136" s="1" t="s">
        <v>82</v>
      </c>
      <c r="GD6136" s="1" t="s">
        <v>236</v>
      </c>
      <c r="GE6136" s="1" t="s">
        <v>190</v>
      </c>
    </row>
    <row r="6137" spans="1:187" ht="11.25" customHeight="1">
      <c r="A6137" s="1" t="s">
        <v>8646</v>
      </c>
      <c r="B6137" s="1" t="str">
        <f ca="1">IFERROR(__xludf.DUMMYFUNCTION("GOOGLETRANSLATE(A6137, ""en"", ""fr"")"),"Littéralité")</f>
        <v>Littéralité</v>
      </c>
      <c r="C6137" s="1" t="s">
        <v>185</v>
      </c>
      <c r="Y6137" s="1" t="s">
        <v>21</v>
      </c>
      <c r="Z6137" s="1" t="s">
        <v>22</v>
      </c>
      <c r="GD6137" s="1" t="s">
        <v>193</v>
      </c>
      <c r="GE6137" s="1" t="s">
        <v>190</v>
      </c>
    </row>
    <row r="6138" spans="1:187" ht="11.25" customHeight="1">
      <c r="A6138" s="1" t="s">
        <v>8647</v>
      </c>
      <c r="B6138" s="1" t="str">
        <f ca="1">IFERROR(__xludf.DUMMYFUNCTION("GOOGLETRANSLATE(A6138, ""en"", ""fr"")"),"LITTÉRAIRE")</f>
        <v>LITTÉRAIRE</v>
      </c>
      <c r="C6138" s="1" t="s">
        <v>185</v>
      </c>
      <c r="Y6138" s="1" t="s">
        <v>21</v>
      </c>
      <c r="AD6138" s="1" t="s">
        <v>26</v>
      </c>
      <c r="BK6138" s="1" t="s">
        <v>59</v>
      </c>
      <c r="FJ6138" s="1" t="s">
        <v>162</v>
      </c>
      <c r="FM6138" s="1" t="s">
        <v>418</v>
      </c>
      <c r="GD6138" s="1" t="s">
        <v>202</v>
      </c>
      <c r="GE6138" s="1" t="s">
        <v>190</v>
      </c>
    </row>
    <row r="6139" spans="1:187" ht="11.25" customHeight="1">
      <c r="A6139" s="1" t="s">
        <v>8648</v>
      </c>
      <c r="B6139" s="1" t="str">
        <f ca="1">IFERROR(__xludf.DUMMYFUNCTION("GOOGLETRANSLATE(A6139, ""en"", ""fr"")"),"LITTÉRATURE")</f>
        <v>LITTÉRATURE</v>
      </c>
      <c r="C6139" s="1" t="s">
        <v>185</v>
      </c>
      <c r="Y6139" s="1" t="s">
        <v>21</v>
      </c>
      <c r="AD6139" s="1" t="s">
        <v>26</v>
      </c>
      <c r="BK6139" s="1" t="s">
        <v>59</v>
      </c>
      <c r="BL6139" s="1" t="s">
        <v>60</v>
      </c>
      <c r="FJ6139" s="1" t="s">
        <v>162</v>
      </c>
      <c r="FM6139" s="1" t="s">
        <v>418</v>
      </c>
      <c r="GC6139" s="1" t="s">
        <v>181</v>
      </c>
      <c r="GD6139" s="1" t="s">
        <v>193</v>
      </c>
      <c r="GE6139" s="1" t="s">
        <v>190</v>
      </c>
    </row>
    <row r="6140" spans="1:187" ht="11.25" customHeight="1">
      <c r="A6140" s="1" t="s">
        <v>8649</v>
      </c>
      <c r="B6140" s="1" t="str">
        <f ca="1">IFERROR(__xludf.DUMMYFUNCTION("GOOGLETRANSLATE(A6140, ""en"", ""fr"")"),"PLAIDEUR")</f>
        <v>PLAIDEUR</v>
      </c>
      <c r="C6140" s="1" t="s">
        <v>185</v>
      </c>
      <c r="I6140" s="1" t="s">
        <v>5</v>
      </c>
      <c r="AE6140" s="1" t="s">
        <v>27</v>
      </c>
      <c r="AJ6140" s="1" t="s">
        <v>32</v>
      </c>
      <c r="AT6140" s="1" t="s">
        <v>42</v>
      </c>
      <c r="DZ6140" s="1" t="s">
        <v>126</v>
      </c>
      <c r="ED6140" s="1" t="s">
        <v>130</v>
      </c>
      <c r="GD6140" s="1" t="s">
        <v>193</v>
      </c>
      <c r="GE6140" s="1" t="s">
        <v>190</v>
      </c>
    </row>
    <row r="6141" spans="1:187" ht="11.25" customHeight="1">
      <c r="A6141" s="1" t="s">
        <v>8650</v>
      </c>
      <c r="B6141" s="1" t="str">
        <f ca="1">IFERROR(__xludf.DUMMYFUNCTION("GOOGLETRANSLATE(A6141, ""en"", ""fr"")"),"LITIGE")</f>
        <v>LITIGE</v>
      </c>
      <c r="C6141" s="1" t="s">
        <v>185</v>
      </c>
      <c r="I6141" s="1" t="s">
        <v>5</v>
      </c>
      <c r="Z6141" s="1" t="s">
        <v>22</v>
      </c>
      <c r="AC6141" s="1" t="s">
        <v>25</v>
      </c>
      <c r="AE6141" s="1" t="s">
        <v>27</v>
      </c>
      <c r="AH6141" s="1" t="s">
        <v>30</v>
      </c>
      <c r="DW6141" s="1" t="s">
        <v>123</v>
      </c>
      <c r="ED6141" s="1" t="s">
        <v>130</v>
      </c>
      <c r="GD6141" s="1" t="s">
        <v>193</v>
      </c>
      <c r="GE6141" s="1" t="s">
        <v>190</v>
      </c>
    </row>
    <row r="6142" spans="1:187" ht="11.25" customHeight="1">
      <c r="A6142" s="1" t="s">
        <v>8651</v>
      </c>
      <c r="B6142" s="1" t="str">
        <f ca="1">IFERROR(__xludf.DUMMYFUNCTION("GOOGLETRANSLATE(A6142, ""en"", ""fr"")"),"LITIÈRE")</f>
        <v>LITIÈRE</v>
      </c>
      <c r="C6142" s="1" t="s">
        <v>185</v>
      </c>
      <c r="E6142" s="1" t="s">
        <v>16613</v>
      </c>
      <c r="H6142" s="1" t="s">
        <v>4</v>
      </c>
      <c r="V6142" s="1" t="s">
        <v>18</v>
      </c>
      <c r="GD6142" s="1" t="s">
        <v>193</v>
      </c>
      <c r="GE6142" s="1" t="s">
        <v>190</v>
      </c>
    </row>
    <row r="6143" spans="1:187" ht="11.25" customHeight="1">
      <c r="A6143" s="1" t="s">
        <v>8652</v>
      </c>
      <c r="B6143" s="1" t="str">
        <f ca="1">IFERROR(__xludf.DUMMYFUNCTION("GOOGLETRANSLATE(A6143, ""en"", ""fr"")"),"PETIT")</f>
        <v>PETIT</v>
      </c>
      <c r="C6143" s="1" t="s">
        <v>185</v>
      </c>
      <c r="L6143" s="1" t="s">
        <v>8</v>
      </c>
      <c r="X6143" s="1" t="s">
        <v>20</v>
      </c>
      <c r="CS6143" s="1" t="s">
        <v>93</v>
      </c>
      <c r="DC6143" s="1" t="s">
        <v>103</v>
      </c>
      <c r="GD6143" s="1" t="s">
        <v>202</v>
      </c>
      <c r="GE6143" s="1" t="s">
        <v>8653</v>
      </c>
    </row>
    <row r="6144" spans="1:187" ht="11.25" customHeight="1">
      <c r="A6144" s="1" t="s">
        <v>8654</v>
      </c>
      <c r="B6144" s="1" t="str">
        <f ca="1">IFERROR(__xludf.DUMMYFUNCTION("GOOGLETRANSLATE(A6144, ""en"", ""fr"")"),"Live # 1")</f>
        <v>Live # 1</v>
      </c>
      <c r="C6144" s="1" t="s">
        <v>185</v>
      </c>
      <c r="J6144" s="1" t="s">
        <v>6</v>
      </c>
      <c r="BU6144" s="1" t="s">
        <v>69</v>
      </c>
      <c r="DP6144" s="1" t="s">
        <v>116</v>
      </c>
      <c r="EZ6144" s="1" t="s">
        <v>152</v>
      </c>
      <c r="FC6144" s="1" t="s">
        <v>155</v>
      </c>
      <c r="GD6144" s="1" t="s">
        <v>189</v>
      </c>
      <c r="GE6144" s="1" t="s">
        <v>8655</v>
      </c>
    </row>
    <row r="6145" spans="1:187" ht="11.25" customHeight="1">
      <c r="A6145" s="1" t="s">
        <v>8656</v>
      </c>
      <c r="B6145" s="1" t="str">
        <f ca="1">IFERROR(__xludf.DUMMYFUNCTION("GOOGLETRANSLATE(A6145, ""en"", ""fr"")"),"Live # 2")</f>
        <v>Live # 2</v>
      </c>
      <c r="C6145" s="1" t="s">
        <v>185</v>
      </c>
      <c r="AA6145" s="1" t="s">
        <v>23</v>
      </c>
      <c r="AC6145" s="1" t="s">
        <v>25</v>
      </c>
      <c r="BQ6145" s="1" t="s">
        <v>65</v>
      </c>
      <c r="EZ6145" s="1" t="s">
        <v>152</v>
      </c>
      <c r="FC6145" s="1" t="s">
        <v>155</v>
      </c>
      <c r="GD6145" s="1" t="s">
        <v>193</v>
      </c>
      <c r="GE6145" s="1" t="s">
        <v>8657</v>
      </c>
    </row>
    <row r="6146" spans="1:187" ht="11.25" customHeight="1">
      <c r="A6146" s="1" t="s">
        <v>8658</v>
      </c>
      <c r="B6146" s="1" t="str">
        <f ca="1">IFERROR(__xludf.DUMMYFUNCTION("GOOGLETRANSLATE(A6146, ""en"", ""fr"")"),"Live # 3")</f>
        <v>Live # 3</v>
      </c>
      <c r="C6146" s="1" t="s">
        <v>185</v>
      </c>
      <c r="J6146" s="1" t="s">
        <v>6</v>
      </c>
      <c r="BU6146" s="1" t="s">
        <v>69</v>
      </c>
      <c r="EZ6146" s="1" t="s">
        <v>152</v>
      </c>
      <c r="FC6146" s="1" t="s">
        <v>155</v>
      </c>
      <c r="GD6146" s="1" t="s">
        <v>202</v>
      </c>
      <c r="GE6146" s="1" t="s">
        <v>8659</v>
      </c>
    </row>
    <row r="6147" spans="1:187" ht="11.25" customHeight="1">
      <c r="A6147" s="1" t="s">
        <v>8660</v>
      </c>
      <c r="B6147" s="1" t="str">
        <f ca="1">IFERROR(__xludf.DUMMYFUNCTION("GOOGLETRANSLATE(A6147, ""en"", ""fr"")"),"Live # 4")</f>
        <v>Live # 4</v>
      </c>
      <c r="C6147" s="1" t="s">
        <v>185</v>
      </c>
      <c r="BQ6147" s="1" t="s">
        <v>65</v>
      </c>
      <c r="GD6147" s="1" t="s">
        <v>202</v>
      </c>
      <c r="GE6147" s="1" t="s">
        <v>8661</v>
      </c>
    </row>
    <row r="6148" spans="1:187" ht="11.25" customHeight="1">
      <c r="A6148" s="1" t="s">
        <v>8662</v>
      </c>
      <c r="B6148" s="1" t="str">
        <f ca="1">IFERROR(__xludf.DUMMYFUNCTION("GOOGLETRANSLATE(A6148, ""en"", ""fr"")"),"Live # 5")</f>
        <v>Live # 5</v>
      </c>
      <c r="C6148" s="1" t="s">
        <v>185</v>
      </c>
      <c r="BU6148" s="1" t="s">
        <v>69</v>
      </c>
      <c r="EZ6148" s="1" t="s">
        <v>152</v>
      </c>
      <c r="FC6148" s="1" t="s">
        <v>155</v>
      </c>
      <c r="GD6148" s="1" t="s">
        <v>193</v>
      </c>
      <c r="GE6148" s="1" t="s">
        <v>8663</v>
      </c>
    </row>
    <row r="6149" spans="1:187" ht="11.25" customHeight="1">
      <c r="A6149" s="1" t="s">
        <v>8664</v>
      </c>
      <c r="B6149" s="1" t="str">
        <f ca="1">IFERROR(__xludf.DUMMYFUNCTION("GOOGLETRANSLATE(A6149, ""en"", ""fr"")"),"Live # 6")</f>
        <v>Live # 6</v>
      </c>
      <c r="C6149" s="1" t="s">
        <v>185</v>
      </c>
      <c r="D6149" s="1" t="s">
        <v>16612</v>
      </c>
      <c r="F6149" s="1" t="s">
        <v>2</v>
      </c>
      <c r="J6149" s="1" t="s">
        <v>6</v>
      </c>
      <c r="BS6149" s="1" t="s">
        <v>67</v>
      </c>
      <c r="DN6149" s="1" t="s">
        <v>114</v>
      </c>
      <c r="EK6149" s="1" t="s">
        <v>137</v>
      </c>
      <c r="EN6149" s="1" t="s">
        <v>140</v>
      </c>
      <c r="GD6149" s="1" t="s">
        <v>189</v>
      </c>
      <c r="GE6149" s="1" t="s">
        <v>8665</v>
      </c>
    </row>
    <row r="6150" spans="1:187" ht="11.25" customHeight="1">
      <c r="A6150" s="1" t="s">
        <v>8666</v>
      </c>
      <c r="B6150" s="1" t="str">
        <f ca="1">IFERROR(__xludf.DUMMYFUNCTION("GOOGLETRANSLATE(A6150, ""en"", ""fr"")"),"Moyen de subsistance")</f>
        <v>Moyen de subsistance</v>
      </c>
      <c r="C6150" s="1" t="s">
        <v>185</v>
      </c>
      <c r="AA6150" s="1" t="s">
        <v>23</v>
      </c>
      <c r="AC6150" s="1" t="s">
        <v>25</v>
      </c>
      <c r="BQ6150" s="1" t="s">
        <v>65</v>
      </c>
      <c r="EZ6150" s="1" t="s">
        <v>152</v>
      </c>
      <c r="FC6150" s="1" t="s">
        <v>155</v>
      </c>
      <c r="GD6150" s="1" t="s">
        <v>193</v>
      </c>
      <c r="GE6150" s="1" t="s">
        <v>190</v>
      </c>
    </row>
    <row r="6151" spans="1:187" ht="11.25" customHeight="1">
      <c r="A6151" s="1" t="s">
        <v>8667</v>
      </c>
      <c r="B6151" s="1" t="str">
        <f ca="1">IFERROR(__xludf.DUMMYFUNCTION("GOOGLETRANSLATE(A6151, ""en"", ""fr"")"),"VIVANT")</f>
        <v>VIVANT</v>
      </c>
      <c r="C6151" s="1" t="s">
        <v>185</v>
      </c>
      <c r="D6151" s="1" t="s">
        <v>16612</v>
      </c>
      <c r="F6151" s="1" t="s">
        <v>2</v>
      </c>
      <c r="J6151" s="1" t="s">
        <v>6</v>
      </c>
      <c r="N6151" s="1" t="s">
        <v>10</v>
      </c>
      <c r="CR6151" s="1" t="s">
        <v>92</v>
      </c>
      <c r="EZ6151" s="1" t="s">
        <v>152</v>
      </c>
      <c r="FC6151" s="1" t="s">
        <v>155</v>
      </c>
      <c r="GD6151" s="1" t="s">
        <v>202</v>
      </c>
      <c r="GE6151" s="1" t="s">
        <v>8668</v>
      </c>
    </row>
    <row r="6152" spans="1:187" ht="11.25" customHeight="1">
      <c r="A6152" s="1" t="s">
        <v>8669</v>
      </c>
      <c r="B6152" s="1" t="str">
        <f ca="1">IFERROR(__xludf.DUMMYFUNCTION("GOOGLETRANSLATE(A6152, ""en"", ""fr"")"),"FOIE")</f>
        <v>FOIE</v>
      </c>
      <c r="C6152" s="1" t="s">
        <v>185</v>
      </c>
      <c r="BJ6152" s="1" t="s">
        <v>58</v>
      </c>
      <c r="EZ6152" s="1" t="s">
        <v>152</v>
      </c>
      <c r="FC6152" s="1" t="s">
        <v>155</v>
      </c>
      <c r="GD6152" s="1" t="s">
        <v>193</v>
      </c>
      <c r="GE6152" s="1" t="s">
        <v>190</v>
      </c>
    </row>
    <row r="6153" spans="1:187" ht="11.25" customHeight="1">
      <c r="A6153" s="1" t="s">
        <v>8670</v>
      </c>
      <c r="B6153" s="1" t="str">
        <f ca="1">IFERROR(__xludf.DUMMYFUNCTION("GOOGLETRANSLATE(A6153, ""en"", ""fr"")"),"LIVRÉE")</f>
        <v>LIVRÉE</v>
      </c>
      <c r="C6153" s="1" t="s">
        <v>185</v>
      </c>
      <c r="BC6153" s="1" t="s">
        <v>51</v>
      </c>
      <c r="BD6153" s="1" t="s">
        <v>52</v>
      </c>
      <c r="GD6153" s="1" t="s">
        <v>193</v>
      </c>
      <c r="GE6153" s="1" t="s">
        <v>190</v>
      </c>
    </row>
    <row r="6154" spans="1:187" ht="11.25" customHeight="1">
      <c r="A6154" s="1" t="s">
        <v>8671</v>
      </c>
      <c r="B6154" s="1" t="str">
        <f ca="1">IFERROR(__xludf.DUMMYFUNCTION("GOOGLETRANSLATE(A6154, ""en"", ""fr"")"),"BÉTAIL")</f>
        <v>BÉTAIL</v>
      </c>
      <c r="C6154" s="1" t="s">
        <v>185</v>
      </c>
      <c r="AA6154" s="1" t="s">
        <v>23</v>
      </c>
      <c r="AC6154" s="1" t="s">
        <v>25</v>
      </c>
      <c r="AU6154" s="1" t="s">
        <v>43</v>
      </c>
      <c r="EV6154" s="1" t="s">
        <v>148</v>
      </c>
      <c r="EW6154" s="1" t="s">
        <v>149</v>
      </c>
      <c r="GD6154" s="1" t="s">
        <v>193</v>
      </c>
      <c r="GE6154" s="1" t="s">
        <v>190</v>
      </c>
    </row>
    <row r="6155" spans="1:187" ht="11.25" customHeight="1">
      <c r="A6155" s="1" t="s">
        <v>8672</v>
      </c>
      <c r="B6155" s="1" t="str">
        <f ca="1">IFERROR(__xludf.DUMMYFUNCTION("GOOGLETRANSLATE(A6155, ""en"", ""fr"")"),"Chargement n ° 1")</f>
        <v>Chargement n ° 1</v>
      </c>
      <c r="C6155" s="1" t="s">
        <v>185</v>
      </c>
      <c r="BC6155" s="1" t="s">
        <v>51</v>
      </c>
      <c r="BD6155" s="1" t="s">
        <v>52</v>
      </c>
      <c r="FQ6155" s="1" t="s">
        <v>169</v>
      </c>
      <c r="GD6155" s="1" t="s">
        <v>193</v>
      </c>
      <c r="GE6155" s="1" t="s">
        <v>8673</v>
      </c>
    </row>
    <row r="6156" spans="1:187" ht="11.25" customHeight="1">
      <c r="A6156" s="1" t="s">
        <v>8674</v>
      </c>
      <c r="B6156" s="1" t="str">
        <f ca="1">IFERROR(__xludf.DUMMYFUNCTION("GOOGLETRANSLATE(A6156, ""en"", ""fr"")"),"Chargement n ° 2")</f>
        <v>Chargement n ° 2</v>
      </c>
      <c r="C6156" s="1" t="s">
        <v>185</v>
      </c>
      <c r="J6156" s="1" t="s">
        <v>6</v>
      </c>
      <c r="N6156" s="1" t="s">
        <v>10</v>
      </c>
      <c r="AL6156" s="1" t="s">
        <v>34</v>
      </c>
      <c r="DN6156" s="1" t="s">
        <v>114</v>
      </c>
      <c r="FP6156" s="1" t="s">
        <v>168</v>
      </c>
      <c r="GD6156" s="1" t="s">
        <v>189</v>
      </c>
      <c r="GE6156" s="1" t="s">
        <v>8675</v>
      </c>
    </row>
    <row r="6157" spans="1:187" ht="11.25" customHeight="1">
      <c r="A6157" s="1" t="s">
        <v>8676</v>
      </c>
      <c r="B6157" s="1" t="str">
        <f ca="1">IFERROR(__xludf.DUMMYFUNCTION("GOOGLETRANSLATE(A6157, ""en"", ""fr"")"),"Chargement n ° 3")</f>
        <v>Chargement n ° 3</v>
      </c>
      <c r="C6157" s="1" t="s">
        <v>185</v>
      </c>
      <c r="E6157" s="1" t="s">
        <v>16613</v>
      </c>
      <c r="H6157" s="1" t="s">
        <v>4</v>
      </c>
      <c r="V6157" s="1" t="s">
        <v>18</v>
      </c>
      <c r="CN6157" s="1" t="s">
        <v>88</v>
      </c>
      <c r="GD6157" s="1" t="s">
        <v>202</v>
      </c>
      <c r="GE6157" s="1" t="s">
        <v>8677</v>
      </c>
    </row>
    <row r="6158" spans="1:187" ht="11.25" customHeight="1">
      <c r="A6158" s="1" t="s">
        <v>8678</v>
      </c>
      <c r="B6158" s="1" t="str">
        <f ca="1">IFERROR(__xludf.DUMMYFUNCTION("GOOGLETRANSLATE(A6158, ""en"", ""fr"")"),"Chargement n ° 4")</f>
        <v>Chargement n ° 4</v>
      </c>
      <c r="C6158" s="1" t="s">
        <v>185</v>
      </c>
      <c r="J6158" s="1" t="s">
        <v>6</v>
      </c>
      <c r="W6158" s="1" t="s">
        <v>19</v>
      </c>
      <c r="CS6158" s="1" t="s">
        <v>93</v>
      </c>
      <c r="GD6158" s="1" t="s">
        <v>202</v>
      </c>
      <c r="GE6158" s="1" t="s">
        <v>8679</v>
      </c>
    </row>
    <row r="6159" spans="1:187" ht="11.25" customHeight="1">
      <c r="A6159" s="1" t="s">
        <v>8680</v>
      </c>
      <c r="B6159" s="1" t="str">
        <f ca="1">IFERROR(__xludf.DUMMYFUNCTION("GOOGLETRANSLATE(A6159, ""en"", ""fr"")"),"Chargement n ° 5")</f>
        <v>Chargement n ° 5</v>
      </c>
      <c r="C6159" s="1" t="s">
        <v>185</v>
      </c>
      <c r="O6159" s="1" t="s">
        <v>11</v>
      </c>
      <c r="DA6159" s="1" t="s">
        <v>101</v>
      </c>
      <c r="GD6159" s="1" t="s">
        <v>202</v>
      </c>
      <c r="GE6159" s="1" t="s">
        <v>8681</v>
      </c>
    </row>
    <row r="6160" spans="1:187" ht="11.25" customHeight="1">
      <c r="A6160" s="1" t="s">
        <v>8682</v>
      </c>
      <c r="B6160" s="1" t="str">
        <f ca="1">IFERROR(__xludf.DUMMYFUNCTION("GOOGLETRANSLATE(A6160, ""en"", ""fr"")"),"Chargement n ° 6")</f>
        <v>Chargement n ° 6</v>
      </c>
      <c r="C6160" s="1" t="s">
        <v>185</v>
      </c>
      <c r="N6160" s="1" t="s">
        <v>10</v>
      </c>
      <c r="AL6160" s="1" t="s">
        <v>34</v>
      </c>
      <c r="GD6160" s="1" t="s">
        <v>202</v>
      </c>
      <c r="GE6160" s="1" t="s">
        <v>8683</v>
      </c>
    </row>
    <row r="6161" spans="1:187" ht="11.25" customHeight="1">
      <c r="A6161" s="1" t="s">
        <v>8684</v>
      </c>
      <c r="B6161" s="1" t="str">
        <f ca="1">IFERROR(__xludf.DUMMYFUNCTION("GOOGLETRANSLATE(A6161, ""en"", ""fr"")"),"Prêt n ° 1")</f>
        <v>Prêt n ° 1</v>
      </c>
      <c r="C6161" s="1" t="s">
        <v>185</v>
      </c>
      <c r="AA6161" s="1" t="s">
        <v>23</v>
      </c>
      <c r="AC6161" s="1" t="s">
        <v>25</v>
      </c>
      <c r="BC6161" s="1" t="s">
        <v>51</v>
      </c>
      <c r="BH6161" s="1" t="s">
        <v>56</v>
      </c>
      <c r="BL6161" s="1" t="s">
        <v>60</v>
      </c>
      <c r="EV6161" s="1" t="s">
        <v>148</v>
      </c>
      <c r="EW6161" s="1" t="s">
        <v>149</v>
      </c>
      <c r="GD6161" s="1" t="s">
        <v>849</v>
      </c>
      <c r="GE6161" s="1" t="s">
        <v>8685</v>
      </c>
    </row>
    <row r="6162" spans="1:187" ht="11.25" customHeight="1">
      <c r="A6162" s="1" t="s">
        <v>8686</v>
      </c>
      <c r="B6162" s="1" t="str">
        <f ca="1">IFERROR(__xludf.DUMMYFUNCTION("GOOGLETRANSLATE(A6162, ""en"", ""fr"")"),"Prêt n ° 2")</f>
        <v>Prêt n ° 2</v>
      </c>
      <c r="C6162" s="1" t="s">
        <v>185</v>
      </c>
      <c r="N6162" s="1" t="s">
        <v>10</v>
      </c>
      <c r="AA6162" s="1" t="s">
        <v>23</v>
      </c>
      <c r="AB6162" s="1" t="s">
        <v>24</v>
      </c>
      <c r="DO6162" s="1" t="s">
        <v>115</v>
      </c>
      <c r="EU6162" s="1" t="s">
        <v>147</v>
      </c>
      <c r="EW6162" s="1" t="s">
        <v>149</v>
      </c>
      <c r="GD6162" s="1" t="s">
        <v>189</v>
      </c>
      <c r="GE6162" s="1" t="s">
        <v>8687</v>
      </c>
    </row>
    <row r="6163" spans="1:187" ht="11.25" customHeight="1">
      <c r="A6163" s="1" t="s">
        <v>8688</v>
      </c>
      <c r="B6163" s="1" t="str">
        <f ca="1">IFERROR(__xludf.DUMMYFUNCTION("GOOGLETRANSLATE(A6163, ""en"", ""fr"")"),"HALL D'ENTRÉE")</f>
        <v>HALL D'ENTRÉE</v>
      </c>
      <c r="C6163" s="1" t="s">
        <v>185</v>
      </c>
      <c r="AC6163" s="1" t="s">
        <v>25</v>
      </c>
      <c r="AH6163" s="1" t="s">
        <v>30</v>
      </c>
      <c r="BC6163" s="1" t="s">
        <v>51</v>
      </c>
      <c r="BG6163" s="1" t="s">
        <v>55</v>
      </c>
      <c r="DZ6163" s="1" t="s">
        <v>126</v>
      </c>
      <c r="ED6163" s="1" t="s">
        <v>130</v>
      </c>
      <c r="GD6163" s="1" t="s">
        <v>193</v>
      </c>
      <c r="GE6163" s="1" t="s">
        <v>190</v>
      </c>
    </row>
    <row r="6164" spans="1:187" ht="11.25" customHeight="1">
      <c r="A6164" s="1" t="s">
        <v>8689</v>
      </c>
      <c r="B6164" s="1" t="str">
        <f ca="1">IFERROR(__xludf.DUMMYFUNCTION("GOOGLETRANSLATE(A6164, ""en"", ""fr"")"),"LOCALE")</f>
        <v>LOCALE</v>
      </c>
      <c r="C6164" s="1" t="s">
        <v>185</v>
      </c>
      <c r="AH6164" s="1" t="s">
        <v>30</v>
      </c>
      <c r="AV6164" s="1" t="s">
        <v>44</v>
      </c>
      <c r="AX6164" s="1" t="s">
        <v>46</v>
      </c>
      <c r="GB6164" s="1" t="s">
        <v>180</v>
      </c>
      <c r="GD6164" s="1" t="s">
        <v>202</v>
      </c>
      <c r="GE6164" s="1" t="s">
        <v>8690</v>
      </c>
    </row>
    <row r="6165" spans="1:187" ht="11.25" customHeight="1">
      <c r="A6165" s="1" t="s">
        <v>8691</v>
      </c>
      <c r="B6165" s="1" t="str">
        <f ca="1">IFERROR(__xludf.DUMMYFUNCTION("GOOGLETRANSLATE(A6165, ""en"", ""fr"")"),"LIEU")</f>
        <v>LIEU</v>
      </c>
      <c r="C6165" s="1" t="s">
        <v>185</v>
      </c>
      <c r="AV6165" s="1" t="s">
        <v>44</v>
      </c>
      <c r="AX6165" s="1" t="s">
        <v>46</v>
      </c>
      <c r="GB6165" s="1" t="s">
        <v>180</v>
      </c>
      <c r="GD6165" s="1" t="s">
        <v>193</v>
      </c>
      <c r="GE6165" s="1" t="s">
        <v>190</v>
      </c>
    </row>
    <row r="6166" spans="1:187" ht="11.25" customHeight="1">
      <c r="A6166" s="1" t="s">
        <v>8692</v>
      </c>
      <c r="B6166" s="1" t="str">
        <f ca="1">IFERROR(__xludf.DUMMYFUNCTION("GOOGLETRANSLATE(A6166, ""en"", ""fr"")"),"LOCALISER")</f>
        <v>LOCALISER</v>
      </c>
      <c r="C6166" s="1" t="s">
        <v>185</v>
      </c>
      <c r="N6166" s="1" t="s">
        <v>10</v>
      </c>
      <c r="CA6166" s="1" t="s">
        <v>75</v>
      </c>
      <c r="DN6166" s="1" t="s">
        <v>114</v>
      </c>
      <c r="FH6166" s="1" t="s">
        <v>160</v>
      </c>
      <c r="FI6166" s="1" t="s">
        <v>161</v>
      </c>
      <c r="GD6166" s="1" t="s">
        <v>189</v>
      </c>
      <c r="GE6166" s="1" t="s">
        <v>190</v>
      </c>
    </row>
    <row r="6167" spans="1:187" ht="11.25" customHeight="1">
      <c r="A6167" s="1" t="s">
        <v>8693</v>
      </c>
      <c r="B6167" s="1" t="str">
        <f ca="1">IFERROR(__xludf.DUMMYFUNCTION("GOOGLETRANSLATE(A6167, ""en"", ""fr"")"),"EMPLACEMENT")</f>
        <v>EMPLACEMENT</v>
      </c>
      <c r="C6167" s="1" t="s">
        <v>185</v>
      </c>
      <c r="AV6167" s="1" t="s">
        <v>44</v>
      </c>
      <c r="AX6167" s="1" t="s">
        <v>46</v>
      </c>
      <c r="FS6167" s="1" t="s">
        <v>171</v>
      </c>
      <c r="GD6167" s="1" t="s">
        <v>193</v>
      </c>
      <c r="GE6167" s="1" t="s">
        <v>190</v>
      </c>
    </row>
    <row r="6168" spans="1:187" ht="11.25" customHeight="1">
      <c r="A6168" s="1" t="s">
        <v>8694</v>
      </c>
      <c r="B6168" s="1" t="str">
        <f ca="1">IFERROR(__xludf.DUMMYFUNCTION("GOOGLETRANSLATE(A6168, ""en"", ""fr"")"),"Verrouillage n ° 1")</f>
        <v>Verrouillage n ° 1</v>
      </c>
      <c r="C6168" s="1" t="s">
        <v>185</v>
      </c>
      <c r="J6168" s="1" t="s">
        <v>6</v>
      </c>
      <c r="BC6168" s="1" t="s">
        <v>51</v>
      </c>
      <c r="BD6168" s="1" t="s">
        <v>52</v>
      </c>
      <c r="GD6168" s="1" t="s">
        <v>193</v>
      </c>
      <c r="GE6168" s="1" t="s">
        <v>190</v>
      </c>
    </row>
    <row r="6169" spans="1:187" ht="11.25" customHeight="1">
      <c r="A6169" s="1" t="s">
        <v>8695</v>
      </c>
      <c r="B6169" s="1" t="str">
        <f ca="1">IFERROR(__xludf.DUMMYFUNCTION("GOOGLETRANSLATE(A6169, ""en"", ""fr"")"),"Verrouillage n ° 2")</f>
        <v>Verrouillage n ° 2</v>
      </c>
      <c r="C6169" s="1" t="s">
        <v>185</v>
      </c>
      <c r="N6169" s="1" t="s">
        <v>10</v>
      </c>
      <c r="CA6169" s="1" t="s">
        <v>75</v>
      </c>
      <c r="DO6169" s="1" t="s">
        <v>115</v>
      </c>
      <c r="FP6169" s="1" t="s">
        <v>168</v>
      </c>
      <c r="GD6169" s="1" t="s">
        <v>189</v>
      </c>
      <c r="GE6169" s="1" t="s">
        <v>190</v>
      </c>
    </row>
    <row r="6170" spans="1:187" ht="11.25" customHeight="1">
      <c r="A6170" s="1" t="s">
        <v>8696</v>
      </c>
      <c r="B6170" s="1" t="str">
        <f ca="1">IFERROR(__xludf.DUMMYFUNCTION("GOOGLETRANSLATE(A6170, ""en"", ""fr"")"),"LOGE")</f>
        <v>LOGE</v>
      </c>
      <c r="C6170" s="1" t="s">
        <v>185</v>
      </c>
      <c r="AV6170" s="1" t="s">
        <v>44</v>
      </c>
      <c r="AW6170" s="1" t="s">
        <v>45</v>
      </c>
      <c r="GD6170" s="1" t="s">
        <v>193</v>
      </c>
      <c r="GE6170" s="1" t="s">
        <v>8697</v>
      </c>
    </row>
    <row r="6171" spans="1:187" ht="11.25" customHeight="1">
      <c r="A6171" s="1" t="s">
        <v>8698</v>
      </c>
      <c r="B6171" s="1" t="str">
        <f ca="1">IFERROR(__xludf.DUMMYFUNCTION("GOOGLETRANSLATE(A6171, ""en"", ""fr"")"),"ENREGISTRER")</f>
        <v>ENREGISTRER</v>
      </c>
      <c r="C6171" s="1" t="s">
        <v>185</v>
      </c>
      <c r="BC6171" s="1" t="s">
        <v>51</v>
      </c>
      <c r="BI6171" s="1" t="s">
        <v>57</v>
      </c>
      <c r="GD6171" s="1" t="s">
        <v>193</v>
      </c>
      <c r="GE6171" s="1" t="s">
        <v>190</v>
      </c>
    </row>
    <row r="6172" spans="1:187" ht="11.25" customHeight="1">
      <c r="A6172" s="1" t="s">
        <v>8699</v>
      </c>
      <c r="B6172" s="1" t="str">
        <f ca="1">IFERROR(__xludf.DUMMYFUNCTION("GOOGLETRANSLATE(A6172, ""en"", ""fr"")"),"LOGIQUE")</f>
        <v>LOGIQUE</v>
      </c>
      <c r="C6172" s="1" t="s">
        <v>185</v>
      </c>
      <c r="D6172" s="1" t="s">
        <v>16612</v>
      </c>
      <c r="F6172" s="1" t="s">
        <v>2</v>
      </c>
      <c r="CH6172" s="1" t="s">
        <v>82</v>
      </c>
      <c r="FH6172" s="1" t="s">
        <v>160</v>
      </c>
      <c r="FI6172" s="1" t="s">
        <v>161</v>
      </c>
      <c r="GD6172" s="1" t="s">
        <v>193</v>
      </c>
      <c r="GE6172" s="1" t="s">
        <v>190</v>
      </c>
    </row>
    <row r="6173" spans="1:187" ht="11.25" customHeight="1">
      <c r="A6173" s="1" t="s">
        <v>8700</v>
      </c>
      <c r="B6173" s="1" t="str">
        <f ca="1">IFERROR(__xludf.DUMMYFUNCTION("GOOGLETRANSLATE(A6173, ""en"", ""fr"")"),"LOGIQUE")</f>
        <v>LOGIQUE</v>
      </c>
      <c r="C6173" s="1" t="s">
        <v>185</v>
      </c>
      <c r="D6173" s="1" t="s">
        <v>16612</v>
      </c>
      <c r="F6173" s="1" t="s">
        <v>2</v>
      </c>
      <c r="CH6173" s="1" t="s">
        <v>82</v>
      </c>
      <c r="FH6173" s="1" t="s">
        <v>160</v>
      </c>
      <c r="FI6173" s="1" t="s">
        <v>161</v>
      </c>
      <c r="GD6173" s="1" t="s">
        <v>202</v>
      </c>
      <c r="GE6173" s="1" t="s">
        <v>190</v>
      </c>
    </row>
    <row r="6174" spans="1:187" ht="11.25" customHeight="1">
      <c r="A6174" s="1" t="s">
        <v>8701</v>
      </c>
      <c r="B6174" s="1" t="str">
        <f ca="1">IFERROR(__xludf.DUMMYFUNCTION("GOOGLETRANSLATE(A6174, ""en"", ""fr"")"),"LONDRES")</f>
        <v>LONDRES</v>
      </c>
      <c r="C6174" s="1" t="s">
        <v>185</v>
      </c>
      <c r="AC6174" s="1" t="s">
        <v>25</v>
      </c>
      <c r="AH6174" s="1" t="s">
        <v>30</v>
      </c>
      <c r="DI6174" s="1" t="s">
        <v>109</v>
      </c>
      <c r="DV6174" s="1" t="s">
        <v>122</v>
      </c>
      <c r="ED6174" s="1" t="s">
        <v>130</v>
      </c>
      <c r="GD6174" s="1" t="s">
        <v>193</v>
      </c>
      <c r="GE6174" s="1" t="s">
        <v>190</v>
      </c>
    </row>
    <row r="6175" spans="1:187" ht="11.25" customHeight="1">
      <c r="A6175" s="1" t="s">
        <v>8702</v>
      </c>
      <c r="B6175" s="1" t="str">
        <f ca="1">IFERROR(__xludf.DUMMYFUNCTION("GOOGLETRANSLATE(A6175, ""en"", ""fr"")"),"Lone # 1")</f>
        <v>Lone # 1</v>
      </c>
      <c r="C6175" s="1" t="s">
        <v>185</v>
      </c>
      <c r="E6175" s="1" t="s">
        <v>16613</v>
      </c>
      <c r="G6175" s="1" t="s">
        <v>3</v>
      </c>
      <c r="H6175" s="1" t="s">
        <v>4</v>
      </c>
      <c r="L6175" s="1" t="s">
        <v>8</v>
      </c>
      <c r="O6175" s="1" t="s">
        <v>11</v>
      </c>
      <c r="Q6175" s="1" t="s">
        <v>13</v>
      </c>
      <c r="ER6175" s="1" t="s">
        <v>144</v>
      </c>
      <c r="ES6175" s="1" t="s">
        <v>145</v>
      </c>
      <c r="GD6175" s="1" t="s">
        <v>421</v>
      </c>
      <c r="GE6175" s="1" t="s">
        <v>8703</v>
      </c>
    </row>
    <row r="6176" spans="1:187" ht="11.25" customHeight="1">
      <c r="A6176" s="1" t="s">
        <v>8704</v>
      </c>
      <c r="B6176" s="1" t="str">
        <f ca="1">IFERROR(__xludf.DUMMYFUNCTION("GOOGLETRANSLATE(A6176, ""en"", ""fr"")"),"Lone # 2")</f>
        <v>Lone # 2</v>
      </c>
      <c r="C6176" s="1" t="s">
        <v>185</v>
      </c>
      <c r="L6176" s="1" t="s">
        <v>8</v>
      </c>
      <c r="CS6176" s="1" t="s">
        <v>93</v>
      </c>
      <c r="ER6176" s="1" t="s">
        <v>144</v>
      </c>
      <c r="ES6176" s="1" t="s">
        <v>145</v>
      </c>
      <c r="GD6176" s="1" t="s">
        <v>202</v>
      </c>
      <c r="GE6176" s="1" t="s">
        <v>8705</v>
      </c>
    </row>
    <row r="6177" spans="1:187" ht="11.25" customHeight="1">
      <c r="A6177" s="1" t="s">
        <v>8706</v>
      </c>
      <c r="B6177" s="1" t="str">
        <f ca="1">IFERROR(__xludf.DUMMYFUNCTION("GOOGLETRANSLATE(A6177, ""en"", ""fr"")"),"SOLITUDE")</f>
        <v>SOLITUDE</v>
      </c>
      <c r="C6177" s="1" t="s">
        <v>185</v>
      </c>
      <c r="E6177" s="1" t="s">
        <v>16613</v>
      </c>
      <c r="G6177" s="1" t="s">
        <v>3</v>
      </c>
      <c r="H6177" s="1" t="s">
        <v>4</v>
      </c>
      <c r="L6177" s="1" t="s">
        <v>8</v>
      </c>
      <c r="O6177" s="1" t="s">
        <v>11</v>
      </c>
      <c r="Q6177" s="1" t="s">
        <v>13</v>
      </c>
      <c r="ER6177" s="1" t="s">
        <v>144</v>
      </c>
      <c r="ES6177" s="1" t="s">
        <v>145</v>
      </c>
      <c r="GD6177" s="1" t="s">
        <v>193</v>
      </c>
      <c r="GE6177" s="1" t="s">
        <v>190</v>
      </c>
    </row>
    <row r="6178" spans="1:187" ht="11.25" customHeight="1">
      <c r="A6178" s="1" t="s">
        <v>8707</v>
      </c>
      <c r="B6178" s="1" t="str">
        <f ca="1">IFERROR(__xludf.DUMMYFUNCTION("GOOGLETRANSLATE(A6178, ""en"", ""fr"")"),"SOLITAIRE")</f>
        <v>SOLITAIRE</v>
      </c>
      <c r="C6178" s="1" t="s">
        <v>185</v>
      </c>
      <c r="E6178" s="1" t="s">
        <v>16613</v>
      </c>
      <c r="G6178" s="1" t="s">
        <v>3</v>
      </c>
      <c r="H6178" s="1" t="s">
        <v>4</v>
      </c>
      <c r="L6178" s="1" t="s">
        <v>8</v>
      </c>
      <c r="O6178" s="1" t="s">
        <v>11</v>
      </c>
      <c r="Q6178" s="1" t="s">
        <v>13</v>
      </c>
      <c r="ER6178" s="1" t="s">
        <v>144</v>
      </c>
      <c r="ES6178" s="1" t="s">
        <v>145</v>
      </c>
      <c r="GD6178" s="1" t="s">
        <v>202</v>
      </c>
      <c r="GE6178" s="1" t="s">
        <v>190</v>
      </c>
    </row>
    <row r="6179" spans="1:187" ht="11.25" customHeight="1">
      <c r="A6179" s="1" t="s">
        <v>8708</v>
      </c>
      <c r="B6179" s="1" t="str">
        <f ca="1">IFERROR(__xludf.DUMMYFUNCTION("GOOGLETRANSLATE(A6179, ""en"", ""fr"")"),"SOLITAIRE")</f>
        <v>SOLITAIRE</v>
      </c>
      <c r="C6179" s="1" t="s">
        <v>185</v>
      </c>
      <c r="E6179" s="1" t="s">
        <v>16613</v>
      </c>
      <c r="G6179" s="1" t="s">
        <v>3</v>
      </c>
      <c r="H6179" s="1" t="s">
        <v>4</v>
      </c>
      <c r="L6179" s="1" t="s">
        <v>8</v>
      </c>
      <c r="O6179" s="1" t="s">
        <v>11</v>
      </c>
      <c r="AJ6179" s="1" t="s">
        <v>32</v>
      </c>
      <c r="AT6179" s="1" t="s">
        <v>42</v>
      </c>
      <c r="EQ6179" s="1" t="s">
        <v>143</v>
      </c>
      <c r="ES6179" s="1" t="s">
        <v>145</v>
      </c>
      <c r="GD6179" s="1" t="s">
        <v>193</v>
      </c>
      <c r="GE6179" s="1" t="s">
        <v>190</v>
      </c>
    </row>
    <row r="6180" spans="1:187" ht="11.25" customHeight="1">
      <c r="A6180" s="1" t="s">
        <v>8709</v>
      </c>
      <c r="B6180" s="1" t="str">
        <f ca="1">IFERROR(__xludf.DUMMYFUNCTION("GOOGLETRANSLATE(A6180, ""en"", ""fr"")"),"SOLITAIRE")</f>
        <v>SOLITAIRE</v>
      </c>
      <c r="C6180" s="1" t="s">
        <v>192</v>
      </c>
      <c r="E6180" s="1" t="s">
        <v>16613</v>
      </c>
      <c r="Q6180" s="1" t="s">
        <v>13</v>
      </c>
      <c r="T6180" s="1" t="s">
        <v>16</v>
      </c>
      <c r="DQ6180" s="1" t="s">
        <v>117</v>
      </c>
      <c r="GD6180" s="1" t="s">
        <v>4155</v>
      </c>
      <c r="GE6180" s="1" t="s">
        <v>190</v>
      </c>
    </row>
    <row r="6181" spans="1:187" ht="11.25" customHeight="1">
      <c r="A6181" s="1" t="s">
        <v>8710</v>
      </c>
      <c r="B6181" s="1" t="str">
        <f ca="1">IFERROR(__xludf.DUMMYFUNCTION("GOOGLETRANSLATE(A6181, ""en"", ""fr"")"),"Long # 1")</f>
        <v>Long # 1</v>
      </c>
      <c r="C6181" s="1" t="s">
        <v>185</v>
      </c>
      <c r="J6181" s="1" t="s">
        <v>6</v>
      </c>
      <c r="DA6181" s="1" t="s">
        <v>101</v>
      </c>
      <c r="DC6181" s="1" t="s">
        <v>103</v>
      </c>
      <c r="GD6181" s="1" t="s">
        <v>202</v>
      </c>
      <c r="GE6181" s="1" t="s">
        <v>8711</v>
      </c>
    </row>
    <row r="6182" spans="1:187" ht="11.25" customHeight="1">
      <c r="A6182" s="1" t="s">
        <v>8712</v>
      </c>
      <c r="B6182" s="1" t="str">
        <f ca="1">IFERROR(__xludf.DUMMYFUNCTION("GOOGLETRANSLATE(A6182, ""en"", ""fr"")"),"Long # 2")</f>
        <v>Long # 2</v>
      </c>
      <c r="C6182" s="1" t="s">
        <v>185</v>
      </c>
      <c r="CY6182" s="1" t="s">
        <v>99</v>
      </c>
      <c r="GB6182" s="1" t="s">
        <v>180</v>
      </c>
      <c r="GD6182" s="1" t="s">
        <v>236</v>
      </c>
      <c r="GE6182" s="1" t="s">
        <v>8713</v>
      </c>
    </row>
    <row r="6183" spans="1:187" ht="11.25" customHeight="1">
      <c r="A6183" s="1" t="s">
        <v>8714</v>
      </c>
      <c r="B6183" s="1" t="str">
        <f ca="1">IFERROR(__xludf.DUMMYFUNCTION("GOOGLETRANSLATE(A6183, ""en"", ""fr"")"),"Long # 3")</f>
        <v>Long # 3</v>
      </c>
      <c r="C6183" s="1" t="s">
        <v>185</v>
      </c>
      <c r="L6183" s="1" t="s">
        <v>8</v>
      </c>
      <c r="O6183" s="1" t="s">
        <v>11</v>
      </c>
      <c r="BN6183" s="1" t="s">
        <v>62</v>
      </c>
      <c r="DP6183" s="1" t="s">
        <v>116</v>
      </c>
      <c r="FR6183" s="1" t="s">
        <v>170</v>
      </c>
      <c r="GD6183" s="1" t="s">
        <v>189</v>
      </c>
      <c r="GE6183" s="1" t="s">
        <v>8715</v>
      </c>
    </row>
    <row r="6184" spans="1:187" ht="11.25" customHeight="1">
      <c r="A6184" s="1" t="s">
        <v>8716</v>
      </c>
      <c r="B6184" s="1" t="str">
        <f ca="1">IFERROR(__xludf.DUMMYFUNCTION("GOOGLETRANSLATE(A6184, ""en"", ""fr"")"),"Long # 4")</f>
        <v>Long # 4</v>
      </c>
      <c r="C6184" s="1" t="s">
        <v>185</v>
      </c>
      <c r="G6184" s="1" t="s">
        <v>3</v>
      </c>
      <c r="L6184" s="1" t="s">
        <v>8</v>
      </c>
      <c r="O6184" s="1" t="s">
        <v>11</v>
      </c>
      <c r="T6184" s="1" t="s">
        <v>16</v>
      </c>
      <c r="BN6184" s="1" t="s">
        <v>62</v>
      </c>
      <c r="FR6184" s="1" t="s">
        <v>170</v>
      </c>
      <c r="GD6184" s="1" t="s">
        <v>193</v>
      </c>
      <c r="GE6184" s="1" t="s">
        <v>8717</v>
      </c>
    </row>
    <row r="6185" spans="1:187" ht="11.25" customHeight="1">
      <c r="A6185" s="1" t="s">
        <v>8718</v>
      </c>
      <c r="B6185" s="1" t="str">
        <f ca="1">IFERROR(__xludf.DUMMYFUNCTION("GOOGLETRANSLATE(A6185, ""en"", ""fr"")"),"Long # 5")</f>
        <v>Long # 5</v>
      </c>
      <c r="C6185" s="1" t="s">
        <v>185</v>
      </c>
      <c r="DA6185" s="1" t="s">
        <v>101</v>
      </c>
      <c r="DC6185" s="1" t="s">
        <v>103</v>
      </c>
      <c r="GD6185" s="1" t="s">
        <v>202</v>
      </c>
      <c r="GE6185" s="1" t="s">
        <v>8719</v>
      </c>
    </row>
    <row r="6186" spans="1:187" ht="11.25" customHeight="1">
      <c r="A6186" s="1" t="s">
        <v>8720</v>
      </c>
      <c r="B6186" s="1" t="str">
        <f ca="1">IFERROR(__xludf.DUMMYFUNCTION("GOOGLETRANSLATE(A6186, ""en"", ""fr"")"),"Long # 6")</f>
        <v>Long # 6</v>
      </c>
      <c r="C6186" s="1" t="s">
        <v>185</v>
      </c>
      <c r="DA6186" s="1" t="s">
        <v>101</v>
      </c>
      <c r="DC6186" s="1" t="s">
        <v>103</v>
      </c>
      <c r="GD6186" s="1" t="s">
        <v>202</v>
      </c>
      <c r="GE6186" s="1" t="s">
        <v>8721</v>
      </c>
    </row>
    <row r="6187" spans="1:187" ht="11.25" customHeight="1">
      <c r="A6187" s="1" t="s">
        <v>8722</v>
      </c>
      <c r="B6187" s="1" t="str">
        <f ca="1">IFERROR(__xludf.DUMMYFUNCTION("GOOGLETRANSLATE(A6187, ""en"", ""fr"")"),"Long # 7")</f>
        <v>Long # 7</v>
      </c>
      <c r="C6187" s="1" t="s">
        <v>185</v>
      </c>
      <c r="GD6187" s="1" t="s">
        <v>225</v>
      </c>
      <c r="GE6187" s="1" t="s">
        <v>8723</v>
      </c>
    </row>
    <row r="6188" spans="1:187" ht="11.25" customHeight="1">
      <c r="A6188" s="1" t="s">
        <v>8724</v>
      </c>
      <c r="B6188" s="1" t="str">
        <f ca="1">IFERROR(__xludf.DUMMYFUNCTION("GOOGLETRANSLATE(A6188, ""en"", ""fr"")"),"Long # 8")</f>
        <v>Long # 8</v>
      </c>
      <c r="C6188" s="1" t="s">
        <v>185</v>
      </c>
      <c r="GD6188" s="1" t="s">
        <v>225</v>
      </c>
      <c r="GE6188" s="1" t="s">
        <v>8725</v>
      </c>
    </row>
    <row r="6189" spans="1:187" ht="11.25" customHeight="1">
      <c r="A6189" s="1" t="s">
        <v>8726</v>
      </c>
      <c r="B6189" s="1" t="str">
        <f ca="1">IFERROR(__xludf.DUMMYFUNCTION("GOOGLETRANSLATE(A6189, ""en"", ""fr"")"),"À longue portée")</f>
        <v>À longue portée</v>
      </c>
      <c r="C6189" s="1" t="s">
        <v>196</v>
      </c>
      <c r="GB6189" s="1" t="s">
        <v>180</v>
      </c>
      <c r="GD6189" s="1" t="s">
        <v>202</v>
      </c>
    </row>
    <row r="6190" spans="1:187" ht="11.25" customHeight="1">
      <c r="A6190" s="1" t="s">
        <v>8727</v>
      </c>
      <c r="B6190" s="1" t="str">
        <f ca="1">IFERROR(__xludf.DUMMYFUNCTION("GOOGLETRANSLATE(A6190, ""en"", ""fr"")"),"De longue date")</f>
        <v>De longue date</v>
      </c>
      <c r="C6190" s="1" t="s">
        <v>196</v>
      </c>
      <c r="GB6190" s="1" t="s">
        <v>180</v>
      </c>
      <c r="GD6190" s="1" t="s">
        <v>202</v>
      </c>
    </row>
    <row r="6191" spans="1:187" ht="11.25" customHeight="1">
      <c r="A6191" s="1" t="s">
        <v>8728</v>
      </c>
      <c r="B6191" s="1" t="str">
        <f ca="1">IFERROR(__xludf.DUMMYFUNCTION("GOOGLETRANSLATE(A6191, ""en"", ""fr"")"),"LONG TERME")</f>
        <v>LONG TERME</v>
      </c>
      <c r="C6191" s="1" t="s">
        <v>196</v>
      </c>
      <c r="GB6191" s="1" t="s">
        <v>180</v>
      </c>
      <c r="GD6191" s="1" t="s">
        <v>202</v>
      </c>
    </row>
    <row r="6192" spans="1:187" ht="11.25" customHeight="1">
      <c r="A6192" s="1" t="s">
        <v>8729</v>
      </c>
      <c r="B6192" s="1" t="str">
        <f ca="1">IFERROR(__xludf.DUMMYFUNCTION("GOOGLETRANSLATE(A6192, ""en"", ""fr"")"),"LONGÉVITÉ")</f>
        <v>LONGÉVITÉ</v>
      </c>
      <c r="C6192" s="1" t="s">
        <v>192</v>
      </c>
      <c r="D6192" s="1" t="s">
        <v>16612</v>
      </c>
      <c r="J6192" s="1" t="s">
        <v>6</v>
      </c>
      <c r="CA6192" s="1" t="s">
        <v>75</v>
      </c>
      <c r="GD6192" s="1" t="s">
        <v>193</v>
      </c>
      <c r="GE6192" s="1" t="s">
        <v>190</v>
      </c>
    </row>
    <row r="6193" spans="1:187" ht="11.25" customHeight="1">
      <c r="A6193" s="1" t="s">
        <v>8730</v>
      </c>
      <c r="B6193" s="1" t="str">
        <f ca="1">IFERROR(__xludf.DUMMYFUNCTION("GOOGLETRANSLATE(A6193, ""en"", ""fr"")"),"Regardez # 1")</f>
        <v>Regardez # 1</v>
      </c>
      <c r="C6193" s="1" t="s">
        <v>192</v>
      </c>
      <c r="CK6193" s="1" t="s">
        <v>85</v>
      </c>
      <c r="DO6193" s="1" t="s">
        <v>115</v>
      </c>
      <c r="GD6193" s="1" t="s">
        <v>189</v>
      </c>
      <c r="GE6193" s="1" t="s">
        <v>8731</v>
      </c>
    </row>
    <row r="6194" spans="1:187" ht="11.25" customHeight="1">
      <c r="A6194" s="1" t="s">
        <v>8732</v>
      </c>
      <c r="B6194" s="1" t="str">
        <f ca="1">IFERROR(__xludf.DUMMYFUNCTION("GOOGLETRANSLATE(A6194, ""en"", ""fr"")"),"Regardez # 2")</f>
        <v>Regardez # 2</v>
      </c>
      <c r="C6194" s="1" t="s">
        <v>192</v>
      </c>
      <c r="CK6194" s="1" t="s">
        <v>85</v>
      </c>
      <c r="DN6194" s="1" t="s">
        <v>114</v>
      </c>
      <c r="GD6194" s="1" t="s">
        <v>969</v>
      </c>
      <c r="GE6194" s="1" t="s">
        <v>8733</v>
      </c>
    </row>
    <row r="6195" spans="1:187" ht="11.25" customHeight="1">
      <c r="A6195" s="1" t="s">
        <v>8734</v>
      </c>
      <c r="B6195" s="1" t="str">
        <f ca="1">IFERROR(__xludf.DUMMYFUNCTION("GOOGLETRANSLATE(A6195, ""en"", ""fr"")"),"Regardez # 3")</f>
        <v>Regardez # 3</v>
      </c>
      <c r="C6195" s="1" t="s">
        <v>192</v>
      </c>
      <c r="O6195" s="1" t="s">
        <v>11</v>
      </c>
      <c r="CK6195" s="1" t="s">
        <v>85</v>
      </c>
      <c r="GD6195" s="1" t="s">
        <v>193</v>
      </c>
      <c r="GE6195" s="1" t="s">
        <v>8735</v>
      </c>
    </row>
    <row r="6196" spans="1:187" ht="11.25" customHeight="1">
      <c r="A6196" s="1" t="s">
        <v>8736</v>
      </c>
      <c r="B6196" s="1" t="str">
        <f ca="1">IFERROR(__xludf.DUMMYFUNCTION("GOOGLETRANSLATE(A6196, ""en"", ""fr"")"),"Regardez # 4")</f>
        <v>Regardez # 4</v>
      </c>
      <c r="C6196" s="1" t="s">
        <v>192</v>
      </c>
      <c r="O6196" s="1" t="s">
        <v>11</v>
      </c>
      <c r="BK6196" s="1" t="s">
        <v>59</v>
      </c>
      <c r="BL6196" s="1" t="s">
        <v>60</v>
      </c>
      <c r="GD6196" s="1" t="s">
        <v>193</v>
      </c>
      <c r="GE6196" s="1" t="s">
        <v>8737</v>
      </c>
    </row>
    <row r="6197" spans="1:187" ht="11.25" customHeight="1">
      <c r="A6197" s="1" t="s">
        <v>8738</v>
      </c>
      <c r="B6197" s="1" t="str">
        <f ca="1">IFERROR(__xludf.DUMMYFUNCTION("GOOGLETRANSLATE(A6197, ""en"", ""fr"")"),"Regardez # 5")</f>
        <v>Regardez # 5</v>
      </c>
      <c r="C6197" s="1" t="s">
        <v>192</v>
      </c>
      <c r="CO6197" s="1" t="s">
        <v>89</v>
      </c>
      <c r="DN6197" s="1" t="s">
        <v>114</v>
      </c>
      <c r="GD6197" s="1" t="s">
        <v>189</v>
      </c>
      <c r="GE6197" s="1" t="s">
        <v>8739</v>
      </c>
    </row>
    <row r="6198" spans="1:187" ht="11.25" customHeight="1">
      <c r="A6198" s="1" t="s">
        <v>8740</v>
      </c>
      <c r="B6198" s="1" t="str">
        <f ca="1">IFERROR(__xludf.DUMMYFUNCTION("GOOGLETRANSLATE(A6198, ""en"", ""fr"")"),"Regardez # 6")</f>
        <v>Regardez # 6</v>
      </c>
      <c r="C6198" s="1" t="s">
        <v>192</v>
      </c>
      <c r="N6198" s="1" t="s">
        <v>10</v>
      </c>
      <c r="BP6198" s="1" t="s">
        <v>64</v>
      </c>
      <c r="DN6198" s="1" t="s">
        <v>114</v>
      </c>
      <c r="GD6198" s="1" t="s">
        <v>189</v>
      </c>
      <c r="GE6198" s="1" t="s">
        <v>8741</v>
      </c>
    </row>
    <row r="6199" spans="1:187" ht="11.25" customHeight="1">
      <c r="A6199" s="1" t="s">
        <v>8742</v>
      </c>
      <c r="B6199" s="1" t="str">
        <f ca="1">IFERROR(__xludf.DUMMYFUNCTION("GOOGLETRANSLATE(A6199, ""en"", ""fr"")"),"Regardez # 7")</f>
        <v>Regardez # 7</v>
      </c>
      <c r="C6199" s="1" t="s">
        <v>192</v>
      </c>
      <c r="N6199" s="1" t="s">
        <v>10</v>
      </c>
      <c r="CK6199" s="1" t="s">
        <v>85</v>
      </c>
      <c r="DN6199" s="1" t="s">
        <v>114</v>
      </c>
      <c r="GD6199" s="1" t="s">
        <v>189</v>
      </c>
      <c r="GE6199" s="1" t="s">
        <v>8743</v>
      </c>
    </row>
    <row r="6200" spans="1:187" ht="11.25" customHeight="1">
      <c r="A6200" s="1" t="s">
        <v>8744</v>
      </c>
      <c r="B6200" s="1" t="str">
        <f ca="1">IFERROR(__xludf.DUMMYFUNCTION("GOOGLETRANSLATE(A6200, ""en"", ""fr"")"),"Regardez # 8")</f>
        <v>Regardez # 8</v>
      </c>
      <c r="C6200" s="1" t="s">
        <v>192</v>
      </c>
      <c r="L6200" s="1" t="s">
        <v>8</v>
      </c>
      <c r="M6200" s="1" t="s">
        <v>9</v>
      </c>
      <c r="AN6200" s="1" t="s">
        <v>36</v>
      </c>
      <c r="DN6200" s="1" t="s">
        <v>114</v>
      </c>
      <c r="GD6200" s="1" t="s">
        <v>189</v>
      </c>
      <c r="GE6200" s="1" t="s">
        <v>8745</v>
      </c>
    </row>
    <row r="6201" spans="1:187" ht="11.25" customHeight="1">
      <c r="A6201" s="1" t="s">
        <v>8746</v>
      </c>
      <c r="B6201" s="1" t="str">
        <f ca="1">IFERROR(__xludf.DUMMYFUNCTION("GOOGLETRANSLATE(A6201, ""en"", ""fr"")"),"Regardez # 9")</f>
        <v>Regardez # 9</v>
      </c>
      <c r="C6201" s="1" t="s">
        <v>192</v>
      </c>
      <c r="CO6201" s="1" t="s">
        <v>89</v>
      </c>
      <c r="DN6201" s="1" t="s">
        <v>114</v>
      </c>
      <c r="GD6201" s="1" t="s">
        <v>189</v>
      </c>
      <c r="GE6201" s="1" t="s">
        <v>8747</v>
      </c>
    </row>
    <row r="6202" spans="1:187" ht="11.25" customHeight="1">
      <c r="A6202" s="1" t="s">
        <v>8748</v>
      </c>
      <c r="B6202" s="1" t="str">
        <f ca="1">IFERROR(__xludf.DUMMYFUNCTION("GOOGLETRANSLATE(A6202, ""en"", ""fr"")"),"Regardez # _10")</f>
        <v>Regardez # _10</v>
      </c>
      <c r="C6202" s="1" t="s">
        <v>192</v>
      </c>
      <c r="N6202" s="1" t="s">
        <v>10</v>
      </c>
      <c r="CO6202" s="1" t="s">
        <v>89</v>
      </c>
      <c r="DN6202" s="1" t="s">
        <v>114</v>
      </c>
      <c r="GD6202" s="1" t="s">
        <v>189</v>
      </c>
      <c r="GE6202" s="1" t="s">
        <v>8749</v>
      </c>
    </row>
    <row r="6203" spans="1:187" ht="11.25" customHeight="1">
      <c r="A6203" s="1" t="s">
        <v>8750</v>
      </c>
      <c r="B6203" s="1" t="str">
        <f ca="1">IFERROR(__xludf.DUMMYFUNCTION("GOOGLETRANSLATE(A6203, ""en"", ""fr"")"),"Regardez # _11")</f>
        <v>Regardez # _11</v>
      </c>
      <c r="C6203" s="1" t="s">
        <v>192</v>
      </c>
      <c r="J6203" s="1" t="s">
        <v>6</v>
      </c>
      <c r="K6203" s="1" t="s">
        <v>7</v>
      </c>
      <c r="N6203" s="1" t="s">
        <v>10</v>
      </c>
      <c r="AN6203" s="1" t="s">
        <v>36</v>
      </c>
      <c r="DN6203" s="1" t="s">
        <v>114</v>
      </c>
      <c r="GD6203" s="1" t="s">
        <v>189</v>
      </c>
      <c r="GE6203" s="1" t="s">
        <v>8751</v>
      </c>
    </row>
    <row r="6204" spans="1:187" ht="11.25" customHeight="1">
      <c r="A6204" s="1" t="s">
        <v>8752</v>
      </c>
      <c r="B6204" s="1" t="str">
        <f ca="1">IFERROR(__xludf.DUMMYFUNCTION("GOOGLETRANSLATE(A6204, ""en"", ""fr"")"),"MÉTIER À TISSER")</f>
        <v>MÉTIER À TISSER</v>
      </c>
      <c r="C6204" s="1" t="s">
        <v>192</v>
      </c>
      <c r="E6204" s="1" t="s">
        <v>16613</v>
      </c>
      <c r="O6204" s="1" t="s">
        <v>11</v>
      </c>
      <c r="CK6204" s="1" t="s">
        <v>85</v>
      </c>
      <c r="DN6204" s="1" t="s">
        <v>114</v>
      </c>
      <c r="GD6204" s="1" t="s">
        <v>189</v>
      </c>
      <c r="GE6204" s="1" t="s">
        <v>190</v>
      </c>
    </row>
    <row r="6205" spans="1:187" ht="11.25" customHeight="1">
      <c r="A6205" s="1" t="s">
        <v>8753</v>
      </c>
      <c r="B6205" s="1" t="str">
        <f ca="1">IFERROR(__xludf.DUMMYFUNCTION("GOOGLETRANSLATE(A6205, ""en"", ""fr"")"),"BOUCLE")</f>
        <v>BOUCLE</v>
      </c>
      <c r="C6205" s="1" t="s">
        <v>185</v>
      </c>
      <c r="DA6205" s="1" t="s">
        <v>101</v>
      </c>
      <c r="GD6205" s="1" t="s">
        <v>193</v>
      </c>
      <c r="GE6205" s="1" t="s">
        <v>190</v>
      </c>
    </row>
    <row r="6206" spans="1:187" ht="11.25" customHeight="1">
      <c r="A6206" s="1" t="s">
        <v>8754</v>
      </c>
      <c r="B6206" s="1" t="str">
        <f ca="1">IFERROR(__xludf.DUMMYFUNCTION("GOOGLETRANSLATE(A6206, ""en"", ""fr"")"),"LÂCHE")</f>
        <v>LÂCHE</v>
      </c>
      <c r="C6206" s="1" t="s">
        <v>185</v>
      </c>
      <c r="CR6206" s="1" t="s">
        <v>92</v>
      </c>
      <c r="GD6206" s="1" t="s">
        <v>202</v>
      </c>
      <c r="GE6206" s="1" t="s">
        <v>190</v>
      </c>
    </row>
    <row r="6207" spans="1:187" ht="11.25" customHeight="1">
      <c r="A6207" s="1" t="s">
        <v>8755</v>
      </c>
      <c r="B6207" s="1" t="str">
        <f ca="1">IFERROR(__xludf.DUMMYFUNCTION("GOOGLETRANSLATE(A6207, ""en"", ""fr"")"),"RELÂCHEMENT")</f>
        <v>RELÂCHEMENT</v>
      </c>
      <c r="C6207" s="1" t="s">
        <v>185</v>
      </c>
      <c r="CR6207" s="1" t="s">
        <v>92</v>
      </c>
      <c r="GD6207" s="1" t="s">
        <v>193</v>
      </c>
      <c r="GE6207" s="1" t="s">
        <v>190</v>
      </c>
    </row>
    <row r="6208" spans="1:187" ht="11.25" customHeight="1">
      <c r="A6208" s="1" t="s">
        <v>8756</v>
      </c>
      <c r="B6208" s="1" t="str">
        <f ca="1">IFERROR(__xludf.DUMMYFUNCTION("GOOGLETRANSLATE(A6208, ""en"", ""fr"")"),"SEIGNEUR")</f>
        <v>SEIGNEUR</v>
      </c>
      <c r="C6208" s="1" t="s">
        <v>185</v>
      </c>
      <c r="K6208" s="1" t="s">
        <v>7</v>
      </c>
      <c r="AG6208" s="1" t="s">
        <v>29</v>
      </c>
      <c r="AH6208" s="1" t="s">
        <v>30</v>
      </c>
      <c r="AJ6208" s="1" t="s">
        <v>32</v>
      </c>
      <c r="AQ6208" s="1" t="s">
        <v>39</v>
      </c>
      <c r="AT6208" s="1" t="s">
        <v>42</v>
      </c>
      <c r="EM6208" s="1" t="s">
        <v>139</v>
      </c>
      <c r="EN6208" s="1" t="s">
        <v>140</v>
      </c>
      <c r="GD6208" s="1" t="s">
        <v>193</v>
      </c>
      <c r="GE6208" s="1" t="s">
        <v>8757</v>
      </c>
    </row>
    <row r="6209" spans="1:187" ht="11.25" customHeight="1">
      <c r="A6209" s="1" t="s">
        <v>8758</v>
      </c>
      <c r="B6209" s="1" t="str">
        <f ca="1">IFERROR(__xludf.DUMMYFUNCTION("GOOGLETRANSLATE(A6209, ""en"", ""fr"")"),"Perdre # 1")</f>
        <v>Perdre # 1</v>
      </c>
      <c r="C6209" s="1" t="s">
        <v>185</v>
      </c>
      <c r="E6209" s="1" t="s">
        <v>16613</v>
      </c>
      <c r="H6209" s="1" t="s">
        <v>4</v>
      </c>
      <c r="L6209" s="1" t="s">
        <v>8</v>
      </c>
      <c r="O6209" s="1" t="s">
        <v>11</v>
      </c>
      <c r="CD6209" s="1" t="s">
        <v>78</v>
      </c>
      <c r="DO6209" s="1" t="s">
        <v>115</v>
      </c>
      <c r="FO6209" s="1" t="s">
        <v>167</v>
      </c>
      <c r="GD6209" s="1" t="s">
        <v>189</v>
      </c>
      <c r="GE6209" s="1" t="s">
        <v>8759</v>
      </c>
    </row>
    <row r="6210" spans="1:187" ht="11.25" customHeight="1">
      <c r="A6210" s="1" t="s">
        <v>8760</v>
      </c>
      <c r="B6210" s="1" t="str">
        <f ca="1">IFERROR(__xludf.DUMMYFUNCTION("GOOGLETRANSLATE(A6210, ""en"", ""fr"")"),"Perdre # 2")</f>
        <v>Perdre # 2</v>
      </c>
      <c r="C6210" s="1" t="s">
        <v>185</v>
      </c>
      <c r="E6210" s="1" t="s">
        <v>16613</v>
      </c>
      <c r="H6210" s="1" t="s">
        <v>4</v>
      </c>
      <c r="L6210" s="1" t="s">
        <v>8</v>
      </c>
      <c r="BT6210" s="1" t="s">
        <v>68</v>
      </c>
      <c r="DO6210" s="1" t="s">
        <v>115</v>
      </c>
      <c r="DT6210" s="1" t="s">
        <v>120</v>
      </c>
      <c r="ED6210" s="1" t="s">
        <v>130</v>
      </c>
      <c r="GD6210" s="1" t="s">
        <v>189</v>
      </c>
      <c r="GE6210" s="1" t="s">
        <v>8761</v>
      </c>
    </row>
    <row r="6211" spans="1:187" ht="11.25" customHeight="1">
      <c r="A6211" s="1" t="s">
        <v>8762</v>
      </c>
      <c r="B6211" s="1" t="str">
        <f ca="1">IFERROR(__xludf.DUMMYFUNCTION("GOOGLETRANSLATE(A6211, ""en"", ""fr"")"),"Perdre # 3")</f>
        <v>Perdre # 3</v>
      </c>
      <c r="C6211" s="1" t="s">
        <v>185</v>
      </c>
      <c r="GD6211" s="1" t="s">
        <v>225</v>
      </c>
      <c r="GE6211" s="1" t="s">
        <v>8763</v>
      </c>
    </row>
    <row r="6212" spans="1:187" ht="11.25" customHeight="1">
      <c r="A6212" s="1" t="s">
        <v>8764</v>
      </c>
      <c r="B6212" s="1" t="str">
        <f ca="1">IFERROR(__xludf.DUMMYFUNCTION("GOOGLETRANSLATE(A6212, ""en"", ""fr"")"),"PERDANT")</f>
        <v>PERDANT</v>
      </c>
      <c r="C6212" s="1" t="s">
        <v>185</v>
      </c>
      <c r="E6212" s="1" t="s">
        <v>16613</v>
      </c>
      <c r="H6212" s="1" t="s">
        <v>4</v>
      </c>
      <c r="L6212" s="1" t="s">
        <v>8</v>
      </c>
      <c r="AJ6212" s="1" t="s">
        <v>32</v>
      </c>
      <c r="AT6212" s="1" t="s">
        <v>42</v>
      </c>
      <c r="EM6212" s="1" t="s">
        <v>139</v>
      </c>
      <c r="EN6212" s="1" t="s">
        <v>140</v>
      </c>
      <c r="GD6212" s="1" t="s">
        <v>193</v>
      </c>
      <c r="GE6212" s="1" t="s">
        <v>190</v>
      </c>
    </row>
    <row r="6213" spans="1:187" ht="11.25" customHeight="1">
      <c r="A6213" s="1" t="s">
        <v>8765</v>
      </c>
      <c r="B6213" s="1" t="str">
        <f ca="1">IFERROR(__xludf.DUMMYFUNCTION("GOOGLETRANSLATE(A6213, ""en"", ""fr"")"),"PERTE")</f>
        <v>PERTE</v>
      </c>
      <c r="C6213" s="1" t="s">
        <v>185</v>
      </c>
      <c r="E6213" s="1" t="s">
        <v>16613</v>
      </c>
      <c r="H6213" s="1" t="s">
        <v>4</v>
      </c>
      <c r="L6213" s="1" t="s">
        <v>8</v>
      </c>
      <c r="V6213" s="1" t="s">
        <v>18</v>
      </c>
      <c r="FO6213" s="1" t="s">
        <v>167</v>
      </c>
      <c r="GD6213" s="1" t="s">
        <v>193</v>
      </c>
      <c r="GE6213" s="1" t="s">
        <v>8766</v>
      </c>
    </row>
    <row r="6214" spans="1:187" ht="11.25" customHeight="1">
      <c r="A6214" s="1" t="s">
        <v>8767</v>
      </c>
      <c r="B6214" s="1" t="str">
        <f ca="1">IFERROR(__xludf.DUMMYFUNCTION("GOOGLETRANSLATE(A6214, ""en"", ""fr"")"),"Perdu # 1")</f>
        <v>Perdu # 1</v>
      </c>
      <c r="C6214" s="1" t="s">
        <v>185</v>
      </c>
      <c r="E6214" s="1" t="s">
        <v>16613</v>
      </c>
      <c r="H6214" s="1" t="s">
        <v>4</v>
      </c>
      <c r="L6214" s="1" t="s">
        <v>8</v>
      </c>
      <c r="O6214" s="1" t="s">
        <v>11</v>
      </c>
      <c r="CD6214" s="1" t="s">
        <v>78</v>
      </c>
      <c r="DO6214" s="1" t="s">
        <v>115</v>
      </c>
      <c r="FO6214" s="1" t="s">
        <v>167</v>
      </c>
      <c r="GD6214" s="1" t="s">
        <v>1076</v>
      </c>
      <c r="GE6214" s="1" t="s">
        <v>8768</v>
      </c>
    </row>
    <row r="6215" spans="1:187" ht="11.25" customHeight="1">
      <c r="A6215" s="1" t="s">
        <v>8769</v>
      </c>
      <c r="B6215" s="1" t="str">
        <f ca="1">IFERROR(__xludf.DUMMYFUNCTION("GOOGLETRANSLATE(A6215, ""en"", ""fr"")"),"Perdu # 2")</f>
        <v>Perdu # 2</v>
      </c>
      <c r="C6215" s="1" t="s">
        <v>185</v>
      </c>
      <c r="E6215" s="1" t="s">
        <v>16613</v>
      </c>
      <c r="H6215" s="1" t="s">
        <v>4</v>
      </c>
      <c r="L6215" s="1" t="s">
        <v>8</v>
      </c>
      <c r="O6215" s="1" t="s">
        <v>11</v>
      </c>
      <c r="BT6215" s="1" t="s">
        <v>68</v>
      </c>
      <c r="DO6215" s="1" t="s">
        <v>115</v>
      </c>
      <c r="DT6215" s="1" t="s">
        <v>120</v>
      </c>
      <c r="ED6215" s="1" t="s">
        <v>130</v>
      </c>
      <c r="GD6215" s="1" t="s">
        <v>1076</v>
      </c>
      <c r="GE6215" s="1" t="s">
        <v>8770</v>
      </c>
    </row>
    <row r="6216" spans="1:187" ht="11.25" customHeight="1">
      <c r="A6216" s="1" t="s">
        <v>8771</v>
      </c>
      <c r="B6216" s="1" t="str">
        <f ca="1">IFERROR(__xludf.DUMMYFUNCTION("GOOGLETRANSLATE(A6216, ""en"", ""fr"")"),"Perdu # 3")</f>
        <v>Perdu # 3</v>
      </c>
      <c r="C6216" s="1" t="s">
        <v>185</v>
      </c>
      <c r="E6216" s="1" t="s">
        <v>16613</v>
      </c>
      <c r="H6216" s="1" t="s">
        <v>4</v>
      </c>
      <c r="L6216" s="1" t="s">
        <v>8</v>
      </c>
      <c r="O6216" s="1" t="s">
        <v>11</v>
      </c>
      <c r="V6216" s="1" t="s">
        <v>18</v>
      </c>
      <c r="FP6216" s="1" t="s">
        <v>168</v>
      </c>
      <c r="GD6216" s="1" t="s">
        <v>202</v>
      </c>
      <c r="GE6216" s="1" t="s">
        <v>8772</v>
      </c>
    </row>
    <row r="6217" spans="1:187" ht="11.25" customHeight="1">
      <c r="A6217" s="1" t="s">
        <v>8773</v>
      </c>
      <c r="B6217" s="1" t="str">
        <f ca="1">IFERROR(__xludf.DUMMYFUNCTION("GOOGLETRANSLATE(A6217, ""en"", ""fr"")"),"Perdu # 4")</f>
        <v>Perdu # 4</v>
      </c>
      <c r="C6217" s="1" t="s">
        <v>185</v>
      </c>
      <c r="E6217" s="1" t="s">
        <v>16613</v>
      </c>
      <c r="H6217" s="1" t="s">
        <v>4</v>
      </c>
      <c r="L6217" s="1" t="s">
        <v>8</v>
      </c>
      <c r="BZ6217" s="1" t="s">
        <v>74</v>
      </c>
      <c r="FO6217" s="1" t="s">
        <v>167</v>
      </c>
      <c r="GD6217" s="1" t="s">
        <v>202</v>
      </c>
      <c r="GE6217" s="1" t="s">
        <v>8774</v>
      </c>
    </row>
    <row r="6218" spans="1:187" ht="11.25" customHeight="1">
      <c r="A6218" s="1" t="s">
        <v>8775</v>
      </c>
      <c r="B6218" s="1" t="str">
        <f ca="1">IFERROR(__xludf.DUMMYFUNCTION("GOOGLETRANSLATE(A6218, ""en"", ""fr"")"),"Perdu # 5")</f>
        <v>Perdu # 5</v>
      </c>
      <c r="C6218" s="1" t="s">
        <v>185</v>
      </c>
      <c r="GD6218" s="1" t="s">
        <v>225</v>
      </c>
      <c r="GE6218" s="1" t="s">
        <v>8776</v>
      </c>
    </row>
    <row r="6219" spans="1:187" ht="11.25" customHeight="1">
      <c r="A6219" s="1" t="s">
        <v>8777</v>
      </c>
      <c r="B6219" s="1" t="str">
        <f ca="1">IFERROR(__xludf.DUMMYFUNCTION("GOOGLETRANSLATE(A6219, ""en"", ""fr"")"),"Lot n ° 1")</f>
        <v>Lot n ° 1</v>
      </c>
      <c r="C6219" s="1" t="s">
        <v>185</v>
      </c>
      <c r="J6219" s="1" t="s">
        <v>6</v>
      </c>
      <c r="CS6219" s="1" t="s">
        <v>93</v>
      </c>
      <c r="GD6219" s="1" t="s">
        <v>849</v>
      </c>
      <c r="GE6219" s="1" t="s">
        <v>8778</v>
      </c>
    </row>
    <row r="6220" spans="1:187" ht="11.25" customHeight="1">
      <c r="A6220" s="1" t="s">
        <v>8779</v>
      </c>
      <c r="B6220" s="1" t="str">
        <f ca="1">IFERROR(__xludf.DUMMYFUNCTION("GOOGLETRANSLATE(A6220, ""en"", ""fr"")"),"Lot n ° 2")</f>
        <v>Lot n ° 2</v>
      </c>
      <c r="C6220" s="1" t="s">
        <v>185</v>
      </c>
      <c r="J6220" s="1" t="s">
        <v>6</v>
      </c>
      <c r="U6220" s="1" t="s">
        <v>17</v>
      </c>
      <c r="CP6220" s="1" t="s">
        <v>90</v>
      </c>
      <c r="CQ6220" s="1" t="s">
        <v>91</v>
      </c>
      <c r="FR6220" s="1" t="s">
        <v>170</v>
      </c>
      <c r="GD6220" s="1" t="s">
        <v>193</v>
      </c>
      <c r="GE6220" s="1" t="s">
        <v>8780</v>
      </c>
    </row>
    <row r="6221" spans="1:187" ht="11.25" customHeight="1">
      <c r="A6221" s="1" t="s">
        <v>8781</v>
      </c>
      <c r="B6221" s="1" t="str">
        <f ca="1">IFERROR(__xludf.DUMMYFUNCTION("GOOGLETRANSLATE(A6221, ""en"", ""fr"")"),"Lot # 3")</f>
        <v>Lot # 3</v>
      </c>
      <c r="C6221" s="1" t="s">
        <v>185</v>
      </c>
      <c r="AV6221" s="1" t="s">
        <v>44</v>
      </c>
      <c r="BA6221" s="1" t="s">
        <v>49</v>
      </c>
      <c r="EV6221" s="1" t="s">
        <v>148</v>
      </c>
      <c r="EW6221" s="1" t="s">
        <v>149</v>
      </c>
      <c r="GD6221" s="1" t="s">
        <v>193</v>
      </c>
      <c r="GE6221" s="1" t="s">
        <v>8782</v>
      </c>
    </row>
    <row r="6222" spans="1:187" ht="11.25" customHeight="1">
      <c r="A6222" s="1" t="s">
        <v>8783</v>
      </c>
      <c r="B6222" s="1" t="str">
        <f ca="1">IFERROR(__xludf.DUMMYFUNCTION("GOOGLETRANSLATE(A6222, ""en"", ""fr"")"),"Lot n ° 4")</f>
        <v>Lot n ° 4</v>
      </c>
      <c r="C6222" s="1" t="s">
        <v>185</v>
      </c>
      <c r="CS6222" s="1" t="s">
        <v>93</v>
      </c>
      <c r="GD6222" s="1" t="s">
        <v>193</v>
      </c>
      <c r="GE6222" s="1" t="s">
        <v>8784</v>
      </c>
    </row>
    <row r="6223" spans="1:187" ht="11.25" customHeight="1">
      <c r="A6223" s="1" t="s">
        <v>8785</v>
      </c>
      <c r="B6223" s="1" t="str">
        <f ca="1">IFERROR(__xludf.DUMMYFUNCTION("GOOGLETRANSLATE(A6223, ""en"", ""fr"")"),"Lot n ° 5")</f>
        <v>Lot n ° 5</v>
      </c>
      <c r="C6223" s="1" t="s">
        <v>185</v>
      </c>
      <c r="GD6223" s="1" t="s">
        <v>225</v>
      </c>
      <c r="GE6223" s="1" t="s">
        <v>8786</v>
      </c>
    </row>
    <row r="6224" spans="1:187" ht="11.25" customHeight="1">
      <c r="A6224" s="1" t="s">
        <v>8787</v>
      </c>
      <c r="B6224" s="1" t="str">
        <f ca="1">IFERROR(__xludf.DUMMYFUNCTION("GOOGLETRANSLATE(A6224, ""en"", ""fr"")"),"Loud n ° 1")</f>
        <v>Loud n ° 1</v>
      </c>
      <c r="C6224" s="1" t="s">
        <v>185</v>
      </c>
      <c r="J6224" s="1" t="s">
        <v>6</v>
      </c>
      <c r="CR6224" s="1" t="s">
        <v>92</v>
      </c>
      <c r="GD6224" s="1" t="s">
        <v>202</v>
      </c>
      <c r="GE6224" s="1" t="s">
        <v>8788</v>
      </c>
    </row>
    <row r="6225" spans="1:187" ht="11.25" customHeight="1">
      <c r="A6225" s="1" t="s">
        <v>8789</v>
      </c>
      <c r="B6225" s="1" t="str">
        <f ca="1">IFERROR(__xludf.DUMMYFUNCTION("GOOGLETRANSLATE(A6225, ""en"", ""fr"")"),"Bruyant # 2")</f>
        <v>Bruyant # 2</v>
      </c>
      <c r="C6225" s="1" t="s">
        <v>185</v>
      </c>
      <c r="J6225" s="1" t="s">
        <v>6</v>
      </c>
      <c r="CR6225" s="1" t="s">
        <v>92</v>
      </c>
      <c r="GD6225" s="1" t="s">
        <v>202</v>
      </c>
      <c r="GE6225" s="1" t="s">
        <v>8790</v>
      </c>
    </row>
    <row r="6226" spans="1:187" ht="11.25" customHeight="1">
      <c r="A6226" s="1" t="s">
        <v>8791</v>
      </c>
      <c r="B6226" s="1" t="str">
        <f ca="1">IFERROR(__xludf.DUMMYFUNCTION("GOOGLETRANSLATE(A6226, ""en"", ""fr"")"),"Loud # 3")</f>
        <v>Loud # 3</v>
      </c>
      <c r="C6226" s="1" t="s">
        <v>185</v>
      </c>
      <c r="J6226" s="1" t="s">
        <v>6</v>
      </c>
      <c r="CR6226" s="1" t="s">
        <v>92</v>
      </c>
      <c r="GD6226" s="1" t="s">
        <v>202</v>
      </c>
      <c r="GE6226" s="1" t="s">
        <v>8792</v>
      </c>
    </row>
    <row r="6227" spans="1:187" ht="11.25" customHeight="1">
      <c r="A6227" s="1" t="s">
        <v>8793</v>
      </c>
      <c r="B6227" s="1" t="str">
        <f ca="1">IFERROR(__xludf.DUMMYFUNCTION("GOOGLETRANSLATE(A6227, ""en"", ""fr"")"),"Bruyant # 4")</f>
        <v>Bruyant # 4</v>
      </c>
      <c r="C6227" s="1" t="s">
        <v>185</v>
      </c>
      <c r="J6227" s="1" t="s">
        <v>6</v>
      </c>
      <c r="CR6227" s="1" t="s">
        <v>92</v>
      </c>
      <c r="GD6227" s="1" t="s">
        <v>236</v>
      </c>
      <c r="GE6227" s="1" t="s">
        <v>8794</v>
      </c>
    </row>
    <row r="6228" spans="1:187" ht="11.25" customHeight="1">
      <c r="A6228" s="1" t="s">
        <v>8795</v>
      </c>
      <c r="B6228" s="1" t="str">
        <f ca="1">IFERROR(__xludf.DUMMYFUNCTION("GOOGLETRANSLATE(A6228, ""en"", ""fr"")"),"Loud n ° 5")</f>
        <v>Loud n ° 5</v>
      </c>
      <c r="C6228" s="1" t="s">
        <v>185</v>
      </c>
      <c r="J6228" s="1" t="s">
        <v>6</v>
      </c>
      <c r="BK6228" s="1" t="s">
        <v>59</v>
      </c>
      <c r="GC6228" s="1" t="s">
        <v>181</v>
      </c>
      <c r="GD6228" s="1" t="s">
        <v>236</v>
      </c>
      <c r="GE6228" s="1" t="s">
        <v>8796</v>
      </c>
    </row>
    <row r="6229" spans="1:187" ht="11.25" customHeight="1">
      <c r="A6229" s="1" t="s">
        <v>8797</v>
      </c>
      <c r="B6229" s="1" t="str">
        <f ca="1">IFERROR(__xludf.DUMMYFUNCTION("GOOGLETRANSLATE(A6229, ""en"", ""fr"")"),"LOUISIANE")</f>
        <v>LOUISIANE</v>
      </c>
      <c r="C6229" s="1" t="s">
        <v>196</v>
      </c>
      <c r="GD6229" s="1" t="s">
        <v>653</v>
      </c>
    </row>
    <row r="6230" spans="1:187" ht="11.25" customHeight="1">
      <c r="A6230" s="1" t="s">
        <v>8798</v>
      </c>
      <c r="B6230" s="1" t="str">
        <f ca="1">IFERROR(__xludf.DUMMYFUNCTION("GOOGLETRANSLATE(A6230, ""en"", ""fr"")"),"Love # 1")</f>
        <v>Love # 1</v>
      </c>
      <c r="C6230" s="1" t="s">
        <v>185</v>
      </c>
      <c r="D6230" s="1" t="s">
        <v>16612</v>
      </c>
      <c r="F6230" s="1" t="s">
        <v>2</v>
      </c>
      <c r="G6230" s="1" t="s">
        <v>3</v>
      </c>
      <c r="O6230" s="1" t="s">
        <v>11</v>
      </c>
      <c r="AN6230" s="1" t="s">
        <v>36</v>
      </c>
      <c r="DP6230" s="1" t="s">
        <v>116</v>
      </c>
      <c r="EO6230" s="1" t="s">
        <v>141</v>
      </c>
      <c r="ES6230" s="1" t="s">
        <v>145</v>
      </c>
      <c r="GD6230" s="1" t="s">
        <v>189</v>
      </c>
      <c r="GE6230" s="1" t="s">
        <v>8799</v>
      </c>
    </row>
    <row r="6231" spans="1:187" ht="11.25" customHeight="1">
      <c r="A6231" s="1" t="s">
        <v>8800</v>
      </c>
      <c r="B6231" s="1" t="str">
        <f ca="1">IFERROR(__xludf.DUMMYFUNCTION("GOOGLETRANSLATE(A6231, ""en"", ""fr"")"),"Love # 2")</f>
        <v>Love # 2</v>
      </c>
      <c r="C6231" s="1" t="s">
        <v>185</v>
      </c>
      <c r="D6231" s="1" t="s">
        <v>16612</v>
      </c>
      <c r="F6231" s="1" t="s">
        <v>2</v>
      </c>
      <c r="G6231" s="1" t="s">
        <v>3</v>
      </c>
      <c r="O6231" s="1" t="s">
        <v>11</v>
      </c>
      <c r="P6231" s="1" t="s">
        <v>12</v>
      </c>
      <c r="T6231" s="1" t="s">
        <v>16</v>
      </c>
      <c r="ER6231" s="1" t="s">
        <v>144</v>
      </c>
      <c r="ES6231" s="1" t="s">
        <v>145</v>
      </c>
      <c r="GD6231" s="1" t="s">
        <v>193</v>
      </c>
      <c r="GE6231" s="1" t="s">
        <v>8801</v>
      </c>
    </row>
    <row r="6232" spans="1:187" ht="11.25" customHeight="1">
      <c r="A6232" s="1" t="s">
        <v>8802</v>
      </c>
      <c r="B6232" s="1" t="str">
        <f ca="1">IFERROR(__xludf.DUMMYFUNCTION("GOOGLETRANSLATE(A6232, ""en"", ""fr"")"),"Love # 3")</f>
        <v>Love # 3</v>
      </c>
      <c r="C6232" s="1" t="s">
        <v>185</v>
      </c>
      <c r="D6232" s="1" t="s">
        <v>16612</v>
      </c>
      <c r="F6232" s="1" t="s">
        <v>2</v>
      </c>
      <c r="G6232" s="1" t="s">
        <v>3</v>
      </c>
      <c r="O6232" s="1" t="s">
        <v>11</v>
      </c>
      <c r="P6232" s="1" t="s">
        <v>12</v>
      </c>
      <c r="T6232" s="1" t="s">
        <v>16</v>
      </c>
      <c r="EO6232" s="1" t="s">
        <v>141</v>
      </c>
      <c r="ES6232" s="1" t="s">
        <v>145</v>
      </c>
      <c r="GD6232" s="1" t="s">
        <v>202</v>
      </c>
      <c r="GE6232" s="1" t="s">
        <v>8803</v>
      </c>
    </row>
    <row r="6233" spans="1:187" ht="11.25" customHeight="1">
      <c r="A6233" s="1" t="s">
        <v>8804</v>
      </c>
      <c r="B6233" s="1" t="str">
        <f ca="1">IFERROR(__xludf.DUMMYFUNCTION("GOOGLETRANSLATE(A6233, ""en"", ""fr"")"),"Love # 4")</f>
        <v>Love # 4</v>
      </c>
      <c r="C6233" s="1" t="s">
        <v>185</v>
      </c>
      <c r="D6233" s="1" t="s">
        <v>16612</v>
      </c>
      <c r="F6233" s="1" t="s">
        <v>2</v>
      </c>
      <c r="G6233" s="1" t="s">
        <v>3</v>
      </c>
      <c r="O6233" s="1" t="s">
        <v>11</v>
      </c>
      <c r="P6233" s="1" t="s">
        <v>12</v>
      </c>
      <c r="T6233" s="1" t="s">
        <v>16</v>
      </c>
      <c r="EO6233" s="1" t="s">
        <v>141</v>
      </c>
      <c r="ES6233" s="1" t="s">
        <v>145</v>
      </c>
      <c r="GD6233" s="1" t="s">
        <v>202</v>
      </c>
      <c r="GE6233" s="1" t="s">
        <v>8805</v>
      </c>
    </row>
    <row r="6234" spans="1:187" ht="11.25" customHeight="1">
      <c r="A6234" s="1" t="s">
        <v>8806</v>
      </c>
      <c r="B6234" s="1" t="str">
        <f ca="1">IFERROR(__xludf.DUMMYFUNCTION("GOOGLETRANSLATE(A6234, ""en"", ""fr"")"),"Amour # 5")</f>
        <v>Amour # 5</v>
      </c>
      <c r="C6234" s="1" t="s">
        <v>185</v>
      </c>
      <c r="G6234" s="1" t="s">
        <v>3</v>
      </c>
      <c r="J6234" s="1" t="s">
        <v>6</v>
      </c>
      <c r="N6234" s="1" t="s">
        <v>10</v>
      </c>
      <c r="AN6234" s="1" t="s">
        <v>36</v>
      </c>
      <c r="DN6234" s="1" t="s">
        <v>114</v>
      </c>
      <c r="EO6234" s="1" t="s">
        <v>141</v>
      </c>
      <c r="ES6234" s="1" t="s">
        <v>145</v>
      </c>
      <c r="GD6234" s="1" t="s">
        <v>189</v>
      </c>
      <c r="GE6234" s="1" t="s">
        <v>8807</v>
      </c>
    </row>
    <row r="6235" spans="1:187" ht="11.25" customHeight="1">
      <c r="A6235" s="1" t="s">
        <v>8808</v>
      </c>
      <c r="B6235" s="1" t="str">
        <f ca="1">IFERROR(__xludf.DUMMYFUNCTION("GOOGLETRANSLATE(A6235, ""en"", ""fr"")"),"Amour # 6")</f>
        <v>Amour # 6</v>
      </c>
      <c r="C6235" s="1" t="s">
        <v>185</v>
      </c>
      <c r="G6235" s="1" t="s">
        <v>3</v>
      </c>
      <c r="AN6235" s="1" t="s">
        <v>36</v>
      </c>
      <c r="ER6235" s="1" t="s">
        <v>144</v>
      </c>
      <c r="ES6235" s="1" t="s">
        <v>145</v>
      </c>
      <c r="GD6235" s="1" t="s">
        <v>193</v>
      </c>
      <c r="GE6235" s="1" t="s">
        <v>8809</v>
      </c>
    </row>
    <row r="6236" spans="1:187" ht="11.25" customHeight="1">
      <c r="A6236" s="1" t="s">
        <v>8810</v>
      </c>
      <c r="B6236" s="1" t="str">
        <f ca="1">IFERROR(__xludf.DUMMYFUNCTION("GOOGLETRANSLATE(A6236, ""en"", ""fr"")"),"Love # 7")</f>
        <v>Love # 7</v>
      </c>
      <c r="C6236" s="1" t="s">
        <v>185</v>
      </c>
      <c r="GD6236" s="1" t="s">
        <v>225</v>
      </c>
      <c r="GE6236" s="1" t="s">
        <v>8811</v>
      </c>
    </row>
    <row r="6237" spans="1:187" ht="11.25" customHeight="1">
      <c r="A6237" s="1" t="s">
        <v>8812</v>
      </c>
      <c r="B6237" s="1" t="str">
        <f ca="1">IFERROR(__xludf.DUMMYFUNCTION("GOOGLETRANSLATE(A6237, ""en"", ""fr"")"),"Sans amour")</f>
        <v>Sans amour</v>
      </c>
      <c r="C6237" s="1" t="s">
        <v>185</v>
      </c>
      <c r="E6237" s="1" t="s">
        <v>16613</v>
      </c>
      <c r="G6237" s="1" t="s">
        <v>3</v>
      </c>
      <c r="H6237" s="1" t="s">
        <v>4</v>
      </c>
      <c r="O6237" s="1" t="s">
        <v>11</v>
      </c>
      <c r="V6237" s="1" t="s">
        <v>18</v>
      </c>
      <c r="EP6237" s="1" t="s">
        <v>142</v>
      </c>
      <c r="ES6237" s="1" t="s">
        <v>145</v>
      </c>
      <c r="GD6237" s="1" t="s">
        <v>202</v>
      </c>
      <c r="GE6237" s="1" t="s">
        <v>190</v>
      </c>
    </row>
    <row r="6238" spans="1:187" ht="11.25" customHeight="1">
      <c r="A6238" s="1" t="s">
        <v>8813</v>
      </c>
      <c r="B6238" s="1" t="str">
        <f ca="1">IFERROR(__xludf.DUMMYFUNCTION("GOOGLETRANSLATE(A6238, ""en"", ""fr"")"),"BEAUTÉ")</f>
        <v>BEAUTÉ</v>
      </c>
      <c r="C6238" s="1" t="s">
        <v>192</v>
      </c>
      <c r="D6238" s="1" t="s">
        <v>16612</v>
      </c>
      <c r="U6238" s="1" t="s">
        <v>17</v>
      </c>
      <c r="GD6238" s="1" t="s">
        <v>193</v>
      </c>
      <c r="GE6238" s="1" t="s">
        <v>190</v>
      </c>
    </row>
    <row r="6239" spans="1:187" ht="11.25" customHeight="1">
      <c r="A6239" s="1" t="s">
        <v>8814</v>
      </c>
      <c r="B6239" s="1" t="str">
        <f ca="1">IFERROR(__xludf.DUMMYFUNCTION("GOOGLETRANSLATE(A6239, ""en"", ""fr"")"),"BEAU")</f>
        <v>BEAU</v>
      </c>
      <c r="C6239" s="1" t="s">
        <v>185</v>
      </c>
      <c r="D6239" s="1" t="s">
        <v>16612</v>
      </c>
      <c r="F6239" s="1" t="s">
        <v>2</v>
      </c>
      <c r="U6239" s="1" t="s">
        <v>17</v>
      </c>
      <c r="CN6239" s="1" t="s">
        <v>88</v>
      </c>
      <c r="FJ6239" s="1" t="s">
        <v>162</v>
      </c>
      <c r="FM6239" s="1" t="s">
        <v>418</v>
      </c>
      <c r="GD6239" s="1" t="s">
        <v>202</v>
      </c>
      <c r="GE6239" s="1" t="s">
        <v>8815</v>
      </c>
    </row>
    <row r="6240" spans="1:187" ht="11.25" customHeight="1">
      <c r="A6240" s="1" t="s">
        <v>8816</v>
      </c>
      <c r="B6240" s="1" t="str">
        <f ca="1">IFERROR(__xludf.DUMMYFUNCTION("GOOGLETRANSLATE(A6240, ""en"", ""fr"")"),"Lover # 1")</f>
        <v>Lover # 1</v>
      </c>
      <c r="C6240" s="1" t="s">
        <v>185</v>
      </c>
      <c r="D6240" s="1" t="s">
        <v>16612</v>
      </c>
      <c r="F6240" s="1" t="s">
        <v>2</v>
      </c>
      <c r="G6240" s="1" t="s">
        <v>3</v>
      </c>
      <c r="AJ6240" s="1" t="s">
        <v>32</v>
      </c>
      <c r="AT6240" s="1" t="s">
        <v>42</v>
      </c>
      <c r="EQ6240" s="1" t="s">
        <v>143</v>
      </c>
      <c r="ES6240" s="1" t="s">
        <v>145</v>
      </c>
      <c r="GD6240" s="1" t="s">
        <v>193</v>
      </c>
      <c r="GE6240" s="1" t="s">
        <v>8817</v>
      </c>
    </row>
    <row r="6241" spans="1:187" ht="11.25" customHeight="1">
      <c r="A6241" s="1" t="s">
        <v>8818</v>
      </c>
      <c r="B6241" s="1" t="str">
        <f ca="1">IFERROR(__xludf.DUMMYFUNCTION("GOOGLETRANSLATE(A6241, ""en"", ""fr"")"),"Lover # 2")</f>
        <v>Lover # 2</v>
      </c>
      <c r="C6241" s="1" t="s">
        <v>185</v>
      </c>
      <c r="D6241" s="1" t="s">
        <v>16612</v>
      </c>
      <c r="F6241" s="1" t="s">
        <v>2</v>
      </c>
      <c r="G6241" s="1" t="s">
        <v>3</v>
      </c>
      <c r="AJ6241" s="1" t="s">
        <v>32</v>
      </c>
      <c r="AT6241" s="1" t="s">
        <v>42</v>
      </c>
      <c r="EQ6241" s="1" t="s">
        <v>143</v>
      </c>
      <c r="ES6241" s="1" t="s">
        <v>145</v>
      </c>
      <c r="GD6241" s="1" t="s">
        <v>193</v>
      </c>
      <c r="GE6241" s="1" t="s">
        <v>8819</v>
      </c>
    </row>
    <row r="6242" spans="1:187" ht="11.25" customHeight="1">
      <c r="A6242" s="1" t="s">
        <v>8820</v>
      </c>
      <c r="B6242" s="1" t="str">
        <f ca="1">IFERROR(__xludf.DUMMYFUNCTION("GOOGLETRANSLATE(A6242, ""en"", ""fr"")"),"Bas # 1")</f>
        <v>Bas # 1</v>
      </c>
      <c r="C6242" s="1" t="s">
        <v>185</v>
      </c>
      <c r="E6242" s="1" t="s">
        <v>16613</v>
      </c>
      <c r="H6242" s="1" t="s">
        <v>4</v>
      </c>
      <c r="L6242" s="1" t="s">
        <v>8</v>
      </c>
      <c r="DA6242" s="1" t="s">
        <v>101</v>
      </c>
      <c r="DB6242" s="1" t="s">
        <v>102</v>
      </c>
      <c r="DC6242" s="1" t="s">
        <v>103</v>
      </c>
      <c r="GD6242" s="1" t="s">
        <v>202</v>
      </c>
      <c r="GE6242" s="1" t="s">
        <v>8821</v>
      </c>
    </row>
    <row r="6243" spans="1:187" ht="11.25" customHeight="1">
      <c r="A6243" s="1" t="s">
        <v>8822</v>
      </c>
      <c r="B6243" s="1" t="str">
        <f ca="1">IFERROR(__xludf.DUMMYFUNCTION("GOOGLETRANSLATE(A6243, ""en"", ""fr"")"),"Bas # 2")</f>
        <v>Bas # 2</v>
      </c>
      <c r="C6243" s="1" t="s">
        <v>185</v>
      </c>
      <c r="E6243" s="1" t="s">
        <v>16613</v>
      </c>
      <c r="H6243" s="1" t="s">
        <v>4</v>
      </c>
      <c r="L6243" s="1" t="s">
        <v>8</v>
      </c>
      <c r="DA6243" s="1" t="s">
        <v>101</v>
      </c>
      <c r="DB6243" s="1" t="s">
        <v>102</v>
      </c>
      <c r="DC6243" s="1" t="s">
        <v>103</v>
      </c>
      <c r="GD6243" s="1" t="s">
        <v>202</v>
      </c>
      <c r="GE6243" s="1" t="s">
        <v>8823</v>
      </c>
    </row>
    <row r="6244" spans="1:187" ht="11.25" customHeight="1">
      <c r="A6244" s="1" t="s">
        <v>8824</v>
      </c>
      <c r="B6244" s="1" t="str">
        <f ca="1">IFERROR(__xludf.DUMMYFUNCTION("GOOGLETRANSLATE(A6244, ""en"", ""fr"")"),"FAIBLE COÛT")</f>
        <v>FAIBLE COÛT</v>
      </c>
      <c r="C6244" s="1" t="s">
        <v>196</v>
      </c>
      <c r="EV6244" s="1" t="s">
        <v>148</v>
      </c>
      <c r="EW6244" s="1" t="s">
        <v>149</v>
      </c>
      <c r="GD6244" s="1" t="s">
        <v>193</v>
      </c>
    </row>
    <row r="6245" spans="1:187" ht="11.25" customHeight="1">
      <c r="A6245" s="1" t="s">
        <v>8825</v>
      </c>
      <c r="B6245" s="1" t="str">
        <f ca="1">IFERROR(__xludf.DUMMYFUNCTION("GOOGLETRANSLATE(A6245, ""en"", ""fr"")"),"FAIBLE REVENU")</f>
        <v>FAIBLE REVENU</v>
      </c>
      <c r="C6245" s="1" t="s">
        <v>196</v>
      </c>
      <c r="EY6245" s="1" t="s">
        <v>151</v>
      </c>
      <c r="FC6245" s="1" t="s">
        <v>155</v>
      </c>
      <c r="GD6245" s="1" t="s">
        <v>193</v>
      </c>
    </row>
    <row r="6246" spans="1:187" ht="11.25" customHeight="1">
      <c r="A6246" s="1" t="s">
        <v>8826</v>
      </c>
      <c r="B6246" s="1" t="str">
        <f ca="1">IFERROR(__xludf.DUMMYFUNCTION("GOOGLETRANSLATE(A6246, ""en"", ""fr"")"),"Inférieur n ° 1")</f>
        <v>Inférieur n ° 1</v>
      </c>
      <c r="C6246" s="1" t="s">
        <v>185</v>
      </c>
      <c r="E6246" s="1" t="s">
        <v>16613</v>
      </c>
      <c r="H6246" s="1" t="s">
        <v>4</v>
      </c>
      <c r="L6246" s="1" t="s">
        <v>8</v>
      </c>
      <c r="CL6246" s="1" t="s">
        <v>86</v>
      </c>
      <c r="DA6246" s="1" t="s">
        <v>101</v>
      </c>
      <c r="DB6246" s="1" t="s">
        <v>102</v>
      </c>
      <c r="GD6246" s="1" t="s">
        <v>8827</v>
      </c>
      <c r="GE6246" s="1" t="s">
        <v>8828</v>
      </c>
    </row>
    <row r="6247" spans="1:187" ht="11.25" customHeight="1">
      <c r="A6247" s="1" t="s">
        <v>8829</v>
      </c>
      <c r="B6247" s="1" t="str">
        <f ca="1">IFERROR(__xludf.DUMMYFUNCTION("GOOGLETRANSLATE(A6247, ""en"", ""fr"")"),"Inférieur n ° 2")</f>
        <v>Inférieur n ° 2</v>
      </c>
      <c r="C6247" s="1" t="s">
        <v>185</v>
      </c>
      <c r="J6247" s="1" t="s">
        <v>6</v>
      </c>
      <c r="N6247" s="1" t="s">
        <v>10</v>
      </c>
      <c r="CF6247" s="1" t="s">
        <v>80</v>
      </c>
      <c r="DO6247" s="1" t="s">
        <v>115</v>
      </c>
      <c r="FP6247" s="1" t="s">
        <v>168</v>
      </c>
      <c r="GD6247" s="1" t="s">
        <v>189</v>
      </c>
      <c r="GE6247" s="1" t="s">
        <v>8830</v>
      </c>
    </row>
    <row r="6248" spans="1:187" ht="11.25" customHeight="1">
      <c r="A6248" s="1" t="s">
        <v>8831</v>
      </c>
      <c r="B6248" s="1" t="str">
        <f ca="1">IFERROR(__xludf.DUMMYFUNCTION("GOOGLETRANSLATE(A6248, ""en"", ""fr"")"),"Inférieur # 3")</f>
        <v>Inférieur # 3</v>
      </c>
      <c r="C6248" s="1" t="s">
        <v>185</v>
      </c>
      <c r="BY6248" s="1" t="s">
        <v>73</v>
      </c>
      <c r="GD6248" s="1" t="s">
        <v>193</v>
      </c>
      <c r="GE6248" s="1" t="s">
        <v>8832</v>
      </c>
    </row>
    <row r="6249" spans="1:187" ht="11.25" customHeight="1">
      <c r="A6249" s="1" t="s">
        <v>8833</v>
      </c>
      <c r="B6249" s="1" t="str">
        <f ca="1">IFERROR(__xludf.DUMMYFUNCTION("GOOGLETRANSLATE(A6249, ""en"", ""fr"")"),"HUMBLE")</f>
        <v>HUMBLE</v>
      </c>
      <c r="C6249" s="1" t="s">
        <v>192</v>
      </c>
      <c r="E6249" s="1" t="s">
        <v>16613</v>
      </c>
      <c r="L6249" s="1" t="s">
        <v>8</v>
      </c>
      <c r="M6249" s="1" t="s">
        <v>9</v>
      </c>
      <c r="DR6249" s="1" t="s">
        <v>118</v>
      </c>
      <c r="GD6249" s="1" t="s">
        <v>202</v>
      </c>
      <c r="GE6249" s="1" t="s">
        <v>190</v>
      </c>
    </row>
    <row r="6250" spans="1:187" ht="11.25" customHeight="1">
      <c r="A6250" s="1" t="s">
        <v>8834</v>
      </c>
      <c r="B6250" s="1" t="str">
        <f ca="1">IFERROR(__xludf.DUMMYFUNCTION("GOOGLETRANSLATE(A6250, ""en"", ""fr"")"),"LOYAL")</f>
        <v>LOYAL</v>
      </c>
      <c r="C6250" s="1" t="s">
        <v>185</v>
      </c>
      <c r="D6250" s="1" t="s">
        <v>16612</v>
      </c>
      <c r="F6250" s="1" t="s">
        <v>2</v>
      </c>
      <c r="M6250" s="1" t="s">
        <v>9</v>
      </c>
      <c r="U6250" s="1" t="s">
        <v>17</v>
      </c>
      <c r="AG6250" s="1" t="s">
        <v>29</v>
      </c>
      <c r="ER6250" s="1" t="s">
        <v>144</v>
      </c>
      <c r="ES6250" s="1" t="s">
        <v>145</v>
      </c>
      <c r="GD6250" s="1" t="s">
        <v>202</v>
      </c>
      <c r="GE6250" s="1" t="s">
        <v>190</v>
      </c>
    </row>
    <row r="6251" spans="1:187" ht="11.25" customHeight="1">
      <c r="A6251" s="1" t="s">
        <v>8835</v>
      </c>
      <c r="B6251" s="1" t="str">
        <f ca="1">IFERROR(__xludf.DUMMYFUNCTION("GOOGLETRANSLATE(A6251, ""en"", ""fr"")"),"LOYAUTÉ")</f>
        <v>LOYAUTÉ</v>
      </c>
      <c r="C6251" s="1" t="s">
        <v>185</v>
      </c>
      <c r="D6251" s="1" t="s">
        <v>16612</v>
      </c>
      <c r="F6251" s="1" t="s">
        <v>2</v>
      </c>
      <c r="M6251" s="1" t="s">
        <v>9</v>
      </c>
      <c r="U6251" s="1" t="s">
        <v>17</v>
      </c>
      <c r="AG6251" s="1" t="s">
        <v>29</v>
      </c>
      <c r="AH6251" s="1" t="s">
        <v>30</v>
      </c>
      <c r="CP6251" s="1" t="s">
        <v>90</v>
      </c>
      <c r="CQ6251" s="1" t="s">
        <v>91</v>
      </c>
      <c r="ER6251" s="1" t="s">
        <v>144</v>
      </c>
      <c r="ES6251" s="1" t="s">
        <v>145</v>
      </c>
      <c r="GD6251" s="1" t="s">
        <v>193</v>
      </c>
      <c r="GE6251" s="1" t="s">
        <v>190</v>
      </c>
    </row>
    <row r="6252" spans="1:187" ht="11.25" customHeight="1">
      <c r="A6252" s="1" t="s">
        <v>8836</v>
      </c>
      <c r="B6252" s="1" t="str">
        <f ca="1">IFERROR(__xludf.DUMMYFUNCTION("GOOGLETRANSLATE(A6252, ""en"", ""fr"")"),"LUCIDE")</f>
        <v>LUCIDE</v>
      </c>
      <c r="C6252" s="1" t="s">
        <v>192</v>
      </c>
      <c r="D6252" s="1" t="s">
        <v>16612</v>
      </c>
      <c r="W6252" s="1" t="s">
        <v>19</v>
      </c>
      <c r="BK6252" s="1" t="s">
        <v>59</v>
      </c>
      <c r="DR6252" s="1" t="s">
        <v>118</v>
      </c>
      <c r="GD6252" s="1" t="s">
        <v>202</v>
      </c>
      <c r="GE6252" s="1" t="s">
        <v>190</v>
      </c>
    </row>
    <row r="6253" spans="1:187" ht="11.25" customHeight="1">
      <c r="A6253" s="1" t="s">
        <v>8837</v>
      </c>
      <c r="B6253" s="1" t="str">
        <f ca="1">IFERROR(__xludf.DUMMYFUNCTION("GOOGLETRANSLATE(A6253, ""en"", ""fr"")"),"CHANCE")</f>
        <v>CHANCE</v>
      </c>
      <c r="C6253" s="1" t="s">
        <v>185</v>
      </c>
      <c r="D6253" s="1" t="s">
        <v>16612</v>
      </c>
      <c r="F6253" s="1" t="s">
        <v>2</v>
      </c>
      <c r="J6253" s="1" t="s">
        <v>6</v>
      </c>
      <c r="U6253" s="1" t="s">
        <v>17</v>
      </c>
      <c r="X6253" s="1" t="s">
        <v>20</v>
      </c>
      <c r="CP6253" s="1" t="s">
        <v>90</v>
      </c>
      <c r="CQ6253" s="1" t="s">
        <v>91</v>
      </c>
      <c r="FR6253" s="1" t="s">
        <v>170</v>
      </c>
      <c r="GD6253" s="1" t="s">
        <v>193</v>
      </c>
      <c r="GE6253" s="1" t="s">
        <v>8838</v>
      </c>
    </row>
    <row r="6254" spans="1:187" ht="11.25" customHeight="1">
      <c r="A6254" s="1" t="s">
        <v>8839</v>
      </c>
      <c r="B6254" s="1" t="str">
        <f ca="1">IFERROR(__xludf.DUMMYFUNCTION("GOOGLETRANSLATE(A6254, ""en"", ""fr"")"),"HEUREUSEMENT")</f>
        <v>HEUREUSEMENT</v>
      </c>
      <c r="C6254" s="1" t="s">
        <v>185</v>
      </c>
      <c r="D6254" s="1" t="s">
        <v>16612</v>
      </c>
      <c r="F6254" s="1" t="s">
        <v>2</v>
      </c>
      <c r="U6254" s="1" t="s">
        <v>17</v>
      </c>
      <c r="X6254" s="1" t="s">
        <v>20</v>
      </c>
      <c r="FR6254" s="1" t="s">
        <v>170</v>
      </c>
      <c r="GD6254" s="1" t="s">
        <v>202</v>
      </c>
      <c r="GE6254" s="1" t="s">
        <v>190</v>
      </c>
    </row>
    <row r="6255" spans="1:187" ht="11.25" customHeight="1">
      <c r="A6255" s="1" t="s">
        <v>8840</v>
      </c>
      <c r="B6255" s="1" t="str">
        <f ca="1">IFERROR(__xludf.DUMMYFUNCTION("GOOGLETRANSLATE(A6255, ""en"", ""fr"")"),"CHANCEUX")</f>
        <v>CHANCEUX</v>
      </c>
      <c r="C6255" s="1" t="s">
        <v>185</v>
      </c>
      <c r="D6255" s="1" t="s">
        <v>16612</v>
      </c>
      <c r="F6255" s="1" t="s">
        <v>2</v>
      </c>
      <c r="O6255" s="1" t="s">
        <v>11</v>
      </c>
      <c r="U6255" s="1" t="s">
        <v>17</v>
      </c>
      <c r="FR6255" s="1" t="s">
        <v>170</v>
      </c>
      <c r="GD6255" s="1" t="s">
        <v>202</v>
      </c>
      <c r="GE6255" s="1" t="s">
        <v>190</v>
      </c>
    </row>
    <row r="6256" spans="1:187" ht="11.25" customHeight="1">
      <c r="A6256" s="1" t="s">
        <v>8841</v>
      </c>
      <c r="B6256" s="1" t="str">
        <f ca="1">IFERROR(__xludf.DUMMYFUNCTION("GOOGLETRANSLATE(A6256, ""en"", ""fr"")"),"LUCRATIF")</f>
        <v>LUCRATIF</v>
      </c>
      <c r="C6256" s="1" t="s">
        <v>192</v>
      </c>
      <c r="D6256" s="1" t="s">
        <v>16612</v>
      </c>
      <c r="AA6256" s="1" t="s">
        <v>23</v>
      </c>
      <c r="AB6256" s="1" t="s">
        <v>24</v>
      </c>
      <c r="BX6256" s="1" t="s">
        <v>72</v>
      </c>
      <c r="DR6256" s="1" t="s">
        <v>118</v>
      </c>
      <c r="GD6256" s="1" t="s">
        <v>202</v>
      </c>
      <c r="GE6256" s="1" t="s">
        <v>190</v>
      </c>
    </row>
    <row r="6257" spans="1:187" ht="11.25" customHeight="1">
      <c r="A6257" s="1" t="s">
        <v>8842</v>
      </c>
      <c r="B6257" s="1" t="str">
        <f ca="1">IFERROR(__xludf.DUMMYFUNCTION("GOOGLETRANSLATE(A6257, ""en"", ""fr"")"),"RIDICULE")</f>
        <v>RIDICULE</v>
      </c>
      <c r="C6257" s="1" t="s">
        <v>192</v>
      </c>
      <c r="E6257" s="1" t="s">
        <v>16613</v>
      </c>
      <c r="V6257" s="1" t="s">
        <v>18</v>
      </c>
      <c r="CM6257" s="1" t="s">
        <v>87</v>
      </c>
      <c r="DR6257" s="1" t="s">
        <v>118</v>
      </c>
      <c r="GD6257" s="1" t="s">
        <v>202</v>
      </c>
      <c r="GE6257" s="1" t="s">
        <v>190</v>
      </c>
    </row>
    <row r="6258" spans="1:187" ht="11.25" customHeight="1">
      <c r="A6258" s="1" t="s">
        <v>8843</v>
      </c>
      <c r="B6258" s="1" t="str">
        <f ca="1">IFERROR(__xludf.DUMMYFUNCTION("GOOGLETRANSLATE(A6258, ""en"", ""fr"")"),"BAGAGE")</f>
        <v>BAGAGE</v>
      </c>
      <c r="C6258" s="1" t="s">
        <v>185</v>
      </c>
      <c r="BC6258" s="1" t="s">
        <v>51</v>
      </c>
      <c r="BD6258" s="1" t="s">
        <v>52</v>
      </c>
      <c r="GD6258" s="1" t="s">
        <v>193</v>
      </c>
      <c r="GE6258" s="1" t="s">
        <v>190</v>
      </c>
    </row>
    <row r="6259" spans="1:187" ht="11.25" customHeight="1">
      <c r="A6259" s="1" t="s">
        <v>8844</v>
      </c>
      <c r="B6259" s="1" t="str">
        <f ca="1">IFERROR(__xludf.DUMMYFUNCTION("GOOGLETRANSLATE(A6259, ""en"", ""fr"")"),"ACCALMIE")</f>
        <v>ACCALMIE</v>
      </c>
      <c r="C6259" s="1" t="s">
        <v>192</v>
      </c>
      <c r="E6259" s="1" t="s">
        <v>16613</v>
      </c>
      <c r="AL6259" s="1" t="s">
        <v>34</v>
      </c>
      <c r="CA6259" s="1" t="s">
        <v>75</v>
      </c>
      <c r="DL6259" s="1" t="s">
        <v>112</v>
      </c>
      <c r="GD6259" s="1" t="s">
        <v>193</v>
      </c>
      <c r="GE6259" s="1" t="s">
        <v>190</v>
      </c>
    </row>
    <row r="6260" spans="1:187" ht="11.25" customHeight="1">
      <c r="A6260" s="1" t="s">
        <v>8845</v>
      </c>
      <c r="B6260" s="1" t="str">
        <f ca="1">IFERROR(__xludf.DUMMYFUNCTION("GOOGLETRANSLATE(A6260, ""en"", ""fr"")"),"LUMINEUX")</f>
        <v>LUMINEUX</v>
      </c>
      <c r="C6260" s="1" t="s">
        <v>192</v>
      </c>
      <c r="D6260" s="1" t="s">
        <v>16612</v>
      </c>
      <c r="W6260" s="1" t="s">
        <v>19</v>
      </c>
      <c r="DR6260" s="1" t="s">
        <v>118</v>
      </c>
      <c r="GD6260" s="1" t="s">
        <v>202</v>
      </c>
      <c r="GE6260" s="1" t="s">
        <v>190</v>
      </c>
    </row>
    <row r="6261" spans="1:187" ht="11.25" customHeight="1">
      <c r="A6261" s="1" t="s">
        <v>8846</v>
      </c>
      <c r="B6261" s="1" t="str">
        <f ca="1">IFERROR(__xludf.DUMMYFUNCTION("GOOGLETRANSLATE(A6261, ""en"", ""fr"")"),"FOU")</f>
        <v>FOU</v>
      </c>
      <c r="C6261" s="1" t="s">
        <v>192</v>
      </c>
      <c r="E6261" s="1" t="s">
        <v>16613</v>
      </c>
      <c r="V6261" s="1" t="s">
        <v>18</v>
      </c>
      <c r="AJ6261" s="1" t="s">
        <v>32</v>
      </c>
      <c r="AT6261" s="1" t="s">
        <v>42</v>
      </c>
      <c r="CM6261" s="1" t="s">
        <v>87</v>
      </c>
      <c r="GD6261" s="1" t="s">
        <v>193</v>
      </c>
      <c r="GE6261" s="1" t="s">
        <v>190</v>
      </c>
    </row>
    <row r="6262" spans="1:187" ht="11.25" customHeight="1">
      <c r="A6262" s="1" t="s">
        <v>8847</v>
      </c>
      <c r="B6262" s="1" t="str">
        <f ca="1">IFERROR(__xludf.DUMMYFUNCTION("GOOGLETRANSLATE(A6262, ""en"", ""fr"")"),"DÉJEUNER")</f>
        <v>DÉJEUNER</v>
      </c>
      <c r="C6262" s="1" t="s">
        <v>185</v>
      </c>
      <c r="BC6262" s="1" t="s">
        <v>51</v>
      </c>
      <c r="BE6262" s="1" t="s">
        <v>53</v>
      </c>
      <c r="GD6262" s="1" t="s">
        <v>193</v>
      </c>
      <c r="GE6262" s="1" t="s">
        <v>190</v>
      </c>
    </row>
    <row r="6263" spans="1:187" ht="11.25" customHeight="1">
      <c r="A6263" s="1" t="s">
        <v>8848</v>
      </c>
      <c r="B6263" s="1" t="str">
        <f ca="1">IFERROR(__xludf.DUMMYFUNCTION("GOOGLETRANSLATE(A6263, ""en"", ""fr"")"),"DÉJEUNER")</f>
        <v>DÉJEUNER</v>
      </c>
      <c r="C6263" s="1" t="s">
        <v>185</v>
      </c>
      <c r="BC6263" s="1" t="s">
        <v>51</v>
      </c>
      <c r="BE6263" s="1" t="s">
        <v>53</v>
      </c>
      <c r="GD6263" s="1" t="s">
        <v>193</v>
      </c>
      <c r="GE6263" s="1" t="s">
        <v>190</v>
      </c>
    </row>
    <row r="6264" spans="1:187" ht="11.25" customHeight="1">
      <c r="A6264" s="1" t="s">
        <v>8849</v>
      </c>
      <c r="B6264" s="1" t="str">
        <f ca="1">IFERROR(__xludf.DUMMYFUNCTION("GOOGLETRANSLATE(A6264, ""en"", ""fr"")"),"POUMON")</f>
        <v>POUMON</v>
      </c>
      <c r="C6264" s="1" t="s">
        <v>185</v>
      </c>
      <c r="BJ6264" s="1" t="s">
        <v>58</v>
      </c>
      <c r="EZ6264" s="1" t="s">
        <v>152</v>
      </c>
      <c r="FC6264" s="1" t="s">
        <v>155</v>
      </c>
      <c r="GD6264" s="1" t="s">
        <v>193</v>
      </c>
      <c r="GE6264" s="1" t="s">
        <v>190</v>
      </c>
    </row>
    <row r="6265" spans="1:187" ht="11.25" customHeight="1">
      <c r="A6265" s="1" t="s">
        <v>8850</v>
      </c>
      <c r="B6265" s="1" t="str">
        <f ca="1">IFERROR(__xludf.DUMMYFUNCTION("GOOGLETRANSLATE(A6265, ""en"", ""fr"")"),"LEURRE")</f>
        <v>LEURRE</v>
      </c>
      <c r="C6265" s="1" t="s">
        <v>192</v>
      </c>
      <c r="E6265" s="1" t="s">
        <v>16613</v>
      </c>
      <c r="N6265" s="1" t="s">
        <v>10</v>
      </c>
      <c r="CD6265" s="1" t="s">
        <v>78</v>
      </c>
      <c r="DN6265" s="1" t="s">
        <v>114</v>
      </c>
      <c r="GD6265" s="1" t="s">
        <v>670</v>
      </c>
      <c r="GE6265" s="1" t="s">
        <v>190</v>
      </c>
    </row>
    <row r="6266" spans="1:187" ht="11.25" customHeight="1">
      <c r="A6266" s="1" t="s">
        <v>8851</v>
      </c>
      <c r="B6266" s="1" t="str">
        <f ca="1">IFERROR(__xludf.DUMMYFUNCTION("GOOGLETRANSLATE(A6266, ""en"", ""fr"")"),"SE CACHER")</f>
        <v>SE CACHER</v>
      </c>
      <c r="C6266" s="1" t="s">
        <v>192</v>
      </c>
      <c r="E6266" s="1" t="s">
        <v>16613</v>
      </c>
      <c r="N6266" s="1" t="s">
        <v>10</v>
      </c>
      <c r="CE6266" s="1" t="s">
        <v>79</v>
      </c>
      <c r="DN6266" s="1" t="s">
        <v>114</v>
      </c>
      <c r="GD6266" s="1" t="s">
        <v>189</v>
      </c>
      <c r="GE6266" s="1" t="s">
        <v>190</v>
      </c>
    </row>
    <row r="6267" spans="1:187" ht="11.25" customHeight="1">
      <c r="A6267" s="1" t="s">
        <v>8852</v>
      </c>
      <c r="B6267" s="1" t="str">
        <f ca="1">IFERROR(__xludf.DUMMYFUNCTION("GOOGLETRANSLATE(A6267, ""en"", ""fr"")"),"LUXURE")</f>
        <v>LUXURE</v>
      </c>
      <c r="C6267" s="1" t="s">
        <v>192</v>
      </c>
      <c r="D6267" s="1" t="s">
        <v>16612</v>
      </c>
      <c r="P6267" s="1" t="s">
        <v>12</v>
      </c>
      <c r="T6267" s="1" t="s">
        <v>16</v>
      </c>
      <c r="BN6267" s="1" t="s">
        <v>62</v>
      </c>
      <c r="GD6267" s="1" t="s">
        <v>193</v>
      </c>
      <c r="GE6267" s="1" t="s">
        <v>190</v>
      </c>
    </row>
    <row r="6268" spans="1:187" ht="11.25" customHeight="1">
      <c r="A6268" s="1" t="s">
        <v>8853</v>
      </c>
      <c r="B6268" s="1" t="str">
        <f ca="1">IFERROR(__xludf.DUMMYFUNCTION("GOOGLETRANSLATE(A6268, ""en"", ""fr"")"),"LUSTRE")</f>
        <v>LUSTRE</v>
      </c>
      <c r="C6268" s="1" t="s">
        <v>192</v>
      </c>
      <c r="D6268" s="1" t="s">
        <v>16612</v>
      </c>
      <c r="CR6268" s="1" t="s">
        <v>92</v>
      </c>
      <c r="GD6268" s="1" t="s">
        <v>193</v>
      </c>
      <c r="GE6268" s="1" t="s">
        <v>190</v>
      </c>
    </row>
    <row r="6269" spans="1:187" ht="11.25" customHeight="1">
      <c r="A6269" s="1" t="s">
        <v>8854</v>
      </c>
      <c r="B6269" s="1" t="str">
        <f ca="1">IFERROR(__xludf.DUMMYFUNCTION("GOOGLETRANSLATE(A6269, ""en"", ""fr"")"),"LUSTRÉ")</f>
        <v>LUSTRÉ</v>
      </c>
      <c r="C6269" s="1" t="s">
        <v>192</v>
      </c>
      <c r="D6269" s="1" t="s">
        <v>16612</v>
      </c>
      <c r="CM6269" s="1" t="s">
        <v>87</v>
      </c>
      <c r="CR6269" s="1" t="s">
        <v>92</v>
      </c>
      <c r="DR6269" s="1" t="s">
        <v>118</v>
      </c>
      <c r="GD6269" s="1" t="s">
        <v>202</v>
      </c>
      <c r="GE6269" s="1" t="s">
        <v>190</v>
      </c>
    </row>
    <row r="6270" spans="1:187" ht="11.25" customHeight="1">
      <c r="A6270" s="1" t="s">
        <v>8855</v>
      </c>
      <c r="B6270" s="1" t="str">
        <f ca="1">IFERROR(__xludf.DUMMYFUNCTION("GOOGLETRANSLATE(A6270, ""en"", ""fr"")"),"Luxemberg")</f>
        <v>Luxemberg</v>
      </c>
      <c r="C6270" s="1" t="s">
        <v>196</v>
      </c>
      <c r="FU6270" s="1" t="s">
        <v>173</v>
      </c>
      <c r="GD6270" s="1" t="s">
        <v>545</v>
      </c>
    </row>
    <row r="6271" spans="1:187" ht="11.25" customHeight="1">
      <c r="A6271" s="1" t="s">
        <v>8856</v>
      </c>
      <c r="B6271" s="1" t="str">
        <f ca="1">IFERROR(__xludf.DUMMYFUNCTION("GOOGLETRANSLATE(A6271, ""en"", ""fr"")"),"LUXURIANT")</f>
        <v>LUXURIANT</v>
      </c>
      <c r="C6271" s="1" t="s">
        <v>192</v>
      </c>
      <c r="D6271" s="1" t="s">
        <v>16612</v>
      </c>
      <c r="CM6271" s="1" t="s">
        <v>87</v>
      </c>
      <c r="CR6271" s="1" t="s">
        <v>92</v>
      </c>
      <c r="DR6271" s="1" t="s">
        <v>118</v>
      </c>
      <c r="GD6271" s="1" t="s">
        <v>202</v>
      </c>
      <c r="GE6271" s="1" t="s">
        <v>190</v>
      </c>
    </row>
    <row r="6272" spans="1:187" ht="11.25" customHeight="1">
      <c r="A6272" s="1" t="s">
        <v>8857</v>
      </c>
      <c r="B6272" s="1" t="str">
        <f ca="1">IFERROR(__xludf.DUMMYFUNCTION("GOOGLETRANSLATE(A6272, ""en"", ""fr"")"),"LUXUEUX")</f>
        <v>LUXUEUX</v>
      </c>
      <c r="C6272" s="1" t="s">
        <v>192</v>
      </c>
      <c r="D6272" s="1" t="s">
        <v>16612</v>
      </c>
      <c r="CM6272" s="1" t="s">
        <v>87</v>
      </c>
      <c r="CR6272" s="1" t="s">
        <v>92</v>
      </c>
      <c r="DR6272" s="1" t="s">
        <v>118</v>
      </c>
      <c r="GD6272" s="1" t="s">
        <v>202</v>
      </c>
      <c r="GE6272" s="1" t="s">
        <v>190</v>
      </c>
    </row>
    <row r="6273" spans="1:187" ht="11.25" customHeight="1">
      <c r="A6273" s="1" t="s">
        <v>8858</v>
      </c>
      <c r="B6273" s="1" t="str">
        <f ca="1">IFERROR(__xludf.DUMMYFUNCTION("GOOGLETRANSLATE(A6273, ""en"", ""fr"")"),"LUXE")</f>
        <v>LUXE</v>
      </c>
      <c r="C6273" s="1" t="s">
        <v>185</v>
      </c>
      <c r="D6273" s="1" t="s">
        <v>16612</v>
      </c>
      <c r="F6273" s="1" t="s">
        <v>2</v>
      </c>
      <c r="U6273" s="1" t="s">
        <v>17</v>
      </c>
      <c r="AA6273" s="1" t="s">
        <v>23</v>
      </c>
      <c r="AC6273" s="1" t="s">
        <v>25</v>
      </c>
      <c r="EV6273" s="1" t="s">
        <v>148</v>
      </c>
      <c r="EW6273" s="1" t="s">
        <v>149</v>
      </c>
      <c r="GD6273" s="1" t="s">
        <v>193</v>
      </c>
      <c r="GE6273" s="1" t="s">
        <v>190</v>
      </c>
    </row>
    <row r="6274" spans="1:187" ht="11.25" customHeight="1">
      <c r="A6274" s="1" t="s">
        <v>8859</v>
      </c>
      <c r="B6274" s="1" t="str">
        <f ca="1">IFERROR(__xludf.DUMMYFUNCTION("GOOGLETRANSLATE(A6274, ""en"", ""fr"")"),"Mentir # 1")</f>
        <v>Mentir # 1</v>
      </c>
      <c r="C6274" s="1" t="s">
        <v>185</v>
      </c>
      <c r="O6274" s="1" t="s">
        <v>11</v>
      </c>
      <c r="CA6274" s="1" t="s">
        <v>75</v>
      </c>
      <c r="DP6274" s="1" t="s">
        <v>116</v>
      </c>
      <c r="GD6274" s="1" t="s">
        <v>4678</v>
      </c>
      <c r="GE6274" s="1" t="s">
        <v>8860</v>
      </c>
    </row>
    <row r="6275" spans="1:187" ht="11.25" customHeight="1">
      <c r="A6275" s="1" t="s">
        <v>8861</v>
      </c>
      <c r="B6275" s="1" t="str">
        <f ca="1">IFERROR(__xludf.DUMMYFUNCTION("GOOGLETRANSLATE(A6275, ""en"", ""fr"")"),"Mentir # 2")</f>
        <v>Mentir # 2</v>
      </c>
      <c r="C6275" s="1" t="s">
        <v>185</v>
      </c>
      <c r="E6275" s="1" t="s">
        <v>16613</v>
      </c>
      <c r="H6275" s="1" t="s">
        <v>4</v>
      </c>
      <c r="I6275" s="1" t="s">
        <v>5</v>
      </c>
      <c r="N6275" s="1" t="s">
        <v>10</v>
      </c>
      <c r="BK6275" s="1" t="s">
        <v>59</v>
      </c>
      <c r="DO6275" s="1" t="s">
        <v>115</v>
      </c>
      <c r="EG6275" s="1" t="s">
        <v>133</v>
      </c>
      <c r="EJ6275" s="1" t="s">
        <v>136</v>
      </c>
      <c r="GD6275" s="1" t="s">
        <v>8862</v>
      </c>
      <c r="GE6275" s="1" t="s">
        <v>8863</v>
      </c>
    </row>
    <row r="6276" spans="1:187" ht="11.25" customHeight="1">
      <c r="A6276" s="1" t="s">
        <v>8864</v>
      </c>
      <c r="B6276" s="1" t="str">
        <f ca="1">IFERROR(__xludf.DUMMYFUNCTION("GOOGLETRANSLATE(A6276, ""en"", ""fr"")"),"Mentir # 3")</f>
        <v>Mentir # 3</v>
      </c>
      <c r="C6276" s="1" t="s">
        <v>185</v>
      </c>
      <c r="E6276" s="1" t="s">
        <v>16613</v>
      </c>
      <c r="H6276" s="1" t="s">
        <v>4</v>
      </c>
      <c r="I6276" s="1" t="s">
        <v>5</v>
      </c>
      <c r="N6276" s="1" t="s">
        <v>10</v>
      </c>
      <c r="BK6276" s="1" t="s">
        <v>59</v>
      </c>
      <c r="BL6276" s="1" t="s">
        <v>60</v>
      </c>
      <c r="EG6276" s="1" t="s">
        <v>133</v>
      </c>
      <c r="EJ6276" s="1" t="s">
        <v>136</v>
      </c>
      <c r="GC6276" s="1" t="s">
        <v>181</v>
      </c>
      <c r="GD6276" s="1" t="s">
        <v>193</v>
      </c>
      <c r="GE6276" s="1" t="s">
        <v>8865</v>
      </c>
    </row>
    <row r="6277" spans="1:187" ht="11.25" customHeight="1">
      <c r="A6277" s="1" t="s">
        <v>8866</v>
      </c>
      <c r="B6277" s="1" t="str">
        <f ca="1">IFERROR(__xludf.DUMMYFUNCTION("GOOGLETRANSLATE(A6277, ""en"", ""fr"")"),"LYRIQUE")</f>
        <v>LYRIQUE</v>
      </c>
      <c r="C6277" s="1" t="s">
        <v>185</v>
      </c>
      <c r="D6277" s="1" t="s">
        <v>16612</v>
      </c>
      <c r="F6277" s="1" t="s">
        <v>2</v>
      </c>
      <c r="AD6277" s="1" t="s">
        <v>26</v>
      </c>
      <c r="BK6277" s="1" t="s">
        <v>59</v>
      </c>
      <c r="BL6277" s="1" t="s">
        <v>60</v>
      </c>
      <c r="GC6277" s="1" t="s">
        <v>181</v>
      </c>
      <c r="GD6277" s="1" t="s">
        <v>193</v>
      </c>
      <c r="GE6277" s="1" t="s">
        <v>190</v>
      </c>
    </row>
    <row r="6278" spans="1:187" ht="11.25" customHeight="1">
      <c r="A6278" s="1" t="s">
        <v>8867</v>
      </c>
      <c r="B6278" s="1" t="str">
        <f ca="1">IFERROR(__xludf.DUMMYFUNCTION("GOOGLETRANSLATE(A6278, ""en"", ""fr"")"),"LYRIQUE")</f>
        <v>LYRIQUE</v>
      </c>
      <c r="C6278" s="1" t="s">
        <v>185</v>
      </c>
      <c r="D6278" s="1" t="s">
        <v>16612</v>
      </c>
      <c r="F6278" s="1" t="s">
        <v>2</v>
      </c>
      <c r="AD6278" s="1" t="s">
        <v>26</v>
      </c>
      <c r="BK6278" s="1" t="s">
        <v>59</v>
      </c>
      <c r="GC6278" s="1" t="s">
        <v>181</v>
      </c>
      <c r="GD6278" s="1" t="s">
        <v>202</v>
      </c>
      <c r="GE6278" s="1" t="s">
        <v>190</v>
      </c>
    </row>
    <row r="6279" spans="1:187" ht="11.25" customHeight="1">
      <c r="A6279" s="1" t="s">
        <v>8868</v>
      </c>
      <c r="B6279" s="1" t="str">
        <f ca="1">IFERROR(__xludf.DUMMYFUNCTION("GOOGLETRANSLATE(A6279, ""en"", ""fr"")"),"Mame")</f>
        <v>Mame</v>
      </c>
      <c r="C6279" s="1" t="s">
        <v>185</v>
      </c>
      <c r="AJ6279" s="1" t="s">
        <v>32</v>
      </c>
      <c r="AP6279" s="1" t="s">
        <v>38</v>
      </c>
      <c r="AR6279" s="1" t="s">
        <v>40</v>
      </c>
      <c r="AT6279" s="1" t="s">
        <v>42</v>
      </c>
      <c r="EQ6279" s="1" t="s">
        <v>143</v>
      </c>
      <c r="ES6279" s="1" t="s">
        <v>145</v>
      </c>
      <c r="GD6279" s="1" t="s">
        <v>837</v>
      </c>
      <c r="GE6279" s="1" t="s">
        <v>190</v>
      </c>
    </row>
    <row r="6280" spans="1:187" ht="11.25" customHeight="1">
      <c r="A6280" s="1" t="s">
        <v>8869</v>
      </c>
      <c r="B6280" s="1" t="str">
        <f ca="1">IFERROR(__xludf.DUMMYFUNCTION("GOOGLETRANSLATE(A6280, ""en"", ""fr"")"),"MACHINE")</f>
        <v>MACHINE</v>
      </c>
      <c r="C6280" s="1" t="s">
        <v>185</v>
      </c>
      <c r="BC6280" s="1" t="s">
        <v>51</v>
      </c>
      <c r="BD6280" s="1" t="s">
        <v>52</v>
      </c>
      <c r="FL6280" s="1" t="s">
        <v>164</v>
      </c>
      <c r="FM6280" s="1" t="s">
        <v>418</v>
      </c>
      <c r="GD6280" s="1" t="s">
        <v>193</v>
      </c>
      <c r="GE6280" s="1" t="s">
        <v>8870</v>
      </c>
    </row>
    <row r="6281" spans="1:187" ht="11.25" customHeight="1">
      <c r="A6281" s="1" t="s">
        <v>8871</v>
      </c>
      <c r="B6281" s="1" t="str">
        <f ca="1">IFERROR(__xludf.DUMMYFUNCTION("GOOGLETRANSLATE(A6281, ""en"", ""fr"")"),"MACHINERIE")</f>
        <v>MACHINERIE</v>
      </c>
      <c r="C6281" s="1" t="s">
        <v>185</v>
      </c>
      <c r="BC6281" s="1" t="s">
        <v>51</v>
      </c>
      <c r="BD6281" s="1" t="s">
        <v>52</v>
      </c>
      <c r="FL6281" s="1" t="s">
        <v>164</v>
      </c>
      <c r="FM6281" s="1" t="s">
        <v>418</v>
      </c>
      <c r="GD6281" s="1" t="s">
        <v>193</v>
      </c>
      <c r="GE6281" s="1" t="s">
        <v>190</v>
      </c>
    </row>
    <row r="6282" spans="1:187" ht="11.25" customHeight="1">
      <c r="A6282" s="1" t="s">
        <v>8872</v>
      </c>
      <c r="B6282" s="1" t="str">
        <f ca="1">IFERROR(__xludf.DUMMYFUNCTION("GOOGLETRANSLATE(A6282, ""en"", ""fr"")"),"Fou # 1")</f>
        <v>Fou # 1</v>
      </c>
      <c r="C6282" s="1" t="s">
        <v>185</v>
      </c>
      <c r="E6282" s="1" t="s">
        <v>16613</v>
      </c>
      <c r="H6282" s="1" t="s">
        <v>4</v>
      </c>
      <c r="I6282" s="1" t="s">
        <v>5</v>
      </c>
      <c r="O6282" s="1" t="s">
        <v>11</v>
      </c>
      <c r="S6282" s="1" t="s">
        <v>15</v>
      </c>
      <c r="T6282" s="1" t="s">
        <v>16</v>
      </c>
      <c r="FW6282" s="1" t="s">
        <v>175</v>
      </c>
      <c r="GD6282" s="1" t="s">
        <v>421</v>
      </c>
      <c r="GE6282" s="1" t="s">
        <v>8873</v>
      </c>
    </row>
    <row r="6283" spans="1:187" ht="11.25" customHeight="1">
      <c r="A6283" s="1" t="s">
        <v>8874</v>
      </c>
      <c r="B6283" s="1" t="str">
        <f ca="1">IFERROR(__xludf.DUMMYFUNCTION("GOOGLETRANSLATE(A6283, ""en"", ""fr"")"),"Mad # 2")</f>
        <v>Mad # 2</v>
      </c>
      <c r="C6283" s="1" t="s">
        <v>185</v>
      </c>
      <c r="E6283" s="1" t="s">
        <v>16613</v>
      </c>
      <c r="H6283" s="1" t="s">
        <v>4</v>
      </c>
      <c r="L6283" s="1" t="s">
        <v>8</v>
      </c>
      <c r="O6283" s="1" t="s">
        <v>11</v>
      </c>
      <c r="V6283" s="1" t="s">
        <v>18</v>
      </c>
      <c r="EY6283" s="1" t="s">
        <v>151</v>
      </c>
      <c r="FC6283" s="1" t="s">
        <v>155</v>
      </c>
      <c r="GD6283" s="1" t="s">
        <v>202</v>
      </c>
      <c r="GE6283" s="1" t="s">
        <v>8875</v>
      </c>
    </row>
    <row r="6284" spans="1:187" ht="11.25" customHeight="1">
      <c r="A6284" s="1" t="s">
        <v>8876</v>
      </c>
      <c r="B6284" s="1" t="str">
        <f ca="1">IFERROR(__xludf.DUMMYFUNCTION("GOOGLETRANSLATE(A6284, ""en"", ""fr"")"),"Fou # 3")</f>
        <v>Fou # 3</v>
      </c>
      <c r="C6284" s="1" t="s">
        <v>185</v>
      </c>
      <c r="O6284" s="1" t="s">
        <v>11</v>
      </c>
      <c r="S6284" s="1" t="s">
        <v>15</v>
      </c>
      <c r="W6284" s="1" t="s">
        <v>19</v>
      </c>
      <c r="FY6284" s="1" t="s">
        <v>177</v>
      </c>
      <c r="GD6284" s="1" t="s">
        <v>236</v>
      </c>
      <c r="GE6284" s="1" t="s">
        <v>8877</v>
      </c>
    </row>
    <row r="6285" spans="1:187" ht="11.25" customHeight="1">
      <c r="A6285" s="1" t="s">
        <v>8878</v>
      </c>
      <c r="B6285" s="1" t="str">
        <f ca="1">IFERROR(__xludf.DUMMYFUNCTION("GOOGLETRANSLATE(A6285, ""en"", ""fr"")"),"MADAGASCAR")</f>
        <v>MADAGASCAR</v>
      </c>
      <c r="C6285" s="1" t="s">
        <v>196</v>
      </c>
      <c r="FU6285" s="1" t="s">
        <v>173</v>
      </c>
      <c r="GD6285" s="1" t="s">
        <v>545</v>
      </c>
    </row>
    <row r="6286" spans="1:187" ht="11.25" customHeight="1">
      <c r="A6286" s="1" t="s">
        <v>8879</v>
      </c>
      <c r="B6286" s="1" t="str">
        <f ca="1">IFERROR(__xludf.DUMMYFUNCTION("GOOGLETRANSLATE(A6286, ""en"", ""fr"")"),"MADAME")</f>
        <v>MADAME</v>
      </c>
      <c r="C6286" s="1" t="s">
        <v>185</v>
      </c>
      <c r="AJ6286" s="1" t="s">
        <v>32</v>
      </c>
      <c r="AR6286" s="1" t="s">
        <v>40</v>
      </c>
      <c r="AT6286" s="1" t="s">
        <v>42</v>
      </c>
      <c r="FT6286" s="1" t="s">
        <v>172</v>
      </c>
      <c r="GD6286" s="1" t="s">
        <v>193</v>
      </c>
      <c r="GE6286" s="1" t="s">
        <v>190</v>
      </c>
    </row>
    <row r="6287" spans="1:187" ht="11.25" customHeight="1">
      <c r="A6287" s="1" t="s">
        <v>8880</v>
      </c>
      <c r="B6287" s="1" t="str">
        <f ca="1">IFERROR(__xludf.DUMMYFUNCTION("GOOGLETRANSLATE(A6287, ""en"", ""fr"")"),"Fait n ° 1")</f>
        <v>Fait n ° 1</v>
      </c>
      <c r="C6287" s="1" t="s">
        <v>185</v>
      </c>
      <c r="DN6287" s="1" t="s">
        <v>114</v>
      </c>
      <c r="GD6287" s="1" t="s">
        <v>1076</v>
      </c>
      <c r="GE6287" s="1" t="s">
        <v>190</v>
      </c>
    </row>
    <row r="6288" spans="1:187" ht="11.25" customHeight="1">
      <c r="A6288" s="1" t="s">
        <v>8881</v>
      </c>
      <c r="B6288" s="1" t="str">
        <f ca="1">IFERROR(__xludf.DUMMYFUNCTION("GOOGLETRANSLATE(A6288, ""en"", ""fr"")"),"FOU")</f>
        <v>FOU</v>
      </c>
      <c r="C6288" s="1" t="s">
        <v>192</v>
      </c>
      <c r="E6288" s="1" t="s">
        <v>16613</v>
      </c>
      <c r="V6288" s="1" t="s">
        <v>18</v>
      </c>
      <c r="AJ6288" s="1" t="s">
        <v>32</v>
      </c>
      <c r="AT6288" s="1" t="s">
        <v>42</v>
      </c>
      <c r="GD6288" s="1" t="s">
        <v>193</v>
      </c>
      <c r="GE6288" s="1" t="s">
        <v>190</v>
      </c>
    </row>
    <row r="6289" spans="1:187" ht="11.25" customHeight="1">
      <c r="A6289" s="1" t="s">
        <v>8882</v>
      </c>
      <c r="B6289" s="1" t="str">
        <f ca="1">IFERROR(__xludf.DUMMYFUNCTION("GOOGLETRANSLATE(A6289, ""en"", ""fr"")"),"FOLIE")</f>
        <v>FOLIE</v>
      </c>
      <c r="C6289" s="1" t="s">
        <v>192</v>
      </c>
      <c r="E6289" s="1" t="s">
        <v>16613</v>
      </c>
      <c r="V6289" s="1" t="s">
        <v>18</v>
      </c>
      <c r="CM6289" s="1" t="s">
        <v>87</v>
      </c>
      <c r="GD6289" s="1" t="s">
        <v>193</v>
      </c>
      <c r="GE6289" s="1" t="s">
        <v>190</v>
      </c>
    </row>
    <row r="6290" spans="1:187" ht="11.25" customHeight="1">
      <c r="A6290" s="1" t="s">
        <v>8883</v>
      </c>
      <c r="B6290" s="1" t="str">
        <f ca="1">IFERROR(__xludf.DUMMYFUNCTION("GOOGLETRANSLATE(A6290, ""en"", ""fr"")"),"REVUE")</f>
        <v>REVUE</v>
      </c>
      <c r="C6290" s="1" t="s">
        <v>185</v>
      </c>
      <c r="BC6290" s="1" t="s">
        <v>51</v>
      </c>
      <c r="BH6290" s="1" t="s">
        <v>56</v>
      </c>
      <c r="BL6290" s="1" t="s">
        <v>60</v>
      </c>
      <c r="FG6290" s="1" t="s">
        <v>159</v>
      </c>
      <c r="FI6290" s="1" t="s">
        <v>161</v>
      </c>
      <c r="GD6290" s="1" t="s">
        <v>193</v>
      </c>
      <c r="GE6290" s="1" t="s">
        <v>190</v>
      </c>
    </row>
    <row r="6291" spans="1:187" ht="11.25" customHeight="1">
      <c r="A6291" s="1" t="s">
        <v>8884</v>
      </c>
      <c r="B6291" s="1" t="str">
        <f ca="1">IFERROR(__xludf.DUMMYFUNCTION("GOOGLETRANSLATE(A6291, ""en"", ""fr"")"),"LA MAGIE")</f>
        <v>LA MAGIE</v>
      </c>
      <c r="C6291" s="1" t="s">
        <v>185</v>
      </c>
      <c r="AI6291" s="1" t="s">
        <v>31</v>
      </c>
      <c r="AM6291" s="1" t="s">
        <v>35</v>
      </c>
      <c r="EF6291" s="1" t="s">
        <v>132</v>
      </c>
      <c r="EJ6291" s="1" t="s">
        <v>136</v>
      </c>
      <c r="GD6291" s="1" t="s">
        <v>193</v>
      </c>
      <c r="GE6291" s="1" t="s">
        <v>190</v>
      </c>
    </row>
    <row r="6292" spans="1:187" ht="11.25" customHeight="1">
      <c r="A6292" s="1" t="s">
        <v>8885</v>
      </c>
      <c r="B6292" s="1" t="str">
        <f ca="1">IFERROR(__xludf.DUMMYFUNCTION("GOOGLETRANSLATE(A6292, ""en"", ""fr"")"),"MAGIQUE")</f>
        <v>MAGIQUE</v>
      </c>
      <c r="C6292" s="1" t="s">
        <v>192</v>
      </c>
      <c r="D6292" s="1" t="s">
        <v>16612</v>
      </c>
      <c r="AI6292" s="1" t="s">
        <v>31</v>
      </c>
      <c r="CM6292" s="1" t="s">
        <v>87</v>
      </c>
      <c r="CR6292" s="1" t="s">
        <v>92</v>
      </c>
      <c r="DR6292" s="1" t="s">
        <v>118</v>
      </c>
      <c r="GD6292" s="1" t="s">
        <v>202</v>
      </c>
      <c r="GE6292" s="1" t="s">
        <v>190</v>
      </c>
    </row>
    <row r="6293" spans="1:187" ht="11.25" customHeight="1">
      <c r="A6293" s="1" t="s">
        <v>8886</v>
      </c>
      <c r="B6293" s="1" t="str">
        <f ca="1">IFERROR(__xludf.DUMMYFUNCTION("GOOGLETRANSLATE(A6293, ""en"", ""fr"")"),"MAGICIEN")</f>
        <v>MAGICIEN</v>
      </c>
      <c r="C6293" s="1" t="s">
        <v>196</v>
      </c>
      <c r="FT6293" s="1" t="s">
        <v>172</v>
      </c>
      <c r="GD6293" s="1" t="s">
        <v>448</v>
      </c>
    </row>
    <row r="6294" spans="1:187" ht="11.25" customHeight="1">
      <c r="A6294" s="1" t="s">
        <v>8887</v>
      </c>
      <c r="B6294" s="1" t="str">
        <f ca="1">IFERROR(__xludf.DUMMYFUNCTION("GOOGLETRANSLATE(A6294, ""en"", ""fr"")"),"MAGNÉTIQUE")</f>
        <v>MAGNÉTIQUE</v>
      </c>
      <c r="C6294" s="1" t="s">
        <v>192</v>
      </c>
      <c r="D6294" s="1" t="s">
        <v>16612</v>
      </c>
      <c r="BU6294" s="1" t="s">
        <v>69</v>
      </c>
      <c r="DD6294" s="1" t="s">
        <v>104</v>
      </c>
      <c r="DQ6294" s="1" t="s">
        <v>117</v>
      </c>
      <c r="GD6294" s="1" t="s">
        <v>202</v>
      </c>
      <c r="GE6294" s="1" t="s">
        <v>190</v>
      </c>
    </row>
    <row r="6295" spans="1:187" ht="11.25" customHeight="1">
      <c r="A6295" s="1" t="s">
        <v>8888</v>
      </c>
      <c r="B6295" s="1" t="str">
        <f ca="1">IFERROR(__xludf.DUMMYFUNCTION("GOOGLETRANSLATE(A6295, ""en"", ""fr"")"),"MAGNIFICENCE")</f>
        <v>MAGNIFICENCE</v>
      </c>
      <c r="C6295" s="1" t="s">
        <v>192</v>
      </c>
      <c r="D6295" s="1" t="s">
        <v>16612</v>
      </c>
      <c r="U6295" s="1" t="s">
        <v>17</v>
      </c>
      <c r="W6295" s="1" t="s">
        <v>19</v>
      </c>
      <c r="GD6295" s="1" t="s">
        <v>193</v>
      </c>
      <c r="GE6295" s="1" t="s">
        <v>190</v>
      </c>
    </row>
    <row r="6296" spans="1:187" ht="11.25" customHeight="1">
      <c r="A6296" s="1" t="s">
        <v>8889</v>
      </c>
      <c r="B6296" s="1" t="str">
        <f ca="1">IFERROR(__xludf.DUMMYFUNCTION("GOOGLETRANSLATE(A6296, ""en"", ""fr"")"),"MAGNIFIQUE")</f>
        <v>MAGNIFIQUE</v>
      </c>
      <c r="C6296" s="1" t="s">
        <v>185</v>
      </c>
      <c r="D6296" s="1" t="s">
        <v>16612</v>
      </c>
      <c r="F6296" s="1" t="s">
        <v>2</v>
      </c>
      <c r="J6296" s="1" t="s">
        <v>6</v>
      </c>
      <c r="U6296" s="1" t="s">
        <v>17</v>
      </c>
      <c r="W6296" s="1" t="s">
        <v>19</v>
      </c>
      <c r="CN6296" s="1" t="s">
        <v>88</v>
      </c>
      <c r="FX6296" s="1" t="s">
        <v>176</v>
      </c>
      <c r="GD6296" s="1" t="s">
        <v>202</v>
      </c>
      <c r="GE6296" s="1" t="s">
        <v>190</v>
      </c>
    </row>
    <row r="6297" spans="1:187" ht="11.25" customHeight="1">
      <c r="A6297" s="1" t="s">
        <v>8890</v>
      </c>
      <c r="B6297" s="1" t="str">
        <f ca="1">IFERROR(__xludf.DUMMYFUNCTION("GOOGLETRANSLATE(A6297, ""en"", ""fr"")"),"AMPLIFIER")</f>
        <v>AMPLIFIER</v>
      </c>
      <c r="C6297" s="1" t="s">
        <v>185</v>
      </c>
      <c r="J6297" s="1" t="s">
        <v>6</v>
      </c>
      <c r="W6297" s="1" t="s">
        <v>19</v>
      </c>
      <c r="BX6297" s="1" t="s">
        <v>72</v>
      </c>
      <c r="DN6297" s="1" t="s">
        <v>114</v>
      </c>
      <c r="FP6297" s="1" t="s">
        <v>168</v>
      </c>
      <c r="GD6297" s="1" t="s">
        <v>189</v>
      </c>
      <c r="GE6297" s="1" t="s">
        <v>190</v>
      </c>
    </row>
    <row r="6298" spans="1:187" ht="11.25" customHeight="1">
      <c r="A6298" s="1" t="s">
        <v>8891</v>
      </c>
      <c r="B6298" s="1" t="str">
        <f ca="1">IFERROR(__xludf.DUMMYFUNCTION("GOOGLETRANSLATE(A6298, ""en"", ""fr"")"),"ORDRE DE GRANDEUR")</f>
        <v>ORDRE DE GRANDEUR</v>
      </c>
      <c r="C6298" s="1" t="s">
        <v>185</v>
      </c>
      <c r="J6298" s="1" t="s">
        <v>6</v>
      </c>
      <c r="W6298" s="1" t="s">
        <v>19</v>
      </c>
      <c r="CP6298" s="1" t="s">
        <v>90</v>
      </c>
      <c r="CQ6298" s="1" t="s">
        <v>91</v>
      </c>
      <c r="CS6298" s="1" t="s">
        <v>93</v>
      </c>
      <c r="GD6298" s="1" t="s">
        <v>193</v>
      </c>
      <c r="GE6298" s="1" t="s">
        <v>190</v>
      </c>
    </row>
    <row r="6299" spans="1:187" ht="11.25" customHeight="1">
      <c r="A6299" s="1" t="s">
        <v>8892</v>
      </c>
      <c r="B6299" s="1" t="str">
        <f ca="1">IFERROR(__xludf.DUMMYFUNCTION("GOOGLETRANSLATE(A6299, ""en"", ""fr"")"),"ACAJOU")</f>
        <v>ACAJOU</v>
      </c>
      <c r="C6299" s="1" t="s">
        <v>185</v>
      </c>
      <c r="BC6299" s="1" t="s">
        <v>51</v>
      </c>
      <c r="BI6299" s="1" t="s">
        <v>57</v>
      </c>
      <c r="GD6299" s="1" t="s">
        <v>193</v>
      </c>
      <c r="GE6299" s="1" t="s">
        <v>190</v>
      </c>
    </row>
    <row r="6300" spans="1:187" ht="11.25" customHeight="1">
      <c r="A6300" s="1" t="s">
        <v>8893</v>
      </c>
      <c r="B6300" s="1" t="str">
        <f ca="1">IFERROR(__xludf.DUMMYFUNCTION("GOOGLETRANSLATE(A6300, ""en"", ""fr"")"),"FEMME DE MÉNAGE")</f>
        <v>FEMME DE MÉNAGE</v>
      </c>
      <c r="C6300" s="1" t="s">
        <v>185</v>
      </c>
      <c r="M6300" s="1" t="s">
        <v>9</v>
      </c>
      <c r="AA6300" s="1" t="s">
        <v>23</v>
      </c>
      <c r="AJ6300" s="1" t="s">
        <v>32</v>
      </c>
      <c r="AR6300" s="1" t="s">
        <v>40</v>
      </c>
      <c r="AT6300" s="1" t="s">
        <v>42</v>
      </c>
      <c r="FK6300" s="1" t="s">
        <v>163</v>
      </c>
      <c r="FM6300" s="1" t="s">
        <v>418</v>
      </c>
      <c r="GD6300" s="1" t="s">
        <v>193</v>
      </c>
      <c r="GE6300" s="1" t="s">
        <v>190</v>
      </c>
    </row>
    <row r="6301" spans="1:187" ht="11.25" customHeight="1">
      <c r="A6301" s="1" t="s">
        <v>8894</v>
      </c>
      <c r="B6301" s="1" t="str">
        <f ca="1">IFERROR(__xludf.DUMMYFUNCTION("GOOGLETRANSLATE(A6301, ""en"", ""fr"")"),"JEUNE FILLE")</f>
        <v>JEUNE FILLE</v>
      </c>
      <c r="C6301" s="1" t="s">
        <v>196</v>
      </c>
      <c r="FT6301" s="1" t="s">
        <v>172</v>
      </c>
      <c r="GD6301" s="1" t="s">
        <v>448</v>
      </c>
    </row>
    <row r="6302" spans="1:187" ht="11.25" customHeight="1">
      <c r="A6302" s="1" t="s">
        <v>8895</v>
      </c>
      <c r="B6302" s="1" t="str">
        <f ca="1">IFERROR(__xludf.DUMMYFUNCTION("GOOGLETRANSLATE(A6302, ""en"", ""fr"")"),"Mail n ° 1")</f>
        <v>Mail n ° 1</v>
      </c>
      <c r="C6302" s="1" t="s">
        <v>185</v>
      </c>
      <c r="BC6302" s="1" t="s">
        <v>51</v>
      </c>
      <c r="BH6302" s="1" t="s">
        <v>56</v>
      </c>
      <c r="BL6302" s="1" t="s">
        <v>60</v>
      </c>
      <c r="FH6302" s="1" t="s">
        <v>160</v>
      </c>
      <c r="FI6302" s="1" t="s">
        <v>161</v>
      </c>
      <c r="GD6302" s="1" t="s">
        <v>193</v>
      </c>
      <c r="GE6302" s="1" t="s">
        <v>190</v>
      </c>
    </row>
    <row r="6303" spans="1:187" ht="11.25" customHeight="1">
      <c r="A6303" s="1" t="s">
        <v>8896</v>
      </c>
      <c r="B6303" s="1" t="str">
        <f ca="1">IFERROR(__xludf.DUMMYFUNCTION("GOOGLETRANSLATE(A6303, ""en"", ""fr"")"),"Mail # 2")</f>
        <v>Mail # 2</v>
      </c>
      <c r="C6303" s="1" t="s">
        <v>185</v>
      </c>
      <c r="BK6303" s="1" t="s">
        <v>59</v>
      </c>
      <c r="DO6303" s="1" t="s">
        <v>115</v>
      </c>
      <c r="FH6303" s="1" t="s">
        <v>160</v>
      </c>
      <c r="FI6303" s="1" t="s">
        <v>161</v>
      </c>
      <c r="GD6303" s="1" t="s">
        <v>189</v>
      </c>
      <c r="GE6303" s="1" t="s">
        <v>190</v>
      </c>
    </row>
    <row r="6304" spans="1:187" ht="11.25" customHeight="1">
      <c r="A6304" s="1" t="s">
        <v>8897</v>
      </c>
      <c r="B6304" s="1" t="str">
        <f ca="1">IFERROR(__xludf.DUMMYFUNCTION("GOOGLETRANSLATE(A6304, ""en"", ""fr"")"),"Principal n ° 1")</f>
        <v>Principal n ° 1</v>
      </c>
      <c r="C6304" s="1" t="s">
        <v>185</v>
      </c>
      <c r="D6304" s="1" t="s">
        <v>16612</v>
      </c>
      <c r="F6304" s="1" t="s">
        <v>2</v>
      </c>
      <c r="J6304" s="1" t="s">
        <v>6</v>
      </c>
      <c r="W6304" s="1" t="s">
        <v>19</v>
      </c>
      <c r="CH6304" s="1" t="s">
        <v>82</v>
      </c>
      <c r="CN6304" s="1" t="s">
        <v>88</v>
      </c>
      <c r="FY6304" s="1" t="s">
        <v>177</v>
      </c>
      <c r="GD6304" s="1" t="s">
        <v>202</v>
      </c>
      <c r="GE6304" s="1" t="s">
        <v>8898</v>
      </c>
    </row>
    <row r="6305" spans="1:187" ht="11.25" customHeight="1">
      <c r="A6305" s="1" t="s">
        <v>8899</v>
      </c>
      <c r="B6305" s="1" t="str">
        <f ca="1">IFERROR(__xludf.DUMMYFUNCTION("GOOGLETRANSLATE(A6305, ""en"", ""fr"")"),"Principal # 2")</f>
        <v>Principal # 2</v>
      </c>
      <c r="C6305" s="1" t="s">
        <v>185</v>
      </c>
      <c r="J6305" s="1" t="s">
        <v>6</v>
      </c>
      <c r="W6305" s="1" t="s">
        <v>19</v>
      </c>
      <c r="CH6305" s="1" t="s">
        <v>82</v>
      </c>
      <c r="FY6305" s="1" t="s">
        <v>177</v>
      </c>
      <c r="GD6305" s="1" t="s">
        <v>236</v>
      </c>
      <c r="GE6305" s="1" t="s">
        <v>8900</v>
      </c>
    </row>
    <row r="6306" spans="1:187" ht="11.25" customHeight="1">
      <c r="A6306" s="1" t="s">
        <v>8901</v>
      </c>
      <c r="B6306" s="1" t="str">
        <f ca="1">IFERROR(__xludf.DUMMYFUNCTION("GOOGLETRANSLATE(A6306, ""en"", ""fr"")"),"MAINE")</f>
        <v>MAINE</v>
      </c>
      <c r="C6306" s="1" t="s">
        <v>196</v>
      </c>
      <c r="GD6306" s="1" t="s">
        <v>653</v>
      </c>
    </row>
    <row r="6307" spans="1:187" ht="11.25" customHeight="1">
      <c r="A6307" s="1" t="s">
        <v>8902</v>
      </c>
      <c r="B6307" s="1" t="str">
        <f ca="1">IFERROR(__xludf.DUMMYFUNCTION("GOOGLETRANSLATE(A6307, ""en"", ""fr"")"),"Continent")</f>
        <v>Continent</v>
      </c>
      <c r="C6307" s="1" t="s">
        <v>185</v>
      </c>
      <c r="AV6307" s="1" t="s">
        <v>44</v>
      </c>
      <c r="BA6307" s="1" t="s">
        <v>49</v>
      </c>
      <c r="GD6307" s="1" t="s">
        <v>193</v>
      </c>
      <c r="GE6307" s="1" t="s">
        <v>190</v>
      </c>
    </row>
    <row r="6308" spans="1:187" ht="11.25" customHeight="1">
      <c r="A6308" s="1" t="s">
        <v>8903</v>
      </c>
      <c r="B6308" s="1" t="str">
        <f ca="1">IFERROR(__xludf.DUMMYFUNCTION("GOOGLETRANSLATE(A6308, ""en"", ""fr"")"),"Maintenir # 1")</f>
        <v>Maintenir # 1</v>
      </c>
      <c r="C6308" s="1" t="s">
        <v>185</v>
      </c>
      <c r="J6308" s="1" t="s">
        <v>6</v>
      </c>
      <c r="N6308" s="1" t="s">
        <v>10</v>
      </c>
      <c r="BR6308" s="1" t="s">
        <v>66</v>
      </c>
      <c r="DN6308" s="1" t="s">
        <v>114</v>
      </c>
      <c r="EC6308" s="1" t="s">
        <v>129</v>
      </c>
      <c r="ED6308" s="1" t="s">
        <v>130</v>
      </c>
      <c r="GD6308" s="1" t="s">
        <v>400</v>
      </c>
      <c r="GE6308" s="1" t="s">
        <v>8904</v>
      </c>
    </row>
    <row r="6309" spans="1:187" ht="11.25" customHeight="1">
      <c r="A6309" s="1" t="s">
        <v>8905</v>
      </c>
      <c r="B6309" s="1" t="str">
        <f ca="1">IFERROR(__xludf.DUMMYFUNCTION("GOOGLETRANSLATE(A6309, ""en"", ""fr"")"),"Maintenir # 2")</f>
        <v>Maintenir # 2</v>
      </c>
      <c r="C6309" s="1" t="s">
        <v>185</v>
      </c>
      <c r="J6309" s="1" t="s">
        <v>6</v>
      </c>
      <c r="K6309" s="1" t="s">
        <v>7</v>
      </c>
      <c r="N6309" s="1" t="s">
        <v>10</v>
      </c>
      <c r="BK6309" s="1" t="s">
        <v>59</v>
      </c>
      <c r="DN6309" s="1" t="s">
        <v>114</v>
      </c>
      <c r="FH6309" s="1" t="s">
        <v>160</v>
      </c>
      <c r="FI6309" s="1" t="s">
        <v>161</v>
      </c>
      <c r="GD6309" s="1" t="s">
        <v>189</v>
      </c>
      <c r="GE6309" s="1" t="s">
        <v>8906</v>
      </c>
    </row>
    <row r="6310" spans="1:187" ht="11.25" customHeight="1">
      <c r="A6310" s="1" t="s">
        <v>8907</v>
      </c>
      <c r="B6310" s="1" t="str">
        <f ca="1">IFERROR(__xludf.DUMMYFUNCTION("GOOGLETRANSLATE(A6310, ""en"", ""fr"")"),"ENTRETIEN")</f>
        <v>ENTRETIEN</v>
      </c>
      <c r="C6310" s="1" t="s">
        <v>185</v>
      </c>
      <c r="BQ6310" s="1" t="s">
        <v>65</v>
      </c>
      <c r="EC6310" s="1" t="s">
        <v>129</v>
      </c>
      <c r="ED6310" s="1" t="s">
        <v>130</v>
      </c>
      <c r="GD6310" s="1" t="s">
        <v>193</v>
      </c>
      <c r="GE6310" s="1" t="s">
        <v>190</v>
      </c>
    </row>
    <row r="6311" spans="1:187" ht="11.25" customHeight="1">
      <c r="A6311" s="1" t="s">
        <v>8908</v>
      </c>
      <c r="B6311" s="1" t="str">
        <f ca="1">IFERROR(__xludf.DUMMYFUNCTION("GOOGLETRANSLATE(A6311, ""en"", ""fr"")"),"MAJESTUEUX")</f>
        <v>MAJESTUEUX</v>
      </c>
      <c r="C6311" s="1" t="s">
        <v>192</v>
      </c>
      <c r="D6311" s="1" t="s">
        <v>16612</v>
      </c>
      <c r="U6311" s="1" t="s">
        <v>17</v>
      </c>
      <c r="W6311" s="1" t="s">
        <v>19</v>
      </c>
      <c r="DR6311" s="1" t="s">
        <v>118</v>
      </c>
      <c r="GD6311" s="1" t="s">
        <v>202</v>
      </c>
      <c r="GE6311" s="1" t="s">
        <v>190</v>
      </c>
    </row>
    <row r="6312" spans="1:187" ht="11.25" customHeight="1">
      <c r="A6312" s="1" t="s">
        <v>8909</v>
      </c>
      <c r="B6312" s="1" t="str">
        <f ca="1">IFERROR(__xludf.DUMMYFUNCTION("GOOGLETRANSLATE(A6312, ""en"", ""fr"")"),"MAJESTÉ")</f>
        <v>MAJESTÉ</v>
      </c>
      <c r="C6312" s="1" t="s">
        <v>185</v>
      </c>
      <c r="D6312" s="1" t="s">
        <v>16612</v>
      </c>
      <c r="U6312" s="1" t="s">
        <v>17</v>
      </c>
      <c r="GD6312" s="1" t="s">
        <v>193</v>
      </c>
      <c r="GE6312" s="1" t="s">
        <v>190</v>
      </c>
    </row>
    <row r="6313" spans="1:187" ht="11.25" customHeight="1">
      <c r="A6313" s="1" t="s">
        <v>8910</v>
      </c>
      <c r="B6313" s="1" t="str">
        <f ca="1">IFERROR(__xludf.DUMMYFUNCTION("GOOGLETRANSLATE(A6313, ""en"", ""fr"")"),"Major # 1")</f>
        <v>Major # 1</v>
      </c>
      <c r="C6313" s="1" t="s">
        <v>185</v>
      </c>
      <c r="D6313" s="1" t="s">
        <v>16612</v>
      </c>
      <c r="F6313" s="1" t="s">
        <v>2</v>
      </c>
      <c r="J6313" s="1" t="s">
        <v>6</v>
      </c>
      <c r="W6313" s="1" t="s">
        <v>19</v>
      </c>
      <c r="CH6313" s="1" t="s">
        <v>82</v>
      </c>
      <c r="CN6313" s="1" t="s">
        <v>88</v>
      </c>
      <c r="GD6313" s="1" t="s">
        <v>202</v>
      </c>
      <c r="GE6313" s="1" t="s">
        <v>8911</v>
      </c>
    </row>
    <row r="6314" spans="1:187" ht="11.25" customHeight="1">
      <c r="A6314" s="1" t="s">
        <v>8912</v>
      </c>
      <c r="B6314" s="1" t="str">
        <f ca="1">IFERROR(__xludf.DUMMYFUNCTION("GOOGLETRANSLATE(A6314, ""en"", ""fr"")"),"Major # 2")</f>
        <v>Major # 2</v>
      </c>
      <c r="C6314" s="1" t="s">
        <v>185</v>
      </c>
      <c r="Y6314" s="1" t="s">
        <v>21</v>
      </c>
      <c r="Z6314" s="1" t="s">
        <v>22</v>
      </c>
      <c r="FH6314" s="1" t="s">
        <v>160</v>
      </c>
      <c r="FI6314" s="1" t="s">
        <v>161</v>
      </c>
      <c r="GD6314" s="1" t="s">
        <v>193</v>
      </c>
      <c r="GE6314" s="1" t="s">
        <v>8913</v>
      </c>
    </row>
    <row r="6315" spans="1:187" ht="11.25" customHeight="1">
      <c r="A6315" s="1" t="s">
        <v>8914</v>
      </c>
      <c r="B6315" s="1" t="str">
        <f ca="1">IFERROR(__xludf.DUMMYFUNCTION("GOOGLETRANSLATE(A6315, ""en"", ""fr"")"),"Major # 3")</f>
        <v>Major # 3</v>
      </c>
      <c r="C6315" s="1" t="s">
        <v>185</v>
      </c>
      <c r="Y6315" s="1" t="s">
        <v>21</v>
      </c>
      <c r="AL6315" s="1" t="s">
        <v>34</v>
      </c>
      <c r="DN6315" s="1" t="s">
        <v>114</v>
      </c>
      <c r="FH6315" s="1" t="s">
        <v>160</v>
      </c>
      <c r="FI6315" s="1" t="s">
        <v>161</v>
      </c>
      <c r="GD6315" s="1" t="s">
        <v>189</v>
      </c>
      <c r="GE6315" s="1" t="s">
        <v>8915</v>
      </c>
    </row>
    <row r="6316" spans="1:187" ht="11.25" customHeight="1">
      <c r="A6316" s="1" t="s">
        <v>8916</v>
      </c>
      <c r="B6316" s="1" t="str">
        <f ca="1">IFERROR(__xludf.DUMMYFUNCTION("GOOGLETRANSLATE(A6316, ""en"", ""fr"")"),"MAJORITÉ")</f>
        <v>MAJORITÉ</v>
      </c>
      <c r="C6316" s="1" t="s">
        <v>185</v>
      </c>
      <c r="J6316" s="1" t="s">
        <v>6</v>
      </c>
      <c r="K6316" s="1" t="s">
        <v>7</v>
      </c>
      <c r="W6316" s="1" t="s">
        <v>19</v>
      </c>
      <c r="AH6316" s="1" t="s">
        <v>30</v>
      </c>
      <c r="AK6316" s="1" t="s">
        <v>33</v>
      </c>
      <c r="AT6316" s="1" t="s">
        <v>42</v>
      </c>
      <c r="EC6316" s="1" t="s">
        <v>129</v>
      </c>
      <c r="ED6316" s="1" t="s">
        <v>130</v>
      </c>
      <c r="GD6316" s="1" t="s">
        <v>193</v>
      </c>
      <c r="GE6316" s="1" t="s">
        <v>8917</v>
      </c>
    </row>
    <row r="6317" spans="1:187" ht="11.25" customHeight="1">
      <c r="A6317" s="1" t="s">
        <v>8918</v>
      </c>
      <c r="B6317" s="1" t="str">
        <f ca="1">IFERROR(__xludf.DUMMYFUNCTION("GOOGLETRANSLATE(A6317, ""en"", ""fr"")"),"Faire n ° 1")</f>
        <v>Faire n ° 1</v>
      </c>
      <c r="C6317" s="1" t="s">
        <v>192</v>
      </c>
      <c r="J6317" s="1" t="s">
        <v>6</v>
      </c>
      <c r="N6317" s="1" t="s">
        <v>10</v>
      </c>
      <c r="AL6317" s="1" t="s">
        <v>34</v>
      </c>
      <c r="DN6317" s="1" t="s">
        <v>114</v>
      </c>
      <c r="GD6317" s="1" t="s">
        <v>189</v>
      </c>
      <c r="GE6317" s="1" t="s">
        <v>8919</v>
      </c>
    </row>
    <row r="6318" spans="1:187" ht="11.25" customHeight="1">
      <c r="A6318" s="1" t="s">
        <v>8920</v>
      </c>
      <c r="B6318" s="1" t="str">
        <f ca="1">IFERROR(__xludf.DUMMYFUNCTION("GOOGLETRANSLATE(A6318, ""en"", ""fr"")"),"Faire n ° 2")</f>
        <v>Faire n ° 2</v>
      </c>
      <c r="C6318" s="1" t="s">
        <v>192</v>
      </c>
      <c r="E6318" s="1" t="s">
        <v>16613</v>
      </c>
      <c r="H6318" s="1" t="s">
        <v>4</v>
      </c>
      <c r="I6318" s="1" t="s">
        <v>5</v>
      </c>
      <c r="J6318" s="1" t="s">
        <v>6</v>
      </c>
      <c r="K6318" s="1" t="s">
        <v>7</v>
      </c>
      <c r="N6318" s="1" t="s">
        <v>10</v>
      </c>
      <c r="AN6318" s="1" t="s">
        <v>36</v>
      </c>
      <c r="DN6318" s="1" t="s">
        <v>114</v>
      </c>
      <c r="GD6318" s="1" t="s">
        <v>189</v>
      </c>
      <c r="GE6318" s="1" t="s">
        <v>8921</v>
      </c>
    </row>
    <row r="6319" spans="1:187" ht="11.25" customHeight="1">
      <c r="A6319" s="1" t="s">
        <v>8922</v>
      </c>
      <c r="B6319" s="1" t="str">
        <f ca="1">IFERROR(__xludf.DUMMYFUNCTION("GOOGLETRANSLATE(A6319, ""en"", ""fr"")"),"Faire n ° 3")</f>
        <v>Faire n ° 3</v>
      </c>
      <c r="C6319" s="1" t="s">
        <v>192</v>
      </c>
      <c r="J6319" s="1" t="s">
        <v>6</v>
      </c>
      <c r="N6319" s="1" t="s">
        <v>10</v>
      </c>
      <c r="BS6319" s="1" t="s">
        <v>67</v>
      </c>
      <c r="DN6319" s="1" t="s">
        <v>114</v>
      </c>
      <c r="GD6319" s="1" t="s">
        <v>189</v>
      </c>
      <c r="GE6319" s="1" t="s">
        <v>8923</v>
      </c>
    </row>
    <row r="6320" spans="1:187" ht="11.25" customHeight="1">
      <c r="A6320" s="1" t="s">
        <v>8924</v>
      </c>
      <c r="B6320" s="1" t="str">
        <f ca="1">IFERROR(__xludf.DUMMYFUNCTION("GOOGLETRANSLATE(A6320, ""en"", ""fr"")"),"Faire n ° 4")</f>
        <v>Faire n ° 4</v>
      </c>
      <c r="C6320" s="1" t="s">
        <v>192</v>
      </c>
      <c r="N6320" s="1" t="s">
        <v>10</v>
      </c>
      <c r="CK6320" s="1" t="s">
        <v>85</v>
      </c>
      <c r="DN6320" s="1" t="s">
        <v>114</v>
      </c>
      <c r="GD6320" s="1" t="s">
        <v>189</v>
      </c>
      <c r="GE6320" s="1" t="s">
        <v>8925</v>
      </c>
    </row>
    <row r="6321" spans="1:187" ht="11.25" customHeight="1">
      <c r="A6321" s="1" t="s">
        <v>8926</v>
      </c>
      <c r="B6321" s="1" t="str">
        <f ca="1">IFERROR(__xludf.DUMMYFUNCTION("GOOGLETRANSLATE(A6321, ""en"", ""fr"")"),"Faire n ° 5")</f>
        <v>Faire n ° 5</v>
      </c>
      <c r="C6321" s="1" t="s">
        <v>192</v>
      </c>
      <c r="N6321" s="1" t="s">
        <v>10</v>
      </c>
      <c r="CO6321" s="1" t="s">
        <v>89</v>
      </c>
      <c r="DN6321" s="1" t="s">
        <v>114</v>
      </c>
      <c r="GD6321" s="1" t="s">
        <v>189</v>
      </c>
      <c r="GE6321" s="1" t="s">
        <v>8927</v>
      </c>
    </row>
    <row r="6322" spans="1:187" ht="11.25" customHeight="1">
      <c r="A6322" s="1" t="s">
        <v>8928</v>
      </c>
      <c r="B6322" s="1" t="str">
        <f ca="1">IFERROR(__xludf.DUMMYFUNCTION("GOOGLETRANSLATE(A6322, ""en"", ""fr"")"),"Faire n ° 6")</f>
        <v>Faire n ° 6</v>
      </c>
      <c r="C6322" s="1" t="s">
        <v>192</v>
      </c>
      <c r="D6322" s="1" t="s">
        <v>16612</v>
      </c>
      <c r="F6322" s="1" t="s">
        <v>2</v>
      </c>
      <c r="G6322" s="1" t="s">
        <v>3</v>
      </c>
      <c r="N6322" s="1" t="s">
        <v>10</v>
      </c>
      <c r="AN6322" s="1" t="s">
        <v>36</v>
      </c>
      <c r="DN6322" s="1" t="s">
        <v>114</v>
      </c>
      <c r="GD6322" s="1" t="s">
        <v>189</v>
      </c>
      <c r="GE6322" s="1" t="s">
        <v>8929</v>
      </c>
    </row>
    <row r="6323" spans="1:187" ht="11.25" customHeight="1">
      <c r="A6323" s="1" t="s">
        <v>8930</v>
      </c>
      <c r="B6323" s="1" t="str">
        <f ca="1">IFERROR(__xludf.DUMMYFUNCTION("GOOGLETRANSLATE(A6323, ""en"", ""fr"")"),"Faire n ° 7")</f>
        <v>Faire n ° 7</v>
      </c>
      <c r="C6323" s="1" t="s">
        <v>192</v>
      </c>
      <c r="D6323" s="1" t="s">
        <v>16612</v>
      </c>
      <c r="F6323" s="1" t="s">
        <v>2</v>
      </c>
      <c r="G6323" s="1" t="s">
        <v>3</v>
      </c>
      <c r="AN6323" s="1" t="s">
        <v>36</v>
      </c>
      <c r="DN6323" s="1" t="s">
        <v>114</v>
      </c>
      <c r="GD6323" s="1" t="s">
        <v>189</v>
      </c>
      <c r="GE6323" s="1" t="s">
        <v>8931</v>
      </c>
    </row>
    <row r="6324" spans="1:187" ht="11.25" customHeight="1">
      <c r="A6324" s="1" t="s">
        <v>8932</v>
      </c>
      <c r="B6324" s="1" t="str">
        <f ca="1">IFERROR(__xludf.DUMMYFUNCTION("GOOGLETRANSLATE(A6324, ""en"", ""fr"")"),"Faire n ° 8")</f>
        <v>Faire n ° 8</v>
      </c>
      <c r="C6324" s="1" t="s">
        <v>192</v>
      </c>
      <c r="J6324" s="1" t="s">
        <v>6</v>
      </c>
      <c r="N6324" s="1" t="s">
        <v>10</v>
      </c>
      <c r="BQ6324" s="1" t="s">
        <v>65</v>
      </c>
      <c r="GD6324" s="1" t="s">
        <v>193</v>
      </c>
      <c r="GE6324" s="1" t="s">
        <v>8933</v>
      </c>
    </row>
    <row r="6325" spans="1:187" ht="11.25" customHeight="1">
      <c r="A6325" s="1" t="s">
        <v>8934</v>
      </c>
      <c r="B6325" s="1" t="str">
        <f ca="1">IFERROR(__xludf.DUMMYFUNCTION("GOOGLETRANSLATE(A6325, ""en"", ""fr"")"),"Faire n ° 9")</f>
        <v>Faire n ° 9</v>
      </c>
      <c r="C6325" s="1" t="s">
        <v>192</v>
      </c>
      <c r="BC6325" s="1" t="s">
        <v>51</v>
      </c>
      <c r="BD6325" s="1" t="s">
        <v>52</v>
      </c>
      <c r="GD6325" s="1" t="s">
        <v>193</v>
      </c>
      <c r="GE6325" s="1" t="s">
        <v>8935</v>
      </c>
    </row>
    <row r="6326" spans="1:187" ht="11.25" customHeight="1">
      <c r="A6326" s="1" t="s">
        <v>8936</v>
      </c>
      <c r="B6326" s="1" t="str">
        <f ca="1">IFERROR(__xludf.DUMMYFUNCTION("GOOGLETRANSLATE(A6326, ""en"", ""fr"")"),"Faire # _10")</f>
        <v>Faire # _10</v>
      </c>
      <c r="C6326" s="1" t="s">
        <v>192</v>
      </c>
      <c r="GD6326" s="1" t="s">
        <v>225</v>
      </c>
      <c r="GE6326" s="1" t="s">
        <v>8937</v>
      </c>
    </row>
    <row r="6327" spans="1:187" ht="11.25" customHeight="1">
      <c r="A6327" s="1" t="s">
        <v>8938</v>
      </c>
      <c r="B6327" s="1" t="str">
        <f ca="1">IFERROR(__xludf.DUMMYFUNCTION("GOOGLETRANSLATE(A6327, ""en"", ""fr"")"),"Faire # _11")</f>
        <v>Faire # _11</v>
      </c>
      <c r="C6327" s="1" t="s">
        <v>192</v>
      </c>
      <c r="GD6327" s="1" t="s">
        <v>225</v>
      </c>
      <c r="GE6327" s="1" t="s">
        <v>8939</v>
      </c>
    </row>
    <row r="6328" spans="1:187" ht="11.25" customHeight="1">
      <c r="A6328" s="1" t="s">
        <v>8940</v>
      </c>
      <c r="B6328" s="1" t="str">
        <f ca="1">IFERROR(__xludf.DUMMYFUNCTION("GOOGLETRANSLATE(A6328, ""en"", ""fr"")"),"Faire # _12")</f>
        <v>Faire # _12</v>
      </c>
      <c r="C6328" s="1" t="s">
        <v>192</v>
      </c>
      <c r="GD6328" s="1" t="s">
        <v>225</v>
      </c>
      <c r="GE6328" s="1" t="s">
        <v>8941</v>
      </c>
    </row>
    <row r="6329" spans="1:187" ht="11.25" customHeight="1">
      <c r="A6329" s="1" t="s">
        <v>8942</v>
      </c>
      <c r="B6329" s="1" t="str">
        <f ca="1">IFERROR(__xludf.DUMMYFUNCTION("GOOGLETRANSLATE(A6329, ""en"", ""fr"")"),"Faire # _13")</f>
        <v>Faire # _13</v>
      </c>
      <c r="C6329" s="1" t="s">
        <v>192</v>
      </c>
      <c r="GD6329" s="1" t="s">
        <v>225</v>
      </c>
      <c r="GE6329" s="1" t="s">
        <v>8943</v>
      </c>
    </row>
    <row r="6330" spans="1:187" ht="11.25" customHeight="1">
      <c r="A6330" s="1" t="s">
        <v>8944</v>
      </c>
      <c r="B6330" s="1" t="str">
        <f ca="1">IFERROR(__xludf.DUMMYFUNCTION("GOOGLETRANSLATE(A6330, ""en"", ""fr"")"),"Faire # _14")</f>
        <v>Faire # _14</v>
      </c>
      <c r="C6330" s="1" t="s">
        <v>192</v>
      </c>
      <c r="GD6330" s="1" t="s">
        <v>225</v>
      </c>
      <c r="GE6330" s="1" t="s">
        <v>8945</v>
      </c>
    </row>
    <row r="6331" spans="1:187" ht="11.25" customHeight="1">
      <c r="A6331" s="1" t="s">
        <v>8946</v>
      </c>
      <c r="B6331" s="1" t="str">
        <f ca="1">IFERROR(__xludf.DUMMYFUNCTION("GOOGLETRANSLATE(A6331, ""en"", ""fr"")"),"Faire # _15")</f>
        <v>Faire # _15</v>
      </c>
      <c r="C6331" s="1" t="s">
        <v>192</v>
      </c>
      <c r="GD6331" s="1" t="s">
        <v>225</v>
      </c>
      <c r="GE6331" s="1" t="s">
        <v>8947</v>
      </c>
    </row>
    <row r="6332" spans="1:187" ht="11.25" customHeight="1">
      <c r="A6332" s="1" t="s">
        <v>8948</v>
      </c>
      <c r="B6332" s="1" t="str">
        <f ca="1">IFERROR(__xludf.DUMMYFUNCTION("GOOGLETRANSLATE(A6332, ""en"", ""fr"")"),"Faire # _16")</f>
        <v>Faire # _16</v>
      </c>
      <c r="C6332" s="1" t="s">
        <v>192</v>
      </c>
      <c r="GD6332" s="1" t="s">
        <v>225</v>
      </c>
      <c r="GE6332" s="1" t="s">
        <v>8949</v>
      </c>
    </row>
    <row r="6333" spans="1:187" ht="11.25" customHeight="1">
      <c r="A6333" s="1" t="s">
        <v>8950</v>
      </c>
      <c r="B6333" s="1" t="str">
        <f ca="1">IFERROR(__xludf.DUMMYFUNCTION("GOOGLETRANSLATE(A6333, ""en"", ""fr"")"),"FABRICANT")</f>
        <v>FABRICANT</v>
      </c>
      <c r="C6333" s="1" t="s">
        <v>185</v>
      </c>
      <c r="AD6333" s="1" t="s">
        <v>26</v>
      </c>
      <c r="AJ6333" s="1" t="s">
        <v>32</v>
      </c>
      <c r="AT6333" s="1" t="s">
        <v>42</v>
      </c>
      <c r="FK6333" s="1" t="s">
        <v>163</v>
      </c>
      <c r="FM6333" s="1" t="s">
        <v>418</v>
      </c>
      <c r="GD6333" s="1" t="s">
        <v>193</v>
      </c>
      <c r="GE6333" s="1" t="s">
        <v>190</v>
      </c>
    </row>
    <row r="6334" spans="1:187" ht="11.25" customHeight="1">
      <c r="A6334" s="1" t="s">
        <v>8951</v>
      </c>
      <c r="B6334" s="1" t="str">
        <f ca="1">IFERROR(__xludf.DUMMYFUNCTION("GOOGLETRANSLATE(A6334, ""en"", ""fr"")"),"INADAPTÉ")</f>
        <v>INADAPTÉ</v>
      </c>
      <c r="C6334" s="1" t="s">
        <v>185</v>
      </c>
      <c r="E6334" s="1" t="s">
        <v>16613</v>
      </c>
      <c r="H6334" s="1" t="s">
        <v>4</v>
      </c>
      <c r="L6334" s="1" t="s">
        <v>8</v>
      </c>
      <c r="V6334" s="1" t="s">
        <v>18</v>
      </c>
      <c r="FA6334" s="1" t="s">
        <v>153</v>
      </c>
      <c r="FC6334" s="1" t="s">
        <v>155</v>
      </c>
      <c r="GD6334" s="1" t="s">
        <v>202</v>
      </c>
      <c r="GE6334" s="1" t="s">
        <v>190</v>
      </c>
    </row>
    <row r="6335" spans="1:187" ht="11.25" customHeight="1">
      <c r="A6335" s="1" t="s">
        <v>8952</v>
      </c>
      <c r="B6335" s="1" t="str">
        <f ca="1">IFERROR(__xludf.DUMMYFUNCTION("GOOGLETRANSLATE(A6335, ""en"", ""fr"")"),"INADAPTATION")</f>
        <v>INADAPTATION</v>
      </c>
      <c r="C6335" s="1" t="s">
        <v>185</v>
      </c>
      <c r="E6335" s="1" t="s">
        <v>16613</v>
      </c>
      <c r="H6335" s="1" t="s">
        <v>4</v>
      </c>
      <c r="L6335" s="1" t="s">
        <v>8</v>
      </c>
      <c r="V6335" s="1" t="s">
        <v>18</v>
      </c>
      <c r="FW6335" s="1" t="s">
        <v>175</v>
      </c>
      <c r="GD6335" s="1" t="s">
        <v>193</v>
      </c>
      <c r="GE6335" s="1" t="s">
        <v>190</v>
      </c>
    </row>
    <row r="6336" spans="1:187" ht="11.25" customHeight="1">
      <c r="A6336" s="1" t="s">
        <v>8953</v>
      </c>
      <c r="B6336" s="1" t="str">
        <f ca="1">IFERROR(__xludf.DUMMYFUNCTION("GOOGLETRANSLATE(A6336, ""en"", ""fr"")"),"MALADIE")</f>
        <v>MALADIE</v>
      </c>
      <c r="C6336" s="1" t="s">
        <v>192</v>
      </c>
      <c r="E6336" s="1" t="s">
        <v>16613</v>
      </c>
      <c r="L6336" s="1" t="s">
        <v>8</v>
      </c>
      <c r="BU6336" s="1" t="s">
        <v>69</v>
      </c>
      <c r="GD6336" s="1" t="s">
        <v>193</v>
      </c>
      <c r="GE6336" s="1" t="s">
        <v>190</v>
      </c>
    </row>
    <row r="6337" spans="1:187" ht="11.25" customHeight="1">
      <c r="A6337" s="1" t="s">
        <v>8954</v>
      </c>
      <c r="B6337" s="1" t="str">
        <f ca="1">IFERROR(__xludf.DUMMYFUNCTION("GOOGLETRANSLATE(A6337, ""en"", ""fr"")"),"MALAISIE")</f>
        <v>MALAISIE</v>
      </c>
      <c r="C6337" s="1" t="s">
        <v>196</v>
      </c>
      <c r="FU6337" s="1" t="s">
        <v>173</v>
      </c>
      <c r="GD6337" s="1" t="s">
        <v>545</v>
      </c>
    </row>
    <row r="6338" spans="1:187" ht="11.25" customHeight="1">
      <c r="A6338" s="1" t="s">
        <v>8955</v>
      </c>
      <c r="B6338" s="1" t="str">
        <f ca="1">IFERROR(__xludf.DUMMYFUNCTION("GOOGLETRANSLATE(A6338, ""en"", ""fr"")"),"MALAISIE")</f>
        <v>MALAISIE</v>
      </c>
      <c r="C6338" s="1" t="s">
        <v>196</v>
      </c>
      <c r="FU6338" s="1" t="s">
        <v>173</v>
      </c>
      <c r="GD6338" s="1" t="s">
        <v>3591</v>
      </c>
    </row>
    <row r="6339" spans="1:187" ht="11.25" customHeight="1">
      <c r="A6339" s="1" t="s">
        <v>39</v>
      </c>
      <c r="B6339" s="1" t="str">
        <f ca="1">IFERROR(__xludf.DUMMYFUNCTION("GOOGLETRANSLATE(A6339, ""en"", ""fr"")"),"MÂLE")</f>
        <v>MÂLE</v>
      </c>
      <c r="C6339" s="1" t="s">
        <v>185</v>
      </c>
      <c r="AJ6339" s="1" t="s">
        <v>32</v>
      </c>
      <c r="AQ6339" s="1" t="s">
        <v>39</v>
      </c>
      <c r="AT6339" s="1" t="s">
        <v>42</v>
      </c>
      <c r="FT6339" s="1" t="s">
        <v>172</v>
      </c>
      <c r="GD6339" s="1" t="s">
        <v>193</v>
      </c>
      <c r="GE6339" s="1" t="s">
        <v>8956</v>
      </c>
    </row>
    <row r="6340" spans="1:187" ht="11.25" customHeight="1">
      <c r="A6340" s="1" t="s">
        <v>8957</v>
      </c>
      <c r="B6340" s="1" t="str">
        <f ca="1">IFERROR(__xludf.DUMMYFUNCTION("GOOGLETRANSLATE(A6340, ""en"", ""fr"")"),"Mali")</f>
        <v>Mali</v>
      </c>
      <c r="C6340" s="1" t="s">
        <v>196</v>
      </c>
      <c r="FU6340" s="1" t="s">
        <v>173</v>
      </c>
      <c r="GD6340" s="1" t="s">
        <v>545</v>
      </c>
    </row>
    <row r="6341" spans="1:187" ht="11.25" customHeight="1">
      <c r="A6341" s="1" t="s">
        <v>8958</v>
      </c>
      <c r="B6341" s="1" t="str">
        <f ca="1">IFERROR(__xludf.DUMMYFUNCTION("GOOGLETRANSLATE(A6341, ""en"", ""fr"")"),"MALICE")</f>
        <v>MALICE</v>
      </c>
      <c r="C6341" s="1" t="s">
        <v>185</v>
      </c>
      <c r="E6341" s="1" t="s">
        <v>16613</v>
      </c>
      <c r="I6341" s="1" t="s">
        <v>5</v>
      </c>
      <c r="Q6341" s="1" t="s">
        <v>13</v>
      </c>
      <c r="FW6341" s="1" t="s">
        <v>175</v>
      </c>
      <c r="GD6341" s="1" t="s">
        <v>193</v>
      </c>
      <c r="GE6341" s="1" t="s">
        <v>190</v>
      </c>
    </row>
    <row r="6342" spans="1:187" ht="11.25" customHeight="1">
      <c r="A6342" s="1" t="s">
        <v>8959</v>
      </c>
      <c r="B6342" s="1" t="str">
        <f ca="1">IFERROR(__xludf.DUMMYFUNCTION("GOOGLETRANSLATE(A6342, ""en"", ""fr"")"),"MAL INTENTIONNÉ")</f>
        <v>MAL INTENTIONNÉ</v>
      </c>
      <c r="C6342" s="1" t="s">
        <v>185</v>
      </c>
      <c r="E6342" s="1" t="s">
        <v>16613</v>
      </c>
      <c r="I6342" s="1" t="s">
        <v>5</v>
      </c>
      <c r="Q6342" s="1" t="s">
        <v>13</v>
      </c>
      <c r="DQ6342" s="1" t="s">
        <v>117</v>
      </c>
      <c r="FW6342" s="1" t="s">
        <v>175</v>
      </c>
      <c r="GD6342" s="1" t="s">
        <v>4155</v>
      </c>
      <c r="GE6342" s="1" t="s">
        <v>190</v>
      </c>
    </row>
    <row r="6343" spans="1:187" ht="11.25" customHeight="1">
      <c r="A6343" s="1" t="s">
        <v>8960</v>
      </c>
      <c r="B6343" s="1" t="str">
        <f ca="1">IFERROR(__xludf.DUMMYFUNCTION("GOOGLETRANSLATE(A6343, ""en"", ""fr"")"),"MALIN")</f>
        <v>MALIN</v>
      </c>
      <c r="C6343" s="1" t="s">
        <v>185</v>
      </c>
      <c r="E6343" s="1" t="s">
        <v>16613</v>
      </c>
      <c r="I6343" s="1" t="s">
        <v>5</v>
      </c>
      <c r="DR6343" s="1" t="s">
        <v>118</v>
      </c>
      <c r="FW6343" s="1" t="s">
        <v>175</v>
      </c>
      <c r="GD6343" s="1" t="s">
        <v>202</v>
      </c>
      <c r="GE6343" s="1" t="s">
        <v>190</v>
      </c>
    </row>
    <row r="6344" spans="1:187" ht="11.25" customHeight="1">
      <c r="A6344" s="1" t="s">
        <v>8961</v>
      </c>
      <c r="B6344" s="1" t="str">
        <f ca="1">IFERROR(__xludf.DUMMYFUNCTION("GOOGLETRANSLATE(A6344, ""en"", ""fr"")"),"MALTE")</f>
        <v>MALTE</v>
      </c>
      <c r="C6344" s="1" t="s">
        <v>196</v>
      </c>
      <c r="FU6344" s="1" t="s">
        <v>173</v>
      </c>
      <c r="GD6344" s="1" t="s">
        <v>3591</v>
      </c>
    </row>
    <row r="6345" spans="1:187" ht="11.25" customHeight="1">
      <c r="A6345" s="1" t="s">
        <v>8962</v>
      </c>
      <c r="B6345" s="1" t="str">
        <f ca="1">IFERROR(__xludf.DUMMYFUNCTION("GOOGLETRANSLATE(A6345, ""en"", ""fr"")"),"MAMAN")</f>
        <v>MAMAN</v>
      </c>
      <c r="C6345" s="1" t="s">
        <v>185</v>
      </c>
      <c r="AJ6345" s="1" t="s">
        <v>32</v>
      </c>
      <c r="AP6345" s="1" t="s">
        <v>38</v>
      </c>
      <c r="AR6345" s="1" t="s">
        <v>40</v>
      </c>
      <c r="AT6345" s="1" t="s">
        <v>42</v>
      </c>
      <c r="EQ6345" s="1" t="s">
        <v>143</v>
      </c>
      <c r="ES6345" s="1" t="s">
        <v>145</v>
      </c>
      <c r="GD6345" s="1" t="s">
        <v>837</v>
      </c>
      <c r="GE6345" s="1" t="s">
        <v>190</v>
      </c>
    </row>
    <row r="6346" spans="1:187" ht="11.25" customHeight="1">
      <c r="A6346" s="1" t="s">
        <v>8963</v>
      </c>
      <c r="B6346" s="1" t="str">
        <f ca="1">IFERROR(__xludf.DUMMYFUNCTION("GOOGLETRANSLATE(A6346, ""en"", ""fr"")"),"Homme n ° 1")</f>
        <v>Homme n ° 1</v>
      </c>
      <c r="C6346" s="1" t="s">
        <v>185</v>
      </c>
      <c r="AJ6346" s="1" t="s">
        <v>32</v>
      </c>
      <c r="AQ6346" s="1" t="s">
        <v>39</v>
      </c>
      <c r="AT6346" s="1" t="s">
        <v>42</v>
      </c>
      <c r="EQ6346" s="1" t="s">
        <v>143</v>
      </c>
      <c r="ES6346" s="1" t="s">
        <v>145</v>
      </c>
      <c r="GD6346" s="1" t="s">
        <v>193</v>
      </c>
      <c r="GE6346" s="1" t="s">
        <v>8964</v>
      </c>
    </row>
    <row r="6347" spans="1:187" ht="11.25" customHeight="1">
      <c r="A6347" s="1" t="s">
        <v>8965</v>
      </c>
      <c r="B6347" s="1" t="str">
        <f ca="1">IFERROR(__xludf.DUMMYFUNCTION("GOOGLETRANSLATE(A6347, ""en"", ""fr"")"),"Homme # 2")</f>
        <v>Homme # 2</v>
      </c>
      <c r="C6347" s="1" t="s">
        <v>185</v>
      </c>
      <c r="AL6347" s="1" t="s">
        <v>34</v>
      </c>
      <c r="DN6347" s="1" t="s">
        <v>114</v>
      </c>
      <c r="EC6347" s="1" t="s">
        <v>129</v>
      </c>
      <c r="ED6347" s="1" t="s">
        <v>130</v>
      </c>
      <c r="GD6347" s="1" t="s">
        <v>189</v>
      </c>
      <c r="GE6347" s="1" t="s">
        <v>8966</v>
      </c>
    </row>
    <row r="6348" spans="1:187" ht="11.25" customHeight="1">
      <c r="A6348" s="1" t="s">
        <v>8967</v>
      </c>
      <c r="B6348" s="1" t="str">
        <f ca="1">IFERROR(__xludf.DUMMYFUNCTION("GOOGLETRANSLATE(A6348, ""en"", ""fr"")"),"Homme # 3")</f>
        <v>Homme # 3</v>
      </c>
      <c r="C6348" s="1" t="s">
        <v>185</v>
      </c>
      <c r="AL6348" s="1" t="s">
        <v>34</v>
      </c>
      <c r="EC6348" s="1" t="s">
        <v>129</v>
      </c>
      <c r="ED6348" s="1" t="s">
        <v>130</v>
      </c>
      <c r="GD6348" s="1" t="s">
        <v>202</v>
      </c>
      <c r="GE6348" s="1" t="s">
        <v>8968</v>
      </c>
    </row>
    <row r="6349" spans="1:187" ht="11.25" customHeight="1">
      <c r="A6349" s="1" t="s">
        <v>8969</v>
      </c>
      <c r="B6349" s="1" t="str">
        <f ca="1">IFERROR(__xludf.DUMMYFUNCTION("GOOGLETRANSLATE(A6349, ""en"", ""fr"")"),"Gérer # 1")</f>
        <v>Gérer # 1</v>
      </c>
      <c r="C6349" s="1" t="s">
        <v>185</v>
      </c>
      <c r="J6349" s="1" t="s">
        <v>6</v>
      </c>
      <c r="K6349" s="1" t="s">
        <v>7</v>
      </c>
      <c r="N6349" s="1" t="s">
        <v>10</v>
      </c>
      <c r="AN6349" s="1" t="s">
        <v>36</v>
      </c>
      <c r="DN6349" s="1" t="s">
        <v>114</v>
      </c>
      <c r="FL6349" s="1" t="s">
        <v>164</v>
      </c>
      <c r="FM6349" s="1" t="s">
        <v>418</v>
      </c>
      <c r="GD6349" s="1" t="s">
        <v>189</v>
      </c>
      <c r="GE6349" s="1" t="s">
        <v>8970</v>
      </c>
    </row>
    <row r="6350" spans="1:187" ht="11.25" customHeight="1">
      <c r="A6350" s="1" t="s">
        <v>8971</v>
      </c>
      <c r="B6350" s="1" t="str">
        <f ca="1">IFERROR(__xludf.DUMMYFUNCTION("GOOGLETRANSLATE(A6350, ""en"", ""fr"")"),"Gérer # 2")</f>
        <v>Gérer # 2</v>
      </c>
      <c r="C6350" s="1" t="s">
        <v>185</v>
      </c>
      <c r="J6350" s="1" t="s">
        <v>6</v>
      </c>
      <c r="N6350" s="1" t="s">
        <v>10</v>
      </c>
      <c r="BS6350" s="1" t="s">
        <v>67</v>
      </c>
      <c r="DN6350" s="1" t="s">
        <v>114</v>
      </c>
      <c r="FR6350" s="1" t="s">
        <v>170</v>
      </c>
      <c r="GD6350" s="1" t="s">
        <v>189</v>
      </c>
      <c r="GE6350" s="1" t="s">
        <v>8972</v>
      </c>
    </row>
    <row r="6351" spans="1:187" ht="11.25" customHeight="1">
      <c r="A6351" s="1" t="s">
        <v>8973</v>
      </c>
      <c r="B6351" s="1" t="str">
        <f ca="1">IFERROR(__xludf.DUMMYFUNCTION("GOOGLETRANSLATE(A6351, ""en"", ""fr"")"),"Gérer # 3")</f>
        <v>Gérer # 3</v>
      </c>
      <c r="C6351" s="1" t="s">
        <v>185</v>
      </c>
      <c r="J6351" s="1" t="s">
        <v>6</v>
      </c>
      <c r="K6351" s="1" t="s">
        <v>7</v>
      </c>
      <c r="N6351" s="1" t="s">
        <v>10</v>
      </c>
      <c r="AN6351" s="1" t="s">
        <v>36</v>
      </c>
      <c r="EC6351" s="1" t="s">
        <v>129</v>
      </c>
      <c r="ED6351" s="1" t="s">
        <v>130</v>
      </c>
      <c r="GD6351" s="1" t="s">
        <v>202</v>
      </c>
      <c r="GE6351" s="1" t="s">
        <v>8974</v>
      </c>
    </row>
    <row r="6352" spans="1:187" ht="11.25" customHeight="1">
      <c r="A6352" s="1" t="s">
        <v>8975</v>
      </c>
      <c r="B6352" s="1" t="str">
        <f ca="1">IFERROR(__xludf.DUMMYFUNCTION("GOOGLETRANSLATE(A6352, ""en"", ""fr"")"),"MANIABLE")</f>
        <v>MANIABLE</v>
      </c>
      <c r="C6352" s="1" t="s">
        <v>185</v>
      </c>
      <c r="D6352" s="1" t="s">
        <v>16612</v>
      </c>
      <c r="J6352" s="1" t="s">
        <v>6</v>
      </c>
      <c r="W6352" s="1" t="s">
        <v>19</v>
      </c>
      <c r="CI6352" s="1" t="s">
        <v>83</v>
      </c>
      <c r="DR6352" s="1" t="s">
        <v>118</v>
      </c>
      <c r="GD6352" s="1" t="s">
        <v>202</v>
      </c>
      <c r="GE6352" s="1" t="s">
        <v>190</v>
      </c>
    </row>
    <row r="6353" spans="1:187" ht="11.25" customHeight="1">
      <c r="A6353" s="1" t="s">
        <v>8976</v>
      </c>
      <c r="B6353" s="1" t="str">
        <f ca="1">IFERROR(__xludf.DUMMYFUNCTION("GOOGLETRANSLATE(A6353, ""en"", ""fr"")"),"GESTION")</f>
        <v>GESTION</v>
      </c>
      <c r="C6353" s="1" t="s">
        <v>185</v>
      </c>
      <c r="J6353" s="1" t="s">
        <v>6</v>
      </c>
      <c r="K6353" s="1" t="s">
        <v>7</v>
      </c>
      <c r="N6353" s="1" t="s">
        <v>10</v>
      </c>
      <c r="AA6353" s="1" t="s">
        <v>23</v>
      </c>
      <c r="AC6353" s="1" t="s">
        <v>25</v>
      </c>
      <c r="AK6353" s="1" t="s">
        <v>33</v>
      </c>
      <c r="AT6353" s="1" t="s">
        <v>42</v>
      </c>
      <c r="ET6353" s="1" t="s">
        <v>146</v>
      </c>
      <c r="EW6353" s="1" t="s">
        <v>149</v>
      </c>
      <c r="GD6353" s="1" t="s">
        <v>193</v>
      </c>
      <c r="GE6353" s="1" t="s">
        <v>190</v>
      </c>
    </row>
    <row r="6354" spans="1:187" ht="11.25" customHeight="1">
      <c r="A6354" s="1" t="s">
        <v>8977</v>
      </c>
      <c r="B6354" s="1" t="str">
        <f ca="1">IFERROR(__xludf.DUMMYFUNCTION("GOOGLETRANSLATE(A6354, ""en"", ""fr"")"),"DIRECTEUR")</f>
        <v>DIRECTEUR</v>
      </c>
      <c r="C6354" s="1" t="s">
        <v>185</v>
      </c>
      <c r="J6354" s="1" t="s">
        <v>6</v>
      </c>
      <c r="K6354" s="1" t="s">
        <v>7</v>
      </c>
      <c r="AA6354" s="1" t="s">
        <v>23</v>
      </c>
      <c r="AC6354" s="1" t="s">
        <v>25</v>
      </c>
      <c r="AJ6354" s="1" t="s">
        <v>32</v>
      </c>
      <c r="AT6354" s="1" t="s">
        <v>42</v>
      </c>
      <c r="FK6354" s="1" t="s">
        <v>163</v>
      </c>
      <c r="FM6354" s="1" t="s">
        <v>418</v>
      </c>
      <c r="GD6354" s="1" t="s">
        <v>193</v>
      </c>
      <c r="GE6354" s="1" t="s">
        <v>190</v>
      </c>
    </row>
    <row r="6355" spans="1:187" ht="11.25" customHeight="1">
      <c r="A6355" s="1" t="s">
        <v>8978</v>
      </c>
      <c r="B6355" s="1" t="str">
        <f ca="1">IFERROR(__xludf.DUMMYFUNCTION("GOOGLETRANSLATE(A6355, ""en"", ""fr"")"),"Manager")</f>
        <v>Manager</v>
      </c>
      <c r="C6355" s="1" t="s">
        <v>185</v>
      </c>
      <c r="J6355" s="1" t="s">
        <v>6</v>
      </c>
      <c r="K6355" s="1" t="s">
        <v>7</v>
      </c>
      <c r="AA6355" s="1" t="s">
        <v>23</v>
      </c>
      <c r="AC6355" s="1" t="s">
        <v>25</v>
      </c>
      <c r="AJ6355" s="1" t="s">
        <v>32</v>
      </c>
      <c r="AT6355" s="1" t="s">
        <v>42</v>
      </c>
      <c r="FL6355" s="1" t="s">
        <v>164</v>
      </c>
      <c r="FM6355" s="1" t="s">
        <v>418</v>
      </c>
      <c r="GD6355" s="1" t="s">
        <v>202</v>
      </c>
      <c r="GE6355" s="1" t="s">
        <v>190</v>
      </c>
    </row>
    <row r="6356" spans="1:187" ht="11.25" customHeight="1">
      <c r="A6356" s="1" t="s">
        <v>8979</v>
      </c>
      <c r="B6356" s="1" t="str">
        <f ca="1">IFERROR(__xludf.DUMMYFUNCTION("GOOGLETRANSLATE(A6356, ""en"", ""fr"")"),"MANCHESTER")</f>
        <v>MANCHESTER</v>
      </c>
      <c r="C6356" s="1" t="s">
        <v>185</v>
      </c>
      <c r="AC6356" s="1" t="s">
        <v>25</v>
      </c>
      <c r="AH6356" s="1" t="s">
        <v>30</v>
      </c>
      <c r="DI6356" s="1" t="s">
        <v>109</v>
      </c>
      <c r="GD6356" s="1" t="s">
        <v>193</v>
      </c>
      <c r="GE6356" s="1" t="s">
        <v>190</v>
      </c>
    </row>
    <row r="6357" spans="1:187" ht="11.25" customHeight="1">
      <c r="A6357" s="1" t="s">
        <v>8980</v>
      </c>
      <c r="B6357" s="1" t="str">
        <f ca="1">IFERROR(__xludf.DUMMYFUNCTION("GOOGLETRANSLATE(A6357, ""en"", ""fr"")"),"MANŒUVRE")</f>
        <v>MANŒUVRE</v>
      </c>
      <c r="C6357" s="1" t="s">
        <v>185</v>
      </c>
      <c r="J6357" s="1" t="s">
        <v>6</v>
      </c>
      <c r="N6357" s="1" t="s">
        <v>10</v>
      </c>
      <c r="BP6357" s="1" t="s">
        <v>64</v>
      </c>
      <c r="BQ6357" s="1" t="s">
        <v>65</v>
      </c>
      <c r="DN6357" s="1" t="s">
        <v>114</v>
      </c>
      <c r="GD6357" s="1" t="s">
        <v>193</v>
      </c>
      <c r="GE6357" s="1" t="s">
        <v>190</v>
      </c>
    </row>
    <row r="6358" spans="1:187" ht="11.25" customHeight="1">
      <c r="A6358" s="1" t="s">
        <v>8981</v>
      </c>
      <c r="B6358" s="1" t="str">
        <f ca="1">IFERROR(__xludf.DUMMYFUNCTION("GOOGLETRANSLATE(A6358, ""en"", ""fr"")"),"MUTILER")</f>
        <v>MUTILER</v>
      </c>
      <c r="C6358" s="1" t="s">
        <v>192</v>
      </c>
      <c r="E6358" s="1" t="s">
        <v>16613</v>
      </c>
      <c r="I6358" s="1" t="s">
        <v>5</v>
      </c>
      <c r="N6358" s="1" t="s">
        <v>10</v>
      </c>
      <c r="CC6358" s="1" t="s">
        <v>77</v>
      </c>
      <c r="DN6358" s="1" t="s">
        <v>114</v>
      </c>
      <c r="GD6358" s="1" t="s">
        <v>670</v>
      </c>
      <c r="GE6358" s="1" t="s">
        <v>190</v>
      </c>
    </row>
    <row r="6359" spans="1:187" ht="11.25" customHeight="1">
      <c r="A6359" s="1" t="s">
        <v>8982</v>
      </c>
      <c r="B6359" s="1" t="str">
        <f ca="1">IFERROR(__xludf.DUMMYFUNCTION("GOOGLETRANSLATE(A6359, ""en"", ""fr"")"),"Manifeste n ° 1")</f>
        <v>Manifeste n ° 1</v>
      </c>
      <c r="C6359" s="1" t="s">
        <v>196</v>
      </c>
      <c r="FH6359" s="1" t="s">
        <v>160</v>
      </c>
      <c r="FI6359" s="1" t="s">
        <v>161</v>
      </c>
      <c r="GD6359" s="1" t="s">
        <v>202</v>
      </c>
    </row>
    <row r="6360" spans="1:187" ht="11.25" customHeight="1">
      <c r="A6360" s="1" t="s">
        <v>8983</v>
      </c>
      <c r="B6360" s="1" t="str">
        <f ca="1">IFERROR(__xludf.DUMMYFUNCTION("GOOGLETRANSLATE(A6360, ""en"", ""fr"")"),"Manifeste n ° 2")</f>
        <v>Manifeste n ° 2</v>
      </c>
      <c r="C6360" s="1" t="s">
        <v>196</v>
      </c>
      <c r="FP6360" s="1" t="s">
        <v>168</v>
      </c>
      <c r="GD6360" s="1" t="s">
        <v>189</v>
      </c>
    </row>
    <row r="6361" spans="1:187" ht="11.25" customHeight="1">
      <c r="A6361" s="1" t="s">
        <v>8984</v>
      </c>
      <c r="B6361" s="1" t="str">
        <f ca="1">IFERROR(__xludf.DUMMYFUNCTION("GOOGLETRANSLATE(A6361, ""en"", ""fr"")"),"MANIFESTATION")</f>
        <v>MANIFESTATION</v>
      </c>
      <c r="C6361" s="1" t="s">
        <v>185</v>
      </c>
      <c r="CH6361" s="1" t="s">
        <v>82</v>
      </c>
      <c r="GD6361" s="1" t="s">
        <v>193</v>
      </c>
      <c r="GE6361" s="1" t="s">
        <v>190</v>
      </c>
    </row>
    <row r="6362" spans="1:187" ht="11.25" customHeight="1">
      <c r="A6362" s="1" t="s">
        <v>8985</v>
      </c>
      <c r="B6362" s="1" t="str">
        <f ca="1">IFERROR(__xludf.DUMMYFUNCTION("GOOGLETRANSLATE(A6362, ""en"", ""fr"")"),"MANIPULER")</f>
        <v>MANIPULER</v>
      </c>
      <c r="C6362" s="1" t="s">
        <v>185</v>
      </c>
      <c r="E6362" s="1" t="s">
        <v>16613</v>
      </c>
      <c r="H6362" s="1" t="s">
        <v>4</v>
      </c>
      <c r="J6362" s="1" t="s">
        <v>6</v>
      </c>
      <c r="K6362" s="1" t="s">
        <v>7</v>
      </c>
      <c r="N6362" s="1" t="s">
        <v>10</v>
      </c>
      <c r="AN6362" s="1" t="s">
        <v>36</v>
      </c>
      <c r="DN6362" s="1" t="s">
        <v>114</v>
      </c>
      <c r="EC6362" s="1" t="s">
        <v>129</v>
      </c>
      <c r="ED6362" s="1" t="s">
        <v>130</v>
      </c>
      <c r="GD6362" s="1" t="s">
        <v>189</v>
      </c>
      <c r="GE6362" s="1" t="s">
        <v>190</v>
      </c>
    </row>
    <row r="6363" spans="1:187" ht="11.25" customHeight="1">
      <c r="A6363" s="1" t="s">
        <v>8986</v>
      </c>
      <c r="B6363" s="1" t="str">
        <f ca="1">IFERROR(__xludf.DUMMYFUNCTION("GOOGLETRANSLATE(A6363, ""en"", ""fr"")"),"MANIPULATION")</f>
        <v>MANIPULATION</v>
      </c>
      <c r="C6363" s="1" t="s">
        <v>192</v>
      </c>
      <c r="E6363" s="1" t="s">
        <v>16613</v>
      </c>
      <c r="BK6363" s="1" t="s">
        <v>59</v>
      </c>
      <c r="CK6363" s="1" t="s">
        <v>85</v>
      </c>
      <c r="GD6363" s="1" t="s">
        <v>1177</v>
      </c>
      <c r="GE6363" s="1" t="s">
        <v>190</v>
      </c>
    </row>
    <row r="6364" spans="1:187" ht="11.25" customHeight="1">
      <c r="A6364" s="1" t="s">
        <v>8987</v>
      </c>
      <c r="B6364" s="1" t="str">
        <f ca="1">IFERROR(__xludf.DUMMYFUNCTION("GOOGLETRANSLATE(A6364, ""en"", ""fr"")"),"HUMANITÉ")</f>
        <v>HUMANITÉ</v>
      </c>
      <c r="C6364" s="1" t="s">
        <v>185</v>
      </c>
      <c r="AK6364" s="1" t="s">
        <v>33</v>
      </c>
      <c r="AT6364" s="1" t="s">
        <v>42</v>
      </c>
      <c r="EQ6364" s="1" t="s">
        <v>143</v>
      </c>
      <c r="ES6364" s="1" t="s">
        <v>145</v>
      </c>
      <c r="GD6364" s="1" t="s">
        <v>193</v>
      </c>
      <c r="GE6364" s="1" t="s">
        <v>190</v>
      </c>
    </row>
    <row r="6365" spans="1:187" ht="11.25" customHeight="1">
      <c r="A6365" s="1" t="s">
        <v>8988</v>
      </c>
      <c r="B6365" s="1" t="str">
        <f ca="1">IFERROR(__xludf.DUMMYFUNCTION("GOOGLETRANSLATE(A6365, ""en"", ""fr"")"),"VIRIL")</f>
        <v>VIRIL</v>
      </c>
      <c r="C6365" s="1" t="s">
        <v>185</v>
      </c>
      <c r="D6365" s="1" t="s">
        <v>16612</v>
      </c>
      <c r="F6365" s="1" t="s">
        <v>2</v>
      </c>
      <c r="J6365" s="1" t="s">
        <v>6</v>
      </c>
      <c r="U6365" s="1" t="s">
        <v>17</v>
      </c>
      <c r="AQ6365" s="1" t="s">
        <v>39</v>
      </c>
      <c r="DR6365" s="1" t="s">
        <v>118</v>
      </c>
      <c r="FA6365" s="1" t="s">
        <v>153</v>
      </c>
      <c r="FC6365" s="1" t="s">
        <v>155</v>
      </c>
      <c r="GD6365" s="1" t="s">
        <v>202</v>
      </c>
      <c r="GE6365" s="1" t="s">
        <v>190</v>
      </c>
    </row>
    <row r="6366" spans="1:187" ht="11.25" customHeight="1">
      <c r="A6366" s="1" t="s">
        <v>8989</v>
      </c>
      <c r="B6366" s="1" t="str">
        <f ca="1">IFERROR(__xludf.DUMMYFUNCTION("GOOGLETRANSLATE(A6366, ""en"", ""fr"")"),"Manière n ° 1")</f>
        <v>Manière n ° 1</v>
      </c>
      <c r="C6366" s="1" t="s">
        <v>185</v>
      </c>
      <c r="BQ6366" s="1" t="s">
        <v>65</v>
      </c>
      <c r="FQ6366" s="1" t="s">
        <v>169</v>
      </c>
      <c r="GD6366" s="1" t="s">
        <v>849</v>
      </c>
      <c r="GE6366" s="1" t="s">
        <v>8990</v>
      </c>
    </row>
    <row r="6367" spans="1:187" ht="11.25" customHeight="1">
      <c r="A6367" s="1" t="s">
        <v>8991</v>
      </c>
      <c r="B6367" s="1" t="str">
        <f ca="1">IFERROR(__xludf.DUMMYFUNCTION("GOOGLETRANSLATE(A6367, ""en"", ""fr"")"),"Manière n ° 2")</f>
        <v>Manière n ° 2</v>
      </c>
      <c r="C6367" s="1" t="s">
        <v>185</v>
      </c>
      <c r="AM6367" s="1" t="s">
        <v>35</v>
      </c>
      <c r="EE6367" s="1" t="s">
        <v>131</v>
      </c>
      <c r="EJ6367" s="1" t="s">
        <v>136</v>
      </c>
      <c r="GD6367" s="1" t="s">
        <v>193</v>
      </c>
      <c r="GE6367" s="1" t="s">
        <v>8992</v>
      </c>
    </row>
    <row r="6368" spans="1:187" ht="11.25" customHeight="1">
      <c r="A6368" s="1" t="s">
        <v>8993</v>
      </c>
      <c r="B6368" s="1" t="str">
        <f ca="1">IFERROR(__xludf.DUMMYFUNCTION("GOOGLETRANSLATE(A6368, ""en"", ""fr"")"),"Manière n ° 3")</f>
        <v>Manière n ° 3</v>
      </c>
      <c r="C6368" s="1" t="s">
        <v>192</v>
      </c>
      <c r="BQ6368" s="1" t="s">
        <v>65</v>
      </c>
      <c r="GD6368" s="1" t="s">
        <v>202</v>
      </c>
      <c r="GE6368" s="1" t="s">
        <v>8994</v>
      </c>
    </row>
    <row r="6369" spans="1:187" ht="11.25" customHeight="1">
      <c r="A6369" s="1" t="s">
        <v>8995</v>
      </c>
      <c r="B6369" s="1" t="str">
        <f ca="1">IFERROR(__xludf.DUMMYFUNCTION("GOOGLETRANSLATE(A6369, ""en"", ""fr"")"),"Manière n ° 4")</f>
        <v>Manière n ° 4</v>
      </c>
      <c r="C6369" s="1" t="s">
        <v>192</v>
      </c>
      <c r="V6369" s="1" t="s">
        <v>18</v>
      </c>
      <c r="GD6369" s="1" t="s">
        <v>202</v>
      </c>
      <c r="GE6369" s="1" t="s">
        <v>8996</v>
      </c>
    </row>
    <row r="6370" spans="1:187" ht="11.25" customHeight="1">
      <c r="A6370" s="1" t="s">
        <v>8997</v>
      </c>
      <c r="B6370" s="1" t="str">
        <f ca="1">IFERROR(__xludf.DUMMYFUNCTION("GOOGLETRANSLATE(A6370, ""en"", ""fr"")"),"Manœuvre # 1")</f>
        <v>Manœuvre # 1</v>
      </c>
      <c r="C6370" s="1" t="s">
        <v>192</v>
      </c>
      <c r="GE6370" s="1" t="s">
        <v>190</v>
      </c>
    </row>
    <row r="6371" spans="1:187" ht="11.25" customHeight="1">
      <c r="A6371" s="1" t="s">
        <v>8998</v>
      </c>
      <c r="B6371" s="1" t="str">
        <f ca="1">IFERROR(__xludf.DUMMYFUNCTION("GOOGLETRANSLATE(A6371, ""en"", ""fr"")"),"Main-d'œuvre")</f>
        <v>Main-d'œuvre</v>
      </c>
      <c r="C6371" s="1" t="s">
        <v>185</v>
      </c>
      <c r="J6371" s="1" t="s">
        <v>6</v>
      </c>
      <c r="AC6371" s="1" t="s">
        <v>25</v>
      </c>
      <c r="AH6371" s="1" t="s">
        <v>30</v>
      </c>
      <c r="BQ6371" s="1" t="s">
        <v>65</v>
      </c>
      <c r="CP6371" s="1" t="s">
        <v>90</v>
      </c>
      <c r="CQ6371" s="1" t="s">
        <v>91</v>
      </c>
      <c r="FQ6371" s="1" t="s">
        <v>169</v>
      </c>
      <c r="GD6371" s="1" t="s">
        <v>193</v>
      </c>
      <c r="GE6371" s="1" t="s">
        <v>190</v>
      </c>
    </row>
    <row r="6372" spans="1:187" ht="11.25" customHeight="1">
      <c r="A6372" s="1" t="s">
        <v>8999</v>
      </c>
      <c r="B6372" s="1" t="str">
        <f ca="1">IFERROR(__xludf.DUMMYFUNCTION("GOOGLETRANSLATE(A6372, ""en"", ""fr"")"),"MANOIR")</f>
        <v>MANOIR</v>
      </c>
      <c r="C6372" s="1" t="s">
        <v>185</v>
      </c>
      <c r="W6372" s="1" t="s">
        <v>19</v>
      </c>
      <c r="AV6372" s="1" t="s">
        <v>44</v>
      </c>
      <c r="AW6372" s="1" t="s">
        <v>45</v>
      </c>
      <c r="GD6372" s="1" t="s">
        <v>193</v>
      </c>
      <c r="GE6372" s="1" t="s">
        <v>190</v>
      </c>
    </row>
    <row r="6373" spans="1:187" ht="11.25" customHeight="1">
      <c r="A6373" s="1" t="s">
        <v>9000</v>
      </c>
      <c r="B6373" s="1" t="str">
        <f ca="1">IFERROR(__xludf.DUMMYFUNCTION("GOOGLETRANSLATE(A6373, ""en"", ""fr"")"),"HOMICIDE INVOLONTAIRE")</f>
        <v>HOMICIDE INVOLONTAIRE</v>
      </c>
      <c r="C6373" s="1" t="s">
        <v>185</v>
      </c>
      <c r="E6373" s="1" t="s">
        <v>16613</v>
      </c>
      <c r="H6373" s="1" t="s">
        <v>4</v>
      </c>
      <c r="I6373" s="1" t="s">
        <v>5</v>
      </c>
      <c r="V6373" s="1" t="s">
        <v>18</v>
      </c>
      <c r="AE6373" s="1" t="s">
        <v>27</v>
      </c>
      <c r="EE6373" s="1" t="s">
        <v>131</v>
      </c>
      <c r="EJ6373" s="1" t="s">
        <v>136</v>
      </c>
      <c r="GD6373" s="1" t="s">
        <v>193</v>
      </c>
      <c r="GE6373" s="1" t="s">
        <v>190</v>
      </c>
    </row>
    <row r="6374" spans="1:187" ht="11.25" customHeight="1">
      <c r="A6374" s="1" t="s">
        <v>9001</v>
      </c>
      <c r="B6374" s="1" t="str">
        <f ca="1">IFERROR(__xludf.DUMMYFUNCTION("GOOGLETRANSLATE(A6374, ""en"", ""fr"")"),"MANTEAU")</f>
        <v>MANTEAU</v>
      </c>
      <c r="C6374" s="1" t="s">
        <v>185</v>
      </c>
      <c r="BC6374" s="1" t="s">
        <v>51</v>
      </c>
      <c r="BD6374" s="1" t="s">
        <v>52</v>
      </c>
      <c r="GD6374" s="1" t="s">
        <v>193</v>
      </c>
      <c r="GE6374" s="1" t="s">
        <v>190</v>
      </c>
    </row>
    <row r="6375" spans="1:187" ht="11.25" customHeight="1">
      <c r="A6375" s="1" t="s">
        <v>9002</v>
      </c>
      <c r="B6375" s="1" t="str">
        <f ca="1">IFERROR(__xludf.DUMMYFUNCTION("GOOGLETRANSLATE(A6375, ""en"", ""fr"")"),"FABRICATION")</f>
        <v>FABRICATION</v>
      </c>
      <c r="C6375" s="1" t="s">
        <v>185</v>
      </c>
      <c r="J6375" s="1" t="s">
        <v>6</v>
      </c>
      <c r="N6375" s="1" t="s">
        <v>10</v>
      </c>
      <c r="AA6375" s="1" t="s">
        <v>23</v>
      </c>
      <c r="AL6375" s="1" t="s">
        <v>34</v>
      </c>
      <c r="DN6375" s="1" t="s">
        <v>114</v>
      </c>
      <c r="EU6375" s="1" t="s">
        <v>147</v>
      </c>
      <c r="EW6375" s="1" t="s">
        <v>149</v>
      </c>
      <c r="GD6375" s="1" t="s">
        <v>189</v>
      </c>
      <c r="GE6375" s="1" t="s">
        <v>190</v>
      </c>
    </row>
    <row r="6376" spans="1:187" ht="11.25" customHeight="1">
      <c r="A6376" s="1" t="s">
        <v>9003</v>
      </c>
      <c r="B6376" s="1" t="str">
        <f ca="1">IFERROR(__xludf.DUMMYFUNCTION("GOOGLETRANSLATE(A6376, ""en"", ""fr"")"),"FABRICANT")</f>
        <v>FABRICANT</v>
      </c>
      <c r="C6376" s="1" t="s">
        <v>185</v>
      </c>
      <c r="J6376" s="1" t="s">
        <v>6</v>
      </c>
      <c r="AA6376" s="1" t="s">
        <v>23</v>
      </c>
      <c r="AJ6376" s="1" t="s">
        <v>32</v>
      </c>
      <c r="AT6376" s="1" t="s">
        <v>42</v>
      </c>
      <c r="EV6376" s="1" t="s">
        <v>148</v>
      </c>
      <c r="EW6376" s="1" t="s">
        <v>149</v>
      </c>
      <c r="GD6376" s="1" t="s">
        <v>193</v>
      </c>
      <c r="GE6376" s="1" t="s">
        <v>190</v>
      </c>
    </row>
    <row r="6377" spans="1:187" ht="11.25" customHeight="1">
      <c r="A6377" s="1" t="s">
        <v>9004</v>
      </c>
      <c r="B6377" s="1" t="str">
        <f ca="1">IFERROR(__xludf.DUMMYFUNCTION("GOOGLETRANSLATE(A6377, ""en"", ""fr"")"),"FUMIER")</f>
        <v>FUMIER</v>
      </c>
      <c r="C6377" s="1" t="s">
        <v>185</v>
      </c>
      <c r="BC6377" s="1" t="s">
        <v>51</v>
      </c>
      <c r="BI6377" s="1" t="s">
        <v>57</v>
      </c>
      <c r="GD6377" s="1" t="s">
        <v>193</v>
      </c>
      <c r="GE6377" s="1" t="s">
        <v>190</v>
      </c>
    </row>
    <row r="6378" spans="1:187" ht="11.25" customHeight="1">
      <c r="A6378" s="1" t="s">
        <v>9005</v>
      </c>
      <c r="B6378" s="1" t="str">
        <f ca="1">IFERROR(__xludf.DUMMYFUNCTION("GOOGLETRANSLATE(A6378, ""en"", ""fr"")"),"Beaucoup n ° 1")</f>
        <v>Beaucoup n ° 1</v>
      </c>
      <c r="C6378" s="1" t="s">
        <v>185</v>
      </c>
      <c r="J6378" s="1" t="s">
        <v>6</v>
      </c>
      <c r="W6378" s="1" t="s">
        <v>19</v>
      </c>
      <c r="CS6378" s="1" t="s">
        <v>93</v>
      </c>
      <c r="GD6378" s="1" t="s">
        <v>2464</v>
      </c>
      <c r="GE6378" s="1" t="s">
        <v>9006</v>
      </c>
    </row>
    <row r="6379" spans="1:187" ht="11.25" customHeight="1">
      <c r="A6379" s="1" t="s">
        <v>9007</v>
      </c>
      <c r="B6379" s="1" t="str">
        <f ca="1">IFERROR(__xludf.DUMMYFUNCTION("GOOGLETRANSLATE(A6379, ""en"", ""fr"")"),"Beaucoup # 2")</f>
        <v>Beaucoup # 2</v>
      </c>
      <c r="C6379" s="1" t="s">
        <v>185</v>
      </c>
      <c r="J6379" s="1" t="s">
        <v>6</v>
      </c>
      <c r="W6379" s="1" t="s">
        <v>19</v>
      </c>
      <c r="GD6379" s="1" t="s">
        <v>884</v>
      </c>
      <c r="GE6379" s="1" t="s">
        <v>9008</v>
      </c>
    </row>
    <row r="6380" spans="1:187" ht="11.25" customHeight="1">
      <c r="A6380" s="1" t="s">
        <v>9009</v>
      </c>
      <c r="B6380" s="1" t="str">
        <f ca="1">IFERROR(__xludf.DUMMYFUNCTION("GOOGLETRANSLATE(A6380, ""en"", ""fr"")"),"CARTE")</f>
        <v>CARTE</v>
      </c>
      <c r="C6380" s="1" t="s">
        <v>185</v>
      </c>
      <c r="BC6380" s="1" t="s">
        <v>51</v>
      </c>
      <c r="BH6380" s="1" t="s">
        <v>56</v>
      </c>
      <c r="BL6380" s="1" t="s">
        <v>60</v>
      </c>
      <c r="GB6380" s="1" t="s">
        <v>180</v>
      </c>
      <c r="GD6380" s="1" t="s">
        <v>193</v>
      </c>
      <c r="GE6380" s="1" t="s">
        <v>190</v>
      </c>
    </row>
    <row r="6381" spans="1:187" ht="11.25" customHeight="1">
      <c r="A6381" s="1" t="s">
        <v>9010</v>
      </c>
      <c r="B6381" s="1" t="str">
        <f ca="1">IFERROR(__xludf.DUMMYFUNCTION("GOOGLETRANSLATE(A6381, ""en"", ""fr"")"),"ÉRABLE")</f>
        <v>ÉRABLE</v>
      </c>
      <c r="C6381" s="1" t="s">
        <v>185</v>
      </c>
      <c r="BC6381" s="1" t="s">
        <v>51</v>
      </c>
      <c r="BI6381" s="1" t="s">
        <v>57</v>
      </c>
      <c r="GD6381" s="1" t="s">
        <v>193</v>
      </c>
      <c r="GE6381" s="1" t="s">
        <v>190</v>
      </c>
    </row>
    <row r="6382" spans="1:187" ht="11.25" customHeight="1">
      <c r="A6382" s="1" t="s">
        <v>9011</v>
      </c>
      <c r="B6382" s="1" t="str">
        <f ca="1">IFERROR(__xludf.DUMMYFUNCTION("GOOGLETRANSLATE(A6382, ""en"", ""fr"")"),"MAR # 1")</f>
        <v>MAR # 1</v>
      </c>
      <c r="C6382" s="1" t="s">
        <v>185</v>
      </c>
      <c r="E6382" s="1" t="s">
        <v>16613</v>
      </c>
      <c r="H6382" s="1" t="s">
        <v>4</v>
      </c>
      <c r="J6382" s="1" t="s">
        <v>6</v>
      </c>
      <c r="N6382" s="1" t="s">
        <v>10</v>
      </c>
      <c r="V6382" s="1" t="s">
        <v>18</v>
      </c>
      <c r="FW6382" s="1" t="s">
        <v>175</v>
      </c>
      <c r="GD6382" s="1" t="s">
        <v>193</v>
      </c>
      <c r="GE6382" s="1" t="s">
        <v>190</v>
      </c>
    </row>
    <row r="6383" spans="1:187" ht="11.25" customHeight="1">
      <c r="A6383" s="1" t="s">
        <v>9012</v>
      </c>
      <c r="B6383" s="1" t="str">
        <f ca="1">IFERROR(__xludf.DUMMYFUNCTION("GOOGLETRANSLATE(A6383, ""en"", ""fr"")"),"Mars 2")</f>
        <v>Mars 2</v>
      </c>
      <c r="C6383" s="1" t="s">
        <v>185</v>
      </c>
      <c r="E6383" s="1" t="s">
        <v>16613</v>
      </c>
      <c r="H6383" s="1" t="s">
        <v>4</v>
      </c>
      <c r="I6383" s="1" t="s">
        <v>5</v>
      </c>
      <c r="J6383" s="1" t="s">
        <v>6</v>
      </c>
      <c r="N6383" s="1" t="s">
        <v>10</v>
      </c>
      <c r="CC6383" s="1" t="s">
        <v>77</v>
      </c>
      <c r="FO6383" s="1" t="s">
        <v>167</v>
      </c>
      <c r="GD6383" s="1" t="s">
        <v>189</v>
      </c>
      <c r="GE6383" s="1" t="s">
        <v>190</v>
      </c>
    </row>
    <row r="6384" spans="1:187" ht="11.25" customHeight="1">
      <c r="A6384" s="1" t="s">
        <v>9013</v>
      </c>
      <c r="B6384" s="1" t="str">
        <f ca="1">IFERROR(__xludf.DUMMYFUNCTION("GOOGLETRANSLATE(A6384, ""en"", ""fr"")"),"MARBRE")</f>
        <v>MARBRE</v>
      </c>
      <c r="C6384" s="1" t="s">
        <v>185</v>
      </c>
      <c r="BC6384" s="1" t="s">
        <v>51</v>
      </c>
      <c r="BI6384" s="1" t="s">
        <v>57</v>
      </c>
      <c r="GD6384" s="1" t="s">
        <v>193</v>
      </c>
      <c r="GE6384" s="1" t="s">
        <v>190</v>
      </c>
    </row>
    <row r="6385" spans="1:187" ht="11.25" customHeight="1">
      <c r="A6385" s="1" t="s">
        <v>9014</v>
      </c>
      <c r="B6385" s="1" t="str">
        <f ca="1">IFERROR(__xludf.DUMMYFUNCTION("GOOGLETRANSLATE(A6385, ""en"", ""fr"")"),"1ER MARS")</f>
        <v>1ER MARS</v>
      </c>
      <c r="C6385" s="1" t="s">
        <v>185</v>
      </c>
      <c r="CQ6385" s="1" t="s">
        <v>91</v>
      </c>
      <c r="CY6385" s="1" t="s">
        <v>99</v>
      </c>
      <c r="CZ6385" s="1" t="s">
        <v>100</v>
      </c>
      <c r="GB6385" s="1" t="s">
        <v>180</v>
      </c>
      <c r="GD6385" s="1" t="s">
        <v>193</v>
      </c>
      <c r="GE6385" s="1" t="s">
        <v>9015</v>
      </c>
    </row>
    <row r="6386" spans="1:187" ht="11.25" customHeight="1">
      <c r="A6386" s="1" t="s">
        <v>9016</v>
      </c>
      <c r="B6386" s="1" t="str">
        <f ca="1">IFERROR(__xludf.DUMMYFUNCTION("GOOGLETRANSLATE(A6386, ""en"", ""fr"")"),"LE 2 MARS")</f>
        <v>LE 2 MARS</v>
      </c>
      <c r="C6386" s="1" t="s">
        <v>185</v>
      </c>
      <c r="J6386" s="1" t="s">
        <v>6</v>
      </c>
      <c r="N6386" s="1" t="s">
        <v>10</v>
      </c>
      <c r="AF6386" s="1" t="s">
        <v>28</v>
      </c>
      <c r="CE6386" s="1" t="s">
        <v>79</v>
      </c>
      <c r="EC6386" s="1" t="s">
        <v>129</v>
      </c>
      <c r="ED6386" s="1" t="s">
        <v>130</v>
      </c>
      <c r="GD6386" s="1" t="s">
        <v>189</v>
      </c>
      <c r="GE6386" s="1" t="s">
        <v>9017</v>
      </c>
    </row>
    <row r="6387" spans="1:187" ht="11.25" customHeight="1">
      <c r="A6387" s="1" t="s">
        <v>9018</v>
      </c>
      <c r="B6387" s="1" t="str">
        <f ca="1">IFERROR(__xludf.DUMMYFUNCTION("GOOGLETRANSLATE(A6387, ""en"", ""fr"")"),"3 MARS")</f>
        <v>3 MARS</v>
      </c>
      <c r="C6387" s="1" t="s">
        <v>185</v>
      </c>
      <c r="J6387" s="1" t="s">
        <v>6</v>
      </c>
      <c r="N6387" s="1" t="s">
        <v>10</v>
      </c>
      <c r="CE6387" s="1" t="s">
        <v>79</v>
      </c>
      <c r="GD6387" s="1" t="s">
        <v>193</v>
      </c>
      <c r="GE6387" s="1" t="s">
        <v>9019</v>
      </c>
    </row>
    <row r="6388" spans="1:187" ht="11.25" customHeight="1">
      <c r="A6388" s="1" t="s">
        <v>9020</v>
      </c>
      <c r="B6388" s="1" t="str">
        <f ca="1">IFERROR(__xludf.DUMMYFUNCTION("GOOGLETRANSLATE(A6388, ""en"", ""fr"")"),"MARCHEUR")</f>
        <v>MARCHEUR</v>
      </c>
      <c r="C6388" s="1" t="s">
        <v>185</v>
      </c>
      <c r="J6388" s="1" t="s">
        <v>6</v>
      </c>
      <c r="N6388" s="1" t="s">
        <v>10</v>
      </c>
      <c r="AF6388" s="1" t="s">
        <v>28</v>
      </c>
      <c r="AJ6388" s="1" t="s">
        <v>32</v>
      </c>
      <c r="AT6388" s="1" t="s">
        <v>42</v>
      </c>
      <c r="DZ6388" s="1" t="s">
        <v>126</v>
      </c>
      <c r="ED6388" s="1" t="s">
        <v>130</v>
      </c>
      <c r="GD6388" s="1" t="s">
        <v>193</v>
      </c>
      <c r="GE6388" s="1" t="s">
        <v>190</v>
      </c>
    </row>
    <row r="6389" spans="1:187" ht="11.25" customHeight="1">
      <c r="A6389" s="1" t="s">
        <v>9021</v>
      </c>
      <c r="B6389" s="1" t="str">
        <f ca="1">IFERROR(__xludf.DUMMYFUNCTION("GOOGLETRANSLATE(A6389, ""en"", ""fr"")"),"JUMENT")</f>
        <v>JUMENT</v>
      </c>
      <c r="C6389" s="1" t="s">
        <v>185</v>
      </c>
      <c r="AR6389" s="1" t="s">
        <v>40</v>
      </c>
      <c r="AU6389" s="1" t="s">
        <v>43</v>
      </c>
      <c r="GD6389" s="1" t="s">
        <v>193</v>
      </c>
      <c r="GE6389" s="1" t="s">
        <v>190</v>
      </c>
    </row>
    <row r="6390" spans="1:187" ht="11.25" customHeight="1">
      <c r="A6390" s="1" t="s">
        <v>9022</v>
      </c>
      <c r="B6390" s="1" t="str">
        <f ca="1">IFERROR(__xludf.DUMMYFUNCTION("GOOGLETRANSLATE(A6390, ""en"", ""fr"")"),"MARGINAL")</f>
        <v>MARGINAL</v>
      </c>
      <c r="C6390" s="1" t="s">
        <v>185</v>
      </c>
      <c r="E6390" s="1" t="s">
        <v>16613</v>
      </c>
      <c r="H6390" s="1" t="s">
        <v>4</v>
      </c>
      <c r="DA6390" s="1" t="s">
        <v>101</v>
      </c>
      <c r="GD6390" s="1" t="s">
        <v>202</v>
      </c>
      <c r="GE6390" s="1" t="s">
        <v>190</v>
      </c>
    </row>
    <row r="6391" spans="1:187" ht="11.25" customHeight="1">
      <c r="A6391" s="1" t="s">
        <v>9023</v>
      </c>
      <c r="B6391" s="1" t="str">
        <f ca="1">IFERROR(__xludf.DUMMYFUNCTION("GOOGLETRANSLATE(A6391, ""en"", ""fr"")"),"Marine # 1")</f>
        <v>Marine # 1</v>
      </c>
      <c r="C6391" s="1" t="s">
        <v>196</v>
      </c>
      <c r="GD6391" s="1" t="s">
        <v>193</v>
      </c>
    </row>
    <row r="6392" spans="1:187" ht="11.25" customHeight="1">
      <c r="A6392" s="1" t="s">
        <v>9024</v>
      </c>
      <c r="B6392" s="1" t="str">
        <f ca="1">IFERROR(__xludf.DUMMYFUNCTION("GOOGLETRANSLATE(A6392, ""en"", ""fr"")"),"Marine # 2")</f>
        <v>Marine # 2</v>
      </c>
      <c r="C6392" s="1" t="s">
        <v>196</v>
      </c>
      <c r="DY6392" s="1" t="s">
        <v>125</v>
      </c>
      <c r="ED6392" s="1" t="s">
        <v>130</v>
      </c>
      <c r="GD6392" s="1" t="s">
        <v>4912</v>
      </c>
    </row>
    <row r="6393" spans="1:187" ht="11.25" customHeight="1">
      <c r="A6393" s="1" t="s">
        <v>9025</v>
      </c>
      <c r="B6393" s="1" t="str">
        <f ca="1">IFERROR(__xludf.DUMMYFUNCTION("GOOGLETRANSLATE(A6393, ""en"", ""fr"")"),"MATRIMONIAL")</f>
        <v>MATRIMONIAL</v>
      </c>
      <c r="C6393" s="1" t="s">
        <v>185</v>
      </c>
      <c r="D6393" s="1" t="s">
        <v>16612</v>
      </c>
      <c r="F6393" s="1" t="s">
        <v>2</v>
      </c>
      <c r="AM6393" s="1" t="s">
        <v>35</v>
      </c>
      <c r="AP6393" s="1" t="s">
        <v>38</v>
      </c>
      <c r="ER6393" s="1" t="s">
        <v>144</v>
      </c>
      <c r="ES6393" s="1" t="s">
        <v>145</v>
      </c>
      <c r="GD6393" s="1" t="s">
        <v>202</v>
      </c>
      <c r="GE6393" s="1" t="s">
        <v>190</v>
      </c>
    </row>
    <row r="6394" spans="1:187" ht="11.25" customHeight="1">
      <c r="A6394" s="1" t="s">
        <v>9026</v>
      </c>
      <c r="B6394" s="1" t="str">
        <f ca="1">IFERROR(__xludf.DUMMYFUNCTION("GOOGLETRANSLATE(A6394, ""en"", ""fr"")"),"MARITIME")</f>
        <v>MARITIME</v>
      </c>
      <c r="C6394" s="1" t="s">
        <v>196</v>
      </c>
      <c r="GD6394" s="1" t="s">
        <v>202</v>
      </c>
    </row>
    <row r="6395" spans="1:187" ht="11.25" customHeight="1">
      <c r="A6395" s="1" t="s">
        <v>9027</v>
      </c>
      <c r="B6395" s="1" t="str">
        <f ca="1">IFERROR(__xludf.DUMMYFUNCTION("GOOGLETRANSLATE(A6395, ""en"", ""fr"")"),"Marque n ° 1")</f>
        <v>Marque n ° 1</v>
      </c>
      <c r="C6395" s="1" t="s">
        <v>185</v>
      </c>
      <c r="BC6395" s="1" t="s">
        <v>51</v>
      </c>
      <c r="BH6395" s="1" t="s">
        <v>56</v>
      </c>
      <c r="BL6395" s="1" t="s">
        <v>60</v>
      </c>
      <c r="FH6395" s="1" t="s">
        <v>160</v>
      </c>
      <c r="FI6395" s="1" t="s">
        <v>161</v>
      </c>
      <c r="GD6395" s="1" t="s">
        <v>193</v>
      </c>
      <c r="GE6395" s="1" t="s">
        <v>9028</v>
      </c>
    </row>
    <row r="6396" spans="1:187" ht="11.25" customHeight="1">
      <c r="A6396" s="1" t="s">
        <v>9029</v>
      </c>
      <c r="B6396" s="1" t="str">
        <f ca="1">IFERROR(__xludf.DUMMYFUNCTION("GOOGLETRANSLATE(A6396, ""en"", ""fr"")"),"MARQUE 2")</f>
        <v>MARQUE 2</v>
      </c>
      <c r="C6396" s="1" t="s">
        <v>185</v>
      </c>
      <c r="J6396" s="1" t="s">
        <v>6</v>
      </c>
      <c r="W6396" s="1" t="s">
        <v>19</v>
      </c>
      <c r="BQ6396" s="1" t="s">
        <v>65</v>
      </c>
      <c r="FY6396" s="1" t="s">
        <v>177</v>
      </c>
      <c r="GD6396" s="1" t="s">
        <v>202</v>
      </c>
      <c r="GE6396" s="1" t="s">
        <v>9030</v>
      </c>
    </row>
    <row r="6397" spans="1:187" ht="11.25" customHeight="1">
      <c r="A6397" s="1" t="s">
        <v>9031</v>
      </c>
      <c r="B6397" s="1" t="str">
        <f ca="1">IFERROR(__xludf.DUMMYFUNCTION("GOOGLETRANSLATE(A6397, ""en"", ""fr"")"),"Marque n ° 3")</f>
        <v>Marque n ° 3</v>
      </c>
      <c r="C6397" s="1" t="s">
        <v>185</v>
      </c>
      <c r="N6397" s="1" t="s">
        <v>10</v>
      </c>
      <c r="BK6397" s="1" t="s">
        <v>59</v>
      </c>
      <c r="DO6397" s="1" t="s">
        <v>115</v>
      </c>
      <c r="FH6397" s="1" t="s">
        <v>160</v>
      </c>
      <c r="FI6397" s="1" t="s">
        <v>161</v>
      </c>
      <c r="GD6397" s="1" t="s">
        <v>189</v>
      </c>
      <c r="GE6397" s="1" t="s">
        <v>9032</v>
      </c>
    </row>
    <row r="6398" spans="1:187" ht="11.25" customHeight="1">
      <c r="A6398" s="1" t="s">
        <v>9033</v>
      </c>
      <c r="B6398" s="1" t="str">
        <f ca="1">IFERROR(__xludf.DUMMYFUNCTION("GOOGLETRANSLATE(A6398, ""en"", ""fr"")"),"Marque n ° 4")</f>
        <v>Marque n ° 4</v>
      </c>
      <c r="C6398" s="1" t="s">
        <v>185</v>
      </c>
      <c r="CA6398" s="1" t="s">
        <v>75</v>
      </c>
      <c r="DN6398" s="1" t="s">
        <v>114</v>
      </c>
      <c r="GD6398" s="1" t="s">
        <v>189</v>
      </c>
      <c r="GE6398" s="1" t="s">
        <v>9034</v>
      </c>
    </row>
    <row r="6399" spans="1:187" ht="11.25" customHeight="1">
      <c r="A6399" s="1" t="s">
        <v>9035</v>
      </c>
      <c r="B6399" s="1" t="str">
        <f ca="1">IFERROR(__xludf.DUMMYFUNCTION("GOOGLETRANSLATE(A6399, ""en"", ""fr"")"),"Marque n ° 5")</f>
        <v>Marque n ° 5</v>
      </c>
      <c r="C6399" s="1" t="s">
        <v>185</v>
      </c>
      <c r="BC6399" s="1" t="s">
        <v>51</v>
      </c>
      <c r="BH6399" s="1" t="s">
        <v>56</v>
      </c>
      <c r="BL6399" s="1" t="s">
        <v>60</v>
      </c>
      <c r="FH6399" s="1" t="s">
        <v>160</v>
      </c>
      <c r="FI6399" s="1" t="s">
        <v>161</v>
      </c>
      <c r="GD6399" s="1" t="s">
        <v>193</v>
      </c>
      <c r="GE6399" s="1" t="s">
        <v>9036</v>
      </c>
    </row>
    <row r="6400" spans="1:187" ht="11.25" customHeight="1">
      <c r="A6400" s="1" t="s">
        <v>9037</v>
      </c>
      <c r="B6400" s="1" t="str">
        <f ca="1">IFERROR(__xludf.DUMMYFUNCTION("GOOGLETRANSLATE(A6400, ""en"", ""fr"")"),"MARQUEUR")</f>
        <v>MARQUEUR</v>
      </c>
      <c r="C6400" s="1" t="s">
        <v>185</v>
      </c>
      <c r="BC6400" s="1" t="s">
        <v>51</v>
      </c>
      <c r="BH6400" s="1" t="s">
        <v>56</v>
      </c>
      <c r="BL6400" s="1" t="s">
        <v>60</v>
      </c>
      <c r="GD6400" s="1" t="s">
        <v>193</v>
      </c>
      <c r="GE6400" s="1" t="s">
        <v>190</v>
      </c>
    </row>
    <row r="6401" spans="1:187" ht="11.25" customHeight="1">
      <c r="A6401" s="1" t="s">
        <v>9038</v>
      </c>
      <c r="B6401" s="1" t="str">
        <f ca="1">IFERROR(__xludf.DUMMYFUNCTION("GOOGLETRANSLATE(A6401, ""en"", ""fr"")"),"Marché n ° 1")</f>
        <v>Marché n ° 1</v>
      </c>
      <c r="C6401" s="1" t="s">
        <v>185</v>
      </c>
      <c r="AA6401" s="1" t="s">
        <v>23</v>
      </c>
      <c r="AC6401" s="1" t="s">
        <v>25</v>
      </c>
      <c r="AV6401" s="1" t="s">
        <v>44</v>
      </c>
      <c r="AW6401" s="1" t="s">
        <v>45</v>
      </c>
      <c r="EV6401" s="1" t="s">
        <v>148</v>
      </c>
      <c r="EW6401" s="1" t="s">
        <v>149</v>
      </c>
      <c r="GD6401" s="1" t="s">
        <v>193</v>
      </c>
      <c r="GE6401" s="1" t="s">
        <v>9039</v>
      </c>
    </row>
    <row r="6402" spans="1:187" ht="11.25" customHeight="1">
      <c r="A6402" s="1" t="s">
        <v>9040</v>
      </c>
      <c r="B6402" s="1" t="str">
        <f ca="1">IFERROR(__xludf.DUMMYFUNCTION("GOOGLETRANSLATE(A6402, ""en"", ""fr"")"),"Marché n ° 2")</f>
        <v>Marché n ° 2</v>
      </c>
      <c r="C6402" s="1" t="s">
        <v>185</v>
      </c>
      <c r="N6402" s="1" t="s">
        <v>10</v>
      </c>
      <c r="AA6402" s="1" t="s">
        <v>23</v>
      </c>
      <c r="AC6402" s="1" t="s">
        <v>25</v>
      </c>
      <c r="AM6402" s="1" t="s">
        <v>35</v>
      </c>
      <c r="EV6402" s="1" t="s">
        <v>148</v>
      </c>
      <c r="EW6402" s="1" t="s">
        <v>149</v>
      </c>
      <c r="GD6402" s="1" t="s">
        <v>193</v>
      </c>
      <c r="GE6402" s="1" t="s">
        <v>9041</v>
      </c>
    </row>
    <row r="6403" spans="1:187" ht="11.25" customHeight="1">
      <c r="A6403" s="1" t="s">
        <v>9042</v>
      </c>
      <c r="B6403" s="1" t="str">
        <f ca="1">IFERROR(__xludf.DUMMYFUNCTION("GOOGLETRANSLATE(A6403, ""en"", ""fr"")"),"Marché n ° 3")</f>
        <v>Marché n ° 3</v>
      </c>
      <c r="C6403" s="1" t="s">
        <v>185</v>
      </c>
      <c r="GD6403" s="1" t="s">
        <v>225</v>
      </c>
      <c r="GE6403" s="1" t="s">
        <v>9043</v>
      </c>
    </row>
    <row r="6404" spans="1:187" ht="11.25" customHeight="1">
      <c r="A6404" s="1" t="s">
        <v>9044</v>
      </c>
      <c r="B6404" s="1" t="str">
        <f ca="1">IFERROR(__xludf.DUMMYFUNCTION("GOOGLETRANSLATE(A6404, ""en"", ""fr"")"),"BUTEUR")</f>
        <v>BUTEUR</v>
      </c>
      <c r="C6404" s="1" t="s">
        <v>185</v>
      </c>
      <c r="I6404" s="1" t="s">
        <v>5</v>
      </c>
      <c r="AD6404" s="1" t="s">
        <v>26</v>
      </c>
      <c r="AJ6404" s="1" t="s">
        <v>32</v>
      </c>
      <c r="AQ6404" s="1" t="s">
        <v>39</v>
      </c>
      <c r="AT6404" s="1" t="s">
        <v>42</v>
      </c>
      <c r="FK6404" s="1" t="s">
        <v>163</v>
      </c>
      <c r="FM6404" s="1" t="s">
        <v>418</v>
      </c>
      <c r="GD6404" s="1" t="s">
        <v>193</v>
      </c>
      <c r="GE6404" s="1" t="s">
        <v>190</v>
      </c>
    </row>
    <row r="6405" spans="1:187" ht="11.25" customHeight="1">
      <c r="A6405" s="1" t="s">
        <v>9045</v>
      </c>
      <c r="B6405" s="1" t="str">
        <f ca="1">IFERROR(__xludf.DUMMYFUNCTION("GOOGLETRANSLATE(A6405, ""en"", ""fr"")"),"MARIAGE")</f>
        <v>MARIAGE</v>
      </c>
      <c r="C6405" s="1" t="s">
        <v>185</v>
      </c>
      <c r="D6405" s="1" t="s">
        <v>16612</v>
      </c>
      <c r="F6405" s="1" t="s">
        <v>2</v>
      </c>
      <c r="G6405" s="1" t="s">
        <v>3</v>
      </c>
      <c r="AM6405" s="1" t="s">
        <v>35</v>
      </c>
      <c r="AP6405" s="1" t="s">
        <v>38</v>
      </c>
      <c r="ER6405" s="1" t="s">
        <v>144</v>
      </c>
      <c r="ES6405" s="1" t="s">
        <v>145</v>
      </c>
      <c r="GD6405" s="1" t="s">
        <v>193</v>
      </c>
      <c r="GE6405" s="1" t="s">
        <v>9046</v>
      </c>
    </row>
    <row r="6406" spans="1:187" ht="11.25" customHeight="1">
      <c r="A6406" s="1" t="s">
        <v>9047</v>
      </c>
      <c r="B6406" s="1" t="str">
        <f ca="1">IFERROR(__xludf.DUMMYFUNCTION("GOOGLETRANSLATE(A6406, ""en"", ""fr"")"),"MOELLE")</f>
        <v>MOELLE</v>
      </c>
      <c r="C6406" s="1" t="s">
        <v>185</v>
      </c>
      <c r="BJ6406" s="1" t="s">
        <v>58</v>
      </c>
      <c r="GD6406" s="1" t="s">
        <v>193</v>
      </c>
      <c r="GE6406" s="1" t="s">
        <v>190</v>
      </c>
    </row>
    <row r="6407" spans="1:187" ht="11.25" customHeight="1">
      <c r="A6407" s="1" t="s">
        <v>9048</v>
      </c>
      <c r="B6407" s="1" t="str">
        <f ca="1">IFERROR(__xludf.DUMMYFUNCTION("GOOGLETRANSLATE(A6407, ""en"", ""fr"")"),"Se marier n ° 1")</f>
        <v>Se marier n ° 1</v>
      </c>
      <c r="C6407" s="1" t="s">
        <v>185</v>
      </c>
      <c r="D6407" s="1" t="s">
        <v>16612</v>
      </c>
      <c r="F6407" s="1" t="s">
        <v>2</v>
      </c>
      <c r="G6407" s="1" t="s">
        <v>3</v>
      </c>
      <c r="AN6407" s="1" t="s">
        <v>36</v>
      </c>
      <c r="AP6407" s="1" t="s">
        <v>38</v>
      </c>
      <c r="DO6407" s="1" t="s">
        <v>115</v>
      </c>
      <c r="EO6407" s="1" t="s">
        <v>141</v>
      </c>
      <c r="ES6407" s="1" t="s">
        <v>145</v>
      </c>
      <c r="GD6407" s="1" t="s">
        <v>189</v>
      </c>
      <c r="GE6407" s="1" t="s">
        <v>9049</v>
      </c>
    </row>
    <row r="6408" spans="1:187" ht="11.25" customHeight="1">
      <c r="A6408" s="1" t="s">
        <v>9050</v>
      </c>
      <c r="B6408" s="1" t="str">
        <f ca="1">IFERROR(__xludf.DUMMYFUNCTION("GOOGLETRANSLATE(A6408, ""en"", ""fr"")"),"Marier # 2")</f>
        <v>Marier # 2</v>
      </c>
      <c r="C6408" s="1" t="s">
        <v>185</v>
      </c>
      <c r="D6408" s="1" t="s">
        <v>16612</v>
      </c>
      <c r="F6408" s="1" t="s">
        <v>2</v>
      </c>
      <c r="G6408" s="1" t="s">
        <v>3</v>
      </c>
      <c r="AN6408" s="1" t="s">
        <v>36</v>
      </c>
      <c r="AP6408" s="1" t="s">
        <v>38</v>
      </c>
      <c r="ER6408" s="1" t="s">
        <v>144</v>
      </c>
      <c r="ES6408" s="1" t="s">
        <v>145</v>
      </c>
      <c r="GD6408" s="1" t="s">
        <v>202</v>
      </c>
      <c r="GE6408" s="1" t="s">
        <v>9051</v>
      </c>
    </row>
    <row r="6409" spans="1:187" ht="11.25" customHeight="1">
      <c r="A6409" s="1" t="s">
        <v>9052</v>
      </c>
      <c r="B6409" s="1" t="str">
        <f ca="1">IFERROR(__xludf.DUMMYFUNCTION("GOOGLETRANSLATE(A6409, ""en"", ""fr"")"),"LE MARAIS")</f>
        <v>LE MARAIS</v>
      </c>
      <c r="C6409" s="1" t="s">
        <v>185</v>
      </c>
      <c r="AV6409" s="1" t="s">
        <v>44</v>
      </c>
      <c r="BA6409" s="1" t="s">
        <v>49</v>
      </c>
      <c r="GD6409" s="1" t="s">
        <v>193</v>
      </c>
      <c r="GE6409" s="1" t="s">
        <v>190</v>
      </c>
    </row>
    <row r="6410" spans="1:187" ht="11.25" customHeight="1">
      <c r="A6410" s="1" t="s">
        <v>9053</v>
      </c>
      <c r="B6410" s="1" t="str">
        <f ca="1">IFERROR(__xludf.DUMMYFUNCTION("GOOGLETRANSLATE(A6410, ""en"", ""fr"")"),"Maréchal")</f>
        <v>Maréchal</v>
      </c>
      <c r="C6410" s="1" t="s">
        <v>185</v>
      </c>
      <c r="K6410" s="1" t="s">
        <v>7</v>
      </c>
      <c r="AE6410" s="1" t="s">
        <v>27</v>
      </c>
      <c r="AH6410" s="1" t="s">
        <v>30</v>
      </c>
      <c r="AJ6410" s="1" t="s">
        <v>32</v>
      </c>
      <c r="AT6410" s="1" t="s">
        <v>42</v>
      </c>
      <c r="FK6410" s="1" t="s">
        <v>163</v>
      </c>
      <c r="FM6410" s="1" t="s">
        <v>418</v>
      </c>
      <c r="GD6410" s="1" t="s">
        <v>193</v>
      </c>
      <c r="GE6410" s="1" t="s">
        <v>190</v>
      </c>
    </row>
    <row r="6411" spans="1:187" ht="11.25" customHeight="1">
      <c r="A6411" s="1" t="s">
        <v>9054</v>
      </c>
      <c r="B6411" s="1" t="str">
        <f ca="1">IFERROR(__xludf.DUMMYFUNCTION("GOOGLETRANSLATE(A6411, ""en"", ""fr"")"),"Maréchal-plan")</f>
        <v>Maréchal-plan</v>
      </c>
      <c r="C6411" s="1" t="s">
        <v>196</v>
      </c>
      <c r="GD6411" s="1" t="s">
        <v>2981</v>
      </c>
    </row>
    <row r="6412" spans="1:187" ht="11.25" customHeight="1">
      <c r="A6412" s="1" t="s">
        <v>9055</v>
      </c>
      <c r="B6412" s="1" t="str">
        <f ca="1">IFERROR(__xludf.DUMMYFUNCTION("GOOGLETRANSLATE(A6412, ""en"", ""fr"")"),"MERVEILLE")</f>
        <v>MERVEILLE</v>
      </c>
      <c r="C6412" s="1" t="s">
        <v>192</v>
      </c>
      <c r="D6412" s="1" t="s">
        <v>16612</v>
      </c>
      <c r="N6412" s="1" t="s">
        <v>10</v>
      </c>
      <c r="W6412" s="1" t="s">
        <v>19</v>
      </c>
      <c r="CG6412" s="1" t="s">
        <v>81</v>
      </c>
      <c r="DN6412" s="1" t="s">
        <v>114</v>
      </c>
      <c r="GD6412" s="1" t="s">
        <v>189</v>
      </c>
      <c r="GE6412" s="1" t="s">
        <v>190</v>
      </c>
    </row>
    <row r="6413" spans="1:187" ht="11.25" customHeight="1">
      <c r="A6413" s="1" t="s">
        <v>9056</v>
      </c>
      <c r="B6413" s="1" t="str">
        <f ca="1">IFERROR(__xludf.DUMMYFUNCTION("GOOGLETRANSLATE(A6413, ""en"", ""fr"")"),"MERVEILLEUX")</f>
        <v>MERVEILLEUX</v>
      </c>
      <c r="C6413" s="1" t="s">
        <v>185</v>
      </c>
      <c r="D6413" s="1" t="s">
        <v>16612</v>
      </c>
      <c r="U6413" s="1" t="s">
        <v>17</v>
      </c>
      <c r="CG6413" s="1" t="s">
        <v>81</v>
      </c>
      <c r="DR6413" s="1" t="s">
        <v>118</v>
      </c>
      <c r="FX6413" s="1" t="s">
        <v>176</v>
      </c>
      <c r="GD6413" s="1" t="s">
        <v>202</v>
      </c>
      <c r="GE6413" s="1" t="s">
        <v>190</v>
      </c>
    </row>
    <row r="6414" spans="1:187" ht="11.25" customHeight="1">
      <c r="A6414" s="1" t="s">
        <v>9057</v>
      </c>
      <c r="B6414" s="1" t="str">
        <f ca="1">IFERROR(__xludf.DUMMYFUNCTION("GOOGLETRANSLATE(A6414, ""en"", ""fr"")"),"MARXISME")</f>
        <v>MARXISME</v>
      </c>
      <c r="C6414" s="1" t="s">
        <v>196</v>
      </c>
      <c r="EA6414" s="1" t="s">
        <v>127</v>
      </c>
      <c r="ED6414" s="1" t="s">
        <v>130</v>
      </c>
      <c r="GD6414" s="1" t="s">
        <v>193</v>
      </c>
    </row>
    <row r="6415" spans="1:187" ht="11.25" customHeight="1">
      <c r="A6415" s="1" t="s">
        <v>9058</v>
      </c>
      <c r="B6415" s="1" t="str">
        <f ca="1">IFERROR(__xludf.DUMMYFUNCTION("GOOGLETRANSLATE(A6415, ""en"", ""fr"")"),"MARYLAND")</f>
        <v>MARYLAND</v>
      </c>
      <c r="C6415" s="1" t="s">
        <v>196</v>
      </c>
      <c r="GD6415" s="1" t="s">
        <v>653</v>
      </c>
    </row>
    <row r="6416" spans="1:187" ht="11.25" customHeight="1">
      <c r="A6416" s="1" t="s">
        <v>9059</v>
      </c>
      <c r="B6416" s="1" t="str">
        <f ca="1">IFERROR(__xludf.DUMMYFUNCTION("GOOGLETRANSLATE(A6416, ""en"", ""fr"")"),"MASCULIN")</f>
        <v>MASCULIN</v>
      </c>
      <c r="C6416" s="1" t="s">
        <v>185</v>
      </c>
      <c r="J6416" s="1" t="s">
        <v>6</v>
      </c>
      <c r="AJ6416" s="1" t="s">
        <v>32</v>
      </c>
      <c r="AQ6416" s="1" t="s">
        <v>39</v>
      </c>
      <c r="AT6416" s="1" t="s">
        <v>42</v>
      </c>
      <c r="GD6416" s="1" t="s">
        <v>202</v>
      </c>
      <c r="GE6416" s="1" t="s">
        <v>190</v>
      </c>
    </row>
    <row r="6417" spans="1:187" ht="11.25" customHeight="1">
      <c r="A6417" s="1" t="s">
        <v>9060</v>
      </c>
      <c r="B6417" s="1" t="str">
        <f ca="1">IFERROR(__xludf.DUMMYFUNCTION("GOOGLETRANSLATE(A6417, ""en"", ""fr"")"),"Masse n ° 1")</f>
        <v>Masse n ° 1</v>
      </c>
      <c r="C6417" s="1" t="s">
        <v>185</v>
      </c>
      <c r="J6417" s="1" t="s">
        <v>6</v>
      </c>
      <c r="W6417" s="1" t="s">
        <v>19</v>
      </c>
      <c r="CS6417" s="1" t="s">
        <v>93</v>
      </c>
      <c r="GD6417" s="1" t="s">
        <v>193</v>
      </c>
      <c r="GE6417" s="1" t="s">
        <v>9061</v>
      </c>
    </row>
    <row r="6418" spans="1:187" ht="11.25" customHeight="1">
      <c r="A6418" s="1" t="s">
        <v>9062</v>
      </c>
      <c r="B6418" s="1" t="str">
        <f ca="1">IFERROR(__xludf.DUMMYFUNCTION("GOOGLETRANSLATE(A6418, ""en"", ""fr"")"),"Masse n ° 2")</f>
        <v>Masse n ° 2</v>
      </c>
      <c r="C6418" s="1" t="s">
        <v>185</v>
      </c>
      <c r="J6418" s="1" t="s">
        <v>6</v>
      </c>
      <c r="AH6418" s="1" t="s">
        <v>30</v>
      </c>
      <c r="AK6418" s="1" t="s">
        <v>33</v>
      </c>
      <c r="AT6418" s="1" t="s">
        <v>42</v>
      </c>
      <c r="DZ6418" s="1" t="s">
        <v>126</v>
      </c>
      <c r="ED6418" s="1" t="s">
        <v>130</v>
      </c>
      <c r="GD6418" s="1" t="s">
        <v>193</v>
      </c>
      <c r="GE6418" s="1" t="s">
        <v>9063</v>
      </c>
    </row>
    <row r="6419" spans="1:187" ht="11.25" customHeight="1">
      <c r="A6419" s="1" t="s">
        <v>9064</v>
      </c>
      <c r="B6419" s="1" t="str">
        <f ca="1">IFERROR(__xludf.DUMMYFUNCTION("GOOGLETRANSLATE(A6419, ""en"", ""fr"")"),"Masse n ° 3")</f>
        <v>Masse n ° 3</v>
      </c>
      <c r="C6419" s="1" t="s">
        <v>185</v>
      </c>
      <c r="J6419" s="1" t="s">
        <v>6</v>
      </c>
      <c r="DA6419" s="1" t="s">
        <v>101</v>
      </c>
      <c r="DO6419" s="1" t="s">
        <v>115</v>
      </c>
      <c r="FP6419" s="1" t="s">
        <v>168</v>
      </c>
      <c r="GD6419" s="1" t="s">
        <v>189</v>
      </c>
      <c r="GE6419" s="1" t="s">
        <v>9065</v>
      </c>
    </row>
    <row r="6420" spans="1:187" ht="11.25" customHeight="1">
      <c r="A6420" s="1" t="s">
        <v>9066</v>
      </c>
      <c r="B6420" s="1" t="str">
        <f ca="1">IFERROR(__xludf.DUMMYFUNCTION("GOOGLETRANSLATE(A6420, ""en"", ""fr"")"),"Masse n ° 4")</f>
        <v>Masse n ° 4</v>
      </c>
      <c r="C6420" s="1" t="s">
        <v>185</v>
      </c>
      <c r="AC6420" s="1" t="s">
        <v>25</v>
      </c>
      <c r="AH6420" s="1" t="s">
        <v>30</v>
      </c>
      <c r="DI6420" s="1" t="s">
        <v>109</v>
      </c>
      <c r="GD6420" s="1" t="s">
        <v>193</v>
      </c>
      <c r="GE6420" s="1" t="s">
        <v>9067</v>
      </c>
    </row>
    <row r="6421" spans="1:187" ht="11.25" customHeight="1">
      <c r="A6421" s="1" t="s">
        <v>9068</v>
      </c>
      <c r="B6421" s="1" t="str">
        <f ca="1">IFERROR(__xludf.DUMMYFUNCTION("GOOGLETRANSLATE(A6421, ""en"", ""fr"")"),"MASSACHUSETTS")</f>
        <v>MASSACHUSETTS</v>
      </c>
      <c r="C6421" s="1" t="s">
        <v>185</v>
      </c>
      <c r="AC6421" s="1" t="s">
        <v>25</v>
      </c>
      <c r="AH6421" s="1" t="s">
        <v>30</v>
      </c>
      <c r="DI6421" s="1" t="s">
        <v>109</v>
      </c>
      <c r="GD6421" s="1" t="s">
        <v>193</v>
      </c>
      <c r="GE6421" s="1" t="s">
        <v>190</v>
      </c>
    </row>
    <row r="6422" spans="1:187" ht="11.25" customHeight="1">
      <c r="A6422" s="1" t="s">
        <v>9069</v>
      </c>
      <c r="B6422" s="1" t="str">
        <f ca="1">IFERROR(__xludf.DUMMYFUNCTION("GOOGLETRANSLATE(A6422, ""en"", ""fr"")"),"MASSACRE")</f>
        <v>MASSACRE</v>
      </c>
      <c r="C6422" s="1" t="s">
        <v>192</v>
      </c>
      <c r="E6422" s="1" t="s">
        <v>16613</v>
      </c>
      <c r="I6422" s="1" t="s">
        <v>5</v>
      </c>
      <c r="N6422" s="1" t="s">
        <v>10</v>
      </c>
      <c r="BZ6422" s="1" t="s">
        <v>74</v>
      </c>
      <c r="CC6422" s="1" t="s">
        <v>77</v>
      </c>
      <c r="DN6422" s="1" t="s">
        <v>114</v>
      </c>
      <c r="GD6422" s="1" t="s">
        <v>189</v>
      </c>
      <c r="GE6422" s="1" t="s">
        <v>190</v>
      </c>
    </row>
    <row r="6423" spans="1:187" ht="11.25" customHeight="1">
      <c r="A6423" s="1" t="s">
        <v>9070</v>
      </c>
      <c r="B6423" s="1" t="str">
        <f ca="1">IFERROR(__xludf.DUMMYFUNCTION("GOOGLETRANSLATE(A6423, ""en"", ""fr"")"),"MASSES")</f>
        <v>MASSES</v>
      </c>
      <c r="C6423" s="1" t="s">
        <v>196</v>
      </c>
      <c r="DZ6423" s="1" t="s">
        <v>126</v>
      </c>
      <c r="EA6423" s="1" t="s">
        <v>127</v>
      </c>
      <c r="GD6423" s="1" t="s">
        <v>193</v>
      </c>
    </row>
    <row r="6424" spans="1:187" ht="11.25" customHeight="1">
      <c r="A6424" s="1" t="s">
        <v>9071</v>
      </c>
      <c r="B6424" s="1" t="str">
        <f ca="1">IFERROR(__xludf.DUMMYFUNCTION("GOOGLETRANSLATE(A6424, ""en"", ""fr"")"),"MASSIF")</f>
        <v>MASSIF</v>
      </c>
      <c r="C6424" s="1" t="s">
        <v>185</v>
      </c>
      <c r="J6424" s="1" t="s">
        <v>6</v>
      </c>
      <c r="DA6424" s="1" t="s">
        <v>101</v>
      </c>
      <c r="DC6424" s="1" t="s">
        <v>103</v>
      </c>
      <c r="GD6424" s="1" t="s">
        <v>202</v>
      </c>
      <c r="GE6424" s="1" t="s">
        <v>190</v>
      </c>
    </row>
    <row r="6425" spans="1:187" ht="11.25" customHeight="1">
      <c r="A6425" s="1" t="s">
        <v>9072</v>
      </c>
      <c r="B6425" s="1" t="str">
        <f ca="1">IFERROR(__xludf.DUMMYFUNCTION("GOOGLETRANSLATE(A6425, ""en"", ""fr"")"),"MÂT")</f>
        <v>MÂT</v>
      </c>
      <c r="C6425" s="1" t="s">
        <v>185</v>
      </c>
      <c r="BC6425" s="1" t="s">
        <v>51</v>
      </c>
      <c r="BD6425" s="1" t="s">
        <v>52</v>
      </c>
      <c r="GD6425" s="1" t="s">
        <v>193</v>
      </c>
      <c r="GE6425" s="1" t="s">
        <v>190</v>
      </c>
    </row>
    <row r="6426" spans="1:187" ht="11.25" customHeight="1">
      <c r="A6426" s="1" t="s">
        <v>9073</v>
      </c>
      <c r="B6426" s="1" t="str">
        <f ca="1">IFERROR(__xludf.DUMMYFUNCTION("GOOGLETRANSLATE(A6426, ""en"", ""fr"")"),"Master # 1")</f>
        <v>Master # 1</v>
      </c>
      <c r="C6426" s="1" t="s">
        <v>185</v>
      </c>
      <c r="J6426" s="1" t="s">
        <v>6</v>
      </c>
      <c r="K6426" s="1" t="s">
        <v>7</v>
      </c>
      <c r="AJ6426" s="1" t="s">
        <v>32</v>
      </c>
      <c r="AT6426" s="1" t="s">
        <v>42</v>
      </c>
      <c r="DZ6426" s="1" t="s">
        <v>126</v>
      </c>
      <c r="ED6426" s="1" t="s">
        <v>130</v>
      </c>
      <c r="GD6426" s="1" t="s">
        <v>193</v>
      </c>
      <c r="GE6426" s="1" t="s">
        <v>9074</v>
      </c>
    </row>
    <row r="6427" spans="1:187" ht="11.25" customHeight="1">
      <c r="A6427" s="1" t="s">
        <v>9075</v>
      </c>
      <c r="B6427" s="1" t="str">
        <f ca="1">IFERROR(__xludf.DUMMYFUNCTION("GOOGLETRANSLATE(A6427, ""en"", ""fr"")"),"Master # 2")</f>
        <v>Master # 2</v>
      </c>
      <c r="C6427" s="1" t="s">
        <v>185</v>
      </c>
      <c r="J6427" s="1" t="s">
        <v>6</v>
      </c>
      <c r="K6427" s="1" t="s">
        <v>7</v>
      </c>
      <c r="N6427" s="1" t="s">
        <v>10</v>
      </c>
      <c r="BS6427" s="1" t="s">
        <v>67</v>
      </c>
      <c r="DN6427" s="1" t="s">
        <v>114</v>
      </c>
      <c r="DS6427" s="1" t="s">
        <v>119</v>
      </c>
      <c r="ED6427" s="1" t="s">
        <v>130</v>
      </c>
      <c r="GD6427" s="1" t="s">
        <v>189</v>
      </c>
      <c r="GE6427" s="1" t="s">
        <v>9076</v>
      </c>
    </row>
    <row r="6428" spans="1:187" ht="11.25" customHeight="1">
      <c r="A6428" s="1" t="s">
        <v>9077</v>
      </c>
      <c r="B6428" s="1" t="str">
        <f ca="1">IFERROR(__xludf.DUMMYFUNCTION("GOOGLETRANSLATE(A6428, ""en"", ""fr"")"),"Magistral")</f>
        <v>Magistral</v>
      </c>
      <c r="C6428" s="1" t="s">
        <v>192</v>
      </c>
      <c r="D6428" s="1" t="s">
        <v>16612</v>
      </c>
      <c r="J6428" s="1" t="s">
        <v>6</v>
      </c>
      <c r="K6428" s="1" t="s">
        <v>7</v>
      </c>
      <c r="CH6428" s="1" t="s">
        <v>82</v>
      </c>
      <c r="DR6428" s="1" t="s">
        <v>118</v>
      </c>
      <c r="GD6428" s="1" t="s">
        <v>202</v>
      </c>
      <c r="GE6428" s="1" t="s">
        <v>190</v>
      </c>
    </row>
    <row r="6429" spans="1:187" ht="11.25" customHeight="1">
      <c r="A6429" s="1" t="s">
        <v>9078</v>
      </c>
      <c r="B6429" s="1" t="str">
        <f ca="1">IFERROR(__xludf.DUMMYFUNCTION("GOOGLETRANSLATE(A6429, ""en"", ""fr"")"),"LA MAÎTRISE")</f>
        <v>LA MAÎTRISE</v>
      </c>
      <c r="C6429" s="1" t="s">
        <v>192</v>
      </c>
      <c r="D6429" s="1" t="s">
        <v>16612</v>
      </c>
      <c r="J6429" s="1" t="s">
        <v>6</v>
      </c>
      <c r="CH6429" s="1" t="s">
        <v>82</v>
      </c>
      <c r="GD6429" s="1" t="s">
        <v>193</v>
      </c>
      <c r="GE6429" s="1" t="s">
        <v>190</v>
      </c>
    </row>
    <row r="6430" spans="1:187" ht="11.25" customHeight="1">
      <c r="A6430" s="1" t="s">
        <v>9079</v>
      </c>
      <c r="B6430" s="1" t="str">
        <f ca="1">IFERROR(__xludf.DUMMYFUNCTION("GOOGLETRANSLATE(A6430, ""en"", ""fr"")"),"TAPIS")</f>
        <v>TAPIS</v>
      </c>
      <c r="C6430" s="1" t="s">
        <v>185</v>
      </c>
      <c r="BC6430" s="1" t="s">
        <v>51</v>
      </c>
      <c r="BD6430" s="1" t="s">
        <v>52</v>
      </c>
      <c r="GD6430" s="1" t="s">
        <v>193</v>
      </c>
      <c r="GE6430" s="1" t="s">
        <v>190</v>
      </c>
    </row>
    <row r="6431" spans="1:187" ht="11.25" customHeight="1">
      <c r="A6431" s="1" t="s">
        <v>9080</v>
      </c>
      <c r="B6431" s="1" t="str">
        <f ca="1">IFERROR(__xludf.DUMMYFUNCTION("GOOGLETRANSLATE(A6431, ""en"", ""fr"")"),"Match n ° 1")</f>
        <v>Match n ° 1</v>
      </c>
      <c r="C6431" s="1" t="s">
        <v>185</v>
      </c>
      <c r="J6431" s="1" t="s">
        <v>6</v>
      </c>
      <c r="AD6431" s="1" t="s">
        <v>26</v>
      </c>
      <c r="AM6431" s="1" t="s">
        <v>35</v>
      </c>
      <c r="GD6431" s="1" t="s">
        <v>193</v>
      </c>
      <c r="GE6431" s="1" t="s">
        <v>190</v>
      </c>
    </row>
    <row r="6432" spans="1:187" ht="11.25" customHeight="1">
      <c r="A6432" s="1" t="s">
        <v>9081</v>
      </c>
      <c r="B6432" s="1" t="str">
        <f ca="1">IFERROR(__xludf.DUMMYFUNCTION("GOOGLETRANSLATE(A6432, ""en"", ""fr"")"),"Match n ° 2")</f>
        <v>Match n ° 2</v>
      </c>
      <c r="C6432" s="1" t="s">
        <v>185</v>
      </c>
      <c r="J6432" s="1" t="s">
        <v>6</v>
      </c>
      <c r="N6432" s="1" t="s">
        <v>10</v>
      </c>
      <c r="CO6432" s="1" t="s">
        <v>89</v>
      </c>
      <c r="DN6432" s="1" t="s">
        <v>114</v>
      </c>
      <c r="FP6432" s="1" t="s">
        <v>168</v>
      </c>
      <c r="GD6432" s="1" t="s">
        <v>189</v>
      </c>
      <c r="GE6432" s="1" t="s">
        <v>190</v>
      </c>
    </row>
    <row r="6433" spans="1:187" ht="11.25" customHeight="1">
      <c r="A6433" s="1" t="s">
        <v>9082</v>
      </c>
      <c r="B6433" s="1" t="str">
        <f ca="1">IFERROR(__xludf.DUMMYFUNCTION("GOOGLETRANSLATE(A6433, ""en"", ""fr"")"),"INCOMPARABLE")</f>
        <v>INCOMPARABLE</v>
      </c>
      <c r="C6433" s="1" t="s">
        <v>192</v>
      </c>
      <c r="D6433" s="1" t="s">
        <v>16612</v>
      </c>
      <c r="W6433" s="1" t="s">
        <v>19</v>
      </c>
      <c r="DL6433" s="1" t="s">
        <v>112</v>
      </c>
      <c r="DR6433" s="1" t="s">
        <v>118</v>
      </c>
      <c r="GD6433" s="1" t="s">
        <v>202</v>
      </c>
      <c r="GE6433" s="1" t="s">
        <v>190</v>
      </c>
    </row>
    <row r="6434" spans="1:187" ht="11.25" customHeight="1">
      <c r="A6434" s="1" t="s">
        <v>9083</v>
      </c>
      <c r="B6434" s="1" t="str">
        <f ca="1">IFERROR(__xludf.DUMMYFUNCTION("GOOGLETRANSLATE(A6434, ""en"", ""fr"")"),"Mate # 1")</f>
        <v>Mate # 1</v>
      </c>
      <c r="C6434" s="1" t="s">
        <v>185</v>
      </c>
      <c r="D6434" s="1" t="s">
        <v>16612</v>
      </c>
      <c r="F6434" s="1" t="s">
        <v>2</v>
      </c>
      <c r="G6434" s="1" t="s">
        <v>3</v>
      </c>
      <c r="AJ6434" s="1" t="s">
        <v>32</v>
      </c>
      <c r="AT6434" s="1" t="s">
        <v>42</v>
      </c>
      <c r="EQ6434" s="1" t="s">
        <v>143</v>
      </c>
      <c r="ES6434" s="1" t="s">
        <v>145</v>
      </c>
      <c r="GD6434" s="1" t="s">
        <v>193</v>
      </c>
      <c r="GE6434" s="1" t="s">
        <v>190</v>
      </c>
    </row>
    <row r="6435" spans="1:187" ht="11.25" customHeight="1">
      <c r="A6435" s="1" t="s">
        <v>9084</v>
      </c>
      <c r="B6435" s="1" t="str">
        <f ca="1">IFERROR(__xludf.DUMMYFUNCTION("GOOGLETRANSLATE(A6435, ""en"", ""fr"")"),"Mate # 2")</f>
        <v>Mate # 2</v>
      </c>
      <c r="C6435" s="1" t="s">
        <v>185</v>
      </c>
      <c r="D6435" s="1" t="s">
        <v>16612</v>
      </c>
      <c r="F6435" s="1" t="s">
        <v>2</v>
      </c>
      <c r="G6435" s="1" t="s">
        <v>3</v>
      </c>
      <c r="AN6435" s="1" t="s">
        <v>36</v>
      </c>
      <c r="DO6435" s="1" t="s">
        <v>115</v>
      </c>
      <c r="EO6435" s="1" t="s">
        <v>141</v>
      </c>
      <c r="ES6435" s="1" t="s">
        <v>145</v>
      </c>
      <c r="GD6435" s="1" t="s">
        <v>189</v>
      </c>
      <c r="GE6435" s="1" t="s">
        <v>190</v>
      </c>
    </row>
    <row r="6436" spans="1:187" ht="11.25" customHeight="1">
      <c r="A6436" s="1" t="s">
        <v>9085</v>
      </c>
      <c r="B6436" s="1" t="str">
        <f ca="1">IFERROR(__xludf.DUMMYFUNCTION("GOOGLETRANSLATE(A6436, ""en"", ""fr"")"),"Matériel n ° 1")</f>
        <v>Matériel n ° 1</v>
      </c>
      <c r="C6436" s="1" t="s">
        <v>185</v>
      </c>
      <c r="BC6436" s="1" t="s">
        <v>51</v>
      </c>
      <c r="BD6436" s="1" t="s">
        <v>52</v>
      </c>
      <c r="GD6436" s="1" t="s">
        <v>193</v>
      </c>
      <c r="GE6436" s="1" t="s">
        <v>9086</v>
      </c>
    </row>
    <row r="6437" spans="1:187" ht="11.25" customHeight="1">
      <c r="A6437" s="1" t="s">
        <v>9087</v>
      </c>
      <c r="B6437" s="1" t="str">
        <f ca="1">IFERROR(__xludf.DUMMYFUNCTION("GOOGLETRANSLATE(A6437, ""en"", ""fr"")"),"Matériel n ° 2")</f>
        <v>Matériel n ° 2</v>
      </c>
      <c r="C6437" s="1" t="s">
        <v>185</v>
      </c>
      <c r="BC6437" s="1" t="s">
        <v>51</v>
      </c>
      <c r="BD6437" s="1" t="s">
        <v>52</v>
      </c>
      <c r="GD6437" s="1" t="s">
        <v>202</v>
      </c>
      <c r="GE6437" s="1" t="s">
        <v>9088</v>
      </c>
    </row>
    <row r="6438" spans="1:187" ht="11.25" customHeight="1">
      <c r="A6438" s="1" t="s">
        <v>9089</v>
      </c>
      <c r="B6438" s="1" t="str">
        <f ca="1">IFERROR(__xludf.DUMMYFUNCTION("GOOGLETRANSLATE(A6438, ""en"", ""fr"")"),"Matériel n ° 3")</f>
        <v>Matériel n ° 3</v>
      </c>
      <c r="C6438" s="1" t="s">
        <v>185</v>
      </c>
      <c r="J6438" s="1" t="s">
        <v>6</v>
      </c>
      <c r="CS6438" s="1" t="s">
        <v>93</v>
      </c>
      <c r="FY6438" s="1" t="s">
        <v>177</v>
      </c>
      <c r="GD6438" s="1" t="s">
        <v>236</v>
      </c>
      <c r="GE6438" s="1" t="s">
        <v>9090</v>
      </c>
    </row>
    <row r="6439" spans="1:187" ht="11.25" customHeight="1">
      <c r="A6439" s="1" t="s">
        <v>9091</v>
      </c>
      <c r="B6439" s="1" t="str">
        <f ca="1">IFERROR(__xludf.DUMMYFUNCTION("GOOGLETRANSLATE(A6439, ""en"", ""fr"")"),"MATERNEL")</f>
        <v>MATERNEL</v>
      </c>
      <c r="C6439" s="1" t="s">
        <v>196</v>
      </c>
      <c r="ER6439" s="1" t="s">
        <v>144</v>
      </c>
      <c r="ES6439" s="1" t="s">
        <v>145</v>
      </c>
      <c r="GD6439" s="1" t="s">
        <v>202</v>
      </c>
    </row>
    <row r="6440" spans="1:187" ht="11.25" customHeight="1">
      <c r="A6440" s="1" t="s">
        <v>9092</v>
      </c>
      <c r="B6440" s="1" t="str">
        <f ca="1">IFERROR(__xludf.DUMMYFUNCTION("GOOGLETRANSLATE(A6440, ""en"", ""fr"")"),"MATERNITÉ")</f>
        <v>MATERNITÉ</v>
      </c>
      <c r="C6440" s="1" t="s">
        <v>196</v>
      </c>
      <c r="EZ6440" s="1" t="s">
        <v>152</v>
      </c>
      <c r="FC6440" s="1" t="s">
        <v>155</v>
      </c>
      <c r="GD6440" s="1" t="s">
        <v>202</v>
      </c>
    </row>
    <row r="6441" spans="1:187" ht="11.25" customHeight="1">
      <c r="A6441" s="1" t="s">
        <v>9093</v>
      </c>
      <c r="B6441" s="1" t="str">
        <f ca="1">IFERROR(__xludf.DUMMYFUNCTION("GOOGLETRANSLATE(A6441, ""en"", ""fr"")"),"MATHÉMATIQUES")</f>
        <v>MATHÉMATIQUES</v>
      </c>
      <c r="C6441" s="1" t="s">
        <v>185</v>
      </c>
      <c r="Y6441" s="1" t="s">
        <v>21</v>
      </c>
      <c r="Z6441" s="1" t="s">
        <v>22</v>
      </c>
      <c r="FH6441" s="1" t="s">
        <v>160</v>
      </c>
      <c r="FI6441" s="1" t="s">
        <v>161</v>
      </c>
      <c r="GD6441" s="1" t="s">
        <v>193</v>
      </c>
      <c r="GE6441" s="1" t="s">
        <v>190</v>
      </c>
    </row>
    <row r="6442" spans="1:187" ht="11.25" customHeight="1">
      <c r="A6442" s="1" t="s">
        <v>9094</v>
      </c>
      <c r="B6442" s="1" t="str">
        <f ca="1">IFERROR(__xludf.DUMMYFUNCTION("GOOGLETRANSLATE(A6442, ""en"", ""fr"")"),"MATHÉMATIQUE")</f>
        <v>MATHÉMATIQUE</v>
      </c>
      <c r="C6442" s="1" t="s">
        <v>185</v>
      </c>
      <c r="Y6442" s="1" t="s">
        <v>21</v>
      </c>
      <c r="Z6442" s="1" t="s">
        <v>22</v>
      </c>
      <c r="FH6442" s="1" t="s">
        <v>160</v>
      </c>
      <c r="FI6442" s="1" t="s">
        <v>161</v>
      </c>
      <c r="GD6442" s="1" t="s">
        <v>202</v>
      </c>
      <c r="GE6442" s="1" t="s">
        <v>190</v>
      </c>
    </row>
    <row r="6443" spans="1:187" ht="11.25" customHeight="1">
      <c r="A6443" s="1" t="s">
        <v>9095</v>
      </c>
      <c r="B6443" s="1" t="str">
        <f ca="1">IFERROR(__xludf.DUMMYFUNCTION("GOOGLETRANSLATE(A6443, ""en"", ""fr"")"),"MATHÉMATIQUES")</f>
        <v>MATHÉMATIQUES</v>
      </c>
      <c r="C6443" s="1" t="s">
        <v>185</v>
      </c>
      <c r="Y6443" s="1" t="s">
        <v>21</v>
      </c>
      <c r="Z6443" s="1" t="s">
        <v>22</v>
      </c>
      <c r="FH6443" s="1" t="s">
        <v>160</v>
      </c>
      <c r="FI6443" s="1" t="s">
        <v>161</v>
      </c>
      <c r="GD6443" s="1" t="s">
        <v>193</v>
      </c>
      <c r="GE6443" s="1" t="s">
        <v>190</v>
      </c>
    </row>
    <row r="6444" spans="1:187" ht="11.25" customHeight="1">
      <c r="A6444" s="1" t="s">
        <v>9096</v>
      </c>
      <c r="B6444" s="1" t="str">
        <f ca="1">IFERROR(__xludf.DUMMYFUNCTION("GOOGLETRANSLATE(A6444, ""en"", ""fr"")"),"S'inscrire")</f>
        <v>S'inscrire</v>
      </c>
      <c r="C6444" s="1" t="s">
        <v>185</v>
      </c>
      <c r="N6444" s="1" t="s">
        <v>10</v>
      </c>
      <c r="Y6444" s="1" t="s">
        <v>21</v>
      </c>
      <c r="BS6444" s="1" t="s">
        <v>67</v>
      </c>
      <c r="DO6444" s="1" t="s">
        <v>115</v>
      </c>
      <c r="FH6444" s="1" t="s">
        <v>160</v>
      </c>
      <c r="FI6444" s="1" t="s">
        <v>161</v>
      </c>
      <c r="GD6444" s="1" t="s">
        <v>189</v>
      </c>
      <c r="GE6444" s="1" t="s">
        <v>190</v>
      </c>
    </row>
    <row r="6445" spans="1:187" ht="11.25" customHeight="1">
      <c r="A6445" s="1" t="s">
        <v>9097</v>
      </c>
      <c r="B6445" s="1" t="str">
        <f ca="1">IFERROR(__xludf.DUMMYFUNCTION("GOOGLETRANSLATE(A6445, ""en"", ""fr"")"),"Matter # 1")</f>
        <v>Matter # 1</v>
      </c>
      <c r="C6445" s="1" t="s">
        <v>185</v>
      </c>
      <c r="BL6445" s="1" t="s">
        <v>60</v>
      </c>
      <c r="CH6445" s="1" t="s">
        <v>82</v>
      </c>
      <c r="CQ6445" s="1" t="s">
        <v>91</v>
      </c>
      <c r="GD6445" s="1" t="s">
        <v>193</v>
      </c>
      <c r="GE6445" s="1" t="s">
        <v>9098</v>
      </c>
    </row>
    <row r="6446" spans="1:187" ht="11.25" customHeight="1">
      <c r="A6446" s="1" t="s">
        <v>9099</v>
      </c>
      <c r="B6446" s="1" t="str">
        <f ca="1">IFERROR(__xludf.DUMMYFUNCTION("GOOGLETRANSLATE(A6446, ""en"", ""fr"")"),"Matter # 2")</f>
        <v>Matter # 2</v>
      </c>
      <c r="C6446" s="1" t="s">
        <v>185</v>
      </c>
      <c r="W6446" s="1" t="s">
        <v>19</v>
      </c>
      <c r="FY6446" s="1" t="s">
        <v>177</v>
      </c>
      <c r="GD6446" s="1" t="s">
        <v>202</v>
      </c>
      <c r="GE6446" s="1" t="s">
        <v>9100</v>
      </c>
    </row>
    <row r="6447" spans="1:187" ht="11.25" customHeight="1">
      <c r="A6447" s="1" t="s">
        <v>9101</v>
      </c>
      <c r="B6447" s="1" t="str">
        <f ca="1">IFERROR(__xludf.DUMMYFUNCTION("GOOGLETRANSLATE(A6447, ""en"", ""fr"")"),"Matter # 3")</f>
        <v>Matter # 3</v>
      </c>
      <c r="C6447" s="1" t="s">
        <v>185</v>
      </c>
      <c r="CH6447" s="1" t="s">
        <v>82</v>
      </c>
      <c r="GD6447" s="1" t="s">
        <v>193</v>
      </c>
      <c r="GE6447" s="1" t="s">
        <v>9102</v>
      </c>
    </row>
    <row r="6448" spans="1:187" ht="11.25" customHeight="1">
      <c r="A6448" s="1" t="s">
        <v>9103</v>
      </c>
      <c r="B6448" s="1" t="str">
        <f ca="1">IFERROR(__xludf.DUMMYFUNCTION("GOOGLETRANSLATE(A6448, ""en"", ""fr"")"),"Matter # 4")</f>
        <v>Matter # 4</v>
      </c>
      <c r="C6448" s="1" t="s">
        <v>185</v>
      </c>
      <c r="D6448" s="1" t="s">
        <v>16612</v>
      </c>
      <c r="F6448" s="1" t="s">
        <v>2</v>
      </c>
      <c r="J6448" s="1" t="s">
        <v>6</v>
      </c>
      <c r="W6448" s="1" t="s">
        <v>19</v>
      </c>
      <c r="CO6448" s="1" t="s">
        <v>89</v>
      </c>
      <c r="DN6448" s="1" t="s">
        <v>114</v>
      </c>
      <c r="FR6448" s="1" t="s">
        <v>170</v>
      </c>
      <c r="GD6448" s="1" t="s">
        <v>189</v>
      </c>
      <c r="GE6448" s="1" t="s">
        <v>9104</v>
      </c>
    </row>
    <row r="6449" spans="1:187" ht="11.25" customHeight="1">
      <c r="A6449" s="1" t="s">
        <v>9105</v>
      </c>
      <c r="B6449" s="1" t="str">
        <f ca="1">IFERROR(__xludf.DUMMYFUNCTION("GOOGLETRANSLATE(A6449, ""en"", ""fr"")"),"Matière n ° 5")</f>
        <v>Matière n ° 5</v>
      </c>
      <c r="C6449" s="1" t="s">
        <v>185</v>
      </c>
      <c r="E6449" s="1" t="s">
        <v>16613</v>
      </c>
      <c r="H6449" s="1" t="s">
        <v>4</v>
      </c>
      <c r="V6449" s="1" t="s">
        <v>18</v>
      </c>
      <c r="CN6449" s="1" t="s">
        <v>88</v>
      </c>
      <c r="FW6449" s="1" t="s">
        <v>175</v>
      </c>
      <c r="GD6449" s="1" t="s">
        <v>202</v>
      </c>
      <c r="GE6449" s="1" t="s">
        <v>9106</v>
      </c>
    </row>
    <row r="6450" spans="1:187" ht="11.25" customHeight="1">
      <c r="A6450" s="1" t="s">
        <v>9107</v>
      </c>
      <c r="B6450" s="1" t="str">
        <f ca="1">IFERROR(__xludf.DUMMYFUNCTION("GOOGLETRANSLATE(A6450, ""en"", ""fr"")"),"Matter # 6")</f>
        <v>Matter # 6</v>
      </c>
      <c r="C6450" s="1" t="s">
        <v>185</v>
      </c>
      <c r="X6450" s="1" t="s">
        <v>20</v>
      </c>
      <c r="GD6450" s="1" t="s">
        <v>202</v>
      </c>
      <c r="GE6450" s="1" t="s">
        <v>9108</v>
      </c>
    </row>
    <row r="6451" spans="1:187" ht="11.25" customHeight="1">
      <c r="A6451" s="1" t="s">
        <v>9109</v>
      </c>
      <c r="B6451" s="1" t="str">
        <f ca="1">IFERROR(__xludf.DUMMYFUNCTION("GOOGLETRANSLATE(A6451, ""en"", ""fr"")"),"Matière n ° 7")</f>
        <v>Matière n ° 7</v>
      </c>
      <c r="C6451" s="1" t="s">
        <v>185</v>
      </c>
      <c r="W6451" s="1" t="s">
        <v>19</v>
      </c>
      <c r="CH6451" s="1" t="s">
        <v>82</v>
      </c>
      <c r="FY6451" s="1" t="s">
        <v>177</v>
      </c>
      <c r="GD6451" s="1" t="s">
        <v>202</v>
      </c>
      <c r="GE6451" s="1" t="s">
        <v>9110</v>
      </c>
    </row>
    <row r="6452" spans="1:187" ht="11.25" customHeight="1">
      <c r="A6452" s="1" t="s">
        <v>9111</v>
      </c>
      <c r="B6452" s="1" t="str">
        <f ca="1">IFERROR(__xludf.DUMMYFUNCTION("GOOGLETRANSLATE(A6452, ""en"", ""fr"")"),"Mature n ° 1")</f>
        <v>Mature n ° 1</v>
      </c>
      <c r="C6452" s="1" t="s">
        <v>185</v>
      </c>
      <c r="D6452" s="1" t="s">
        <v>16612</v>
      </c>
      <c r="F6452" s="1" t="s">
        <v>2</v>
      </c>
      <c r="J6452" s="1" t="s">
        <v>6</v>
      </c>
      <c r="U6452" s="1" t="s">
        <v>17</v>
      </c>
      <c r="EM6452" s="1" t="s">
        <v>139</v>
      </c>
      <c r="EN6452" s="1" t="s">
        <v>140</v>
      </c>
      <c r="GD6452" s="1" t="s">
        <v>202</v>
      </c>
      <c r="GE6452" s="1" t="s">
        <v>9112</v>
      </c>
    </row>
    <row r="6453" spans="1:187" ht="11.25" customHeight="1">
      <c r="A6453" s="1" t="s">
        <v>9113</v>
      </c>
      <c r="B6453" s="1" t="str">
        <f ca="1">IFERROR(__xludf.DUMMYFUNCTION("GOOGLETRANSLATE(A6453, ""en"", ""fr"")"),"Mature n ° 2")</f>
        <v>Mature n ° 2</v>
      </c>
      <c r="C6453" s="1" t="s">
        <v>185</v>
      </c>
      <c r="D6453" s="1" t="s">
        <v>16612</v>
      </c>
      <c r="F6453" s="1" t="s">
        <v>2</v>
      </c>
      <c r="J6453" s="1" t="s">
        <v>6</v>
      </c>
      <c r="BX6453" s="1" t="s">
        <v>72</v>
      </c>
      <c r="DN6453" s="1" t="s">
        <v>114</v>
      </c>
      <c r="EM6453" s="1" t="s">
        <v>139</v>
      </c>
      <c r="EN6453" s="1" t="s">
        <v>140</v>
      </c>
      <c r="GD6453" s="1" t="s">
        <v>189</v>
      </c>
      <c r="GE6453" s="1" t="s">
        <v>9114</v>
      </c>
    </row>
    <row r="6454" spans="1:187" ht="11.25" customHeight="1">
      <c r="A6454" s="1" t="s">
        <v>9115</v>
      </c>
      <c r="B6454" s="1" t="str">
        <f ca="1">IFERROR(__xludf.DUMMYFUNCTION("GOOGLETRANSLATE(A6454, ""en"", ""fr"")"),"Mature # 3")</f>
        <v>Mature # 3</v>
      </c>
      <c r="C6454" s="1" t="s">
        <v>185</v>
      </c>
      <c r="D6454" s="1" t="s">
        <v>16612</v>
      </c>
      <c r="F6454" s="1" t="s">
        <v>2</v>
      </c>
      <c r="J6454" s="1" t="s">
        <v>6</v>
      </c>
      <c r="BX6454" s="1" t="s">
        <v>72</v>
      </c>
      <c r="EM6454" s="1" t="s">
        <v>139</v>
      </c>
      <c r="EN6454" s="1" t="s">
        <v>140</v>
      </c>
      <c r="GD6454" s="1" t="s">
        <v>202</v>
      </c>
      <c r="GE6454" s="1" t="s">
        <v>9116</v>
      </c>
    </row>
    <row r="6455" spans="1:187" ht="11.25" customHeight="1">
      <c r="A6455" s="1" t="s">
        <v>9117</v>
      </c>
      <c r="B6455" s="1" t="str">
        <f ca="1">IFERROR(__xludf.DUMMYFUNCTION("GOOGLETRANSLATE(A6455, ""en"", ""fr"")"),"MATURITÉ")</f>
        <v>MATURITÉ</v>
      </c>
      <c r="C6455" s="1" t="s">
        <v>185</v>
      </c>
      <c r="D6455" s="1" t="s">
        <v>16612</v>
      </c>
      <c r="F6455" s="1" t="s">
        <v>2</v>
      </c>
      <c r="J6455" s="1" t="s">
        <v>6</v>
      </c>
      <c r="CP6455" s="1" t="s">
        <v>90</v>
      </c>
      <c r="CQ6455" s="1" t="s">
        <v>91</v>
      </c>
      <c r="CY6455" s="1" t="s">
        <v>99</v>
      </c>
      <c r="EM6455" s="1" t="s">
        <v>139</v>
      </c>
      <c r="EN6455" s="1" t="s">
        <v>140</v>
      </c>
      <c r="GD6455" s="1" t="s">
        <v>193</v>
      </c>
      <c r="GE6455" s="1" t="s">
        <v>190</v>
      </c>
    </row>
    <row r="6456" spans="1:187" ht="11.25" customHeight="1">
      <c r="A6456" s="1" t="s">
        <v>9118</v>
      </c>
      <c r="B6456" s="1" t="str">
        <f ca="1">IFERROR(__xludf.DUMMYFUNCTION("GOOGLETRANSLATE(A6456, ""en"", ""fr"")"),"Maurice")</f>
        <v>Maurice</v>
      </c>
      <c r="C6456" s="1" t="s">
        <v>196</v>
      </c>
      <c r="FU6456" s="1" t="s">
        <v>173</v>
      </c>
      <c r="GD6456" s="1" t="s">
        <v>545</v>
      </c>
    </row>
    <row r="6457" spans="1:187" ht="11.25" customHeight="1">
      <c r="A6457" s="1" t="s">
        <v>9119</v>
      </c>
      <c r="B6457" s="1" t="str">
        <f ca="1">IFERROR(__xludf.DUMMYFUNCTION("GOOGLETRANSLATE(A6457, ""en"", ""fr"")"),"MAXIME")</f>
        <v>MAXIME</v>
      </c>
      <c r="C6457" s="1" t="s">
        <v>196</v>
      </c>
      <c r="EI6457" s="1" t="s">
        <v>135</v>
      </c>
      <c r="EJ6457" s="1" t="s">
        <v>136</v>
      </c>
      <c r="GD6457" s="1" t="s">
        <v>193</v>
      </c>
    </row>
    <row r="6458" spans="1:187" ht="11.25" customHeight="1">
      <c r="A6458" s="1" t="s">
        <v>9120</v>
      </c>
      <c r="B6458" s="1" t="str">
        <f ca="1">IFERROR(__xludf.DUMMYFUNCTION("GOOGLETRANSLATE(A6458, ""en"", ""fr"")"),"MAXIMISATION")</f>
        <v>MAXIMISATION</v>
      </c>
      <c r="C6458" s="1" t="s">
        <v>185</v>
      </c>
      <c r="J6458" s="1" t="s">
        <v>6</v>
      </c>
      <c r="W6458" s="1" t="s">
        <v>19</v>
      </c>
      <c r="CS6458" s="1" t="s">
        <v>93</v>
      </c>
      <c r="GD6458" s="1" t="s">
        <v>193</v>
      </c>
      <c r="GE6458" s="1" t="s">
        <v>190</v>
      </c>
    </row>
    <row r="6459" spans="1:187" ht="11.25" customHeight="1">
      <c r="A6459" s="1" t="s">
        <v>9121</v>
      </c>
      <c r="B6459" s="1" t="str">
        <f ca="1">IFERROR(__xludf.DUMMYFUNCTION("GOOGLETRANSLATE(A6459, ""en"", ""fr"")"),"MAXIMISER")</f>
        <v>MAXIMISER</v>
      </c>
      <c r="C6459" s="1" t="s">
        <v>192</v>
      </c>
      <c r="D6459" s="1" t="s">
        <v>16612</v>
      </c>
      <c r="N6459" s="1" t="s">
        <v>10</v>
      </c>
      <c r="BX6459" s="1" t="s">
        <v>72</v>
      </c>
      <c r="DN6459" s="1" t="s">
        <v>114</v>
      </c>
      <c r="GD6459" s="1" t="s">
        <v>189</v>
      </c>
      <c r="GE6459" s="1" t="s">
        <v>190</v>
      </c>
    </row>
    <row r="6460" spans="1:187" ht="11.25" customHeight="1">
      <c r="A6460" s="1" t="s">
        <v>9122</v>
      </c>
      <c r="B6460" s="1" t="str">
        <f ca="1">IFERROR(__xludf.DUMMYFUNCTION("GOOGLETRANSLATE(A6460, ""en"", ""fr"")"),"MAXIMUM")</f>
        <v>MAXIMUM</v>
      </c>
      <c r="C6460" s="1" t="s">
        <v>185</v>
      </c>
      <c r="J6460" s="1" t="s">
        <v>6</v>
      </c>
      <c r="CL6460" s="1" t="s">
        <v>86</v>
      </c>
      <c r="CS6460" s="1" t="s">
        <v>93</v>
      </c>
      <c r="GD6460" s="1" t="s">
        <v>8443</v>
      </c>
      <c r="GE6460" s="1" t="s">
        <v>190</v>
      </c>
    </row>
    <row r="6461" spans="1:187" ht="11.25" customHeight="1">
      <c r="A6461" s="1" t="s">
        <v>9123</v>
      </c>
      <c r="B6461" s="1" t="str">
        <f ca="1">IFERROR(__xludf.DUMMYFUNCTION("GOOGLETRANSLATE(A6461, ""en"", ""fr"")"),"Mai n ° 1")</f>
        <v>Mai n ° 1</v>
      </c>
      <c r="C6461" s="1" t="s">
        <v>185</v>
      </c>
      <c r="K6461" s="1" t="s">
        <v>7</v>
      </c>
      <c r="AN6461" s="1" t="s">
        <v>36</v>
      </c>
      <c r="FZ6461" s="1" t="s">
        <v>178</v>
      </c>
      <c r="GD6461" s="1" t="s">
        <v>9124</v>
      </c>
      <c r="GE6461" s="1" t="s">
        <v>9125</v>
      </c>
    </row>
    <row r="6462" spans="1:187" ht="11.25" customHeight="1">
      <c r="A6462" s="1" t="s">
        <v>9126</v>
      </c>
      <c r="B6462" s="1" t="str">
        <f ca="1">IFERROR(__xludf.DUMMYFUNCTION("GOOGLETRANSLATE(A6462, ""en"", ""fr"")"),"LE 2 MAI")</f>
        <v>LE 2 MAI</v>
      </c>
      <c r="C6462" s="1" t="s">
        <v>185</v>
      </c>
      <c r="CQ6462" s="1" t="s">
        <v>91</v>
      </c>
      <c r="CY6462" s="1" t="s">
        <v>99</v>
      </c>
      <c r="CZ6462" s="1" t="s">
        <v>100</v>
      </c>
      <c r="GB6462" s="1" t="s">
        <v>180</v>
      </c>
      <c r="GD6462" s="1" t="s">
        <v>193</v>
      </c>
      <c r="GE6462" s="1" t="s">
        <v>9127</v>
      </c>
    </row>
    <row r="6463" spans="1:187" ht="11.25" customHeight="1">
      <c r="A6463" s="1" t="s">
        <v>9128</v>
      </c>
      <c r="B6463" s="1" t="str">
        <f ca="1">IFERROR(__xludf.DUMMYFUNCTION("GOOGLETRANSLATE(A6463, ""en"", ""fr"")"),"PEUT ÊTRE")</f>
        <v>PEUT ÊTRE</v>
      </c>
      <c r="C6463" s="1" t="s">
        <v>185</v>
      </c>
      <c r="X6463" s="1" t="s">
        <v>20</v>
      </c>
      <c r="FZ6463" s="1" t="s">
        <v>178</v>
      </c>
      <c r="GD6463" s="1" t="s">
        <v>236</v>
      </c>
      <c r="GE6463" s="1" t="s">
        <v>9129</v>
      </c>
    </row>
    <row r="6464" spans="1:187" ht="11.25" customHeight="1">
      <c r="A6464" s="1" t="s">
        <v>9130</v>
      </c>
      <c r="B6464" s="1" t="str">
        <f ca="1">IFERROR(__xludf.DUMMYFUNCTION("GOOGLETRANSLATE(A6464, ""en"", ""fr"")"),"MAIRE")</f>
        <v>MAIRE</v>
      </c>
      <c r="C6464" s="1" t="s">
        <v>185</v>
      </c>
      <c r="J6464" s="1" t="s">
        <v>6</v>
      </c>
      <c r="K6464" s="1" t="s">
        <v>7</v>
      </c>
      <c r="AG6464" s="1" t="s">
        <v>29</v>
      </c>
      <c r="AH6464" s="1" t="s">
        <v>30</v>
      </c>
      <c r="AJ6464" s="1" t="s">
        <v>32</v>
      </c>
      <c r="AT6464" s="1" t="s">
        <v>42</v>
      </c>
      <c r="DY6464" s="1" t="s">
        <v>125</v>
      </c>
      <c r="ED6464" s="1" t="s">
        <v>130</v>
      </c>
      <c r="GD6464" s="1" t="s">
        <v>193</v>
      </c>
      <c r="GE6464" s="1" t="s">
        <v>190</v>
      </c>
    </row>
    <row r="6465" spans="1:187" ht="11.25" customHeight="1">
      <c r="A6465" s="1" t="s">
        <v>9131</v>
      </c>
      <c r="B6465" s="1" t="str">
        <f ca="1">IFERROR(__xludf.DUMMYFUNCTION("GOOGLETRANSLATE(A6465, ""en"", ""fr"")"),"McGovern")</f>
        <v>McGovern</v>
      </c>
      <c r="C6465" s="1" t="s">
        <v>185</v>
      </c>
      <c r="AH6465" s="1" t="s">
        <v>30</v>
      </c>
      <c r="DI6465" s="1" t="s">
        <v>109</v>
      </c>
      <c r="DY6465" s="1" t="s">
        <v>125</v>
      </c>
      <c r="ED6465" s="1" t="s">
        <v>130</v>
      </c>
      <c r="GD6465" s="1" t="s">
        <v>193</v>
      </c>
      <c r="GE6465" s="1" t="s">
        <v>190</v>
      </c>
    </row>
    <row r="6466" spans="1:187" ht="11.25" customHeight="1">
      <c r="A6466" s="1" t="s">
        <v>9132</v>
      </c>
      <c r="B6466" s="1" t="str">
        <f ca="1">IFERROR(__xludf.DUMMYFUNCTION("GOOGLETRANSLATE(A6466, ""en"", ""fr"")"),"MOI")</f>
        <v>MOI</v>
      </c>
      <c r="C6466" s="1" t="s">
        <v>185</v>
      </c>
      <c r="DF6466" s="1" t="s">
        <v>106</v>
      </c>
      <c r="GD6466" s="1" t="s">
        <v>9133</v>
      </c>
      <c r="GE6466" s="1" t="s">
        <v>9134</v>
      </c>
    </row>
    <row r="6467" spans="1:187" ht="11.25" customHeight="1">
      <c r="A6467" s="1" t="s">
        <v>9135</v>
      </c>
      <c r="B6467" s="1" t="str">
        <f ca="1">IFERROR(__xludf.DUMMYFUNCTION("GOOGLETRANSLATE(A6467, ""en"", ""fr"")"),"MAIGRE")</f>
        <v>MAIGRE</v>
      </c>
      <c r="C6467" s="1" t="s">
        <v>185</v>
      </c>
      <c r="E6467" s="1" t="s">
        <v>16613</v>
      </c>
      <c r="H6467" s="1" t="s">
        <v>4</v>
      </c>
      <c r="L6467" s="1" t="s">
        <v>8</v>
      </c>
      <c r="X6467" s="1" t="s">
        <v>20</v>
      </c>
      <c r="CS6467" s="1" t="s">
        <v>93</v>
      </c>
      <c r="DR6467" s="1" t="s">
        <v>118</v>
      </c>
      <c r="GD6467" s="1" t="s">
        <v>202</v>
      </c>
      <c r="GE6467" s="1" t="s">
        <v>190</v>
      </c>
    </row>
    <row r="6468" spans="1:187" ht="11.25" customHeight="1">
      <c r="A6468" s="1" t="s">
        <v>9136</v>
      </c>
      <c r="B6468" s="1" t="str">
        <f ca="1">IFERROR(__xludf.DUMMYFUNCTION("GOOGLETRANSLATE(A6468, ""en"", ""fr"")"),"REPAS")</f>
        <v>REPAS</v>
      </c>
      <c r="C6468" s="1" t="s">
        <v>185</v>
      </c>
      <c r="BC6468" s="1" t="s">
        <v>51</v>
      </c>
      <c r="BE6468" s="1" t="s">
        <v>53</v>
      </c>
      <c r="EZ6468" s="1" t="s">
        <v>152</v>
      </c>
      <c r="FC6468" s="1" t="s">
        <v>155</v>
      </c>
      <c r="GD6468" s="1" t="s">
        <v>193</v>
      </c>
      <c r="GE6468" s="1" t="s">
        <v>9137</v>
      </c>
    </row>
    <row r="6469" spans="1:187" ht="11.25" customHeight="1">
      <c r="A6469" s="1" t="s">
        <v>9138</v>
      </c>
      <c r="B6469" s="1" t="str">
        <f ca="1">IFERROR(__xludf.DUMMYFUNCTION("GOOGLETRANSLATE(A6469, ""en"", ""fr"")"),"Moyenne n ° 1")</f>
        <v>Moyenne n ° 1</v>
      </c>
      <c r="C6469" s="1" t="s">
        <v>185</v>
      </c>
      <c r="N6469" s="1" t="s">
        <v>10</v>
      </c>
      <c r="BK6469" s="1" t="s">
        <v>59</v>
      </c>
      <c r="DN6469" s="1" t="s">
        <v>114</v>
      </c>
      <c r="FH6469" s="1" t="s">
        <v>160</v>
      </c>
      <c r="FI6469" s="1" t="s">
        <v>161</v>
      </c>
      <c r="GD6469" s="1" t="s">
        <v>189</v>
      </c>
      <c r="GE6469" s="1" t="s">
        <v>9139</v>
      </c>
    </row>
    <row r="6470" spans="1:187" ht="11.25" customHeight="1">
      <c r="A6470" s="1" t="s">
        <v>9140</v>
      </c>
      <c r="B6470" s="1" t="str">
        <f ca="1">IFERROR(__xludf.DUMMYFUNCTION("GOOGLETRANSLATE(A6470, ""en"", ""fr"")"),"Moyenne n ° 2")</f>
        <v>Moyenne n ° 2</v>
      </c>
      <c r="C6470" s="1" t="s">
        <v>185</v>
      </c>
      <c r="E6470" s="1" t="s">
        <v>16613</v>
      </c>
      <c r="H6470" s="1" t="s">
        <v>4</v>
      </c>
      <c r="V6470" s="1" t="s">
        <v>18</v>
      </c>
      <c r="CN6470" s="1" t="s">
        <v>88</v>
      </c>
      <c r="FH6470" s="1" t="s">
        <v>160</v>
      </c>
      <c r="FI6470" s="1" t="s">
        <v>161</v>
      </c>
      <c r="GD6470" s="1" t="s">
        <v>202</v>
      </c>
      <c r="GE6470" s="1" t="s">
        <v>9141</v>
      </c>
    </row>
    <row r="6471" spans="1:187" ht="11.25" customHeight="1">
      <c r="A6471" s="1" t="s">
        <v>9142</v>
      </c>
      <c r="B6471" s="1" t="str">
        <f ca="1">IFERROR(__xludf.DUMMYFUNCTION("GOOGLETRANSLATE(A6471, ""en"", ""fr"")"),"Moyenne # 3")</f>
        <v>Moyenne # 3</v>
      </c>
      <c r="C6471" s="1" t="s">
        <v>185</v>
      </c>
      <c r="CH6471" s="1" t="s">
        <v>82</v>
      </c>
      <c r="FH6471" s="1" t="s">
        <v>160</v>
      </c>
      <c r="FI6471" s="1" t="s">
        <v>161</v>
      </c>
      <c r="GD6471" s="1" t="s">
        <v>193</v>
      </c>
      <c r="GE6471" s="1" t="s">
        <v>9143</v>
      </c>
    </row>
    <row r="6472" spans="1:187" ht="11.25" customHeight="1">
      <c r="A6472" s="1" t="s">
        <v>9144</v>
      </c>
      <c r="B6472" s="1" t="str">
        <f ca="1">IFERROR(__xludf.DUMMYFUNCTION("GOOGLETRANSLATE(A6472, ""en"", ""fr"")"),"Moyenne # 4")</f>
        <v>Moyenne # 4</v>
      </c>
      <c r="C6472" s="1" t="s">
        <v>185</v>
      </c>
      <c r="BQ6472" s="1" t="s">
        <v>65</v>
      </c>
      <c r="FQ6472" s="1" t="s">
        <v>169</v>
      </c>
      <c r="GD6472" s="1" t="s">
        <v>193</v>
      </c>
      <c r="GE6472" s="1" t="s">
        <v>9145</v>
      </c>
    </row>
    <row r="6473" spans="1:187" ht="11.25" customHeight="1">
      <c r="A6473" s="1" t="s">
        <v>9146</v>
      </c>
      <c r="B6473" s="1" t="str">
        <f ca="1">IFERROR(__xludf.DUMMYFUNCTION("GOOGLETRANSLATE(A6473, ""en"", ""fr"")"),"Moyenne n ° 5")</f>
        <v>Moyenne n ° 5</v>
      </c>
      <c r="C6473" s="1" t="s">
        <v>185</v>
      </c>
      <c r="W6473" s="1" t="s">
        <v>19</v>
      </c>
      <c r="DK6473" s="1" t="s">
        <v>111</v>
      </c>
      <c r="DL6473" s="1" t="s">
        <v>112</v>
      </c>
      <c r="GA6473" s="1" t="s">
        <v>179</v>
      </c>
      <c r="GD6473" s="1" t="s">
        <v>236</v>
      </c>
      <c r="GE6473" s="1" t="s">
        <v>9147</v>
      </c>
    </row>
    <row r="6474" spans="1:187" ht="11.25" customHeight="1">
      <c r="A6474" s="1" t="s">
        <v>9148</v>
      </c>
      <c r="B6474" s="1" t="str">
        <f ca="1">IFERROR(__xludf.DUMMYFUNCTION("GOOGLETRANSLATE(A6474, ""en"", ""fr"")"),"Moyenne # 6")</f>
        <v>Moyenne # 6</v>
      </c>
      <c r="C6474" s="1" t="s">
        <v>185</v>
      </c>
      <c r="W6474" s="1" t="s">
        <v>19</v>
      </c>
      <c r="CH6474" s="1" t="s">
        <v>82</v>
      </c>
      <c r="DJ6474" s="1" t="s">
        <v>110</v>
      </c>
      <c r="FY6474" s="1" t="s">
        <v>177</v>
      </c>
      <c r="GD6474" s="1" t="s">
        <v>236</v>
      </c>
      <c r="GE6474" s="1" t="s">
        <v>9149</v>
      </c>
    </row>
    <row r="6475" spans="1:187" ht="11.25" customHeight="1">
      <c r="A6475" s="1" t="s">
        <v>9150</v>
      </c>
      <c r="B6475" s="1" t="str">
        <f ca="1">IFERROR(__xludf.DUMMYFUNCTION("GOOGLETRANSLATE(A6475, ""en"", ""fr"")"),"Moyenne # 7")</f>
        <v>Moyenne # 7</v>
      </c>
      <c r="C6475" s="1" t="s">
        <v>185</v>
      </c>
      <c r="CS6475" s="1" t="s">
        <v>93</v>
      </c>
      <c r="DB6475" s="1" t="s">
        <v>102</v>
      </c>
      <c r="GD6475" s="1" t="s">
        <v>193</v>
      </c>
      <c r="GE6475" s="1" t="s">
        <v>9151</v>
      </c>
    </row>
    <row r="6476" spans="1:187" ht="11.25" customHeight="1">
      <c r="A6476" s="1" t="s">
        <v>9152</v>
      </c>
      <c r="B6476" s="1" t="str">
        <f ca="1">IFERROR(__xludf.DUMMYFUNCTION("GOOGLETRANSLATE(A6476, ""en"", ""fr"")"),"Moyenne # 8")</f>
        <v>Moyenne # 8</v>
      </c>
      <c r="C6476" s="1" t="s">
        <v>185</v>
      </c>
      <c r="GD6476" s="1" t="s">
        <v>225</v>
      </c>
      <c r="GE6476" s="1" t="s">
        <v>9153</v>
      </c>
    </row>
    <row r="6477" spans="1:187" ht="11.25" customHeight="1">
      <c r="A6477" s="1" t="s">
        <v>9154</v>
      </c>
      <c r="B6477" s="1" t="str">
        <f ca="1">IFERROR(__xludf.DUMMYFUNCTION("GOOGLETRANSLATE(A6477, ""en"", ""fr"")"),"SIGNIFICATION")</f>
        <v>SIGNIFICATION</v>
      </c>
      <c r="C6477" s="1" t="s">
        <v>185</v>
      </c>
      <c r="CH6477" s="1" t="s">
        <v>82</v>
      </c>
      <c r="CP6477" s="1" t="s">
        <v>90</v>
      </c>
      <c r="CQ6477" s="1" t="s">
        <v>91</v>
      </c>
      <c r="FH6477" s="1" t="s">
        <v>160</v>
      </c>
      <c r="FI6477" s="1" t="s">
        <v>161</v>
      </c>
      <c r="GD6477" s="1" t="s">
        <v>193</v>
      </c>
      <c r="GE6477" s="1" t="s">
        <v>190</v>
      </c>
    </row>
    <row r="6478" spans="1:187" ht="11.25" customHeight="1">
      <c r="A6478" s="1" t="s">
        <v>9155</v>
      </c>
      <c r="B6478" s="1" t="str">
        <f ca="1">IFERROR(__xludf.DUMMYFUNCTION("GOOGLETRANSLATE(A6478, ""en"", ""fr"")"),"SIGNIFICATIF")</f>
        <v>SIGNIFICATIF</v>
      </c>
      <c r="C6478" s="1" t="s">
        <v>185</v>
      </c>
      <c r="D6478" s="1" t="s">
        <v>16612</v>
      </c>
      <c r="F6478" s="1" t="s">
        <v>2</v>
      </c>
      <c r="U6478" s="1" t="s">
        <v>17</v>
      </c>
      <c r="CN6478" s="1" t="s">
        <v>88</v>
      </c>
      <c r="FH6478" s="1" t="s">
        <v>160</v>
      </c>
      <c r="FI6478" s="1" t="s">
        <v>161</v>
      </c>
      <c r="GD6478" s="1" t="s">
        <v>202</v>
      </c>
      <c r="GE6478" s="1" t="s">
        <v>190</v>
      </c>
    </row>
    <row r="6479" spans="1:187" ht="11.25" customHeight="1">
      <c r="A6479" s="1" t="s">
        <v>9156</v>
      </c>
      <c r="B6479" s="1" t="str">
        <f ca="1">IFERROR(__xludf.DUMMYFUNCTION("GOOGLETRANSLATE(A6479, ""en"", ""fr"")"),"SANS SIGNIFICATION")</f>
        <v>SANS SIGNIFICATION</v>
      </c>
      <c r="C6479" s="1" t="s">
        <v>185</v>
      </c>
      <c r="E6479" s="1" t="s">
        <v>16613</v>
      </c>
      <c r="H6479" s="1" t="s">
        <v>4</v>
      </c>
      <c r="L6479" s="1" t="s">
        <v>8</v>
      </c>
      <c r="V6479" s="1" t="s">
        <v>18</v>
      </c>
      <c r="CN6479" s="1" t="s">
        <v>88</v>
      </c>
      <c r="FH6479" s="1" t="s">
        <v>160</v>
      </c>
      <c r="FI6479" s="1" t="s">
        <v>161</v>
      </c>
      <c r="GD6479" s="1" t="s">
        <v>202</v>
      </c>
      <c r="GE6479" s="1" t="s">
        <v>190</v>
      </c>
    </row>
    <row r="6480" spans="1:187" ht="11.25" customHeight="1">
      <c r="A6480" s="1" t="s">
        <v>9157</v>
      </c>
      <c r="B6480" s="1" t="str">
        <f ca="1">IFERROR(__xludf.DUMMYFUNCTION("GOOGLETRANSLATE(A6480, ""en"", ""fr"")"),"CENSÉ")</f>
        <v>CENSÉ</v>
      </c>
      <c r="C6480" s="1" t="s">
        <v>185</v>
      </c>
      <c r="N6480" s="1" t="s">
        <v>10</v>
      </c>
      <c r="BK6480" s="1" t="s">
        <v>59</v>
      </c>
      <c r="DN6480" s="1" t="s">
        <v>114</v>
      </c>
      <c r="FH6480" s="1" t="s">
        <v>160</v>
      </c>
      <c r="FI6480" s="1" t="s">
        <v>161</v>
      </c>
      <c r="GD6480" s="1" t="s">
        <v>1076</v>
      </c>
      <c r="GE6480" s="1" t="s">
        <v>9158</v>
      </c>
    </row>
    <row r="6481" spans="1:187" ht="11.25" customHeight="1">
      <c r="A6481" s="1" t="s">
        <v>9159</v>
      </c>
      <c r="B6481" s="1" t="str">
        <f ca="1">IFERROR(__xludf.DUMMYFUNCTION("GOOGLETRANSLATE(A6481, ""en"", ""fr"")"),"ENTRE TEMPS")</f>
        <v>ENTRE TEMPS</v>
      </c>
      <c r="C6481" s="1" t="s">
        <v>196</v>
      </c>
      <c r="GB6481" s="1" t="s">
        <v>180</v>
      </c>
      <c r="GD6481" s="1" t="s">
        <v>193</v>
      </c>
    </row>
    <row r="6482" spans="1:187" ht="11.25" customHeight="1">
      <c r="A6482" s="1" t="s">
        <v>9160</v>
      </c>
      <c r="B6482" s="1" t="str">
        <f ca="1">IFERROR(__xludf.DUMMYFUNCTION("GOOGLETRANSLATE(A6482, ""en"", ""fr"")"),"ENTRE-TEMPS")</f>
        <v>ENTRE-TEMPS</v>
      </c>
      <c r="C6482" s="1" t="s">
        <v>185</v>
      </c>
      <c r="CY6482" s="1" t="s">
        <v>99</v>
      </c>
      <c r="GB6482" s="1" t="s">
        <v>180</v>
      </c>
      <c r="GD6482" s="1" t="s">
        <v>9161</v>
      </c>
      <c r="GE6482" s="1" t="s">
        <v>9162</v>
      </c>
    </row>
    <row r="6483" spans="1:187" ht="11.25" customHeight="1">
      <c r="A6483" s="1" t="s">
        <v>9163</v>
      </c>
      <c r="B6483" s="1" t="str">
        <f ca="1">IFERROR(__xludf.DUMMYFUNCTION("GOOGLETRANSLATE(A6483, ""en"", ""fr"")"),"MESURABLE")</f>
        <v>MESURABLE</v>
      </c>
      <c r="C6483" s="1" t="s">
        <v>192</v>
      </c>
      <c r="D6483" s="1" t="s">
        <v>16612</v>
      </c>
      <c r="CS6483" s="1" t="s">
        <v>93</v>
      </c>
      <c r="DR6483" s="1" t="s">
        <v>118</v>
      </c>
      <c r="GD6483" s="1" t="s">
        <v>202</v>
      </c>
      <c r="GE6483" s="1" t="s">
        <v>190</v>
      </c>
    </row>
    <row r="6484" spans="1:187" ht="11.25" customHeight="1">
      <c r="A6484" s="1" t="s">
        <v>9164</v>
      </c>
      <c r="B6484" s="1" t="str">
        <f ca="1">IFERROR(__xludf.DUMMYFUNCTION("GOOGLETRANSLATE(A6484, ""en"", ""fr"")"),"Mesure n ° 1")</f>
        <v>Mesure n ° 1</v>
      </c>
      <c r="C6484" s="1" t="s">
        <v>185</v>
      </c>
      <c r="N6484" s="1" t="s">
        <v>10</v>
      </c>
      <c r="BQ6484" s="1" t="s">
        <v>65</v>
      </c>
      <c r="GD6484" s="1" t="s">
        <v>193</v>
      </c>
      <c r="GE6484" s="1" t="s">
        <v>9165</v>
      </c>
    </row>
    <row r="6485" spans="1:187" ht="11.25" customHeight="1">
      <c r="A6485" s="1" t="s">
        <v>9166</v>
      </c>
      <c r="B6485" s="1" t="str">
        <f ca="1">IFERROR(__xludf.DUMMYFUNCTION("GOOGLETRANSLATE(A6485, ""en"", ""fr"")"),"Mesure n ° 2")</f>
        <v>Mesure n ° 2</v>
      </c>
      <c r="C6485" s="1" t="s">
        <v>185</v>
      </c>
      <c r="N6485" s="1" t="s">
        <v>10</v>
      </c>
      <c r="CO6485" s="1" t="s">
        <v>89</v>
      </c>
      <c r="DN6485" s="1" t="s">
        <v>114</v>
      </c>
      <c r="FP6485" s="1" t="s">
        <v>168</v>
      </c>
      <c r="GD6485" s="1" t="s">
        <v>189</v>
      </c>
      <c r="GE6485" s="1" t="s">
        <v>9167</v>
      </c>
    </row>
    <row r="6486" spans="1:187" ht="11.25" customHeight="1">
      <c r="A6486" s="1" t="s">
        <v>9168</v>
      </c>
      <c r="B6486" s="1" t="str">
        <f ca="1">IFERROR(__xludf.DUMMYFUNCTION("GOOGLETRANSLATE(A6486, ""en"", ""fr"")"),"Mesure n ° 3")</f>
        <v>Mesure n ° 3</v>
      </c>
      <c r="C6486" s="1" t="s">
        <v>185</v>
      </c>
      <c r="CS6486" s="1" t="s">
        <v>93</v>
      </c>
      <c r="FH6486" s="1" t="s">
        <v>160</v>
      </c>
      <c r="FI6486" s="1" t="s">
        <v>161</v>
      </c>
      <c r="GD6486" s="1" t="s">
        <v>193</v>
      </c>
      <c r="GE6486" s="1" t="s">
        <v>9169</v>
      </c>
    </row>
    <row r="6487" spans="1:187" ht="11.25" customHeight="1">
      <c r="A6487" s="1" t="s">
        <v>9170</v>
      </c>
      <c r="B6487" s="1" t="str">
        <f ca="1">IFERROR(__xludf.DUMMYFUNCTION("GOOGLETRANSLATE(A6487, ""en"", ""fr"")"),"Mesure n ° 4")</f>
        <v>Mesure n ° 4</v>
      </c>
      <c r="C6487" s="1" t="s">
        <v>185</v>
      </c>
      <c r="J6487" s="1" t="s">
        <v>6</v>
      </c>
      <c r="BS6487" s="1" t="s">
        <v>67</v>
      </c>
      <c r="DN6487" s="1" t="s">
        <v>114</v>
      </c>
      <c r="FP6487" s="1" t="s">
        <v>168</v>
      </c>
      <c r="GD6487" s="1" t="s">
        <v>189</v>
      </c>
      <c r="GE6487" s="1" t="s">
        <v>9171</v>
      </c>
    </row>
    <row r="6488" spans="1:187" ht="11.25" customHeight="1">
      <c r="A6488" s="1" t="s">
        <v>9172</v>
      </c>
      <c r="B6488" s="1" t="str">
        <f ca="1">IFERROR(__xludf.DUMMYFUNCTION("GOOGLETRANSLATE(A6488, ""en"", ""fr"")"),"Mesure n ° 5")</f>
        <v>Mesure n ° 5</v>
      </c>
      <c r="C6488" s="1" t="s">
        <v>185</v>
      </c>
      <c r="BQ6488" s="1" t="s">
        <v>65</v>
      </c>
      <c r="FH6488" s="1" t="s">
        <v>160</v>
      </c>
      <c r="FI6488" s="1" t="s">
        <v>161</v>
      </c>
      <c r="GD6488" s="1" t="s">
        <v>193</v>
      </c>
      <c r="GE6488" s="1" t="s">
        <v>9173</v>
      </c>
    </row>
    <row r="6489" spans="1:187" ht="11.25" customHeight="1">
      <c r="A6489" s="1" t="s">
        <v>9174</v>
      </c>
      <c r="B6489" s="1" t="str">
        <f ca="1">IFERROR(__xludf.DUMMYFUNCTION("GOOGLETRANSLATE(A6489, ""en"", ""fr"")"),"Mesure n ° 6")</f>
        <v>Mesure n ° 6</v>
      </c>
      <c r="C6489" s="1" t="s">
        <v>185</v>
      </c>
      <c r="N6489" s="1" t="s">
        <v>10</v>
      </c>
      <c r="CS6489" s="1" t="s">
        <v>93</v>
      </c>
      <c r="FH6489" s="1" t="s">
        <v>160</v>
      </c>
      <c r="FI6489" s="1" t="s">
        <v>161</v>
      </c>
      <c r="GD6489" s="1" t="s">
        <v>202</v>
      </c>
      <c r="GE6489" s="1" t="s">
        <v>9175</v>
      </c>
    </row>
    <row r="6490" spans="1:187" ht="11.25" customHeight="1">
      <c r="A6490" s="1" t="s">
        <v>9176</v>
      </c>
      <c r="B6490" s="1" t="str">
        <f ca="1">IFERROR(__xludf.DUMMYFUNCTION("GOOGLETRANSLATE(A6490, ""en"", ""fr"")"),"Mesure n ° 7")</f>
        <v>Mesure n ° 7</v>
      </c>
      <c r="C6490" s="1" t="s">
        <v>185</v>
      </c>
      <c r="CY6490" s="1" t="s">
        <v>99</v>
      </c>
      <c r="GD6490" s="1" t="s">
        <v>202</v>
      </c>
      <c r="GE6490" s="1" t="s">
        <v>9177</v>
      </c>
    </row>
    <row r="6491" spans="1:187" ht="11.25" customHeight="1">
      <c r="A6491" s="1" t="s">
        <v>9178</v>
      </c>
      <c r="B6491" s="1" t="str">
        <f ca="1">IFERROR(__xludf.DUMMYFUNCTION("GOOGLETRANSLATE(A6491, ""en"", ""fr"")"),"Sans mesure")</f>
        <v>Sans mesure</v>
      </c>
      <c r="C6491" s="1" t="s">
        <v>196</v>
      </c>
      <c r="GD6491" s="1" t="s">
        <v>202</v>
      </c>
    </row>
    <row r="6492" spans="1:187" ht="11.25" customHeight="1">
      <c r="A6492" s="1" t="s">
        <v>9179</v>
      </c>
      <c r="B6492" s="1" t="str">
        <f ca="1">IFERROR(__xludf.DUMMYFUNCTION("GOOGLETRANSLATE(A6492, ""en"", ""fr"")"),"LA MESURE")</f>
        <v>LA MESURE</v>
      </c>
      <c r="C6492" s="1" t="s">
        <v>185</v>
      </c>
      <c r="N6492" s="1" t="s">
        <v>10</v>
      </c>
      <c r="CS6492" s="1" t="s">
        <v>93</v>
      </c>
      <c r="FH6492" s="1" t="s">
        <v>160</v>
      </c>
      <c r="FI6492" s="1" t="s">
        <v>161</v>
      </c>
      <c r="GD6492" s="1" t="s">
        <v>193</v>
      </c>
      <c r="GE6492" s="1" t="s">
        <v>190</v>
      </c>
    </row>
    <row r="6493" spans="1:187" ht="11.25" customHeight="1">
      <c r="A6493" s="1" t="s">
        <v>9180</v>
      </c>
      <c r="B6493" s="1" t="str">
        <f ca="1">IFERROR(__xludf.DUMMYFUNCTION("GOOGLETRANSLATE(A6493, ""en"", ""fr"")"),"VIANDE")</f>
        <v>VIANDE</v>
      </c>
      <c r="C6493" s="1" t="s">
        <v>185</v>
      </c>
      <c r="BC6493" s="1" t="s">
        <v>51</v>
      </c>
      <c r="BE6493" s="1" t="s">
        <v>53</v>
      </c>
      <c r="EZ6493" s="1" t="s">
        <v>152</v>
      </c>
      <c r="FC6493" s="1" t="s">
        <v>155</v>
      </c>
      <c r="GD6493" s="1" t="s">
        <v>193</v>
      </c>
      <c r="GE6493" s="1" t="s">
        <v>9181</v>
      </c>
    </row>
    <row r="6494" spans="1:187" ht="11.25" customHeight="1">
      <c r="A6494" s="1" t="s">
        <v>9182</v>
      </c>
      <c r="B6494" s="1" t="str">
        <f ca="1">IFERROR(__xludf.DUMMYFUNCTION("GOOGLETRANSLATE(A6494, ""en"", ""fr"")"),"MÉCANICIEN")</f>
        <v>MÉCANICIEN</v>
      </c>
      <c r="C6494" s="1" t="s">
        <v>185</v>
      </c>
      <c r="AA6494" s="1" t="s">
        <v>23</v>
      </c>
      <c r="AJ6494" s="1" t="s">
        <v>32</v>
      </c>
      <c r="AT6494" s="1" t="s">
        <v>42</v>
      </c>
      <c r="FK6494" s="1" t="s">
        <v>163</v>
      </c>
      <c r="FM6494" s="1" t="s">
        <v>418</v>
      </c>
      <c r="GD6494" s="1" t="s">
        <v>193</v>
      </c>
      <c r="GE6494" s="1" t="s">
        <v>190</v>
      </c>
    </row>
    <row r="6495" spans="1:187" ht="11.25" customHeight="1">
      <c r="A6495" s="1" t="s">
        <v>9183</v>
      </c>
      <c r="B6495" s="1" t="str">
        <f ca="1">IFERROR(__xludf.DUMMYFUNCTION("GOOGLETRANSLATE(A6495, ""en"", ""fr"")"),"MÉCANISME")</f>
        <v>MÉCANISME</v>
      </c>
      <c r="C6495" s="1" t="s">
        <v>185</v>
      </c>
      <c r="BC6495" s="1" t="s">
        <v>51</v>
      </c>
      <c r="BD6495" s="1" t="s">
        <v>52</v>
      </c>
      <c r="GD6495" s="1" t="s">
        <v>193</v>
      </c>
      <c r="GE6495" s="1" t="s">
        <v>190</v>
      </c>
    </row>
    <row r="6496" spans="1:187" ht="11.25" customHeight="1">
      <c r="A6496" s="1" t="s">
        <v>9184</v>
      </c>
      <c r="B6496" s="1" t="str">
        <f ca="1">IFERROR(__xludf.DUMMYFUNCTION("GOOGLETRANSLATE(A6496, ""en"", ""fr"")"),"MÉDAILLE")</f>
        <v>MÉDAILLE</v>
      </c>
      <c r="C6496" s="1" t="s">
        <v>185</v>
      </c>
      <c r="AD6496" s="1" t="s">
        <v>26</v>
      </c>
      <c r="BC6496" s="1" t="s">
        <v>51</v>
      </c>
      <c r="BH6496" s="1" t="s">
        <v>56</v>
      </c>
      <c r="BL6496" s="1" t="s">
        <v>60</v>
      </c>
      <c r="EM6496" s="1" t="s">
        <v>139</v>
      </c>
      <c r="EN6496" s="1" t="s">
        <v>140</v>
      </c>
      <c r="GD6496" s="1" t="s">
        <v>193</v>
      </c>
      <c r="GE6496" s="1" t="s">
        <v>190</v>
      </c>
    </row>
    <row r="6497" spans="1:187" ht="11.25" customHeight="1">
      <c r="A6497" s="1" t="s">
        <v>9185</v>
      </c>
      <c r="B6497" s="1" t="str">
        <f ca="1">IFERROR(__xludf.DUMMYFUNCTION("GOOGLETRANSLATE(A6497, ""en"", ""fr"")"),"SE MÊLER")</f>
        <v>SE MÊLER</v>
      </c>
      <c r="C6497" s="1" t="s">
        <v>192</v>
      </c>
      <c r="E6497" s="1" t="s">
        <v>16613</v>
      </c>
      <c r="N6497" s="1" t="s">
        <v>10</v>
      </c>
      <c r="AN6497" s="1" t="s">
        <v>36</v>
      </c>
      <c r="BK6497" s="1" t="s">
        <v>59</v>
      </c>
      <c r="DN6497" s="1" t="s">
        <v>114</v>
      </c>
      <c r="GD6497" s="1" t="s">
        <v>189</v>
      </c>
      <c r="GE6497" s="1" t="s">
        <v>190</v>
      </c>
    </row>
    <row r="6498" spans="1:187" ht="11.25" customHeight="1">
      <c r="A6498" s="1" t="s">
        <v>9186</v>
      </c>
      <c r="B6498" s="1" t="str">
        <f ca="1">IFERROR(__xludf.DUMMYFUNCTION("GOOGLETRANSLATE(A6498, ""en"", ""fr"")"),"MÉDIAS")</f>
        <v>MÉDIAS</v>
      </c>
      <c r="C6498" s="1" t="s">
        <v>185</v>
      </c>
      <c r="BK6498" s="1" t="s">
        <v>59</v>
      </c>
      <c r="BL6498" s="1" t="s">
        <v>60</v>
      </c>
      <c r="FG6498" s="1" t="s">
        <v>159</v>
      </c>
      <c r="FI6498" s="1" t="s">
        <v>161</v>
      </c>
      <c r="GC6498" s="1" t="s">
        <v>181</v>
      </c>
      <c r="GD6498" s="1" t="s">
        <v>193</v>
      </c>
      <c r="GE6498" s="1" t="s">
        <v>190</v>
      </c>
    </row>
    <row r="6499" spans="1:187" ht="11.25" customHeight="1">
      <c r="A6499" s="1" t="s">
        <v>9187</v>
      </c>
      <c r="B6499" s="1" t="str">
        <f ca="1">IFERROR(__xludf.DUMMYFUNCTION("GOOGLETRANSLATE(A6499, ""en"", ""fr"")"),"MÉDIAT")</f>
        <v>MÉDIAT</v>
      </c>
      <c r="C6499" s="1" t="s">
        <v>185</v>
      </c>
      <c r="D6499" s="1" t="s">
        <v>16612</v>
      </c>
      <c r="N6499" s="1" t="s">
        <v>10</v>
      </c>
      <c r="AN6499" s="1" t="s">
        <v>36</v>
      </c>
      <c r="BK6499" s="1" t="s">
        <v>59</v>
      </c>
      <c r="CO6499" s="1" t="s">
        <v>89</v>
      </c>
      <c r="DN6499" s="1" t="s">
        <v>114</v>
      </c>
      <c r="DX6499" s="1" t="s">
        <v>124</v>
      </c>
      <c r="ED6499" s="1" t="s">
        <v>130</v>
      </c>
      <c r="GD6499" s="1" t="s">
        <v>189</v>
      </c>
      <c r="GE6499" s="1" t="s">
        <v>190</v>
      </c>
    </row>
    <row r="6500" spans="1:187" ht="11.25" customHeight="1">
      <c r="A6500" s="1" t="s">
        <v>9188</v>
      </c>
      <c r="B6500" s="1" t="str">
        <f ca="1">IFERROR(__xludf.DUMMYFUNCTION("GOOGLETRANSLATE(A6500, ""en"", ""fr"")"),"LA MÉDIATION")</f>
        <v>LA MÉDIATION</v>
      </c>
      <c r="C6500" s="1" t="s">
        <v>196</v>
      </c>
      <c r="DX6500" s="1" t="s">
        <v>124</v>
      </c>
      <c r="ED6500" s="1" t="s">
        <v>130</v>
      </c>
      <c r="GD6500" s="1" t="s">
        <v>470</v>
      </c>
    </row>
    <row r="6501" spans="1:187" ht="11.25" customHeight="1">
      <c r="A6501" s="1" t="s">
        <v>9189</v>
      </c>
      <c r="B6501" s="1" t="str">
        <f ca="1">IFERROR(__xludf.DUMMYFUNCTION("GOOGLETRANSLATE(A6501, ""en"", ""fr"")"),"MÉDIATEUR")</f>
        <v>MÉDIATEUR</v>
      </c>
      <c r="C6501" s="1" t="s">
        <v>196</v>
      </c>
      <c r="DX6501" s="1" t="s">
        <v>124</v>
      </c>
      <c r="ED6501" s="1" t="s">
        <v>130</v>
      </c>
      <c r="GD6501" s="1" t="s">
        <v>448</v>
      </c>
    </row>
    <row r="6502" spans="1:187" ht="11.25" customHeight="1">
      <c r="A6502" s="1" t="s">
        <v>9190</v>
      </c>
      <c r="B6502" s="1" t="str">
        <f ca="1">IFERROR(__xludf.DUMMYFUNCTION("GOOGLETRANSLATE(A6502, ""en"", ""fr"")"),"MÉDICAL")</f>
        <v>MÉDICAL</v>
      </c>
      <c r="C6502" s="1" t="s">
        <v>185</v>
      </c>
      <c r="Z6502" s="1" t="s">
        <v>22</v>
      </c>
      <c r="EZ6502" s="1" t="s">
        <v>152</v>
      </c>
      <c r="FC6502" s="1" t="s">
        <v>155</v>
      </c>
      <c r="GD6502" s="1" t="s">
        <v>202</v>
      </c>
      <c r="GE6502" s="1" t="s">
        <v>9191</v>
      </c>
    </row>
    <row r="6503" spans="1:187" ht="11.25" customHeight="1">
      <c r="A6503" s="1" t="s">
        <v>9192</v>
      </c>
      <c r="B6503" s="1" t="str">
        <f ca="1">IFERROR(__xludf.DUMMYFUNCTION("GOOGLETRANSLATE(A6503, ""en"", ""fr"")"),"Médicament")</f>
        <v>Médicament</v>
      </c>
      <c r="C6503" s="1" t="s">
        <v>185</v>
      </c>
      <c r="Z6503" s="1" t="s">
        <v>22</v>
      </c>
      <c r="AC6503" s="1" t="s">
        <v>25</v>
      </c>
      <c r="AG6503" s="1" t="s">
        <v>29</v>
      </c>
      <c r="AH6503" s="1" t="s">
        <v>30</v>
      </c>
      <c r="EZ6503" s="1" t="s">
        <v>152</v>
      </c>
      <c r="FC6503" s="1" t="s">
        <v>155</v>
      </c>
      <c r="GD6503" s="1" t="s">
        <v>193</v>
      </c>
      <c r="GE6503" s="1" t="s">
        <v>9193</v>
      </c>
    </row>
    <row r="6504" spans="1:187" ht="11.25" customHeight="1">
      <c r="A6504" s="1" t="s">
        <v>9194</v>
      </c>
      <c r="B6504" s="1" t="str">
        <f ca="1">IFERROR(__xludf.DUMMYFUNCTION("GOOGLETRANSLATE(A6504, ""en"", ""fr"")"),"Médecine n ° 1")</f>
        <v>Médecine n ° 1</v>
      </c>
      <c r="C6504" s="1" t="s">
        <v>185</v>
      </c>
      <c r="BC6504" s="1" t="s">
        <v>51</v>
      </c>
      <c r="BD6504" s="1" t="s">
        <v>52</v>
      </c>
      <c r="EZ6504" s="1" t="s">
        <v>152</v>
      </c>
      <c r="FC6504" s="1" t="s">
        <v>155</v>
      </c>
      <c r="GD6504" s="1" t="s">
        <v>193</v>
      </c>
      <c r="GE6504" s="1" t="s">
        <v>9195</v>
      </c>
    </row>
    <row r="6505" spans="1:187" ht="11.25" customHeight="1">
      <c r="A6505" s="1" t="s">
        <v>9196</v>
      </c>
      <c r="B6505" s="1" t="str">
        <f ca="1">IFERROR(__xludf.DUMMYFUNCTION("GOOGLETRANSLATE(A6505, ""en"", ""fr"")"),"Médecine n ° 2")</f>
        <v>Médecine n ° 2</v>
      </c>
      <c r="C6505" s="1" t="s">
        <v>185</v>
      </c>
      <c r="Z6505" s="1" t="s">
        <v>22</v>
      </c>
      <c r="FL6505" s="1" t="s">
        <v>164</v>
      </c>
      <c r="FM6505" s="1" t="s">
        <v>418</v>
      </c>
      <c r="GD6505" s="1" t="s">
        <v>193</v>
      </c>
      <c r="GE6505" s="1" t="s">
        <v>9197</v>
      </c>
    </row>
    <row r="6506" spans="1:187" ht="11.25" customHeight="1">
      <c r="A6506" s="1" t="s">
        <v>9198</v>
      </c>
      <c r="B6506" s="1" t="str">
        <f ca="1">IFERROR(__xludf.DUMMYFUNCTION("GOOGLETRANSLATE(A6506, ""en"", ""fr"")"),"MÉDIÉVAL")</f>
        <v>MÉDIÉVAL</v>
      </c>
      <c r="C6506" s="1" t="s">
        <v>185</v>
      </c>
      <c r="CY6506" s="1" t="s">
        <v>99</v>
      </c>
      <c r="GD6506" s="1" t="s">
        <v>202</v>
      </c>
      <c r="GE6506" s="1" t="s">
        <v>190</v>
      </c>
    </row>
    <row r="6507" spans="1:187" ht="11.25" customHeight="1">
      <c r="A6507" s="1" t="s">
        <v>9199</v>
      </c>
      <c r="B6507" s="1" t="str">
        <f ca="1">IFERROR(__xludf.DUMMYFUNCTION("GOOGLETRANSLATE(A6507, ""en"", ""fr"")"),"MÉDIOCRE")</f>
        <v>MÉDIOCRE</v>
      </c>
      <c r="C6507" s="1" t="s">
        <v>185</v>
      </c>
      <c r="E6507" s="1" t="s">
        <v>16613</v>
      </c>
      <c r="L6507" s="1" t="s">
        <v>8</v>
      </c>
      <c r="DR6507" s="1" t="s">
        <v>118</v>
      </c>
      <c r="FL6507" s="1" t="s">
        <v>164</v>
      </c>
      <c r="FM6507" s="1" t="s">
        <v>418</v>
      </c>
      <c r="GD6507" s="1" t="s">
        <v>202</v>
      </c>
      <c r="GE6507" s="1" t="s">
        <v>190</v>
      </c>
    </row>
    <row r="6508" spans="1:187" ht="11.25" customHeight="1">
      <c r="A6508" s="1" t="s">
        <v>9200</v>
      </c>
      <c r="B6508" s="1" t="str">
        <f ca="1">IFERROR(__xludf.DUMMYFUNCTION("GOOGLETRANSLATE(A6508, ""en"", ""fr"")"),"MÉDITATION")</f>
        <v>MÉDITATION</v>
      </c>
      <c r="C6508" s="1" t="s">
        <v>192</v>
      </c>
      <c r="D6508" s="1" t="s">
        <v>16612</v>
      </c>
      <c r="S6508" s="1" t="s">
        <v>15</v>
      </c>
      <c r="CG6508" s="1" t="s">
        <v>81</v>
      </c>
      <c r="GD6508" s="1" t="s">
        <v>193</v>
      </c>
      <c r="GE6508" s="1" t="s">
        <v>190</v>
      </c>
    </row>
    <row r="6509" spans="1:187" ht="11.25" customHeight="1">
      <c r="A6509" s="1" t="s">
        <v>9201</v>
      </c>
      <c r="B6509" s="1" t="str">
        <f ca="1">IFERROR(__xludf.DUMMYFUNCTION("GOOGLETRANSLATE(A6509, ""en"", ""fr"")"),"MÉDITERRANÉEN")</f>
        <v>MÉDITERRANÉEN</v>
      </c>
      <c r="C6509" s="1" t="s">
        <v>196</v>
      </c>
      <c r="DV6509" s="1" t="s">
        <v>122</v>
      </c>
      <c r="ED6509" s="1" t="s">
        <v>130</v>
      </c>
      <c r="GD6509" s="1" t="s">
        <v>6392</v>
      </c>
    </row>
    <row r="6510" spans="1:187" ht="11.25" customHeight="1">
      <c r="A6510" s="1" t="s">
        <v>9202</v>
      </c>
      <c r="B6510" s="1" t="str">
        <f ca="1">IFERROR(__xludf.DUMMYFUNCTION("GOOGLETRANSLATE(A6510, ""en"", ""fr"")"),"MOYEN")</f>
        <v>MOYEN</v>
      </c>
      <c r="C6510" s="1" t="s">
        <v>185</v>
      </c>
      <c r="CS6510" s="1" t="s">
        <v>93</v>
      </c>
      <c r="DC6510" s="1" t="s">
        <v>103</v>
      </c>
      <c r="GD6510" s="1" t="s">
        <v>202</v>
      </c>
      <c r="GE6510" s="1" t="s">
        <v>190</v>
      </c>
    </row>
    <row r="6511" spans="1:187" ht="11.25" customHeight="1">
      <c r="A6511" s="1" t="s">
        <v>9203</v>
      </c>
      <c r="B6511" s="1" t="str">
        <f ca="1">IFERROR(__xludf.DUMMYFUNCTION("GOOGLETRANSLATE(A6511, ""en"", ""fr"")"),"DOUX")</f>
        <v>DOUX</v>
      </c>
      <c r="C6511" s="1" t="s">
        <v>192</v>
      </c>
      <c r="E6511" s="1" t="s">
        <v>16613</v>
      </c>
      <c r="L6511" s="1" t="s">
        <v>8</v>
      </c>
      <c r="M6511" s="1" t="s">
        <v>9</v>
      </c>
      <c r="DR6511" s="1" t="s">
        <v>118</v>
      </c>
      <c r="GD6511" s="1" t="s">
        <v>202</v>
      </c>
      <c r="GE6511" s="1" t="s">
        <v>190</v>
      </c>
    </row>
    <row r="6512" spans="1:187" ht="11.25" customHeight="1">
      <c r="A6512" s="1" t="s">
        <v>9204</v>
      </c>
      <c r="B6512" s="1" t="str">
        <f ca="1">IFERROR(__xludf.DUMMYFUNCTION("GOOGLETRANSLATE(A6512, ""en"", ""fr"")"),"Rencontre # 1")</f>
        <v>Rencontre # 1</v>
      </c>
      <c r="C6512" s="1" t="s">
        <v>185</v>
      </c>
      <c r="G6512" s="1" t="s">
        <v>3</v>
      </c>
      <c r="N6512" s="1" t="s">
        <v>10</v>
      </c>
      <c r="AN6512" s="1" t="s">
        <v>36</v>
      </c>
      <c r="DO6512" s="1" t="s">
        <v>115</v>
      </c>
      <c r="DX6512" s="1" t="s">
        <v>124</v>
      </c>
      <c r="ED6512" s="1" t="s">
        <v>130</v>
      </c>
      <c r="GD6512" s="1" t="s">
        <v>189</v>
      </c>
      <c r="GE6512" s="1" t="s">
        <v>9205</v>
      </c>
    </row>
    <row r="6513" spans="1:187" ht="11.25" customHeight="1">
      <c r="A6513" s="1" t="s">
        <v>9206</v>
      </c>
      <c r="B6513" s="1" t="str">
        <f ca="1">IFERROR(__xludf.DUMMYFUNCTION("GOOGLETRANSLATE(A6513, ""en"", ""fr"")"),"Rencontre # 2")</f>
        <v>Rencontre # 2</v>
      </c>
      <c r="C6513" s="1" t="s">
        <v>185</v>
      </c>
      <c r="N6513" s="1" t="s">
        <v>10</v>
      </c>
      <c r="CO6513" s="1" t="s">
        <v>89</v>
      </c>
      <c r="DN6513" s="1" t="s">
        <v>114</v>
      </c>
      <c r="FP6513" s="1" t="s">
        <v>168</v>
      </c>
      <c r="GD6513" s="1" t="s">
        <v>189</v>
      </c>
      <c r="GE6513" s="1" t="s">
        <v>9207</v>
      </c>
    </row>
    <row r="6514" spans="1:187" ht="11.25" customHeight="1">
      <c r="A6514" s="1" t="s">
        <v>9208</v>
      </c>
      <c r="B6514" s="1" t="str">
        <f ca="1">IFERROR(__xludf.DUMMYFUNCTION("GOOGLETRANSLATE(A6514, ""en"", ""fr"")"),"Rencontre # 3")</f>
        <v>Rencontre # 3</v>
      </c>
      <c r="C6514" s="1" t="s">
        <v>185</v>
      </c>
      <c r="N6514" s="1" t="s">
        <v>10</v>
      </c>
      <c r="AB6514" s="1" t="s">
        <v>24</v>
      </c>
      <c r="DN6514" s="1" t="s">
        <v>114</v>
      </c>
      <c r="EV6514" s="1" t="s">
        <v>148</v>
      </c>
      <c r="EW6514" s="1" t="s">
        <v>149</v>
      </c>
      <c r="GD6514" s="1" t="s">
        <v>189</v>
      </c>
      <c r="GE6514" s="1" t="s">
        <v>9209</v>
      </c>
    </row>
    <row r="6515" spans="1:187" ht="11.25" customHeight="1">
      <c r="A6515" s="1" t="s">
        <v>9210</v>
      </c>
      <c r="B6515" s="1" t="str">
        <f ca="1">IFERROR(__xludf.DUMMYFUNCTION("GOOGLETRANSLATE(A6515, ""en"", ""fr"")"),"Rencontre # 4")</f>
        <v>Rencontre # 4</v>
      </c>
      <c r="C6515" s="1" t="s">
        <v>185</v>
      </c>
      <c r="AM6515" s="1" t="s">
        <v>35</v>
      </c>
      <c r="BL6515" s="1" t="s">
        <v>60</v>
      </c>
      <c r="DX6515" s="1" t="s">
        <v>124</v>
      </c>
      <c r="ED6515" s="1" t="s">
        <v>130</v>
      </c>
      <c r="GD6515" s="1" t="s">
        <v>193</v>
      </c>
      <c r="GE6515" s="1" t="s">
        <v>9211</v>
      </c>
    </row>
    <row r="6516" spans="1:187" ht="11.25" customHeight="1">
      <c r="A6516" s="1" t="s">
        <v>9212</v>
      </c>
      <c r="B6516" s="1" t="str">
        <f ca="1">IFERROR(__xludf.DUMMYFUNCTION("GOOGLETRANSLATE(A6516, ""en"", ""fr"")"),"Rencontre # 5")</f>
        <v>Rencontre # 5</v>
      </c>
      <c r="C6516" s="1" t="s">
        <v>185</v>
      </c>
      <c r="D6516" s="1" t="s">
        <v>16612</v>
      </c>
      <c r="F6516" s="1" t="s">
        <v>2</v>
      </c>
      <c r="G6516" s="1" t="s">
        <v>3</v>
      </c>
      <c r="BK6516" s="1" t="s">
        <v>59</v>
      </c>
      <c r="BL6516" s="1" t="s">
        <v>60</v>
      </c>
      <c r="DX6516" s="1" t="s">
        <v>124</v>
      </c>
      <c r="ED6516" s="1" t="s">
        <v>130</v>
      </c>
      <c r="GC6516" s="1" t="s">
        <v>181</v>
      </c>
      <c r="GD6516" s="1" t="s">
        <v>193</v>
      </c>
      <c r="GE6516" s="1" t="s">
        <v>9213</v>
      </c>
    </row>
    <row r="6517" spans="1:187" ht="11.25" customHeight="1">
      <c r="A6517" s="1" t="s">
        <v>9214</v>
      </c>
      <c r="B6517" s="1" t="str">
        <f ca="1">IFERROR(__xludf.DUMMYFUNCTION("GOOGLETRANSLATE(A6517, ""en"", ""fr"")"),"MÉLANCOLIE")</f>
        <v>MÉLANCOLIE</v>
      </c>
      <c r="C6517" s="1" t="s">
        <v>185</v>
      </c>
      <c r="E6517" s="1" t="s">
        <v>16613</v>
      </c>
      <c r="Q6517" s="1" t="s">
        <v>13</v>
      </c>
      <c r="T6517" s="1" t="s">
        <v>16</v>
      </c>
      <c r="DR6517" s="1" t="s">
        <v>118</v>
      </c>
      <c r="FA6517" s="1" t="s">
        <v>153</v>
      </c>
      <c r="FC6517" s="1" t="s">
        <v>155</v>
      </c>
      <c r="GD6517" s="1" t="s">
        <v>202</v>
      </c>
      <c r="GE6517" s="1" t="s">
        <v>190</v>
      </c>
    </row>
    <row r="6518" spans="1:187" ht="11.25" customHeight="1">
      <c r="A6518" s="1" t="s">
        <v>9215</v>
      </c>
      <c r="B6518" s="1" t="str">
        <f ca="1">IFERROR(__xludf.DUMMYFUNCTION("GOOGLETRANSLATE(A6518, ""en"", ""fr"")"),"MOELLEUX")</f>
        <v>MOELLEUX</v>
      </c>
      <c r="C6518" s="1" t="s">
        <v>192</v>
      </c>
      <c r="D6518" s="1" t="s">
        <v>16612</v>
      </c>
      <c r="S6518" s="1" t="s">
        <v>15</v>
      </c>
      <c r="DR6518" s="1" t="s">
        <v>118</v>
      </c>
      <c r="GD6518" s="1" t="s">
        <v>202</v>
      </c>
      <c r="GE6518" s="1" t="s">
        <v>190</v>
      </c>
    </row>
    <row r="6519" spans="1:187" ht="11.25" customHeight="1">
      <c r="A6519" s="1" t="s">
        <v>9216</v>
      </c>
      <c r="B6519" s="1" t="str">
        <f ca="1">IFERROR(__xludf.DUMMYFUNCTION("GOOGLETRANSLATE(A6519, ""en"", ""fr"")"),"MÉLODRAMATIQUE")</f>
        <v>MÉLODRAMATIQUE</v>
      </c>
      <c r="C6519" s="1" t="s">
        <v>185</v>
      </c>
      <c r="E6519" s="1" t="s">
        <v>16613</v>
      </c>
      <c r="H6519" s="1" t="s">
        <v>4</v>
      </c>
      <c r="AD6519" s="1" t="s">
        <v>26</v>
      </c>
      <c r="BK6519" s="1" t="s">
        <v>59</v>
      </c>
      <c r="GC6519" s="1" t="s">
        <v>181</v>
      </c>
      <c r="GD6519" s="1" t="s">
        <v>202</v>
      </c>
      <c r="GE6519" s="1" t="s">
        <v>190</v>
      </c>
    </row>
    <row r="6520" spans="1:187" ht="11.25" customHeight="1">
      <c r="A6520" s="1" t="s">
        <v>9217</v>
      </c>
      <c r="B6520" s="1" t="str">
        <f ca="1">IFERROR(__xludf.DUMMYFUNCTION("GOOGLETRANSLATE(A6520, ""en"", ""fr"")"),"MÉLODIE")</f>
        <v>MÉLODIE</v>
      </c>
      <c r="C6520" s="1" t="s">
        <v>185</v>
      </c>
      <c r="D6520" s="1" t="s">
        <v>16612</v>
      </c>
      <c r="F6520" s="1" t="s">
        <v>2</v>
      </c>
      <c r="AD6520" s="1" t="s">
        <v>26</v>
      </c>
      <c r="BK6520" s="1" t="s">
        <v>59</v>
      </c>
      <c r="BL6520" s="1" t="s">
        <v>60</v>
      </c>
      <c r="FJ6520" s="1" t="s">
        <v>162</v>
      </c>
      <c r="FM6520" s="1" t="s">
        <v>418</v>
      </c>
      <c r="GC6520" s="1" t="s">
        <v>181</v>
      </c>
      <c r="GD6520" s="1" t="s">
        <v>193</v>
      </c>
      <c r="GE6520" s="1" t="s">
        <v>190</v>
      </c>
    </row>
    <row r="6521" spans="1:187" ht="11.25" customHeight="1">
      <c r="A6521" s="1" t="s">
        <v>9218</v>
      </c>
      <c r="B6521" s="1" t="str">
        <f ca="1">IFERROR(__xludf.DUMMYFUNCTION("GOOGLETRANSLATE(A6521, ""en"", ""fr"")"),"FONDRE")</f>
        <v>FONDRE</v>
      </c>
      <c r="C6521" s="1" t="s">
        <v>185</v>
      </c>
      <c r="L6521" s="1" t="s">
        <v>8</v>
      </c>
      <c r="BY6521" s="1" t="s">
        <v>73</v>
      </c>
      <c r="DO6521" s="1" t="s">
        <v>115</v>
      </c>
      <c r="GD6521" s="1" t="s">
        <v>189</v>
      </c>
      <c r="GE6521" s="1" t="s">
        <v>190</v>
      </c>
    </row>
    <row r="6522" spans="1:187" ht="11.25" customHeight="1">
      <c r="A6522" s="1" t="s">
        <v>9219</v>
      </c>
      <c r="B6522" s="1" t="str">
        <f ca="1">IFERROR(__xludf.DUMMYFUNCTION("GOOGLETRANSLATE(A6522, ""en"", ""fr"")"),"MEMBRE")</f>
        <v>MEMBRE</v>
      </c>
      <c r="C6522" s="1" t="s">
        <v>185</v>
      </c>
      <c r="G6522" s="1" t="s">
        <v>3</v>
      </c>
      <c r="AJ6522" s="1" t="s">
        <v>32</v>
      </c>
      <c r="AT6522" s="1" t="s">
        <v>42</v>
      </c>
      <c r="GD6522" s="1" t="s">
        <v>193</v>
      </c>
      <c r="GE6522" s="1" t="s">
        <v>9220</v>
      </c>
    </row>
    <row r="6523" spans="1:187" ht="11.25" customHeight="1">
      <c r="A6523" s="1" t="s">
        <v>9221</v>
      </c>
      <c r="B6523" s="1" t="str">
        <f ca="1">IFERROR(__xludf.DUMMYFUNCTION("GOOGLETRANSLATE(A6523, ""en"", ""fr"")"),"ADHÉSION")</f>
        <v>ADHÉSION</v>
      </c>
      <c r="C6523" s="1" t="s">
        <v>185</v>
      </c>
      <c r="G6523" s="1" t="s">
        <v>3</v>
      </c>
      <c r="AK6523" s="1" t="s">
        <v>33</v>
      </c>
      <c r="AT6523" s="1" t="s">
        <v>42</v>
      </c>
      <c r="GD6523" s="1" t="s">
        <v>193</v>
      </c>
      <c r="GE6523" s="1" t="s">
        <v>9222</v>
      </c>
    </row>
    <row r="6524" spans="1:187" ht="11.25" customHeight="1">
      <c r="A6524" s="1" t="s">
        <v>9223</v>
      </c>
      <c r="B6524" s="1" t="str">
        <f ca="1">IFERROR(__xludf.DUMMYFUNCTION("GOOGLETRANSLATE(A6524, ""en"", ""fr"")"),"MÉMORABLE")</f>
        <v>MÉMORABLE</v>
      </c>
      <c r="C6524" s="1" t="s">
        <v>185</v>
      </c>
      <c r="D6524" s="1" t="s">
        <v>16612</v>
      </c>
      <c r="CM6524" s="1" t="s">
        <v>87</v>
      </c>
      <c r="CR6524" s="1" t="s">
        <v>92</v>
      </c>
      <c r="DR6524" s="1" t="s">
        <v>118</v>
      </c>
      <c r="GD6524" s="1" t="s">
        <v>202</v>
      </c>
      <c r="GE6524" s="1" t="s">
        <v>190</v>
      </c>
    </row>
    <row r="6525" spans="1:187" ht="11.25" customHeight="1">
      <c r="A6525" s="1" t="s">
        <v>9224</v>
      </c>
      <c r="B6525" s="1" t="str">
        <f ca="1">IFERROR(__xludf.DUMMYFUNCTION("GOOGLETRANSLATE(A6525, ""en"", ""fr"")"),"Mémoire # 1")</f>
        <v>Mémoire # 1</v>
      </c>
      <c r="C6525" s="1" t="s">
        <v>185</v>
      </c>
      <c r="CH6525" s="1" t="s">
        <v>82</v>
      </c>
      <c r="FH6525" s="1" t="s">
        <v>160</v>
      </c>
      <c r="FI6525" s="1" t="s">
        <v>161</v>
      </c>
      <c r="GD6525" s="1" t="s">
        <v>193</v>
      </c>
      <c r="GE6525" s="1" t="s">
        <v>9225</v>
      </c>
    </row>
    <row r="6526" spans="1:187" ht="11.25" customHeight="1">
      <c r="A6526" s="1" t="s">
        <v>9226</v>
      </c>
      <c r="B6526" s="1" t="str">
        <f ca="1">IFERROR(__xludf.DUMMYFUNCTION("GOOGLETRANSLATE(A6526, ""en"", ""fr"")"),"Mémoire # 2")</f>
        <v>Mémoire # 2</v>
      </c>
      <c r="C6526" s="1" t="s">
        <v>185</v>
      </c>
      <c r="CH6526" s="1" t="s">
        <v>82</v>
      </c>
      <c r="CP6526" s="1" t="s">
        <v>90</v>
      </c>
      <c r="CQ6526" s="1" t="s">
        <v>91</v>
      </c>
      <c r="FH6526" s="1" t="s">
        <v>160</v>
      </c>
      <c r="FI6526" s="1" t="s">
        <v>161</v>
      </c>
      <c r="GD6526" s="1" t="s">
        <v>193</v>
      </c>
      <c r="GE6526" s="1" t="s">
        <v>9227</v>
      </c>
    </row>
    <row r="6527" spans="1:187" ht="11.25" customHeight="1">
      <c r="A6527" s="1" t="s">
        <v>9228</v>
      </c>
      <c r="B6527" s="1" t="str">
        <f ca="1">IFERROR(__xludf.DUMMYFUNCTION("GOOGLETRANSLATE(A6527, ""en"", ""fr"")"),"HOMMES")</f>
        <v>HOMMES</v>
      </c>
      <c r="C6527" s="1" t="s">
        <v>185</v>
      </c>
      <c r="AJ6527" s="1" t="s">
        <v>32</v>
      </c>
      <c r="AQ6527" s="1" t="s">
        <v>39</v>
      </c>
      <c r="AT6527" s="1" t="s">
        <v>42</v>
      </c>
      <c r="FT6527" s="1" t="s">
        <v>172</v>
      </c>
      <c r="GD6527" s="1" t="s">
        <v>576</v>
      </c>
      <c r="GE6527" s="1" t="s">
        <v>9229</v>
      </c>
    </row>
    <row r="6528" spans="1:187" ht="11.25" customHeight="1">
      <c r="A6528" s="1" t="s">
        <v>9230</v>
      </c>
      <c r="B6528" s="1" t="str">
        <f ca="1">IFERROR(__xludf.DUMMYFUNCTION("GOOGLETRANSLATE(A6528, ""en"", ""fr"")"),"MENACE")</f>
        <v>MENACE</v>
      </c>
      <c r="C6528" s="1" t="s">
        <v>185</v>
      </c>
      <c r="E6528" s="1" t="s">
        <v>16613</v>
      </c>
      <c r="H6528" s="1" t="s">
        <v>4</v>
      </c>
      <c r="J6528" s="1" t="s">
        <v>6</v>
      </c>
      <c r="N6528" s="1" t="s">
        <v>10</v>
      </c>
      <c r="V6528" s="1" t="s">
        <v>18</v>
      </c>
      <c r="DT6528" s="1" t="s">
        <v>120</v>
      </c>
      <c r="ED6528" s="1" t="s">
        <v>130</v>
      </c>
      <c r="GD6528" s="1" t="s">
        <v>193</v>
      </c>
      <c r="GE6528" s="1" t="s">
        <v>190</v>
      </c>
    </row>
    <row r="6529" spans="1:187" ht="11.25" customHeight="1">
      <c r="A6529" s="1" t="s">
        <v>9231</v>
      </c>
      <c r="B6529" s="1" t="str">
        <f ca="1">IFERROR(__xludf.DUMMYFUNCTION("GOOGLETRANSLATE(A6529, ""en"", ""fr"")"),"RÉPARER")</f>
        <v>RÉPARER</v>
      </c>
      <c r="C6529" s="1" t="s">
        <v>185</v>
      </c>
      <c r="D6529" s="1" t="s">
        <v>16612</v>
      </c>
      <c r="F6529" s="1" t="s">
        <v>2</v>
      </c>
      <c r="N6529" s="1" t="s">
        <v>10</v>
      </c>
      <c r="AL6529" s="1" t="s">
        <v>34</v>
      </c>
      <c r="DN6529" s="1" t="s">
        <v>114</v>
      </c>
      <c r="FN6529" s="1" t="s">
        <v>166</v>
      </c>
      <c r="GD6529" s="1" t="s">
        <v>189</v>
      </c>
      <c r="GE6529" s="1" t="s">
        <v>190</v>
      </c>
    </row>
    <row r="6530" spans="1:187" ht="11.25" customHeight="1">
      <c r="A6530" s="1" t="s">
        <v>9232</v>
      </c>
      <c r="B6530" s="1" t="str">
        <f ca="1">IFERROR(__xludf.DUMMYFUNCTION("GOOGLETRANSLATE(A6530, ""en"", ""fr"")"),"SERVILE")</f>
        <v>SERVILE</v>
      </c>
      <c r="C6530" s="1" t="s">
        <v>192</v>
      </c>
      <c r="E6530" s="1" t="s">
        <v>16613</v>
      </c>
      <c r="L6530" s="1" t="s">
        <v>8</v>
      </c>
      <c r="M6530" s="1" t="s">
        <v>9</v>
      </c>
      <c r="DR6530" s="1" t="s">
        <v>118</v>
      </c>
      <c r="GD6530" s="1" t="s">
        <v>202</v>
      </c>
      <c r="GE6530" s="1" t="s">
        <v>190</v>
      </c>
    </row>
    <row r="6531" spans="1:187" ht="11.25" customHeight="1">
      <c r="A6531" s="1" t="s">
        <v>9233</v>
      </c>
      <c r="B6531" s="1" t="str">
        <f ca="1">IFERROR(__xludf.DUMMYFUNCTION("GOOGLETRANSLATE(A6531, ""en"", ""fr"")"),"MENTAL")</f>
        <v>MENTAL</v>
      </c>
      <c r="C6531" s="1" t="s">
        <v>185</v>
      </c>
      <c r="CH6531" s="1" t="s">
        <v>82</v>
      </c>
      <c r="FA6531" s="1" t="s">
        <v>153</v>
      </c>
      <c r="FC6531" s="1" t="s">
        <v>155</v>
      </c>
      <c r="GD6531" s="1" t="s">
        <v>202</v>
      </c>
      <c r="GE6531" s="1" t="s">
        <v>9234</v>
      </c>
    </row>
    <row r="6532" spans="1:187" ht="11.25" customHeight="1">
      <c r="A6532" s="1" t="s">
        <v>9235</v>
      </c>
      <c r="B6532" s="1" t="str">
        <f ca="1">IFERROR(__xludf.DUMMYFUNCTION("GOOGLETRANSLATE(A6532, ""en"", ""fr"")"),"MENTALITÉ")</f>
        <v>MENTALITÉ</v>
      </c>
      <c r="C6532" s="1" t="s">
        <v>196</v>
      </c>
      <c r="FH6532" s="1" t="s">
        <v>160</v>
      </c>
      <c r="FI6532" s="1" t="s">
        <v>161</v>
      </c>
      <c r="GD6532" s="1" t="s">
        <v>193</v>
      </c>
    </row>
    <row r="6533" spans="1:187" ht="11.25" customHeight="1">
      <c r="A6533" s="1" t="s">
        <v>9236</v>
      </c>
      <c r="B6533" s="1" t="str">
        <f ca="1">IFERROR(__xludf.DUMMYFUNCTION("GOOGLETRANSLATE(A6533, ""en"", ""fr"")"),"Mentionner n ° 1")</f>
        <v>Mentionner n ° 1</v>
      </c>
      <c r="C6533" s="1" t="s">
        <v>185</v>
      </c>
      <c r="O6533" s="1" t="s">
        <v>11</v>
      </c>
      <c r="X6533" s="1" t="s">
        <v>20</v>
      </c>
      <c r="BK6533" s="1" t="s">
        <v>59</v>
      </c>
      <c r="DN6533" s="1" t="s">
        <v>114</v>
      </c>
      <c r="FD6533" s="1" t="s">
        <v>156</v>
      </c>
      <c r="FI6533" s="1" t="s">
        <v>161</v>
      </c>
      <c r="GD6533" s="1" t="s">
        <v>400</v>
      </c>
      <c r="GE6533" s="1" t="s">
        <v>9237</v>
      </c>
    </row>
    <row r="6534" spans="1:187" ht="11.25" customHeight="1">
      <c r="A6534" s="1" t="s">
        <v>9238</v>
      </c>
      <c r="B6534" s="1" t="str">
        <f ca="1">IFERROR(__xludf.DUMMYFUNCTION("GOOGLETRANSLATE(A6534, ""en"", ""fr"")"),"Mentionner n ° 2")</f>
        <v>Mentionner n ° 2</v>
      </c>
      <c r="C6534" s="1" t="s">
        <v>185</v>
      </c>
      <c r="BK6534" s="1" t="s">
        <v>59</v>
      </c>
      <c r="BL6534" s="1" t="s">
        <v>60</v>
      </c>
      <c r="FH6534" s="1" t="s">
        <v>160</v>
      </c>
      <c r="FI6534" s="1" t="s">
        <v>161</v>
      </c>
      <c r="GC6534" s="1" t="s">
        <v>181</v>
      </c>
      <c r="GD6534" s="1" t="s">
        <v>193</v>
      </c>
      <c r="GE6534" s="1" t="s">
        <v>9239</v>
      </c>
    </row>
    <row r="6535" spans="1:187" ht="11.25" customHeight="1">
      <c r="A6535" s="1" t="s">
        <v>9240</v>
      </c>
      <c r="B6535" s="1" t="str">
        <f ca="1">IFERROR(__xludf.DUMMYFUNCTION("GOOGLETRANSLATE(A6535, ""en"", ""fr"")"),"MENTOR")</f>
        <v>MENTOR</v>
      </c>
      <c r="C6535" s="1" t="s">
        <v>192</v>
      </c>
      <c r="D6535" s="1" t="s">
        <v>16612</v>
      </c>
      <c r="K6535" s="1" t="s">
        <v>7</v>
      </c>
      <c r="AJ6535" s="1" t="s">
        <v>32</v>
      </c>
      <c r="AT6535" s="1" t="s">
        <v>42</v>
      </c>
      <c r="CH6535" s="1" t="s">
        <v>82</v>
      </c>
      <c r="GD6535" s="1" t="s">
        <v>193</v>
      </c>
      <c r="GE6535" s="1" t="s">
        <v>190</v>
      </c>
    </row>
    <row r="6536" spans="1:187" ht="11.25" customHeight="1">
      <c r="A6536" s="1" t="s">
        <v>9241</v>
      </c>
      <c r="B6536" s="1" t="str">
        <f ca="1">IFERROR(__xludf.DUMMYFUNCTION("GOOGLETRANSLATE(A6536, ""en"", ""fr"")"),"MARCHANDISE")</f>
        <v>MARCHANDISE</v>
      </c>
      <c r="C6536" s="1" t="s">
        <v>185</v>
      </c>
      <c r="AA6536" s="1" t="s">
        <v>23</v>
      </c>
      <c r="AC6536" s="1" t="s">
        <v>25</v>
      </c>
      <c r="BC6536" s="1" t="s">
        <v>51</v>
      </c>
      <c r="BD6536" s="1" t="s">
        <v>52</v>
      </c>
      <c r="EV6536" s="1" t="s">
        <v>148</v>
      </c>
      <c r="EW6536" s="1" t="s">
        <v>149</v>
      </c>
      <c r="GD6536" s="1" t="s">
        <v>193</v>
      </c>
      <c r="GE6536" s="1" t="s">
        <v>190</v>
      </c>
    </row>
    <row r="6537" spans="1:187" ht="11.25" customHeight="1">
      <c r="A6537" s="1" t="s">
        <v>9242</v>
      </c>
      <c r="B6537" s="1" t="str">
        <f ca="1">IFERROR(__xludf.DUMMYFUNCTION("GOOGLETRANSLATE(A6537, ""en"", ""fr"")"),"MARCHAND")</f>
        <v>MARCHAND</v>
      </c>
      <c r="C6537" s="1" t="s">
        <v>185</v>
      </c>
      <c r="AA6537" s="1" t="s">
        <v>23</v>
      </c>
      <c r="AC6537" s="1" t="s">
        <v>25</v>
      </c>
      <c r="AJ6537" s="1" t="s">
        <v>32</v>
      </c>
      <c r="AT6537" s="1" t="s">
        <v>42</v>
      </c>
      <c r="ET6537" s="1" t="s">
        <v>146</v>
      </c>
      <c r="EW6537" s="1" t="s">
        <v>149</v>
      </c>
      <c r="GD6537" s="1" t="s">
        <v>193</v>
      </c>
      <c r="GE6537" s="1" t="s">
        <v>9243</v>
      </c>
    </row>
    <row r="6538" spans="1:187" ht="11.25" customHeight="1">
      <c r="A6538" s="1" t="s">
        <v>9244</v>
      </c>
      <c r="B6538" s="1" t="str">
        <f ca="1">IFERROR(__xludf.DUMMYFUNCTION("GOOGLETRANSLATE(A6538, ""en"", ""fr"")"),"Marchand")</f>
        <v>Marchand</v>
      </c>
      <c r="C6538" s="1" t="s">
        <v>196</v>
      </c>
      <c r="EV6538" s="1" t="s">
        <v>148</v>
      </c>
      <c r="EW6538" s="1" t="s">
        <v>149</v>
      </c>
      <c r="GD6538" s="1" t="s">
        <v>2145</v>
      </c>
    </row>
    <row r="6539" spans="1:187" ht="11.25" customHeight="1">
      <c r="A6539" s="1" t="s">
        <v>9245</v>
      </c>
      <c r="B6539" s="1" t="str">
        <f ca="1">IFERROR(__xludf.DUMMYFUNCTION("GOOGLETRANSLATE(A6539, ""en"", ""fr"")"),"MISÉRICORDIEUX")</f>
        <v>MISÉRICORDIEUX</v>
      </c>
      <c r="C6539" s="1" t="s">
        <v>192</v>
      </c>
      <c r="D6539" s="1" t="s">
        <v>16612</v>
      </c>
      <c r="U6539" s="1" t="s">
        <v>17</v>
      </c>
      <c r="DQ6539" s="1" t="s">
        <v>117</v>
      </c>
      <c r="GD6539" s="1" t="s">
        <v>202</v>
      </c>
      <c r="GE6539" s="1" t="s">
        <v>190</v>
      </c>
    </row>
    <row r="6540" spans="1:187" ht="11.25" customHeight="1">
      <c r="A6540" s="1" t="s">
        <v>9246</v>
      </c>
      <c r="B6540" s="1" t="str">
        <f ca="1">IFERROR(__xludf.DUMMYFUNCTION("GOOGLETRANSLATE(A6540, ""en"", ""fr"")"),"SANS MERCI")</f>
        <v>SANS MERCI</v>
      </c>
      <c r="C6540" s="1" t="s">
        <v>192</v>
      </c>
      <c r="E6540" s="1" t="s">
        <v>16613</v>
      </c>
      <c r="I6540" s="1" t="s">
        <v>5</v>
      </c>
      <c r="J6540" s="1" t="s">
        <v>6</v>
      </c>
      <c r="K6540" s="1" t="s">
        <v>7</v>
      </c>
      <c r="DQ6540" s="1" t="s">
        <v>117</v>
      </c>
      <c r="GD6540" s="1" t="s">
        <v>202</v>
      </c>
      <c r="GE6540" s="1" t="s">
        <v>190</v>
      </c>
    </row>
    <row r="6541" spans="1:187" ht="11.25" customHeight="1">
      <c r="A6541" s="1" t="s">
        <v>9247</v>
      </c>
      <c r="B6541" s="1" t="str">
        <f ca="1">IFERROR(__xludf.DUMMYFUNCTION("GOOGLETRANSLATE(A6541, ""en"", ""fr"")"),"MISÉRICORDE")</f>
        <v>MISÉRICORDE</v>
      </c>
      <c r="C6541" s="1" t="s">
        <v>185</v>
      </c>
      <c r="D6541" s="1" t="s">
        <v>16612</v>
      </c>
      <c r="F6541" s="1" t="s">
        <v>2</v>
      </c>
      <c r="U6541" s="1" t="s">
        <v>17</v>
      </c>
      <c r="CP6541" s="1" t="s">
        <v>90</v>
      </c>
      <c r="CQ6541" s="1" t="s">
        <v>91</v>
      </c>
      <c r="EO6541" s="1" t="s">
        <v>141</v>
      </c>
      <c r="ES6541" s="1" t="s">
        <v>145</v>
      </c>
      <c r="GD6541" s="1" t="s">
        <v>193</v>
      </c>
      <c r="GE6541" s="1" t="s">
        <v>190</v>
      </c>
    </row>
    <row r="6542" spans="1:187" ht="11.25" customHeight="1">
      <c r="A6542" s="1" t="s">
        <v>9248</v>
      </c>
      <c r="B6542" s="1" t="str">
        <f ca="1">IFERROR(__xludf.DUMMYFUNCTION("GOOGLETRANSLATE(A6542, ""en"", ""fr"")"),"Certe # 1")</f>
        <v>Certe # 1</v>
      </c>
      <c r="C6542" s="1" t="s">
        <v>185</v>
      </c>
      <c r="L6542" s="1" t="s">
        <v>8</v>
      </c>
      <c r="X6542" s="1" t="s">
        <v>20</v>
      </c>
      <c r="CS6542" s="1" t="s">
        <v>93</v>
      </c>
      <c r="FY6542" s="1" t="s">
        <v>177</v>
      </c>
      <c r="GD6542" s="1" t="s">
        <v>202</v>
      </c>
      <c r="GE6542" s="1" t="s">
        <v>9249</v>
      </c>
    </row>
    <row r="6543" spans="1:187" ht="11.25" customHeight="1">
      <c r="A6543" s="1" t="s">
        <v>9250</v>
      </c>
      <c r="B6543" s="1" t="str">
        <f ca="1">IFERROR(__xludf.DUMMYFUNCTION("GOOGLETRANSLATE(A6543, ""en"", ""fr"")"),"Certe # 2")</f>
        <v>Certe # 2</v>
      </c>
      <c r="C6543" s="1" t="s">
        <v>185</v>
      </c>
      <c r="L6543" s="1" t="s">
        <v>8</v>
      </c>
      <c r="X6543" s="1" t="s">
        <v>20</v>
      </c>
      <c r="CS6543" s="1" t="s">
        <v>93</v>
      </c>
      <c r="FY6543" s="1" t="s">
        <v>177</v>
      </c>
      <c r="GD6543" s="1" t="s">
        <v>236</v>
      </c>
      <c r="GE6543" s="1" t="s">
        <v>9251</v>
      </c>
    </row>
    <row r="6544" spans="1:187" ht="11.25" customHeight="1">
      <c r="A6544" s="1" t="s">
        <v>9252</v>
      </c>
      <c r="B6544" s="1" t="str">
        <f ca="1">IFERROR(__xludf.DUMMYFUNCTION("GOOGLETRANSLATE(A6544, ""en"", ""fr"")"),"FUSIONNER")</f>
        <v>FUSIONNER</v>
      </c>
      <c r="C6544" s="1" t="s">
        <v>196</v>
      </c>
      <c r="FP6544" s="1" t="s">
        <v>168</v>
      </c>
      <c r="GD6544" s="1" t="s">
        <v>189</v>
      </c>
    </row>
    <row r="6545" spans="1:187" ht="11.25" customHeight="1">
      <c r="A6545" s="1" t="s">
        <v>9253</v>
      </c>
      <c r="B6545" s="1" t="str">
        <f ca="1">IFERROR(__xludf.DUMMYFUNCTION("GOOGLETRANSLATE(A6545, ""en"", ""fr"")"),"FUSIONNEMENT")</f>
        <v>FUSIONNEMENT</v>
      </c>
      <c r="C6545" s="1" t="s">
        <v>185</v>
      </c>
      <c r="AC6545" s="1" t="s">
        <v>25</v>
      </c>
      <c r="DD6545" s="1" t="s">
        <v>104</v>
      </c>
      <c r="GD6545" s="1" t="s">
        <v>193</v>
      </c>
      <c r="GE6545" s="1" t="s">
        <v>190</v>
      </c>
    </row>
    <row r="6546" spans="1:187" ht="11.25" customHeight="1">
      <c r="A6546" s="1" t="s">
        <v>9254</v>
      </c>
      <c r="B6546" s="1" t="str">
        <f ca="1">IFERROR(__xludf.DUMMYFUNCTION("GOOGLETRANSLATE(A6546, ""en"", ""fr"")"),"Mérite n ° 1")</f>
        <v>Mérite n ° 1</v>
      </c>
      <c r="C6546" s="1" t="s">
        <v>185</v>
      </c>
      <c r="D6546" s="1" t="s">
        <v>16612</v>
      </c>
      <c r="F6546" s="1" t="s">
        <v>2</v>
      </c>
      <c r="U6546" s="1" t="s">
        <v>17</v>
      </c>
      <c r="EM6546" s="1" t="s">
        <v>139</v>
      </c>
      <c r="EN6546" s="1" t="s">
        <v>140</v>
      </c>
      <c r="GD6546" s="1" t="s">
        <v>193</v>
      </c>
      <c r="GE6546" s="1" t="s">
        <v>190</v>
      </c>
    </row>
    <row r="6547" spans="1:187" ht="11.25" customHeight="1">
      <c r="A6547" s="1" t="s">
        <v>9255</v>
      </c>
      <c r="B6547" s="1" t="str">
        <f ca="1">IFERROR(__xludf.DUMMYFUNCTION("GOOGLETRANSLATE(A6547, ""en"", ""fr"")"),"Mérite n ° 2")</f>
        <v>Mérite n ° 2</v>
      </c>
      <c r="C6547" s="1" t="s">
        <v>185</v>
      </c>
      <c r="D6547" s="1" t="s">
        <v>16612</v>
      </c>
      <c r="F6547" s="1" t="s">
        <v>2</v>
      </c>
      <c r="G6547" s="1" t="s">
        <v>3</v>
      </c>
      <c r="J6547" s="1" t="s">
        <v>6</v>
      </c>
      <c r="AN6547" s="1" t="s">
        <v>36</v>
      </c>
      <c r="DN6547" s="1" t="s">
        <v>114</v>
      </c>
      <c r="EM6547" s="1" t="s">
        <v>139</v>
      </c>
      <c r="EN6547" s="1" t="s">
        <v>140</v>
      </c>
      <c r="GD6547" s="1" t="s">
        <v>189</v>
      </c>
      <c r="GE6547" s="1" t="s">
        <v>190</v>
      </c>
    </row>
    <row r="6548" spans="1:187" ht="11.25" customHeight="1">
      <c r="A6548" s="1" t="s">
        <v>9256</v>
      </c>
      <c r="B6548" s="1" t="str">
        <f ca="1">IFERROR(__xludf.DUMMYFUNCTION("GOOGLETRANSLATE(A6548, ""en"", ""fr"")"),"MÉRITOIRE")</f>
        <v>MÉRITOIRE</v>
      </c>
      <c r="C6548" s="1" t="s">
        <v>192</v>
      </c>
      <c r="D6548" s="1" t="s">
        <v>16612</v>
      </c>
      <c r="U6548" s="1" t="s">
        <v>17</v>
      </c>
      <c r="AA6548" s="1" t="s">
        <v>23</v>
      </c>
      <c r="BO6548" s="1" t="s">
        <v>63</v>
      </c>
      <c r="DR6548" s="1" t="s">
        <v>118</v>
      </c>
      <c r="GD6548" s="1" t="s">
        <v>202</v>
      </c>
      <c r="GE6548" s="1" t="s">
        <v>190</v>
      </c>
    </row>
    <row r="6549" spans="1:187" ht="11.25" customHeight="1">
      <c r="A6549" s="1" t="s">
        <v>9257</v>
      </c>
      <c r="B6549" s="1" t="str">
        <f ca="1">IFERROR(__xludf.DUMMYFUNCTION("GOOGLETRANSLATE(A6549, ""en"", ""fr"")"),"JOYEUSEMENT")</f>
        <v>JOYEUSEMENT</v>
      </c>
      <c r="C6549" s="1" t="s">
        <v>192</v>
      </c>
      <c r="D6549" s="1" t="s">
        <v>16612</v>
      </c>
      <c r="P6549" s="1" t="s">
        <v>12</v>
      </c>
      <c r="T6549" s="1" t="s">
        <v>16</v>
      </c>
      <c r="GD6549" s="1" t="s">
        <v>202</v>
      </c>
      <c r="GE6549" s="1" t="s">
        <v>190</v>
      </c>
    </row>
    <row r="6550" spans="1:187" ht="11.25" customHeight="1">
      <c r="A6550" s="1" t="s">
        <v>9258</v>
      </c>
      <c r="B6550" s="1" t="str">
        <f ca="1">IFERROR(__xludf.DUMMYFUNCTION("GOOGLETRANSLATE(A6550, ""en"", ""fr"")"),"GAIETÉ")</f>
        <v>GAIETÉ</v>
      </c>
      <c r="C6550" s="1" t="s">
        <v>192</v>
      </c>
      <c r="D6550" s="1" t="s">
        <v>16612</v>
      </c>
      <c r="P6550" s="1" t="s">
        <v>12</v>
      </c>
      <c r="T6550" s="1" t="s">
        <v>16</v>
      </c>
      <c r="GD6550" s="1" t="s">
        <v>193</v>
      </c>
      <c r="GE6550" s="1" t="s">
        <v>190</v>
      </c>
    </row>
    <row r="6551" spans="1:187" ht="11.25" customHeight="1">
      <c r="A6551" s="1" t="s">
        <v>9259</v>
      </c>
      <c r="B6551" s="1" t="str">
        <f ca="1">IFERROR(__xludf.DUMMYFUNCTION("GOOGLETRANSLATE(A6551, ""en"", ""fr"")"),"JOYEUX")</f>
        <v>JOYEUX</v>
      </c>
      <c r="C6551" s="1" t="s">
        <v>185</v>
      </c>
      <c r="D6551" s="1" t="s">
        <v>16612</v>
      </c>
      <c r="P6551" s="1" t="s">
        <v>12</v>
      </c>
      <c r="T6551" s="1" t="s">
        <v>16</v>
      </c>
      <c r="DR6551" s="1" t="s">
        <v>118</v>
      </c>
      <c r="FA6551" s="1" t="s">
        <v>153</v>
      </c>
      <c r="FC6551" s="1" t="s">
        <v>155</v>
      </c>
      <c r="GD6551" s="1" t="s">
        <v>202</v>
      </c>
      <c r="GE6551" s="1" t="s">
        <v>190</v>
      </c>
    </row>
    <row r="6552" spans="1:187" ht="11.25" customHeight="1">
      <c r="A6552" s="1" t="s">
        <v>9260</v>
      </c>
      <c r="B6552" s="1" t="str">
        <f ca="1">IFERROR(__xludf.DUMMYFUNCTION("GOOGLETRANSLATE(A6552, ""en"", ""fr"")"),"ENGRENER")</f>
        <v>ENGRENER</v>
      </c>
      <c r="C6552" s="1" t="s">
        <v>192</v>
      </c>
      <c r="D6552" s="1" t="s">
        <v>16612</v>
      </c>
      <c r="N6552" s="1" t="s">
        <v>10</v>
      </c>
      <c r="AN6552" s="1" t="s">
        <v>36</v>
      </c>
      <c r="DN6552" s="1" t="s">
        <v>114</v>
      </c>
      <c r="GD6552" s="1" t="s">
        <v>189</v>
      </c>
      <c r="GE6552" s="1" t="s">
        <v>190</v>
      </c>
    </row>
    <row r="6553" spans="1:187" ht="11.25" customHeight="1">
      <c r="A6553" s="1" t="s">
        <v>9261</v>
      </c>
      <c r="B6553" s="1" t="str">
        <f ca="1">IFERROR(__xludf.DUMMYFUNCTION("GOOGLETRANSLATE(A6553, ""en"", ""fr"")"),"Mess n ° 1")</f>
        <v>Mess n ° 1</v>
      </c>
      <c r="C6553" s="1" t="s">
        <v>185</v>
      </c>
      <c r="E6553" s="1" t="s">
        <v>16613</v>
      </c>
      <c r="H6553" s="1" t="s">
        <v>4</v>
      </c>
      <c r="V6553" s="1" t="s">
        <v>18</v>
      </c>
      <c r="FW6553" s="1" t="s">
        <v>175</v>
      </c>
      <c r="GD6553" s="1" t="s">
        <v>193</v>
      </c>
      <c r="GE6553" s="1" t="s">
        <v>9262</v>
      </c>
    </row>
    <row r="6554" spans="1:187" ht="11.25" customHeight="1">
      <c r="A6554" s="1" t="s">
        <v>9263</v>
      </c>
      <c r="B6554" s="1" t="str">
        <f ca="1">IFERROR(__xludf.DUMMYFUNCTION("GOOGLETRANSLATE(A6554, ""en"", ""fr"")"),"Mess # 2")</f>
        <v>Mess # 2</v>
      </c>
      <c r="C6554" s="1" t="s">
        <v>185</v>
      </c>
      <c r="E6554" s="1" t="s">
        <v>16613</v>
      </c>
      <c r="H6554" s="1" t="s">
        <v>4</v>
      </c>
      <c r="BT6554" s="1" t="s">
        <v>68</v>
      </c>
      <c r="DN6554" s="1" t="s">
        <v>114</v>
      </c>
      <c r="FO6554" s="1" t="s">
        <v>167</v>
      </c>
      <c r="GD6554" s="1" t="s">
        <v>189</v>
      </c>
      <c r="GE6554" s="1" t="s">
        <v>9264</v>
      </c>
    </row>
    <row r="6555" spans="1:187" ht="11.25" customHeight="1">
      <c r="A6555" s="1" t="s">
        <v>9265</v>
      </c>
      <c r="B6555" s="1" t="str">
        <f ca="1">IFERROR(__xludf.DUMMYFUNCTION("GOOGLETRANSLATE(A6555, ""en"", ""fr"")"),"Mess # 3")</f>
        <v>Mess # 3</v>
      </c>
      <c r="C6555" s="1" t="s">
        <v>185</v>
      </c>
      <c r="AL6555" s="1" t="s">
        <v>34</v>
      </c>
      <c r="DN6555" s="1" t="s">
        <v>114</v>
      </c>
      <c r="FP6555" s="1" t="s">
        <v>168</v>
      </c>
      <c r="GD6555" s="1" t="s">
        <v>189</v>
      </c>
      <c r="GE6555" s="1" t="s">
        <v>9266</v>
      </c>
    </row>
    <row r="6556" spans="1:187" ht="11.25" customHeight="1">
      <c r="A6556" s="1" t="s">
        <v>9267</v>
      </c>
      <c r="B6556" s="1" t="str">
        <f ca="1">IFERROR(__xludf.DUMMYFUNCTION("GOOGLETRANSLATE(A6556, ""en"", ""fr"")"),"MESSAGE")</f>
        <v>MESSAGE</v>
      </c>
      <c r="C6556" s="1" t="s">
        <v>185</v>
      </c>
      <c r="BK6556" s="1" t="s">
        <v>59</v>
      </c>
      <c r="BL6556" s="1" t="s">
        <v>60</v>
      </c>
      <c r="FH6556" s="1" t="s">
        <v>160</v>
      </c>
      <c r="FI6556" s="1" t="s">
        <v>161</v>
      </c>
      <c r="GC6556" s="1" t="s">
        <v>181</v>
      </c>
      <c r="GD6556" s="1" t="s">
        <v>193</v>
      </c>
      <c r="GE6556" s="1" t="s">
        <v>9268</v>
      </c>
    </row>
    <row r="6557" spans="1:187" ht="11.25" customHeight="1">
      <c r="A6557" s="1" t="s">
        <v>9269</v>
      </c>
      <c r="B6557" s="1" t="str">
        <f ca="1">IFERROR(__xludf.DUMMYFUNCTION("GOOGLETRANSLATE(A6557, ""en"", ""fr"")"),"MESSAGER")</f>
        <v>MESSAGER</v>
      </c>
      <c r="C6557" s="1" t="s">
        <v>196</v>
      </c>
      <c r="FH6557" s="1" t="s">
        <v>160</v>
      </c>
      <c r="FI6557" s="1" t="s">
        <v>161</v>
      </c>
      <c r="GD6557" s="1" t="s">
        <v>193</v>
      </c>
    </row>
    <row r="6558" spans="1:187" ht="11.25" customHeight="1">
      <c r="A6558" s="1" t="s">
        <v>9270</v>
      </c>
      <c r="B6558" s="1" t="str">
        <f ca="1">IFERROR(__xludf.DUMMYFUNCTION("GOOGLETRANSLATE(A6558, ""en"", ""fr"")"),"Met # 1")</f>
        <v>Met # 1</v>
      </c>
      <c r="C6558" s="1" t="s">
        <v>192</v>
      </c>
      <c r="GD6558" s="1" t="s">
        <v>1085</v>
      </c>
      <c r="GE6558" s="1" t="s">
        <v>190</v>
      </c>
    </row>
    <row r="6559" spans="1:187" ht="11.25" customHeight="1">
      <c r="A6559" s="1" t="s">
        <v>9271</v>
      </c>
      <c r="B6559" s="1" t="str">
        <f ca="1">IFERROR(__xludf.DUMMYFUNCTION("GOOGLETRANSLATE(A6559, ""en"", ""fr"")"),"MÉTAL")</f>
        <v>MÉTAL</v>
      </c>
      <c r="C6559" s="1" t="s">
        <v>185</v>
      </c>
      <c r="AA6559" s="1" t="s">
        <v>23</v>
      </c>
      <c r="BC6559" s="1" t="s">
        <v>51</v>
      </c>
      <c r="BI6559" s="1" t="s">
        <v>57</v>
      </c>
      <c r="GD6559" s="1" t="s">
        <v>193</v>
      </c>
      <c r="GE6559" s="1" t="s">
        <v>190</v>
      </c>
    </row>
    <row r="6560" spans="1:187" ht="11.25" customHeight="1">
      <c r="A6560" s="1" t="s">
        <v>9272</v>
      </c>
      <c r="B6560" s="1" t="str">
        <f ca="1">IFERROR(__xludf.DUMMYFUNCTION("GOOGLETRANSLATE(A6560, ""en"", ""fr"")"),"MÉTAPHYSIQUE")</f>
        <v>MÉTAPHYSIQUE</v>
      </c>
      <c r="C6560" s="1" t="s">
        <v>185</v>
      </c>
      <c r="Z6560" s="1" t="s">
        <v>22</v>
      </c>
      <c r="AI6560" s="1" t="s">
        <v>31</v>
      </c>
      <c r="GD6560" s="1" t="s">
        <v>202</v>
      </c>
      <c r="GE6560" s="1" t="s">
        <v>190</v>
      </c>
    </row>
    <row r="6561" spans="1:187" ht="11.25" customHeight="1">
      <c r="A6561" s="1" t="s">
        <v>9273</v>
      </c>
      <c r="B6561" s="1" t="str">
        <f ca="1">IFERROR(__xludf.DUMMYFUNCTION("GOOGLETRANSLATE(A6561, ""en"", ""fr"")"),"MÉTAPHYSIQUE")</f>
        <v>MÉTAPHYSIQUE</v>
      </c>
      <c r="C6561" s="1" t="s">
        <v>185</v>
      </c>
      <c r="Z6561" s="1" t="s">
        <v>22</v>
      </c>
      <c r="AI6561" s="1" t="s">
        <v>31</v>
      </c>
      <c r="GD6561" s="1" t="s">
        <v>193</v>
      </c>
      <c r="GE6561" s="1" t="s">
        <v>190</v>
      </c>
    </row>
    <row r="6562" spans="1:187" ht="11.25" customHeight="1">
      <c r="A6562" s="1" t="s">
        <v>9274</v>
      </c>
      <c r="B6562" s="1" t="str">
        <f ca="1">IFERROR(__xludf.DUMMYFUNCTION("GOOGLETRANSLATE(A6562, ""en"", ""fr"")"),"MÉTÉORE")</f>
        <v>MÉTÉORE</v>
      </c>
      <c r="C6562" s="1" t="s">
        <v>185</v>
      </c>
      <c r="AV6562" s="1" t="s">
        <v>44</v>
      </c>
      <c r="BB6562" s="1" t="s">
        <v>50</v>
      </c>
      <c r="GD6562" s="1" t="s">
        <v>193</v>
      </c>
      <c r="GE6562" s="1" t="s">
        <v>190</v>
      </c>
    </row>
    <row r="6563" spans="1:187" ht="11.25" customHeight="1">
      <c r="A6563" s="1" t="s">
        <v>9275</v>
      </c>
      <c r="B6563" s="1" t="str">
        <f ca="1">IFERROR(__xludf.DUMMYFUNCTION("GOOGLETRANSLATE(A6563, ""en"", ""fr"")"),"MÉTÉORITE")</f>
        <v>MÉTÉORITE</v>
      </c>
      <c r="C6563" s="1" t="s">
        <v>185</v>
      </c>
      <c r="AV6563" s="1" t="s">
        <v>44</v>
      </c>
      <c r="BB6563" s="1" t="s">
        <v>50</v>
      </c>
      <c r="GD6563" s="1" t="s">
        <v>193</v>
      </c>
      <c r="GE6563" s="1" t="s">
        <v>190</v>
      </c>
    </row>
    <row r="6564" spans="1:187" ht="11.25" customHeight="1">
      <c r="A6564" s="1" t="s">
        <v>9276</v>
      </c>
      <c r="B6564" s="1" t="str">
        <f ca="1">IFERROR(__xludf.DUMMYFUNCTION("GOOGLETRANSLATE(A6564, ""en"", ""fr"")"),"MÈTRE")</f>
        <v>MÈTRE</v>
      </c>
      <c r="C6564" s="1" t="s">
        <v>185</v>
      </c>
      <c r="CQ6564" s="1" t="s">
        <v>91</v>
      </c>
      <c r="CX6564" s="1" t="s">
        <v>98</v>
      </c>
      <c r="DA6564" s="1" t="s">
        <v>101</v>
      </c>
      <c r="GD6564" s="1" t="s">
        <v>1446</v>
      </c>
      <c r="GE6564" s="1" t="s">
        <v>190</v>
      </c>
    </row>
    <row r="6565" spans="1:187" ht="11.25" customHeight="1">
      <c r="A6565" s="1" t="s">
        <v>9277</v>
      </c>
      <c r="B6565" s="1" t="str">
        <f ca="1">IFERROR(__xludf.DUMMYFUNCTION("GOOGLETRANSLATE(A6565, ""en"", ""fr"")"),"MÉTHODE")</f>
        <v>MÉTHODE</v>
      </c>
      <c r="C6565" s="1" t="s">
        <v>185</v>
      </c>
      <c r="BQ6565" s="1" t="s">
        <v>65</v>
      </c>
      <c r="FQ6565" s="1" t="s">
        <v>169</v>
      </c>
      <c r="GD6565" s="1" t="s">
        <v>193</v>
      </c>
      <c r="GE6565" s="1" t="s">
        <v>9278</v>
      </c>
    </row>
    <row r="6566" spans="1:187" ht="11.25" customHeight="1">
      <c r="A6566" s="1" t="s">
        <v>9279</v>
      </c>
      <c r="B6566" s="1" t="str">
        <f ca="1">IFERROR(__xludf.DUMMYFUNCTION("GOOGLETRANSLATE(A6566, ""en"", ""fr"")"),"MÉTHODIQUE")</f>
        <v>MÉTHODIQUE</v>
      </c>
      <c r="C6566" s="1" t="s">
        <v>185</v>
      </c>
      <c r="J6566" s="1" t="s">
        <v>6</v>
      </c>
      <c r="BQ6566" s="1" t="s">
        <v>65</v>
      </c>
      <c r="GD6566" s="1" t="s">
        <v>202</v>
      </c>
      <c r="GE6566" s="1" t="s">
        <v>190</v>
      </c>
    </row>
    <row r="6567" spans="1:187" ht="11.25" customHeight="1">
      <c r="A6567" s="1" t="s">
        <v>9280</v>
      </c>
      <c r="B6567" s="1" t="str">
        <f ca="1">IFERROR(__xludf.DUMMYFUNCTION("GOOGLETRANSLATE(A6567, ""en"", ""fr"")"),"MÉTICULEUX")</f>
        <v>MÉTICULEUX</v>
      </c>
      <c r="C6567" s="1" t="s">
        <v>192</v>
      </c>
      <c r="D6567" s="1" t="s">
        <v>16612</v>
      </c>
      <c r="AL6567" s="1" t="s">
        <v>34</v>
      </c>
      <c r="CM6567" s="1" t="s">
        <v>87</v>
      </c>
      <c r="CR6567" s="1" t="s">
        <v>92</v>
      </c>
      <c r="DR6567" s="1" t="s">
        <v>118</v>
      </c>
      <c r="GD6567" s="1" t="s">
        <v>202</v>
      </c>
      <c r="GE6567" s="1" t="s">
        <v>190</v>
      </c>
    </row>
    <row r="6568" spans="1:187" ht="11.25" customHeight="1">
      <c r="A6568" s="1" t="s">
        <v>9281</v>
      </c>
      <c r="B6568" s="1" t="str">
        <f ca="1">IFERROR(__xludf.DUMMYFUNCTION("GOOGLETRANSLATE(A6568, ""en"", ""fr"")"),"MÉTROPOLE")</f>
        <v>MÉTROPOLE</v>
      </c>
      <c r="C6568" s="1" t="s">
        <v>185</v>
      </c>
      <c r="AG6568" s="1" t="s">
        <v>29</v>
      </c>
      <c r="AH6568" s="1" t="s">
        <v>30</v>
      </c>
      <c r="AV6568" s="1" t="s">
        <v>44</v>
      </c>
      <c r="AX6568" s="1" t="s">
        <v>46</v>
      </c>
      <c r="DV6568" s="1" t="s">
        <v>122</v>
      </c>
      <c r="ED6568" s="1" t="s">
        <v>130</v>
      </c>
      <c r="GD6568" s="1" t="s">
        <v>193</v>
      </c>
      <c r="GE6568" s="1" t="s">
        <v>190</v>
      </c>
    </row>
    <row r="6569" spans="1:187" ht="11.25" customHeight="1">
      <c r="A6569" s="1" t="s">
        <v>9282</v>
      </c>
      <c r="B6569" s="1" t="str">
        <f ca="1">IFERROR(__xludf.DUMMYFUNCTION("GOOGLETRANSLATE(A6569, ""en"", ""fr"")"),"MÉTROPOLITAIN")</f>
        <v>MÉTROPOLITAIN</v>
      </c>
      <c r="C6569" s="1" t="s">
        <v>185</v>
      </c>
      <c r="AC6569" s="1" t="s">
        <v>25</v>
      </c>
      <c r="AG6569" s="1" t="s">
        <v>29</v>
      </c>
      <c r="AH6569" s="1" t="s">
        <v>30</v>
      </c>
      <c r="AV6569" s="1" t="s">
        <v>44</v>
      </c>
      <c r="AX6569" s="1" t="s">
        <v>46</v>
      </c>
      <c r="GD6569" s="1" t="s">
        <v>202</v>
      </c>
      <c r="GE6569" s="1" t="s">
        <v>190</v>
      </c>
    </row>
    <row r="6570" spans="1:187" ht="11.25" customHeight="1">
      <c r="A6570" s="1" t="s">
        <v>9283</v>
      </c>
      <c r="B6570" s="1" t="str">
        <f ca="1">IFERROR(__xludf.DUMMYFUNCTION("GOOGLETRANSLATE(A6570, ""en"", ""fr"")"),"MEXICAIN")</f>
        <v>MEXICAIN</v>
      </c>
      <c r="C6570" s="1" t="s">
        <v>185</v>
      </c>
      <c r="AC6570" s="1" t="s">
        <v>25</v>
      </c>
      <c r="AH6570" s="1" t="s">
        <v>30</v>
      </c>
      <c r="DI6570" s="1" t="s">
        <v>109</v>
      </c>
      <c r="FU6570" s="1" t="s">
        <v>173</v>
      </c>
      <c r="GD6570" s="1" t="s">
        <v>193</v>
      </c>
      <c r="GE6570" s="1" t="s">
        <v>190</v>
      </c>
    </row>
    <row r="6571" spans="1:187" ht="11.25" customHeight="1">
      <c r="A6571" s="1" t="s">
        <v>9284</v>
      </c>
      <c r="B6571" s="1" t="str">
        <f ca="1">IFERROR(__xludf.DUMMYFUNCTION("GOOGLETRANSLATE(A6571, ""en"", ""fr"")"),"MEXIQUE")</f>
        <v>MEXIQUE</v>
      </c>
      <c r="C6571" s="1" t="s">
        <v>185</v>
      </c>
      <c r="AC6571" s="1" t="s">
        <v>25</v>
      </c>
      <c r="AH6571" s="1" t="s">
        <v>30</v>
      </c>
      <c r="DI6571" s="1" t="s">
        <v>109</v>
      </c>
      <c r="FU6571" s="1" t="s">
        <v>173</v>
      </c>
      <c r="GD6571" s="1" t="s">
        <v>193</v>
      </c>
      <c r="GE6571" s="1" t="s">
        <v>190</v>
      </c>
    </row>
    <row r="6572" spans="1:187" ht="11.25" customHeight="1">
      <c r="A6572" s="1" t="s">
        <v>9285</v>
      </c>
      <c r="B6572" s="1" t="str">
        <f ca="1">IFERROR(__xludf.DUMMYFUNCTION("GOOGLETRANSLATE(A6572, ""en"", ""fr"")"),"SOURIS")</f>
        <v>SOURIS</v>
      </c>
      <c r="C6572" s="1" t="s">
        <v>185</v>
      </c>
      <c r="AU6572" s="1" t="s">
        <v>43</v>
      </c>
      <c r="GD6572" s="1" t="s">
        <v>576</v>
      </c>
      <c r="GE6572" s="1" t="s">
        <v>190</v>
      </c>
    </row>
    <row r="6573" spans="1:187" ht="11.25" customHeight="1">
      <c r="A6573" s="1" t="s">
        <v>9286</v>
      </c>
      <c r="B6573" s="1" t="str">
        <f ca="1">IFERROR(__xludf.DUMMYFUNCTION("GOOGLETRANSLATE(A6573, ""en"", ""fr"")"),"MICHIGAN")</f>
        <v>MICHIGAN</v>
      </c>
      <c r="C6573" s="1" t="s">
        <v>196</v>
      </c>
      <c r="GD6573" s="1" t="s">
        <v>653</v>
      </c>
    </row>
    <row r="6574" spans="1:187" ht="11.25" customHeight="1">
      <c r="A6574" s="1" t="s">
        <v>9287</v>
      </c>
      <c r="B6574" s="1" t="str">
        <f ca="1">IFERROR(__xludf.DUMMYFUNCTION("GOOGLETRANSLATE(A6574, ""en"", ""fr"")"),"MILIEU")</f>
        <v>MILIEU</v>
      </c>
      <c r="C6574" s="1" t="s">
        <v>185</v>
      </c>
      <c r="DA6574" s="1" t="s">
        <v>101</v>
      </c>
      <c r="DB6574" s="1" t="s">
        <v>102</v>
      </c>
      <c r="GB6574" s="1" t="s">
        <v>180</v>
      </c>
      <c r="GD6574" s="1" t="s">
        <v>202</v>
      </c>
      <c r="GE6574" s="1" t="s">
        <v>9288</v>
      </c>
    </row>
    <row r="6575" spans="1:187" ht="11.25" customHeight="1">
      <c r="A6575" s="1" t="s">
        <v>9289</v>
      </c>
      <c r="B6575" s="1" t="str">
        <f ca="1">IFERROR(__xludf.DUMMYFUNCTION("GOOGLETRANSLATE(A6575, ""en"", ""fr"")"),"CLASSE MOYENNE")</f>
        <v>CLASSE MOYENNE</v>
      </c>
      <c r="C6575" s="1" t="s">
        <v>185</v>
      </c>
      <c r="AA6575" s="1" t="s">
        <v>23</v>
      </c>
      <c r="AC6575" s="1" t="s">
        <v>25</v>
      </c>
      <c r="AG6575" s="1" t="s">
        <v>29</v>
      </c>
      <c r="AH6575" s="1" t="s">
        <v>30</v>
      </c>
      <c r="AK6575" s="1" t="s">
        <v>33</v>
      </c>
      <c r="AT6575" s="1" t="s">
        <v>42</v>
      </c>
      <c r="GD6575" s="1" t="s">
        <v>202</v>
      </c>
      <c r="GE6575" s="1" t="s">
        <v>190</v>
      </c>
    </row>
    <row r="6576" spans="1:187" ht="11.25" customHeight="1">
      <c r="A6576" s="1" t="s">
        <v>9290</v>
      </c>
      <c r="B6576" s="1" t="str">
        <f ca="1">IFERROR(__xludf.DUMMYFUNCTION("GOOGLETRANSLATE(A6576, ""en"", ""fr"")"),"MINUIT")</f>
        <v>MINUIT</v>
      </c>
      <c r="C6576" s="1" t="s">
        <v>185</v>
      </c>
      <c r="CQ6576" s="1" t="s">
        <v>91</v>
      </c>
      <c r="CY6576" s="1" t="s">
        <v>99</v>
      </c>
      <c r="CZ6576" s="1" t="s">
        <v>100</v>
      </c>
      <c r="GB6576" s="1" t="s">
        <v>180</v>
      </c>
      <c r="GD6576" s="1" t="s">
        <v>193</v>
      </c>
      <c r="GE6576" s="1" t="s">
        <v>190</v>
      </c>
    </row>
    <row r="6577" spans="1:187" ht="11.25" customHeight="1">
      <c r="A6577" s="1" t="s">
        <v>9291</v>
      </c>
      <c r="B6577" s="1" t="str">
        <f ca="1">IFERROR(__xludf.DUMMYFUNCTION("GOOGLETRANSLATE(A6577, ""en"", ""fr"")"),"MILIEU")</f>
        <v>MILIEU</v>
      </c>
      <c r="C6577" s="1" t="s">
        <v>185</v>
      </c>
      <c r="DA6577" s="1" t="s">
        <v>101</v>
      </c>
      <c r="GB6577" s="1" t="s">
        <v>180</v>
      </c>
      <c r="GD6577" s="1" t="s">
        <v>193</v>
      </c>
      <c r="GE6577" s="1" t="s">
        <v>190</v>
      </c>
    </row>
    <row r="6578" spans="1:187" ht="11.25" customHeight="1">
      <c r="A6578" s="1" t="s">
        <v>9292</v>
      </c>
      <c r="B6578" s="1" t="str">
        <f ca="1">IFERROR(__xludf.DUMMYFUNCTION("GOOGLETRANSLATE(A6578, ""en"", ""fr"")"),"Pourrait n ° 1")</f>
        <v>Pourrait n ° 1</v>
      </c>
      <c r="C6578" s="1" t="s">
        <v>185</v>
      </c>
      <c r="DP6578" s="1" t="s">
        <v>116</v>
      </c>
      <c r="FZ6578" s="1" t="s">
        <v>178</v>
      </c>
      <c r="GD6578" s="1" t="s">
        <v>9293</v>
      </c>
      <c r="GE6578" s="1" t="s">
        <v>9294</v>
      </c>
    </row>
    <row r="6579" spans="1:187" ht="11.25" customHeight="1">
      <c r="A6579" s="1" t="s">
        <v>9295</v>
      </c>
      <c r="B6579" s="1" t="str">
        <f ca="1">IFERROR(__xludf.DUMMYFUNCTION("GOOGLETRANSLATE(A6579, ""en"", ""fr"")"),"Pourrait n ° 2")</f>
        <v>Pourrait n ° 2</v>
      </c>
      <c r="C6579" s="1" t="s">
        <v>185</v>
      </c>
      <c r="J6579" s="1" t="s">
        <v>6</v>
      </c>
      <c r="K6579" s="1" t="s">
        <v>7</v>
      </c>
      <c r="U6579" s="1" t="s">
        <v>17</v>
      </c>
      <c r="W6579" s="1" t="s">
        <v>19</v>
      </c>
      <c r="AG6579" s="1" t="s">
        <v>29</v>
      </c>
      <c r="AH6579" s="1" t="s">
        <v>30</v>
      </c>
      <c r="DU6579" s="1" t="s">
        <v>121</v>
      </c>
      <c r="ED6579" s="1" t="s">
        <v>130</v>
      </c>
      <c r="GD6579" s="1" t="s">
        <v>193</v>
      </c>
      <c r="GE6579" s="1" t="s">
        <v>9296</v>
      </c>
    </row>
    <row r="6580" spans="1:187" ht="11.25" customHeight="1">
      <c r="A6580" s="1" t="s">
        <v>9297</v>
      </c>
      <c r="B6580" s="1" t="str">
        <f ca="1">IFERROR(__xludf.DUMMYFUNCTION("GOOGLETRANSLATE(A6580, ""en"", ""fr"")"),"PUISSANT")</f>
        <v>PUISSANT</v>
      </c>
      <c r="C6580" s="1" t="s">
        <v>185</v>
      </c>
      <c r="D6580" s="1" t="s">
        <v>16612</v>
      </c>
      <c r="F6580" s="1" t="s">
        <v>2</v>
      </c>
      <c r="J6580" s="1" t="s">
        <v>6</v>
      </c>
      <c r="K6580" s="1" t="s">
        <v>7</v>
      </c>
      <c r="U6580" s="1" t="s">
        <v>17</v>
      </c>
      <c r="W6580" s="1" t="s">
        <v>19</v>
      </c>
      <c r="CN6580" s="1" t="s">
        <v>88</v>
      </c>
      <c r="EC6580" s="1" t="s">
        <v>129</v>
      </c>
      <c r="ED6580" s="1" t="s">
        <v>130</v>
      </c>
      <c r="GD6580" s="1" t="s">
        <v>202</v>
      </c>
      <c r="GE6580" s="1" t="s">
        <v>190</v>
      </c>
    </row>
    <row r="6581" spans="1:187" ht="11.25" customHeight="1">
      <c r="A6581" s="1" t="s">
        <v>9298</v>
      </c>
      <c r="B6581" s="1" t="str">
        <f ca="1">IFERROR(__xludf.DUMMYFUNCTION("GOOGLETRANSLATE(A6581, ""en"", ""fr"")"),"MIGRATION")</f>
        <v>MIGRATION</v>
      </c>
      <c r="C6581" s="1" t="s">
        <v>196</v>
      </c>
      <c r="FP6581" s="1" t="s">
        <v>168</v>
      </c>
      <c r="GD6581" s="1" t="s">
        <v>193</v>
      </c>
    </row>
    <row r="6582" spans="1:187" ht="11.25" customHeight="1">
      <c r="A6582" s="1" t="s">
        <v>9299</v>
      </c>
      <c r="B6582" s="1" t="str">
        <f ca="1">IFERROR(__xludf.DUMMYFUNCTION("GOOGLETRANSLATE(A6582, ""en"", ""fr"")"),"BÉNIN")</f>
        <v>BÉNIN</v>
      </c>
      <c r="C6582" s="1" t="s">
        <v>192</v>
      </c>
      <c r="D6582" s="1" t="s">
        <v>16612</v>
      </c>
      <c r="CM6582" s="1" t="s">
        <v>87</v>
      </c>
      <c r="CR6582" s="1" t="s">
        <v>92</v>
      </c>
      <c r="DR6582" s="1" t="s">
        <v>118</v>
      </c>
      <c r="GD6582" s="1" t="s">
        <v>202</v>
      </c>
      <c r="GE6582" s="1" t="s">
        <v>190</v>
      </c>
    </row>
    <row r="6583" spans="1:187" ht="11.25" customHeight="1">
      <c r="A6583" s="1" t="s">
        <v>9300</v>
      </c>
      <c r="B6583" s="1" t="str">
        <f ca="1">IFERROR(__xludf.DUMMYFUNCTION("GOOGLETRANSLATE(A6583, ""en"", ""fr"")"),"MILE")</f>
        <v>MILE</v>
      </c>
      <c r="C6583" s="1" t="s">
        <v>185</v>
      </c>
      <c r="CQ6583" s="1" t="s">
        <v>91</v>
      </c>
      <c r="CX6583" s="1" t="s">
        <v>98</v>
      </c>
      <c r="DA6583" s="1" t="s">
        <v>101</v>
      </c>
      <c r="GB6583" s="1" t="s">
        <v>180</v>
      </c>
      <c r="GD6583" s="1" t="s">
        <v>193</v>
      </c>
      <c r="GE6583" s="1" t="s">
        <v>9301</v>
      </c>
    </row>
    <row r="6584" spans="1:187" ht="11.25" customHeight="1">
      <c r="A6584" s="1" t="s">
        <v>9302</v>
      </c>
      <c r="B6584" s="1" t="str">
        <f ca="1">IFERROR(__xludf.DUMMYFUNCTION("GOOGLETRANSLATE(A6584, ""en"", ""fr"")"),"MILITAIRE")</f>
        <v>MILITAIRE</v>
      </c>
      <c r="C6584" s="1" t="s">
        <v>185</v>
      </c>
      <c r="J6584" s="1" t="s">
        <v>6</v>
      </c>
      <c r="Z6584" s="1" t="s">
        <v>22</v>
      </c>
      <c r="AF6584" s="1" t="s">
        <v>28</v>
      </c>
      <c r="AH6584" s="1" t="s">
        <v>30</v>
      </c>
      <c r="DW6584" s="1" t="s">
        <v>123</v>
      </c>
      <c r="ED6584" s="1" t="s">
        <v>130</v>
      </c>
      <c r="GD6584" s="1" t="s">
        <v>202</v>
      </c>
      <c r="GE6584" s="1" t="s">
        <v>9303</v>
      </c>
    </row>
    <row r="6585" spans="1:187" ht="11.25" customHeight="1">
      <c r="A6585" s="1" t="s">
        <v>9304</v>
      </c>
      <c r="B6585" s="1" t="str">
        <f ca="1">IFERROR(__xludf.DUMMYFUNCTION("GOOGLETRANSLATE(A6585, ""en"", ""fr"")"),"MILICE")</f>
        <v>MILICE</v>
      </c>
      <c r="C6585" s="1" t="s">
        <v>185</v>
      </c>
      <c r="J6585" s="1" t="s">
        <v>6</v>
      </c>
      <c r="AF6585" s="1" t="s">
        <v>28</v>
      </c>
      <c r="AH6585" s="1" t="s">
        <v>30</v>
      </c>
      <c r="AK6585" s="1" t="s">
        <v>33</v>
      </c>
      <c r="AT6585" s="1" t="s">
        <v>42</v>
      </c>
      <c r="DY6585" s="1" t="s">
        <v>125</v>
      </c>
      <c r="ED6585" s="1" t="s">
        <v>130</v>
      </c>
      <c r="GD6585" s="1" t="s">
        <v>193</v>
      </c>
      <c r="GE6585" s="1" t="s">
        <v>190</v>
      </c>
    </row>
    <row r="6586" spans="1:187" ht="11.25" customHeight="1">
      <c r="A6586" s="1" t="s">
        <v>9305</v>
      </c>
      <c r="B6586" s="1" t="str">
        <f ca="1">IFERROR(__xludf.DUMMYFUNCTION("GOOGLETRANSLATE(A6586, ""en"", ""fr"")"),"LAIT")</f>
        <v>LAIT</v>
      </c>
      <c r="C6586" s="1" t="s">
        <v>185</v>
      </c>
      <c r="BC6586" s="1" t="s">
        <v>51</v>
      </c>
      <c r="BE6586" s="1" t="s">
        <v>53</v>
      </c>
      <c r="EZ6586" s="1" t="s">
        <v>152</v>
      </c>
      <c r="FC6586" s="1" t="s">
        <v>155</v>
      </c>
      <c r="GD6586" s="1" t="s">
        <v>193</v>
      </c>
      <c r="GE6586" s="1" t="s">
        <v>190</v>
      </c>
    </row>
    <row r="6587" spans="1:187" ht="11.25" customHeight="1">
      <c r="A6587" s="1" t="s">
        <v>9306</v>
      </c>
      <c r="B6587" s="1" t="str">
        <f ca="1">IFERROR(__xludf.DUMMYFUNCTION("GOOGLETRANSLATE(A6587, ""en"", ""fr"")"),"Moulin # 1")</f>
        <v>Moulin # 1</v>
      </c>
      <c r="C6587" s="1" t="s">
        <v>185</v>
      </c>
      <c r="AA6587" s="1" t="s">
        <v>23</v>
      </c>
      <c r="AC6587" s="1" t="s">
        <v>25</v>
      </c>
      <c r="AV6587" s="1" t="s">
        <v>44</v>
      </c>
      <c r="AW6587" s="1" t="s">
        <v>45</v>
      </c>
      <c r="GD6587" s="1" t="s">
        <v>193</v>
      </c>
      <c r="GE6587" s="1" t="s">
        <v>9307</v>
      </c>
    </row>
    <row r="6588" spans="1:187" ht="11.25" customHeight="1">
      <c r="A6588" s="1" t="s">
        <v>9308</v>
      </c>
      <c r="B6588" s="1" t="str">
        <f ca="1">IFERROR(__xludf.DUMMYFUNCTION("GOOGLETRANSLATE(A6588, ""en"", ""fr"")"),"Moulin n ° 2")</f>
        <v>Moulin n ° 2</v>
      </c>
      <c r="C6588" s="1" t="s">
        <v>185</v>
      </c>
      <c r="O6588" s="1" t="s">
        <v>11</v>
      </c>
      <c r="CA6588" s="1" t="s">
        <v>75</v>
      </c>
      <c r="DN6588" s="1" t="s">
        <v>114</v>
      </c>
      <c r="FV6588" s="1" t="s">
        <v>174</v>
      </c>
      <c r="GD6588" s="1" t="s">
        <v>189</v>
      </c>
      <c r="GE6588" s="1" t="s">
        <v>9309</v>
      </c>
    </row>
    <row r="6589" spans="1:187" ht="11.25" customHeight="1">
      <c r="A6589" s="1" t="s">
        <v>9310</v>
      </c>
      <c r="B6589" s="1" t="str">
        <f ca="1">IFERROR(__xludf.DUMMYFUNCTION("GOOGLETRANSLATE(A6589, ""en"", ""fr"")"),"Moulin # 3")</f>
        <v>Moulin # 3</v>
      </c>
      <c r="C6589" s="1" t="s">
        <v>185</v>
      </c>
      <c r="N6589" s="1" t="s">
        <v>10</v>
      </c>
      <c r="AA6589" s="1" t="s">
        <v>23</v>
      </c>
      <c r="AL6589" s="1" t="s">
        <v>34</v>
      </c>
      <c r="GD6589" s="1" t="s">
        <v>193</v>
      </c>
      <c r="GE6589" s="1" t="s">
        <v>9311</v>
      </c>
    </row>
    <row r="6590" spans="1:187" ht="11.25" customHeight="1">
      <c r="A6590" s="1" t="s">
        <v>9312</v>
      </c>
      <c r="B6590" s="1" t="str">
        <f ca="1">IFERROR(__xludf.DUMMYFUNCTION("GOOGLETRANSLATE(A6590, ""en"", ""fr"")"),"MEUNIER")</f>
        <v>MEUNIER</v>
      </c>
      <c r="C6590" s="1" t="s">
        <v>185</v>
      </c>
      <c r="AA6590" s="1" t="s">
        <v>23</v>
      </c>
      <c r="AC6590" s="1" t="s">
        <v>25</v>
      </c>
      <c r="AJ6590" s="1" t="s">
        <v>32</v>
      </c>
      <c r="AT6590" s="1" t="s">
        <v>42</v>
      </c>
      <c r="ET6590" s="1" t="s">
        <v>146</v>
      </c>
      <c r="EW6590" s="1" t="s">
        <v>149</v>
      </c>
      <c r="GD6590" s="1" t="s">
        <v>193</v>
      </c>
      <c r="GE6590" s="1" t="s">
        <v>190</v>
      </c>
    </row>
    <row r="6591" spans="1:187" ht="11.25" customHeight="1">
      <c r="A6591" s="1" t="s">
        <v>9313</v>
      </c>
      <c r="B6591" s="1" t="str">
        <f ca="1">IFERROR(__xludf.DUMMYFUNCTION("GOOGLETRANSLATE(A6591, ""en"", ""fr"")"),"MILLION")</f>
        <v>MILLION</v>
      </c>
      <c r="C6591" s="1" t="s">
        <v>185</v>
      </c>
      <c r="W6591" s="1" t="s">
        <v>19</v>
      </c>
      <c r="CS6591" s="1" t="s">
        <v>93</v>
      </c>
      <c r="CT6591" s="1" t="s">
        <v>94</v>
      </c>
      <c r="CV6591" s="1" t="s">
        <v>96</v>
      </c>
      <c r="EV6591" s="1" t="s">
        <v>148</v>
      </c>
      <c r="EW6591" s="1" t="s">
        <v>149</v>
      </c>
      <c r="GD6591" s="1" t="s">
        <v>1756</v>
      </c>
      <c r="GE6591" s="1" t="s">
        <v>9314</v>
      </c>
    </row>
    <row r="6592" spans="1:187" ht="11.25" customHeight="1">
      <c r="A6592" s="1" t="s">
        <v>9315</v>
      </c>
      <c r="B6592" s="1" t="str">
        <f ca="1">IFERROR(__xludf.DUMMYFUNCTION("GOOGLETRANSLATE(A6592, ""en"", ""fr"")"),"Millionth # 1")</f>
        <v>Millionth # 1</v>
      </c>
      <c r="C6592" s="1" t="s">
        <v>192</v>
      </c>
      <c r="W6592" s="1" t="s">
        <v>19</v>
      </c>
      <c r="GE6592" s="1" t="s">
        <v>190</v>
      </c>
    </row>
    <row r="6593" spans="1:187" ht="11.25" customHeight="1">
      <c r="A6593" s="1" t="s">
        <v>9316</v>
      </c>
      <c r="B6593" s="1" t="str">
        <f ca="1">IFERROR(__xludf.DUMMYFUNCTION("GOOGLETRANSLATE(A6593, ""en"", ""fr"")"),"Mind # 1")</f>
        <v>Mind # 1</v>
      </c>
      <c r="C6593" s="1" t="s">
        <v>192</v>
      </c>
      <c r="BU6593" s="1" t="s">
        <v>69</v>
      </c>
      <c r="GD6593" s="1" t="s">
        <v>193</v>
      </c>
      <c r="GE6593" s="1" t="s">
        <v>9317</v>
      </c>
    </row>
    <row r="6594" spans="1:187" ht="11.25" customHeight="1">
      <c r="A6594" s="1" t="s">
        <v>9318</v>
      </c>
      <c r="B6594" s="1" t="str">
        <f ca="1">IFERROR(__xludf.DUMMYFUNCTION("GOOGLETRANSLATE(A6594, ""en"", ""fr"")"),"Mind # 2")</f>
        <v>Mind # 2</v>
      </c>
      <c r="C6594" s="1" t="s">
        <v>192</v>
      </c>
      <c r="CH6594" s="1" t="s">
        <v>82</v>
      </c>
      <c r="GD6594" s="1" t="s">
        <v>193</v>
      </c>
      <c r="GE6594" s="1" t="s">
        <v>9319</v>
      </c>
    </row>
    <row r="6595" spans="1:187" ht="11.25" customHeight="1">
      <c r="A6595" s="1" t="s">
        <v>9320</v>
      </c>
      <c r="B6595" s="1" t="str">
        <f ca="1">IFERROR(__xludf.DUMMYFUNCTION("GOOGLETRANSLATE(A6595, ""en"", ""fr"")"),"Mind # 3")</f>
        <v>Mind # 3</v>
      </c>
      <c r="C6595" s="1" t="s">
        <v>192</v>
      </c>
      <c r="L6595" s="1" t="s">
        <v>8</v>
      </c>
      <c r="M6595" s="1" t="s">
        <v>9</v>
      </c>
      <c r="AN6595" s="1" t="s">
        <v>36</v>
      </c>
      <c r="DN6595" s="1" t="s">
        <v>114</v>
      </c>
      <c r="GD6595" s="1" t="s">
        <v>189</v>
      </c>
      <c r="GE6595" s="1" t="s">
        <v>9321</v>
      </c>
    </row>
    <row r="6596" spans="1:187" ht="11.25" customHeight="1">
      <c r="A6596" s="1" t="s">
        <v>9322</v>
      </c>
      <c r="B6596" s="1" t="str">
        <f ca="1">IFERROR(__xludf.DUMMYFUNCTION("GOOGLETRANSLATE(A6596, ""en"", ""fr"")"),"Mind # 4")</f>
        <v>Mind # 4</v>
      </c>
      <c r="C6596" s="1" t="s">
        <v>192</v>
      </c>
      <c r="I6596" s="1" t="s">
        <v>5</v>
      </c>
      <c r="S6596" s="1" t="s">
        <v>15</v>
      </c>
      <c r="DN6596" s="1" t="s">
        <v>114</v>
      </c>
      <c r="GD6596" s="1" t="s">
        <v>189</v>
      </c>
      <c r="GE6596" s="1" t="s">
        <v>9323</v>
      </c>
    </row>
    <row r="6597" spans="1:187" ht="11.25" customHeight="1">
      <c r="A6597" s="1" t="s">
        <v>9324</v>
      </c>
      <c r="B6597" s="1" t="str">
        <f ca="1">IFERROR(__xludf.DUMMYFUNCTION("GOOGLETRANSLATE(A6597, ""en"", ""fr"")"),"Mind # 5")</f>
        <v>Mind # 5</v>
      </c>
      <c r="C6597" s="1" t="s">
        <v>192</v>
      </c>
      <c r="CH6597" s="1" t="s">
        <v>82</v>
      </c>
      <c r="GD6597" s="1" t="s">
        <v>202</v>
      </c>
      <c r="GE6597" s="1" t="s">
        <v>9325</v>
      </c>
    </row>
    <row r="6598" spans="1:187" ht="11.25" customHeight="1">
      <c r="A6598" s="1" t="s">
        <v>9326</v>
      </c>
      <c r="B6598" s="1" t="str">
        <f ca="1">IFERROR(__xludf.DUMMYFUNCTION("GOOGLETRANSLATE(A6598, ""en"", ""fr"")"),"Mind # 6")</f>
        <v>Mind # 6</v>
      </c>
      <c r="C6598" s="1" t="s">
        <v>192</v>
      </c>
      <c r="G6598" s="1" t="s">
        <v>3</v>
      </c>
      <c r="AN6598" s="1" t="s">
        <v>36</v>
      </c>
      <c r="DM6598" s="1" t="s">
        <v>113</v>
      </c>
      <c r="DN6598" s="1" t="s">
        <v>114</v>
      </c>
      <c r="GD6598" s="1" t="s">
        <v>189</v>
      </c>
      <c r="GE6598" s="1" t="s">
        <v>9327</v>
      </c>
    </row>
    <row r="6599" spans="1:187" ht="11.25" customHeight="1">
      <c r="A6599" s="1" t="s">
        <v>9328</v>
      </c>
      <c r="B6599" s="1" t="str">
        <f ca="1">IFERROR(__xludf.DUMMYFUNCTION("GOOGLETRANSLATE(A6599, ""en"", ""fr"")"),"Mind # 7")</f>
        <v>Mind # 7</v>
      </c>
      <c r="C6599" s="1" t="s">
        <v>192</v>
      </c>
      <c r="CH6599" s="1" t="s">
        <v>82</v>
      </c>
      <c r="GD6599" s="1" t="s">
        <v>202</v>
      </c>
      <c r="GE6599" s="1" t="s">
        <v>9329</v>
      </c>
    </row>
    <row r="6600" spans="1:187" ht="11.25" customHeight="1">
      <c r="A6600" s="1" t="s">
        <v>9330</v>
      </c>
      <c r="B6600" s="1" t="str">
        <f ca="1">IFERROR(__xludf.DUMMYFUNCTION("GOOGLETRANSLATE(A6600, ""en"", ""fr"")"),"Mind # 8")</f>
        <v>Mind # 8</v>
      </c>
      <c r="C6600" s="1" t="s">
        <v>192</v>
      </c>
      <c r="CH6600" s="1" t="s">
        <v>82</v>
      </c>
      <c r="GD6600" s="1" t="s">
        <v>202</v>
      </c>
      <c r="GE6600" s="1" t="s">
        <v>9331</v>
      </c>
    </row>
    <row r="6601" spans="1:187" ht="11.25" customHeight="1">
      <c r="A6601" s="1" t="s">
        <v>9332</v>
      </c>
      <c r="B6601" s="1" t="str">
        <f ca="1">IFERROR(__xludf.DUMMYFUNCTION("GOOGLETRANSLATE(A6601, ""en"", ""fr"")"),"Mind # 9")</f>
        <v>Mind # 9</v>
      </c>
      <c r="C6601" s="1" t="s">
        <v>192</v>
      </c>
      <c r="E6601" s="1" t="s">
        <v>16613</v>
      </c>
      <c r="H6601" s="1" t="s">
        <v>4</v>
      </c>
      <c r="L6601" s="1" t="s">
        <v>8</v>
      </c>
      <c r="O6601" s="1" t="s">
        <v>11</v>
      </c>
      <c r="BT6601" s="1" t="s">
        <v>68</v>
      </c>
      <c r="DN6601" s="1" t="s">
        <v>114</v>
      </c>
      <c r="GD6601" s="1" t="s">
        <v>189</v>
      </c>
      <c r="GE6601" s="1" t="s">
        <v>9333</v>
      </c>
    </row>
    <row r="6602" spans="1:187" ht="11.25" customHeight="1">
      <c r="A6602" s="1" t="s">
        <v>9334</v>
      </c>
      <c r="B6602" s="1" t="str">
        <f ca="1">IFERROR(__xludf.DUMMYFUNCTION("GOOGLETRANSLATE(A6602, ""en"", ""fr"")"),"Mind # _10")</f>
        <v>Mind # _10</v>
      </c>
      <c r="C6602" s="1" t="s">
        <v>192</v>
      </c>
      <c r="D6602" s="1" t="s">
        <v>16612</v>
      </c>
      <c r="F6602" s="1" t="s">
        <v>2</v>
      </c>
      <c r="U6602" s="1" t="s">
        <v>17</v>
      </c>
      <c r="GD6602" s="1" t="s">
        <v>193</v>
      </c>
      <c r="GE6602" s="1" t="s">
        <v>9335</v>
      </c>
    </row>
    <row r="6603" spans="1:187" ht="11.25" customHeight="1">
      <c r="A6603" s="1" t="s">
        <v>9336</v>
      </c>
      <c r="B6603" s="1" t="str">
        <f ca="1">IFERROR(__xludf.DUMMYFUNCTION("GOOGLETRANSLATE(A6603, ""en"", ""fr"")"),"Mind # _11")</f>
        <v>Mind # _11</v>
      </c>
      <c r="C6603" s="1" t="s">
        <v>192</v>
      </c>
      <c r="N6603" s="1" t="s">
        <v>10</v>
      </c>
      <c r="CH6603" s="1" t="s">
        <v>82</v>
      </c>
      <c r="GD6603" s="1" t="s">
        <v>202</v>
      </c>
      <c r="GE6603" s="1" t="s">
        <v>9337</v>
      </c>
    </row>
    <row r="6604" spans="1:187" ht="11.25" customHeight="1">
      <c r="A6604" s="1" t="s">
        <v>9338</v>
      </c>
      <c r="B6604" s="1" t="str">
        <f ca="1">IFERROR(__xludf.DUMMYFUNCTION("GOOGLETRANSLATE(A6604, ""en"", ""fr"")"),"Mind # _12")</f>
        <v>Mind # _12</v>
      </c>
      <c r="C6604" s="1" t="s">
        <v>192</v>
      </c>
      <c r="GD6604" s="1" t="s">
        <v>225</v>
      </c>
      <c r="GE6604" s="1" t="s">
        <v>9339</v>
      </c>
    </row>
    <row r="6605" spans="1:187" ht="11.25" customHeight="1">
      <c r="A6605" s="1" t="s">
        <v>9340</v>
      </c>
      <c r="B6605" s="1" t="str">
        <f ca="1">IFERROR(__xludf.DUMMYFUNCTION("GOOGLETRANSLATE(A6605, ""en"", ""fr"")"),"Mind # _13")</f>
        <v>Mind # _13</v>
      </c>
      <c r="C6605" s="1" t="s">
        <v>192</v>
      </c>
      <c r="GD6605" s="1" t="s">
        <v>225</v>
      </c>
      <c r="GE6605" s="1" t="s">
        <v>9341</v>
      </c>
    </row>
    <row r="6606" spans="1:187" ht="11.25" customHeight="1">
      <c r="A6606" s="1" t="s">
        <v>9342</v>
      </c>
      <c r="B6606" s="1" t="str">
        <f ca="1">IFERROR(__xludf.DUMMYFUNCTION("GOOGLETRANSLATE(A6606, ""en"", ""fr"")"),"Mind # _14")</f>
        <v>Mind # _14</v>
      </c>
      <c r="C6606" s="1" t="s">
        <v>192</v>
      </c>
      <c r="GD6606" s="1" t="s">
        <v>225</v>
      </c>
      <c r="GE6606" s="1" t="s">
        <v>9343</v>
      </c>
    </row>
    <row r="6607" spans="1:187" ht="11.25" customHeight="1">
      <c r="A6607" s="1" t="s">
        <v>9344</v>
      </c>
      <c r="B6607" s="1" t="str">
        <f ca="1">IFERROR(__xludf.DUMMYFUNCTION("GOOGLETRANSLATE(A6607, ""en"", ""fr"")"),"CONSCIENT")</f>
        <v>CONSCIENT</v>
      </c>
      <c r="C6607" s="1" t="s">
        <v>185</v>
      </c>
      <c r="D6607" s="1" t="s">
        <v>16612</v>
      </c>
      <c r="CG6607" s="1" t="s">
        <v>81</v>
      </c>
      <c r="DR6607" s="1" t="s">
        <v>118</v>
      </c>
      <c r="FH6607" s="1" t="s">
        <v>160</v>
      </c>
      <c r="FI6607" s="1" t="s">
        <v>161</v>
      </c>
      <c r="GD6607" s="1" t="s">
        <v>202</v>
      </c>
      <c r="GE6607" s="1" t="s">
        <v>190</v>
      </c>
    </row>
    <row r="6608" spans="1:187" ht="11.25" customHeight="1">
      <c r="A6608" s="1" t="s">
        <v>9345</v>
      </c>
      <c r="B6608" s="1" t="str">
        <f ca="1">IFERROR(__xludf.DUMMYFUNCTION("GOOGLETRANSLATE(A6608, ""en"", ""fr"")"),"Le mien # 1")</f>
        <v>Le mien # 1</v>
      </c>
      <c r="C6608" s="1" t="s">
        <v>185</v>
      </c>
      <c r="DF6608" s="1" t="s">
        <v>106</v>
      </c>
      <c r="GD6608" s="1" t="s">
        <v>9346</v>
      </c>
      <c r="GE6608" s="1" t="s">
        <v>9347</v>
      </c>
    </row>
    <row r="6609" spans="1:187" ht="11.25" customHeight="1">
      <c r="A6609" s="1" t="s">
        <v>9348</v>
      </c>
      <c r="B6609" s="1" t="str">
        <f ca="1">IFERROR(__xludf.DUMMYFUNCTION("GOOGLETRANSLATE(A6609, ""en"", ""fr"")"),"Le mien # 2")</f>
        <v>Le mien # 2</v>
      </c>
      <c r="C6609" s="1" t="s">
        <v>185</v>
      </c>
      <c r="AA6609" s="1" t="s">
        <v>23</v>
      </c>
      <c r="AC6609" s="1" t="s">
        <v>25</v>
      </c>
      <c r="AV6609" s="1" t="s">
        <v>44</v>
      </c>
      <c r="AW6609" s="1" t="s">
        <v>45</v>
      </c>
      <c r="EV6609" s="1" t="s">
        <v>148</v>
      </c>
      <c r="EW6609" s="1" t="s">
        <v>149</v>
      </c>
      <c r="GD6609" s="1" t="s">
        <v>193</v>
      </c>
      <c r="GE6609" s="1" t="s">
        <v>9349</v>
      </c>
    </row>
    <row r="6610" spans="1:187" ht="11.25" customHeight="1">
      <c r="A6610" s="1" t="s">
        <v>9350</v>
      </c>
      <c r="B6610" s="1" t="str">
        <f ca="1">IFERROR(__xludf.DUMMYFUNCTION("GOOGLETRANSLATE(A6610, ""en"", ""fr"")"),"Le mien # 3")</f>
        <v>Le mien # 3</v>
      </c>
      <c r="C6610" s="1" t="s">
        <v>185</v>
      </c>
      <c r="E6610" s="1" t="s">
        <v>16613</v>
      </c>
      <c r="H6610" s="1" t="s">
        <v>4</v>
      </c>
      <c r="I6610" s="1" t="s">
        <v>5</v>
      </c>
      <c r="J6610" s="1" t="s">
        <v>6</v>
      </c>
      <c r="AF6610" s="1" t="s">
        <v>28</v>
      </c>
      <c r="BC6610" s="1" t="s">
        <v>51</v>
      </c>
      <c r="BD6610" s="1" t="s">
        <v>52</v>
      </c>
      <c r="DW6610" s="1" t="s">
        <v>123</v>
      </c>
      <c r="ED6610" s="1" t="s">
        <v>130</v>
      </c>
      <c r="GD6610" s="1" t="s">
        <v>193</v>
      </c>
      <c r="GE6610" s="1" t="s">
        <v>9351</v>
      </c>
    </row>
    <row r="6611" spans="1:187" ht="11.25" customHeight="1">
      <c r="A6611" s="1" t="s">
        <v>9352</v>
      </c>
      <c r="B6611" s="1" t="str">
        <f ca="1">IFERROR(__xludf.DUMMYFUNCTION("GOOGLETRANSLATE(A6611, ""en"", ""fr"")"),"Le mien # 4")</f>
        <v>Le mien # 4</v>
      </c>
      <c r="C6611" s="1" t="s">
        <v>185</v>
      </c>
      <c r="AA6611" s="1" t="s">
        <v>23</v>
      </c>
      <c r="AC6611" s="1" t="s">
        <v>25</v>
      </c>
      <c r="AL6611" s="1" t="s">
        <v>34</v>
      </c>
      <c r="EV6611" s="1" t="s">
        <v>148</v>
      </c>
      <c r="EW6611" s="1" t="s">
        <v>149</v>
      </c>
      <c r="GD6611" s="1" t="s">
        <v>202</v>
      </c>
      <c r="GE6611" s="1" t="s">
        <v>9353</v>
      </c>
    </row>
    <row r="6612" spans="1:187" ht="11.25" customHeight="1">
      <c r="A6612" s="1" t="s">
        <v>9354</v>
      </c>
      <c r="B6612" s="1" t="str">
        <f ca="1">IFERROR(__xludf.DUMMYFUNCTION("GOOGLETRANSLATE(A6612, ""en"", ""fr"")"),"MINEUR")</f>
        <v>MINEUR</v>
      </c>
      <c r="C6612" s="1" t="s">
        <v>185</v>
      </c>
      <c r="AA6612" s="1" t="s">
        <v>23</v>
      </c>
      <c r="AC6612" s="1" t="s">
        <v>25</v>
      </c>
      <c r="AJ6612" s="1" t="s">
        <v>32</v>
      </c>
      <c r="AT6612" s="1" t="s">
        <v>42</v>
      </c>
      <c r="ET6612" s="1" t="s">
        <v>146</v>
      </c>
      <c r="EW6612" s="1" t="s">
        <v>149</v>
      </c>
      <c r="GD6612" s="1" t="s">
        <v>193</v>
      </c>
      <c r="GE6612" s="1" t="s">
        <v>190</v>
      </c>
    </row>
    <row r="6613" spans="1:187" ht="11.25" customHeight="1">
      <c r="A6613" s="1" t="s">
        <v>9355</v>
      </c>
      <c r="B6613" s="1" t="str">
        <f ca="1">IFERROR(__xludf.DUMMYFUNCTION("GOOGLETRANSLATE(A6613, ""en"", ""fr"")"),"MINÉRAL")</f>
        <v>MINÉRAL</v>
      </c>
      <c r="C6613" s="1" t="s">
        <v>185</v>
      </c>
      <c r="AA6613" s="1" t="s">
        <v>23</v>
      </c>
      <c r="BC6613" s="1" t="s">
        <v>51</v>
      </c>
      <c r="BI6613" s="1" t="s">
        <v>57</v>
      </c>
      <c r="EV6613" s="1" t="s">
        <v>148</v>
      </c>
      <c r="EW6613" s="1" t="s">
        <v>149</v>
      </c>
      <c r="GD6613" s="1" t="s">
        <v>193</v>
      </c>
      <c r="GE6613" s="1" t="s">
        <v>190</v>
      </c>
    </row>
    <row r="6614" spans="1:187" ht="11.25" customHeight="1">
      <c r="A6614" s="1" t="s">
        <v>9356</v>
      </c>
      <c r="B6614" s="1" t="str">
        <f ca="1">IFERROR(__xludf.DUMMYFUNCTION("GOOGLETRANSLATE(A6614, ""en"", ""fr"")"),"SE MÉLANGER")</f>
        <v>SE MÉLANGER</v>
      </c>
      <c r="C6614" s="1" t="s">
        <v>185</v>
      </c>
      <c r="DD6614" s="1" t="s">
        <v>104</v>
      </c>
      <c r="DN6614" s="1" t="s">
        <v>114</v>
      </c>
      <c r="EO6614" s="1" t="s">
        <v>141</v>
      </c>
      <c r="ES6614" s="1" t="s">
        <v>145</v>
      </c>
      <c r="GD6614" s="1" t="s">
        <v>189</v>
      </c>
      <c r="GE6614" s="1" t="s">
        <v>190</v>
      </c>
    </row>
    <row r="6615" spans="1:187" ht="11.25" customHeight="1">
      <c r="A6615" s="1" t="s">
        <v>9357</v>
      </c>
      <c r="B6615" s="1" t="str">
        <f ca="1">IFERROR(__xludf.DUMMYFUNCTION("GOOGLETRANSLATE(A6615, ""en"", ""fr"")"),"MINIMAL")</f>
        <v>MINIMAL</v>
      </c>
      <c r="C6615" s="1" t="s">
        <v>185</v>
      </c>
      <c r="L6615" s="1" t="s">
        <v>8</v>
      </c>
      <c r="X6615" s="1" t="s">
        <v>20</v>
      </c>
      <c r="CL6615" s="1" t="s">
        <v>86</v>
      </c>
      <c r="CS6615" s="1" t="s">
        <v>93</v>
      </c>
      <c r="GD6615" s="1" t="s">
        <v>8443</v>
      </c>
      <c r="GE6615" s="1" t="s">
        <v>190</v>
      </c>
    </row>
    <row r="6616" spans="1:187" ht="11.25" customHeight="1">
      <c r="A6616" s="1" t="s">
        <v>9358</v>
      </c>
      <c r="B6616" s="1" t="str">
        <f ca="1">IFERROR(__xludf.DUMMYFUNCTION("GOOGLETRANSLATE(A6616, ""en"", ""fr"")"),"MINIMISER")</f>
        <v>MINIMISER</v>
      </c>
      <c r="C6616" s="1" t="s">
        <v>185</v>
      </c>
      <c r="J6616" s="1" t="s">
        <v>6</v>
      </c>
      <c r="N6616" s="1" t="s">
        <v>10</v>
      </c>
      <c r="X6616" s="1" t="s">
        <v>20</v>
      </c>
      <c r="BY6616" s="1" t="s">
        <v>73</v>
      </c>
      <c r="DN6616" s="1" t="s">
        <v>114</v>
      </c>
      <c r="GD6616" s="1" t="s">
        <v>189</v>
      </c>
      <c r="GE6616" s="1" t="s">
        <v>190</v>
      </c>
    </row>
    <row r="6617" spans="1:187" ht="11.25" customHeight="1">
      <c r="A6617" s="1" t="s">
        <v>9359</v>
      </c>
      <c r="B6617" s="1" t="str">
        <f ca="1">IFERROR(__xludf.DUMMYFUNCTION("GOOGLETRANSLATE(A6617, ""en"", ""fr"")"),"LE MINIMUM")</f>
        <v>LE MINIMUM</v>
      </c>
      <c r="C6617" s="1" t="s">
        <v>185</v>
      </c>
      <c r="L6617" s="1" t="s">
        <v>8</v>
      </c>
      <c r="X6617" s="1" t="s">
        <v>20</v>
      </c>
      <c r="CL6617" s="1" t="s">
        <v>86</v>
      </c>
      <c r="CS6617" s="1" t="s">
        <v>93</v>
      </c>
      <c r="GD6617" s="1" t="s">
        <v>8443</v>
      </c>
      <c r="GE6617" s="1" t="s">
        <v>190</v>
      </c>
    </row>
    <row r="6618" spans="1:187" ht="11.25" customHeight="1">
      <c r="A6618" s="1" t="s">
        <v>9360</v>
      </c>
      <c r="B6618" s="1" t="str">
        <f ca="1">IFERROR(__xludf.DUMMYFUNCTION("GOOGLETRANSLATE(A6618, ""en"", ""fr"")"),"Ministre n ° 1")</f>
        <v>Ministre n ° 1</v>
      </c>
      <c r="C6618" s="1" t="s">
        <v>185</v>
      </c>
      <c r="J6618" s="1" t="s">
        <v>6</v>
      </c>
      <c r="K6618" s="1" t="s">
        <v>7</v>
      </c>
      <c r="AG6618" s="1" t="s">
        <v>29</v>
      </c>
      <c r="AH6618" s="1" t="s">
        <v>30</v>
      </c>
      <c r="AJ6618" s="1" t="s">
        <v>32</v>
      </c>
      <c r="AT6618" s="1" t="s">
        <v>42</v>
      </c>
      <c r="DY6618" s="1" t="s">
        <v>125</v>
      </c>
      <c r="ED6618" s="1" t="s">
        <v>130</v>
      </c>
      <c r="GD6618" s="1" t="s">
        <v>193</v>
      </c>
      <c r="GE6618" s="1" t="s">
        <v>9361</v>
      </c>
    </row>
    <row r="6619" spans="1:187" ht="11.25" customHeight="1">
      <c r="A6619" s="1" t="s">
        <v>9362</v>
      </c>
      <c r="B6619" s="1" t="str">
        <f ca="1">IFERROR(__xludf.DUMMYFUNCTION("GOOGLETRANSLATE(A6619, ""en"", ""fr"")"),"Ministre n ° 2")</f>
        <v>Ministre n ° 2</v>
      </c>
      <c r="C6619" s="1" t="s">
        <v>185</v>
      </c>
      <c r="J6619" s="1" t="s">
        <v>6</v>
      </c>
      <c r="K6619" s="1" t="s">
        <v>7</v>
      </c>
      <c r="AG6619" s="1" t="s">
        <v>29</v>
      </c>
      <c r="AH6619" s="1" t="s">
        <v>30</v>
      </c>
      <c r="AJ6619" s="1" t="s">
        <v>32</v>
      </c>
      <c r="AT6619" s="1" t="s">
        <v>42</v>
      </c>
      <c r="DY6619" s="1" t="s">
        <v>125</v>
      </c>
      <c r="ED6619" s="1" t="s">
        <v>130</v>
      </c>
      <c r="GD6619" s="1" t="s">
        <v>193</v>
      </c>
      <c r="GE6619" s="1" t="s">
        <v>9363</v>
      </c>
    </row>
    <row r="6620" spans="1:187" ht="11.25" customHeight="1">
      <c r="A6620" s="1" t="s">
        <v>9364</v>
      </c>
      <c r="B6620" s="1" t="str">
        <f ca="1">IFERROR(__xludf.DUMMYFUNCTION("GOOGLETRANSLATE(A6620, ""en"", ""fr"")"),"Ministre n ° 3")</f>
        <v>Ministre n ° 3</v>
      </c>
      <c r="C6620" s="1" t="s">
        <v>185</v>
      </c>
      <c r="AI6620" s="1" t="s">
        <v>31</v>
      </c>
      <c r="AJ6620" s="1" t="s">
        <v>32</v>
      </c>
      <c r="AT6620" s="1" t="s">
        <v>42</v>
      </c>
      <c r="EF6620" s="1" t="s">
        <v>132</v>
      </c>
      <c r="EJ6620" s="1" t="s">
        <v>136</v>
      </c>
      <c r="GD6620" s="1" t="s">
        <v>193</v>
      </c>
      <c r="GE6620" s="1" t="s">
        <v>9365</v>
      </c>
    </row>
    <row r="6621" spans="1:187" ht="11.25" customHeight="1">
      <c r="A6621" s="1" t="s">
        <v>9366</v>
      </c>
      <c r="B6621" s="1" t="str">
        <f ca="1">IFERROR(__xludf.DUMMYFUNCTION("GOOGLETRANSLATE(A6621, ""en"", ""fr"")"),"Ministre n ° 4")</f>
        <v>Ministre n ° 4</v>
      </c>
      <c r="C6621" s="1" t="s">
        <v>185</v>
      </c>
      <c r="D6621" s="1" t="s">
        <v>16612</v>
      </c>
      <c r="F6621" s="1" t="s">
        <v>2</v>
      </c>
      <c r="G6621" s="1" t="s">
        <v>3</v>
      </c>
      <c r="N6621" s="1" t="s">
        <v>10</v>
      </c>
      <c r="AN6621" s="1" t="s">
        <v>36</v>
      </c>
      <c r="DN6621" s="1" t="s">
        <v>114</v>
      </c>
      <c r="EX6621" s="1" t="s">
        <v>150</v>
      </c>
      <c r="FC6621" s="1" t="s">
        <v>155</v>
      </c>
      <c r="GD6621" s="1" t="s">
        <v>189</v>
      </c>
      <c r="GE6621" s="1" t="s">
        <v>9367</v>
      </c>
    </row>
    <row r="6622" spans="1:187" ht="11.25" customHeight="1">
      <c r="A6622" s="1" t="s">
        <v>9368</v>
      </c>
      <c r="B6622" s="1" t="str">
        <f ca="1">IFERROR(__xludf.DUMMYFUNCTION("GOOGLETRANSLATE(A6622, ""en"", ""fr"")"),"MINISTÉRIEL")</f>
        <v>MINISTÉRIEL</v>
      </c>
      <c r="C6622" s="1" t="s">
        <v>196</v>
      </c>
      <c r="EB6622" s="1" t="s">
        <v>128</v>
      </c>
      <c r="ED6622" s="1" t="s">
        <v>130</v>
      </c>
      <c r="GD6622" s="1" t="s">
        <v>202</v>
      </c>
    </row>
    <row r="6623" spans="1:187" ht="11.25" customHeight="1">
      <c r="A6623" s="1" t="s">
        <v>9369</v>
      </c>
      <c r="B6623" s="1" t="str">
        <f ca="1">IFERROR(__xludf.DUMMYFUNCTION("GOOGLETRANSLATE(A6623, ""en"", ""fr"")"),"MINISTÈRE")</f>
        <v>MINISTÈRE</v>
      </c>
      <c r="C6623" s="1" t="s">
        <v>185</v>
      </c>
      <c r="J6623" s="1" t="s">
        <v>6</v>
      </c>
      <c r="K6623" s="1" t="s">
        <v>7</v>
      </c>
      <c r="AG6623" s="1" t="s">
        <v>29</v>
      </c>
      <c r="AH6623" s="1" t="s">
        <v>30</v>
      </c>
      <c r="AK6623" s="1" t="s">
        <v>33</v>
      </c>
      <c r="AT6623" s="1" t="s">
        <v>42</v>
      </c>
      <c r="GD6623" s="1" t="s">
        <v>193</v>
      </c>
      <c r="GE6623" s="1" t="s">
        <v>190</v>
      </c>
    </row>
    <row r="6624" spans="1:187" ht="11.25" customHeight="1">
      <c r="A6624" s="1" t="s">
        <v>9370</v>
      </c>
      <c r="B6624" s="1" t="str">
        <f ca="1">IFERROR(__xludf.DUMMYFUNCTION("GOOGLETRANSLATE(A6624, ""en"", ""fr"")"),"MINNESOTA")</f>
        <v>MINNESOTA</v>
      </c>
      <c r="C6624" s="1" t="s">
        <v>196</v>
      </c>
      <c r="GD6624" s="1" t="s">
        <v>653</v>
      </c>
    </row>
    <row r="6625" spans="1:187" ht="11.25" customHeight="1">
      <c r="A6625" s="1" t="s">
        <v>9371</v>
      </c>
      <c r="B6625" s="1" t="str">
        <f ca="1">IFERROR(__xludf.DUMMYFUNCTION("GOOGLETRANSLATE(A6625, ""en"", ""fr"")"),"MINEURE")</f>
        <v>MINEURE</v>
      </c>
      <c r="C6625" s="1" t="s">
        <v>185</v>
      </c>
      <c r="L6625" s="1" t="s">
        <v>8</v>
      </c>
      <c r="X6625" s="1" t="s">
        <v>20</v>
      </c>
      <c r="CN6625" s="1" t="s">
        <v>88</v>
      </c>
      <c r="CS6625" s="1" t="s">
        <v>93</v>
      </c>
      <c r="GD6625" s="1" t="s">
        <v>202</v>
      </c>
      <c r="GE6625" s="1" t="s">
        <v>190</v>
      </c>
    </row>
    <row r="6626" spans="1:187" ht="11.25" customHeight="1">
      <c r="A6626" s="1" t="s">
        <v>9372</v>
      </c>
      <c r="B6626" s="1" t="str">
        <f ca="1">IFERROR(__xludf.DUMMYFUNCTION("GOOGLETRANSLATE(A6626, ""en"", ""fr"")"),"MINORITÉ")</f>
        <v>MINORITÉ</v>
      </c>
      <c r="C6626" s="1" t="s">
        <v>185</v>
      </c>
      <c r="L6626" s="1" t="s">
        <v>8</v>
      </c>
      <c r="M6626" s="1" t="s">
        <v>9</v>
      </c>
      <c r="AG6626" s="1" t="s">
        <v>29</v>
      </c>
      <c r="AH6626" s="1" t="s">
        <v>30</v>
      </c>
      <c r="AK6626" s="1" t="s">
        <v>33</v>
      </c>
      <c r="AT6626" s="1" t="s">
        <v>42</v>
      </c>
      <c r="EC6626" s="1" t="s">
        <v>129</v>
      </c>
      <c r="ED6626" s="1" t="s">
        <v>130</v>
      </c>
      <c r="GD6626" s="1" t="s">
        <v>193</v>
      </c>
      <c r="GE6626" s="1" t="s">
        <v>190</v>
      </c>
    </row>
    <row r="6627" spans="1:187" ht="11.25" customHeight="1">
      <c r="A6627" s="1" t="s">
        <v>9373</v>
      </c>
      <c r="B6627" s="1" t="str">
        <f ca="1">IFERROR(__xludf.DUMMYFUNCTION("GOOGLETRANSLATE(A6627, ""en"", ""fr"")"),"MENTHE")</f>
        <v>MENTHE</v>
      </c>
      <c r="C6627" s="1" t="s">
        <v>185</v>
      </c>
      <c r="D6627" s="1" t="s">
        <v>16612</v>
      </c>
      <c r="U6627" s="1" t="s">
        <v>17</v>
      </c>
      <c r="DR6627" s="1" t="s">
        <v>118</v>
      </c>
      <c r="EV6627" s="1" t="s">
        <v>148</v>
      </c>
      <c r="EW6627" s="1" t="s">
        <v>149</v>
      </c>
      <c r="GD6627" s="1" t="s">
        <v>202</v>
      </c>
      <c r="GE6627" s="1" t="s">
        <v>190</v>
      </c>
    </row>
    <row r="6628" spans="1:187" ht="11.25" customHeight="1">
      <c r="A6628" s="1" t="s">
        <v>9374</v>
      </c>
      <c r="B6628" s="1" t="str">
        <f ca="1">IFERROR(__xludf.DUMMYFUNCTION("GOOGLETRANSLATE(A6628, ""en"", ""fr"")"),"MOINS")</f>
        <v>MOINS</v>
      </c>
      <c r="C6628" s="1" t="s">
        <v>185</v>
      </c>
      <c r="DD6628" s="1" t="s">
        <v>104</v>
      </c>
      <c r="GD6628" s="1" t="s">
        <v>215</v>
      </c>
      <c r="GE6628" s="1" t="s">
        <v>190</v>
      </c>
    </row>
    <row r="6629" spans="1:187" ht="11.25" customHeight="1">
      <c r="A6629" s="1" t="s">
        <v>9375</v>
      </c>
      <c r="B6629" s="1" t="str">
        <f ca="1">IFERROR(__xludf.DUMMYFUNCTION("GOOGLETRANSLATE(A6629, ""en"", ""fr"")"),"MINUTE")</f>
        <v>MINUTE</v>
      </c>
      <c r="C6629" s="1" t="s">
        <v>185</v>
      </c>
      <c r="CQ6629" s="1" t="s">
        <v>91</v>
      </c>
      <c r="CY6629" s="1" t="s">
        <v>99</v>
      </c>
      <c r="CZ6629" s="1" t="s">
        <v>100</v>
      </c>
      <c r="GB6629" s="1" t="s">
        <v>180</v>
      </c>
      <c r="GD6629" s="1" t="s">
        <v>193</v>
      </c>
      <c r="GE6629" s="1" t="s">
        <v>9376</v>
      </c>
    </row>
    <row r="6630" spans="1:187" ht="11.25" customHeight="1">
      <c r="A6630" s="1" t="s">
        <v>9377</v>
      </c>
      <c r="B6630" s="1" t="str">
        <f ca="1">IFERROR(__xludf.DUMMYFUNCTION("GOOGLETRANSLATE(A6630, ""en"", ""fr"")"),"Minutemen")</f>
        <v>Minutemen</v>
      </c>
      <c r="C6630" s="1" t="s">
        <v>185</v>
      </c>
      <c r="AF6630" s="1" t="s">
        <v>28</v>
      </c>
      <c r="AG6630" s="1" t="s">
        <v>29</v>
      </c>
      <c r="AH6630" s="1" t="s">
        <v>30</v>
      </c>
      <c r="AJ6630" s="1" t="s">
        <v>32</v>
      </c>
      <c r="AT6630" s="1" t="s">
        <v>42</v>
      </c>
      <c r="DY6630" s="1" t="s">
        <v>125</v>
      </c>
      <c r="ED6630" s="1" t="s">
        <v>130</v>
      </c>
      <c r="GD6630" s="1" t="s">
        <v>576</v>
      </c>
      <c r="GE6630" s="1" t="s">
        <v>190</v>
      </c>
    </row>
    <row r="6631" spans="1:187" ht="11.25" customHeight="1">
      <c r="A6631" s="1" t="s">
        <v>9378</v>
      </c>
      <c r="B6631" s="1" t="str">
        <f ca="1">IFERROR(__xludf.DUMMYFUNCTION("GOOGLETRANSLATE(A6631, ""en"", ""fr"")"),"MIRACLE")</f>
        <v>MIRACLE</v>
      </c>
      <c r="C6631" s="1" t="s">
        <v>185</v>
      </c>
      <c r="D6631" s="1" t="s">
        <v>16612</v>
      </c>
      <c r="U6631" s="1" t="s">
        <v>17</v>
      </c>
      <c r="AI6631" s="1" t="s">
        <v>31</v>
      </c>
      <c r="FL6631" s="1" t="s">
        <v>164</v>
      </c>
      <c r="FM6631" s="1" t="s">
        <v>418</v>
      </c>
      <c r="GD6631" s="1" t="s">
        <v>193</v>
      </c>
      <c r="GE6631" s="1" t="s">
        <v>190</v>
      </c>
    </row>
    <row r="6632" spans="1:187" ht="11.25" customHeight="1">
      <c r="A6632" s="1" t="s">
        <v>9379</v>
      </c>
      <c r="B6632" s="1" t="str">
        <f ca="1">IFERROR(__xludf.DUMMYFUNCTION("GOOGLETRANSLATE(A6632, ""en"", ""fr"")"),"MIRACULEUX")</f>
        <v>MIRACULEUX</v>
      </c>
      <c r="C6632" s="1" t="s">
        <v>192</v>
      </c>
      <c r="D6632" s="1" t="s">
        <v>16612</v>
      </c>
      <c r="U6632" s="1" t="s">
        <v>17</v>
      </c>
      <c r="AI6632" s="1" t="s">
        <v>31</v>
      </c>
      <c r="DR6632" s="1" t="s">
        <v>118</v>
      </c>
      <c r="GD6632" s="1" t="s">
        <v>202</v>
      </c>
      <c r="GE6632" s="1" t="s">
        <v>190</v>
      </c>
    </row>
    <row r="6633" spans="1:187" ht="11.25" customHeight="1">
      <c r="A6633" s="1" t="s">
        <v>9380</v>
      </c>
      <c r="B6633" s="1" t="str">
        <f ca="1">IFERROR(__xludf.DUMMYFUNCTION("GOOGLETRANSLATE(A6633, ""en"", ""fr"")"),"MIROIR")</f>
        <v>MIROIR</v>
      </c>
      <c r="C6633" s="1" t="s">
        <v>185</v>
      </c>
      <c r="BC6633" s="1" t="s">
        <v>51</v>
      </c>
      <c r="BD6633" s="1" t="s">
        <v>52</v>
      </c>
      <c r="GD6633" s="1" t="s">
        <v>193</v>
      </c>
      <c r="GE6633" s="1" t="s">
        <v>190</v>
      </c>
    </row>
    <row r="6634" spans="1:187" ht="11.25" customHeight="1">
      <c r="A6634" s="1" t="s">
        <v>9381</v>
      </c>
      <c r="B6634" s="1" t="str">
        <f ca="1">IFERROR(__xludf.DUMMYFUNCTION("GOOGLETRANSLATE(A6634, ""en"", ""fr"")"),"GAIETÉ")</f>
        <v>GAIETÉ</v>
      </c>
      <c r="C6634" s="1" t="s">
        <v>192</v>
      </c>
      <c r="D6634" s="1" t="s">
        <v>16612</v>
      </c>
      <c r="P6634" s="1" t="s">
        <v>12</v>
      </c>
      <c r="T6634" s="1" t="s">
        <v>16</v>
      </c>
      <c r="GD6634" s="1" t="s">
        <v>193</v>
      </c>
      <c r="GE6634" s="1" t="s">
        <v>190</v>
      </c>
    </row>
    <row r="6635" spans="1:187" ht="11.25" customHeight="1">
      <c r="A6635" s="1" t="s">
        <v>9382</v>
      </c>
      <c r="B6635" s="1" t="str">
        <f ca="1">IFERROR(__xludf.DUMMYFUNCTION("GOOGLETRANSLATE(A6635, ""en"", ""fr"")"),"SE CONDUIRE MAL")</f>
        <v>SE CONDUIRE MAL</v>
      </c>
      <c r="C6635" s="1" t="s">
        <v>192</v>
      </c>
      <c r="E6635" s="1" t="s">
        <v>16613</v>
      </c>
      <c r="I6635" s="1" t="s">
        <v>5</v>
      </c>
      <c r="N6635" s="1" t="s">
        <v>10</v>
      </c>
      <c r="DN6635" s="1" t="s">
        <v>114</v>
      </c>
      <c r="GD6635" s="1" t="s">
        <v>189</v>
      </c>
      <c r="GE6635" s="1" t="s">
        <v>190</v>
      </c>
    </row>
    <row r="6636" spans="1:187" ht="11.25" customHeight="1">
      <c r="A6636" s="1" t="s">
        <v>9383</v>
      </c>
      <c r="B6636" s="1" t="str">
        <f ca="1">IFERROR(__xludf.DUMMYFUNCTION("GOOGLETRANSLATE(A6636, ""en"", ""fr"")"),"MAUVAISE CONDUITE")</f>
        <v>MAUVAISE CONDUITE</v>
      </c>
      <c r="C6636" s="1" t="s">
        <v>185</v>
      </c>
      <c r="E6636" s="1" t="s">
        <v>16613</v>
      </c>
      <c r="H6636" s="1" t="s">
        <v>4</v>
      </c>
      <c r="N6636" s="1" t="s">
        <v>10</v>
      </c>
      <c r="V6636" s="1" t="s">
        <v>18</v>
      </c>
      <c r="EE6636" s="1" t="s">
        <v>131</v>
      </c>
      <c r="EJ6636" s="1" t="s">
        <v>136</v>
      </c>
      <c r="GD6636" s="1" t="s">
        <v>193</v>
      </c>
      <c r="GE6636" s="1" t="s">
        <v>190</v>
      </c>
    </row>
    <row r="6637" spans="1:187" ht="11.25" customHeight="1">
      <c r="A6637" s="1" t="s">
        <v>9384</v>
      </c>
      <c r="B6637" s="1" t="str">
        <f ca="1">IFERROR(__xludf.DUMMYFUNCTION("GOOGLETRANSLATE(A6637, ""en"", ""fr"")"),"FAUSSE-COUCHE")</f>
        <v>FAUSSE-COUCHE</v>
      </c>
      <c r="C6637" s="1" t="s">
        <v>196</v>
      </c>
      <c r="FO6637" s="1" t="s">
        <v>167</v>
      </c>
      <c r="GD6637" s="1" t="s">
        <v>193</v>
      </c>
    </row>
    <row r="6638" spans="1:187" ht="11.25" customHeight="1">
      <c r="A6638" s="1" t="s">
        <v>9385</v>
      </c>
      <c r="B6638" s="1" t="str">
        <f ca="1">IFERROR(__xludf.DUMMYFUNCTION("GOOGLETRANSLATE(A6638, ""en"", ""fr"")"),"SOTTISES")</f>
        <v>SOTTISES</v>
      </c>
      <c r="C6638" s="1" t="s">
        <v>185</v>
      </c>
      <c r="E6638" s="1" t="s">
        <v>16613</v>
      </c>
      <c r="N6638" s="1" t="s">
        <v>10</v>
      </c>
      <c r="GD6638" s="1" t="s">
        <v>193</v>
      </c>
      <c r="GE6638" s="1" t="s">
        <v>190</v>
      </c>
    </row>
    <row r="6639" spans="1:187" ht="11.25" customHeight="1">
      <c r="A6639" s="1" t="s">
        <v>9386</v>
      </c>
      <c r="B6639" s="1" t="str">
        <f ca="1">IFERROR(__xludf.DUMMYFUNCTION("GOOGLETRANSLATE(A6639, ""en"", ""fr"")"),"ESPIÈGLE")</f>
        <v>ESPIÈGLE</v>
      </c>
      <c r="C6639" s="1" t="s">
        <v>192</v>
      </c>
      <c r="E6639" s="1" t="s">
        <v>16613</v>
      </c>
      <c r="N6639" s="1" t="s">
        <v>10</v>
      </c>
      <c r="CR6639" s="1" t="s">
        <v>92</v>
      </c>
      <c r="DR6639" s="1" t="s">
        <v>118</v>
      </c>
      <c r="GD6639" s="1" t="s">
        <v>202</v>
      </c>
      <c r="GE6639" s="1" t="s">
        <v>190</v>
      </c>
    </row>
    <row r="6640" spans="1:187" ht="11.25" customHeight="1">
      <c r="A6640" s="1" t="s">
        <v>9387</v>
      </c>
      <c r="B6640" s="1" t="str">
        <f ca="1">IFERROR(__xludf.DUMMYFUNCTION("GOOGLETRANSLATE(A6640, ""en"", ""fr"")"),"AVARE")</f>
        <v>AVARE</v>
      </c>
      <c r="C6640" s="1" t="s">
        <v>192</v>
      </c>
      <c r="E6640" s="1" t="s">
        <v>16613</v>
      </c>
      <c r="AA6640" s="1" t="s">
        <v>23</v>
      </c>
      <c r="AJ6640" s="1" t="s">
        <v>32</v>
      </c>
      <c r="AT6640" s="1" t="s">
        <v>42</v>
      </c>
      <c r="CD6640" s="1" t="s">
        <v>78</v>
      </c>
      <c r="GD6640" s="1" t="s">
        <v>193</v>
      </c>
      <c r="GE6640" s="1" t="s">
        <v>190</v>
      </c>
    </row>
    <row r="6641" spans="1:187" ht="11.25" customHeight="1">
      <c r="A6641" s="1" t="s">
        <v>9388</v>
      </c>
      <c r="B6641" s="1" t="str">
        <f ca="1">IFERROR(__xludf.DUMMYFUNCTION("GOOGLETRANSLATE(A6641, ""en"", ""fr"")"),"MISÉRABLE")</f>
        <v>MISÉRABLE</v>
      </c>
      <c r="C6641" s="1" t="s">
        <v>185</v>
      </c>
      <c r="E6641" s="1" t="s">
        <v>16613</v>
      </c>
      <c r="H6641" s="1" t="s">
        <v>4</v>
      </c>
      <c r="L6641" s="1" t="s">
        <v>8</v>
      </c>
      <c r="O6641" s="1" t="s">
        <v>11</v>
      </c>
      <c r="Q6641" s="1" t="s">
        <v>13</v>
      </c>
      <c r="T6641" s="1" t="s">
        <v>16</v>
      </c>
      <c r="CN6641" s="1" t="s">
        <v>88</v>
      </c>
      <c r="FA6641" s="1" t="s">
        <v>153</v>
      </c>
      <c r="FC6641" s="1" t="s">
        <v>155</v>
      </c>
      <c r="FV6641" s="1" t="s">
        <v>174</v>
      </c>
      <c r="GD6641" s="1" t="s">
        <v>202</v>
      </c>
      <c r="GE6641" s="1" t="s">
        <v>190</v>
      </c>
    </row>
    <row r="6642" spans="1:187" ht="11.25" customHeight="1">
      <c r="A6642" s="1" t="s">
        <v>9389</v>
      </c>
      <c r="B6642" s="1" t="str">
        <f ca="1">IFERROR(__xludf.DUMMYFUNCTION("GOOGLETRANSLATE(A6642, ""en"", ""fr"")"),"MISÈRE")</f>
        <v>MISÈRE</v>
      </c>
      <c r="C6642" s="1" t="s">
        <v>185</v>
      </c>
      <c r="E6642" s="1" t="s">
        <v>16613</v>
      </c>
      <c r="H6642" s="1" t="s">
        <v>4</v>
      </c>
      <c r="L6642" s="1" t="s">
        <v>8</v>
      </c>
      <c r="O6642" s="1" t="s">
        <v>11</v>
      </c>
      <c r="Q6642" s="1" t="s">
        <v>13</v>
      </c>
      <c r="FA6642" s="1" t="s">
        <v>153</v>
      </c>
      <c r="FC6642" s="1" t="s">
        <v>155</v>
      </c>
      <c r="GD6642" s="1" t="s">
        <v>193</v>
      </c>
      <c r="GE6642" s="1" t="s">
        <v>190</v>
      </c>
    </row>
    <row r="6643" spans="1:187" ht="11.25" customHeight="1">
      <c r="A6643" s="1" t="s">
        <v>9390</v>
      </c>
      <c r="B6643" s="1" t="str">
        <f ca="1">IFERROR(__xludf.DUMMYFUNCTION("GOOGLETRANSLATE(A6643, ""en"", ""fr"")"),"MALHEUR")</f>
        <v>MALHEUR</v>
      </c>
      <c r="C6643" s="1" t="s">
        <v>185</v>
      </c>
      <c r="E6643" s="1" t="s">
        <v>16613</v>
      </c>
      <c r="H6643" s="1" t="s">
        <v>4</v>
      </c>
      <c r="L6643" s="1" t="s">
        <v>8</v>
      </c>
      <c r="O6643" s="1" t="s">
        <v>11</v>
      </c>
      <c r="V6643" s="1" t="s">
        <v>18</v>
      </c>
      <c r="FW6643" s="1" t="s">
        <v>175</v>
      </c>
      <c r="GD6643" s="1" t="s">
        <v>193</v>
      </c>
      <c r="GE6643" s="1" t="s">
        <v>190</v>
      </c>
    </row>
    <row r="6644" spans="1:187" ht="11.25" customHeight="1">
      <c r="A6644" s="1" t="s">
        <v>9391</v>
      </c>
      <c r="B6644" s="1" t="str">
        <f ca="1">IFERROR(__xludf.DUMMYFUNCTION("GOOGLETRANSLATE(A6644, ""en"", ""fr"")"),"Miste")</f>
        <v>Miste</v>
      </c>
      <c r="C6644" s="1" t="s">
        <v>196</v>
      </c>
      <c r="FE6644" s="1" t="s">
        <v>157</v>
      </c>
      <c r="FI6644" s="1" t="s">
        <v>161</v>
      </c>
      <c r="GD6644" s="1" t="s">
        <v>193</v>
      </c>
    </row>
    <row r="6645" spans="1:187" ht="11.25" customHeight="1">
      <c r="A6645" s="1" t="s">
        <v>9392</v>
      </c>
      <c r="B6645" s="1" t="str">
        <f ca="1">IFERROR(__xludf.DUMMYFUNCTION("GOOGLETRANSLATE(A6645, ""en"", ""fr"")"),"Miste")</f>
        <v>Miste</v>
      </c>
      <c r="C6645" s="1" t="s">
        <v>196</v>
      </c>
      <c r="FE6645" s="1" t="s">
        <v>157</v>
      </c>
      <c r="FI6645" s="1" t="s">
        <v>161</v>
      </c>
      <c r="GD6645" s="1" t="s">
        <v>189</v>
      </c>
    </row>
    <row r="6646" spans="1:187" ht="11.25" customHeight="1">
      <c r="A6646" s="1" t="s">
        <v>9393</v>
      </c>
      <c r="B6646" s="1" t="str">
        <f ca="1">IFERROR(__xludf.DUMMYFUNCTION("GOOGLETRANSLATE(A6646, ""en"", ""fr"")"),"MALTRAITER")</f>
        <v>MALTRAITER</v>
      </c>
      <c r="C6646" s="1" t="s">
        <v>192</v>
      </c>
      <c r="E6646" s="1" t="s">
        <v>16613</v>
      </c>
      <c r="N6646" s="1" t="s">
        <v>10</v>
      </c>
      <c r="BT6646" s="1" t="s">
        <v>68</v>
      </c>
      <c r="DN6646" s="1" t="s">
        <v>114</v>
      </c>
      <c r="GD6646" s="1" t="s">
        <v>189</v>
      </c>
      <c r="GE6646" s="1" t="s">
        <v>190</v>
      </c>
    </row>
    <row r="6647" spans="1:187" ht="11.25" customHeight="1">
      <c r="A6647" s="1" t="s">
        <v>9394</v>
      </c>
      <c r="B6647" s="1" t="str">
        <f ca="1">IFERROR(__xludf.DUMMYFUNCTION("GOOGLETRANSLATE(A6647, ""en"", ""fr"")"),"MÉSAVENTURE")</f>
        <v>MÉSAVENTURE</v>
      </c>
      <c r="C6647" s="1" t="s">
        <v>192</v>
      </c>
      <c r="E6647" s="1" t="s">
        <v>16613</v>
      </c>
      <c r="BT6647" s="1" t="s">
        <v>68</v>
      </c>
      <c r="GD6647" s="1" t="s">
        <v>193</v>
      </c>
      <c r="GE6647" s="1" t="s">
        <v>190</v>
      </c>
    </row>
    <row r="6648" spans="1:187" ht="11.25" customHeight="1">
      <c r="A6648" s="1" t="s">
        <v>9395</v>
      </c>
      <c r="B6648" s="1" t="str">
        <f ca="1">IFERROR(__xludf.DUMMYFUNCTION("GOOGLETRANSLATE(A6648, ""en"", ""fr"")"),"MAL RENSEIGNER")</f>
        <v>MAL RENSEIGNER</v>
      </c>
      <c r="C6648" s="1" t="s">
        <v>185</v>
      </c>
      <c r="E6648" s="1" t="s">
        <v>16613</v>
      </c>
      <c r="N6648" s="1" t="s">
        <v>10</v>
      </c>
      <c r="X6648" s="1" t="s">
        <v>20</v>
      </c>
      <c r="BK6648" s="1" t="s">
        <v>59</v>
      </c>
      <c r="BT6648" s="1" t="s">
        <v>68</v>
      </c>
      <c r="DN6648" s="1" t="s">
        <v>114</v>
      </c>
      <c r="FE6648" s="1" t="s">
        <v>157</v>
      </c>
      <c r="FI6648" s="1" t="s">
        <v>161</v>
      </c>
      <c r="GD6648" s="1" t="s">
        <v>189</v>
      </c>
      <c r="GE6648" s="1" t="s">
        <v>190</v>
      </c>
    </row>
    <row r="6649" spans="1:187" ht="11.25" customHeight="1">
      <c r="A6649" s="1" t="s">
        <v>9396</v>
      </c>
      <c r="B6649" s="1" t="str">
        <f ca="1">IFERROR(__xludf.DUMMYFUNCTION("GOOGLETRANSLATE(A6649, ""en"", ""fr"")"),"Mal informé")</f>
        <v>Mal informé</v>
      </c>
      <c r="C6649" s="1" t="s">
        <v>192</v>
      </c>
      <c r="E6649" s="1" t="s">
        <v>16613</v>
      </c>
      <c r="X6649" s="1" t="s">
        <v>20</v>
      </c>
      <c r="BK6649" s="1" t="s">
        <v>59</v>
      </c>
      <c r="BT6649" s="1" t="s">
        <v>68</v>
      </c>
      <c r="DR6649" s="1" t="s">
        <v>118</v>
      </c>
      <c r="GD6649" s="1" t="s">
        <v>202</v>
      </c>
      <c r="GE6649" s="1" t="s">
        <v>190</v>
      </c>
    </row>
    <row r="6650" spans="1:187" ht="11.25" customHeight="1">
      <c r="A6650" s="1" t="s">
        <v>9397</v>
      </c>
      <c r="B6650" s="1" t="str">
        <f ca="1">IFERROR(__xludf.DUMMYFUNCTION("GOOGLETRANSLATE(A6650, ""en"", ""fr"")"),"TROMPER")</f>
        <v>TROMPER</v>
      </c>
      <c r="C6650" s="1" t="s">
        <v>185</v>
      </c>
      <c r="E6650" s="1" t="s">
        <v>16613</v>
      </c>
      <c r="H6650" s="1" t="s">
        <v>4</v>
      </c>
      <c r="I6650" s="1" t="s">
        <v>5</v>
      </c>
      <c r="N6650" s="1" t="s">
        <v>10</v>
      </c>
      <c r="AN6650" s="1" t="s">
        <v>36</v>
      </c>
      <c r="DN6650" s="1" t="s">
        <v>114</v>
      </c>
      <c r="FE6650" s="1" t="s">
        <v>157</v>
      </c>
      <c r="FI6650" s="1" t="s">
        <v>161</v>
      </c>
      <c r="GD6650" s="1" t="s">
        <v>189</v>
      </c>
      <c r="GE6650" s="1" t="s">
        <v>190</v>
      </c>
    </row>
    <row r="6651" spans="1:187" ht="11.25" customHeight="1">
      <c r="A6651" s="1" t="s">
        <v>9398</v>
      </c>
      <c r="B6651" s="1" t="str">
        <f ca="1">IFERROR(__xludf.DUMMYFUNCTION("GOOGLETRANSLATE(A6651, ""en"", ""fr"")"),"En erreur")</f>
        <v>En erreur</v>
      </c>
      <c r="C6651" s="1" t="s">
        <v>196</v>
      </c>
      <c r="DZ6651" s="1" t="s">
        <v>126</v>
      </c>
      <c r="ED6651" s="1" t="s">
        <v>130</v>
      </c>
      <c r="GD6651" s="1" t="s">
        <v>448</v>
      </c>
    </row>
    <row r="6652" spans="1:187" ht="11.25" customHeight="1">
      <c r="A6652" s="1" t="s">
        <v>9399</v>
      </c>
      <c r="B6652" s="1" t="str">
        <f ca="1">IFERROR(__xludf.DUMMYFUNCTION("GOOGLETRANSLATE(A6652, ""en"", ""fr"")"),"MAUVAISE GESTION")</f>
        <v>MAUVAISE GESTION</v>
      </c>
      <c r="C6652" s="1" t="s">
        <v>196</v>
      </c>
      <c r="EH6652" s="1" t="s">
        <v>134</v>
      </c>
      <c r="EJ6652" s="1" t="s">
        <v>136</v>
      </c>
      <c r="GD6652" s="1" t="s">
        <v>193</v>
      </c>
    </row>
    <row r="6653" spans="1:187" ht="11.25" customHeight="1">
      <c r="A6653" s="1" t="s">
        <v>9400</v>
      </c>
      <c r="B6653" s="1" t="str">
        <f ca="1">IFERROR(__xludf.DUMMYFUNCTION("GOOGLETRANSLATE(A6653, ""en"", ""fr"")"),"DÉNATURER")</f>
        <v>DÉNATURER</v>
      </c>
      <c r="C6653" s="1" t="s">
        <v>192</v>
      </c>
      <c r="E6653" s="1" t="s">
        <v>16613</v>
      </c>
      <c r="N6653" s="1" t="s">
        <v>10</v>
      </c>
      <c r="X6653" s="1" t="s">
        <v>20</v>
      </c>
      <c r="BK6653" s="1" t="s">
        <v>59</v>
      </c>
      <c r="BT6653" s="1" t="s">
        <v>68</v>
      </c>
      <c r="DN6653" s="1" t="s">
        <v>114</v>
      </c>
      <c r="GD6653" s="1" t="s">
        <v>189</v>
      </c>
      <c r="GE6653" s="1" t="s">
        <v>190</v>
      </c>
    </row>
    <row r="6654" spans="1:187" ht="11.25" customHeight="1">
      <c r="A6654" s="1" t="s">
        <v>9401</v>
      </c>
      <c r="B6654" s="1" t="str">
        <f ca="1">IFERROR(__xludf.DUMMYFUNCTION("GOOGLETRANSLATE(A6654, ""en"", ""fr"")"),"Miss # 1")</f>
        <v>Miss # 1</v>
      </c>
      <c r="C6654" s="1" t="s">
        <v>185</v>
      </c>
      <c r="E6654" s="1" t="s">
        <v>16613</v>
      </c>
      <c r="H6654" s="1" t="s">
        <v>4</v>
      </c>
      <c r="L6654" s="1" t="s">
        <v>8</v>
      </c>
      <c r="BT6654" s="1" t="s">
        <v>68</v>
      </c>
      <c r="DN6654" s="1" t="s">
        <v>114</v>
      </c>
      <c r="FO6654" s="1" t="s">
        <v>167</v>
      </c>
      <c r="GD6654" s="1" t="s">
        <v>189</v>
      </c>
      <c r="GE6654" s="1" t="s">
        <v>9402</v>
      </c>
    </row>
    <row r="6655" spans="1:187" ht="11.25" customHeight="1">
      <c r="A6655" s="1" t="s">
        <v>9403</v>
      </c>
      <c r="B6655" s="1" t="str">
        <f ca="1">IFERROR(__xludf.DUMMYFUNCTION("GOOGLETRANSLATE(A6655, ""en"", ""fr"")"),"Miss # 2")</f>
        <v>Miss # 2</v>
      </c>
      <c r="C6655" s="1" t="s">
        <v>185</v>
      </c>
      <c r="AJ6655" s="1" t="s">
        <v>32</v>
      </c>
      <c r="AR6655" s="1" t="s">
        <v>40</v>
      </c>
      <c r="AT6655" s="1" t="s">
        <v>42</v>
      </c>
      <c r="FT6655" s="1" t="s">
        <v>172</v>
      </c>
      <c r="GD6655" s="1" t="s">
        <v>193</v>
      </c>
      <c r="GE6655" s="1" t="s">
        <v>9404</v>
      </c>
    </row>
    <row r="6656" spans="1:187" ht="11.25" customHeight="1">
      <c r="A6656" s="1" t="s">
        <v>9405</v>
      </c>
      <c r="B6656" s="1" t="str">
        <f ca="1">IFERROR(__xludf.DUMMYFUNCTION("GOOGLETRANSLATE(A6656, ""en"", ""fr"")"),"Miss # 3")</f>
        <v>Miss # 3</v>
      </c>
      <c r="C6656" s="1" t="s">
        <v>185</v>
      </c>
      <c r="L6656" s="1" t="s">
        <v>8</v>
      </c>
      <c r="O6656" s="1" t="s">
        <v>11</v>
      </c>
      <c r="BT6656" s="1" t="s">
        <v>68</v>
      </c>
      <c r="FR6656" s="1" t="s">
        <v>170</v>
      </c>
      <c r="GD6656" s="1" t="s">
        <v>202</v>
      </c>
      <c r="GE6656" s="1" t="s">
        <v>9406</v>
      </c>
    </row>
    <row r="6657" spans="1:187" ht="11.25" customHeight="1">
      <c r="A6657" s="1" t="s">
        <v>9407</v>
      </c>
      <c r="B6657" s="1" t="str">
        <f ca="1">IFERROR(__xludf.DUMMYFUNCTION("GOOGLETRANSLATE(A6657, ""en"", ""fr"")"),"Miss # 4")</f>
        <v>Miss # 4</v>
      </c>
      <c r="C6657" s="1" t="s">
        <v>185</v>
      </c>
      <c r="AC6657" s="1" t="s">
        <v>25</v>
      </c>
      <c r="AH6657" s="1" t="s">
        <v>30</v>
      </c>
      <c r="DI6657" s="1" t="s">
        <v>109</v>
      </c>
      <c r="GD6657" s="1" t="s">
        <v>193</v>
      </c>
      <c r="GE6657" s="1" t="s">
        <v>9408</v>
      </c>
    </row>
    <row r="6658" spans="1:187" ht="11.25" customHeight="1">
      <c r="A6658" s="1" t="s">
        <v>9409</v>
      </c>
      <c r="B6658" s="1" t="str">
        <f ca="1">IFERROR(__xludf.DUMMYFUNCTION("GOOGLETRANSLATE(A6658, ""en"", ""fr"")"),"Miss # 5")</f>
        <v>Miss # 5</v>
      </c>
      <c r="C6658" s="1" t="s">
        <v>185</v>
      </c>
      <c r="GD6658" s="1" t="s">
        <v>225</v>
      </c>
      <c r="GE6658" s="1" t="s">
        <v>9410</v>
      </c>
    </row>
    <row r="6659" spans="1:187" ht="11.25" customHeight="1">
      <c r="A6659" s="1" t="s">
        <v>9411</v>
      </c>
      <c r="B6659" s="1" t="str">
        <f ca="1">IFERROR(__xludf.DUMMYFUNCTION("GOOGLETRANSLATE(A6659, ""en"", ""fr"")"),"MISSILE")</f>
        <v>MISSILE</v>
      </c>
      <c r="C6659" s="1" t="s">
        <v>185</v>
      </c>
      <c r="I6659" s="1" t="s">
        <v>5</v>
      </c>
      <c r="J6659" s="1" t="s">
        <v>6</v>
      </c>
      <c r="AF6659" s="1" t="s">
        <v>28</v>
      </c>
      <c r="BC6659" s="1" t="s">
        <v>51</v>
      </c>
      <c r="BF6659" s="1" t="s">
        <v>54</v>
      </c>
      <c r="DW6659" s="1" t="s">
        <v>123</v>
      </c>
      <c r="ED6659" s="1" t="s">
        <v>130</v>
      </c>
      <c r="GD6659" s="1" t="s">
        <v>193</v>
      </c>
      <c r="GE6659" s="1" t="s">
        <v>9412</v>
      </c>
    </row>
    <row r="6660" spans="1:187" ht="11.25" customHeight="1">
      <c r="A6660" s="1" t="s">
        <v>9413</v>
      </c>
      <c r="B6660" s="1" t="str">
        <f ca="1">IFERROR(__xludf.DUMMYFUNCTION("GOOGLETRANSLATE(A6660, ""en"", ""fr"")"),"MISSION")</f>
        <v>MISSION</v>
      </c>
      <c r="C6660" s="1" t="s">
        <v>196</v>
      </c>
      <c r="FR6660" s="1" t="s">
        <v>170</v>
      </c>
      <c r="GD6660" s="1" t="s">
        <v>193</v>
      </c>
    </row>
    <row r="6661" spans="1:187" ht="11.25" customHeight="1">
      <c r="A6661" s="1" t="s">
        <v>9414</v>
      </c>
      <c r="B6661" s="1" t="str">
        <f ca="1">IFERROR(__xludf.DUMMYFUNCTION("GOOGLETRANSLATE(A6661, ""en"", ""fr"")"),"MISSIONNAIRE")</f>
        <v>MISSIONNAIRE</v>
      </c>
      <c r="C6661" s="1" t="s">
        <v>185</v>
      </c>
      <c r="N6661" s="1" t="s">
        <v>10</v>
      </c>
      <c r="AI6661" s="1" t="s">
        <v>31</v>
      </c>
      <c r="AJ6661" s="1" t="s">
        <v>32</v>
      </c>
      <c r="AT6661" s="1" t="s">
        <v>42</v>
      </c>
      <c r="EF6661" s="1" t="s">
        <v>132</v>
      </c>
      <c r="EJ6661" s="1" t="s">
        <v>136</v>
      </c>
      <c r="GD6661" s="1" t="s">
        <v>193</v>
      </c>
      <c r="GE6661" s="1" t="s">
        <v>190</v>
      </c>
    </row>
    <row r="6662" spans="1:187" ht="11.25" customHeight="1">
      <c r="A6662" s="1" t="s">
        <v>9415</v>
      </c>
      <c r="B6662" s="1" t="str">
        <f ca="1">IFERROR(__xludf.DUMMYFUNCTION("GOOGLETRANSLATE(A6662, ""en"", ""fr"")"),"MISSISSIPPI")</f>
        <v>MISSISSIPPI</v>
      </c>
      <c r="C6662" s="1" t="s">
        <v>196</v>
      </c>
      <c r="GD6662" s="1" t="s">
        <v>653</v>
      </c>
    </row>
    <row r="6663" spans="1:187" ht="11.25" customHeight="1">
      <c r="A6663" s="1" t="s">
        <v>9416</v>
      </c>
      <c r="B6663" s="1" t="str">
        <f ca="1">IFERROR(__xludf.DUMMYFUNCTION("GOOGLETRANSLATE(A6663, ""en"", ""fr"")"),"MISSOURI")</f>
        <v>MISSOURI</v>
      </c>
      <c r="C6663" s="1" t="s">
        <v>196</v>
      </c>
      <c r="GD6663" s="1" t="s">
        <v>653</v>
      </c>
    </row>
    <row r="6664" spans="1:187" ht="11.25" customHeight="1">
      <c r="A6664" s="1" t="s">
        <v>9417</v>
      </c>
      <c r="B6664" s="1" t="str">
        <f ca="1">IFERROR(__xludf.DUMMYFUNCTION("GOOGLETRANSLATE(A6664, ""en"", ""fr"")"),"BRUME")</f>
        <v>BRUME</v>
      </c>
      <c r="C6664" s="1" t="s">
        <v>185</v>
      </c>
      <c r="AV6664" s="1" t="s">
        <v>44</v>
      </c>
      <c r="BB6664" s="1" t="s">
        <v>50</v>
      </c>
      <c r="GD6664" s="1" t="s">
        <v>193</v>
      </c>
      <c r="GE6664" s="1" t="s">
        <v>190</v>
      </c>
    </row>
    <row r="6665" spans="1:187" ht="11.25" customHeight="1">
      <c r="A6665" s="1" t="s">
        <v>9418</v>
      </c>
      <c r="B6665" s="1" t="str">
        <f ca="1">IFERROR(__xludf.DUMMYFUNCTION("GOOGLETRANSLATE(A6665, ""en"", ""fr"")"),"Erreur # 1")</f>
        <v>Erreur # 1</v>
      </c>
      <c r="C6665" s="1" t="s">
        <v>185</v>
      </c>
      <c r="E6665" s="1" t="s">
        <v>16613</v>
      </c>
      <c r="H6665" s="1" t="s">
        <v>4</v>
      </c>
      <c r="O6665" s="1" t="s">
        <v>11</v>
      </c>
      <c r="V6665" s="1" t="s">
        <v>18</v>
      </c>
      <c r="FL6665" s="1" t="s">
        <v>164</v>
      </c>
      <c r="FM6665" s="1" t="s">
        <v>418</v>
      </c>
      <c r="GD6665" s="1" t="s">
        <v>849</v>
      </c>
      <c r="GE6665" s="1" t="s">
        <v>9419</v>
      </c>
    </row>
    <row r="6666" spans="1:187" ht="11.25" customHeight="1">
      <c r="A6666" s="1" t="s">
        <v>9420</v>
      </c>
      <c r="B6666" s="1" t="str">
        <f ca="1">IFERROR(__xludf.DUMMYFUNCTION("GOOGLETRANSLATE(A6666, ""en"", ""fr"")"),"Erreur n ° 2")</f>
        <v>Erreur n ° 2</v>
      </c>
      <c r="C6666" s="1" t="s">
        <v>185</v>
      </c>
      <c r="E6666" s="1" t="s">
        <v>16613</v>
      </c>
      <c r="H6666" s="1" t="s">
        <v>4</v>
      </c>
      <c r="O6666" s="1" t="s">
        <v>11</v>
      </c>
      <c r="V6666" s="1" t="s">
        <v>18</v>
      </c>
      <c r="FL6666" s="1" t="s">
        <v>164</v>
      </c>
      <c r="FM6666" s="1" t="s">
        <v>418</v>
      </c>
      <c r="GD6666" s="1" t="s">
        <v>236</v>
      </c>
      <c r="GE6666" s="1" t="s">
        <v>9421</v>
      </c>
    </row>
    <row r="6667" spans="1:187" ht="11.25" customHeight="1">
      <c r="A6667" s="1" t="s">
        <v>9422</v>
      </c>
      <c r="B6667" s="1" t="str">
        <f ca="1">IFERROR(__xludf.DUMMYFUNCTION("GOOGLETRANSLATE(A6667, ""en"", ""fr"")"),"Erreur # 3")</f>
        <v>Erreur # 3</v>
      </c>
      <c r="C6667" s="1" t="s">
        <v>185</v>
      </c>
      <c r="E6667" s="1" t="s">
        <v>16613</v>
      </c>
      <c r="H6667" s="1" t="s">
        <v>4</v>
      </c>
      <c r="O6667" s="1" t="s">
        <v>11</v>
      </c>
      <c r="CO6667" s="1" t="s">
        <v>89</v>
      </c>
      <c r="DN6667" s="1" t="s">
        <v>114</v>
      </c>
      <c r="FE6667" s="1" t="s">
        <v>157</v>
      </c>
      <c r="FI6667" s="1" t="s">
        <v>161</v>
      </c>
      <c r="GD6667" s="1" t="s">
        <v>189</v>
      </c>
      <c r="GE6667" s="1" t="s">
        <v>9423</v>
      </c>
    </row>
    <row r="6668" spans="1:187" ht="11.25" customHeight="1">
      <c r="A6668" s="1" t="s">
        <v>9424</v>
      </c>
      <c r="B6668" s="1" t="str">
        <f ca="1">IFERROR(__xludf.DUMMYFUNCTION("GOOGLETRANSLATE(A6668, ""en"", ""fr"")"),"Se tromper")</f>
        <v>Se tromper</v>
      </c>
      <c r="C6668" s="1" t="s">
        <v>192</v>
      </c>
      <c r="E6668" s="1" t="s">
        <v>16613</v>
      </c>
      <c r="N6668" s="1" t="s">
        <v>10</v>
      </c>
      <c r="X6668" s="1" t="s">
        <v>20</v>
      </c>
      <c r="BT6668" s="1" t="s">
        <v>68</v>
      </c>
      <c r="CK6668" s="1" t="s">
        <v>85</v>
      </c>
      <c r="DN6668" s="1" t="s">
        <v>114</v>
      </c>
      <c r="GD6668" s="1" t="s">
        <v>189</v>
      </c>
      <c r="GE6668" s="1" t="s">
        <v>190</v>
      </c>
    </row>
    <row r="6669" spans="1:187" ht="11.25" customHeight="1">
      <c r="A6669" s="1" t="s">
        <v>9425</v>
      </c>
      <c r="B6669" s="1" t="str">
        <f ca="1">IFERROR(__xludf.DUMMYFUNCTION("GOOGLETRANSLATE(A6669, ""en"", ""fr"")"),"MONSIEUR")</f>
        <v>MONSIEUR</v>
      </c>
      <c r="C6669" s="1" t="s">
        <v>185</v>
      </c>
      <c r="AJ6669" s="1" t="s">
        <v>32</v>
      </c>
      <c r="AQ6669" s="1" t="s">
        <v>39</v>
      </c>
      <c r="AT6669" s="1" t="s">
        <v>42</v>
      </c>
      <c r="EM6669" s="1" t="s">
        <v>139</v>
      </c>
      <c r="EN6669" s="1" t="s">
        <v>140</v>
      </c>
      <c r="GD6669" s="1" t="s">
        <v>193</v>
      </c>
      <c r="GE6669" s="1" t="s">
        <v>190</v>
      </c>
    </row>
    <row r="6670" spans="1:187" ht="11.25" customHeight="1">
      <c r="A6670" s="1" t="s">
        <v>9426</v>
      </c>
      <c r="B6670" s="1" t="str">
        <f ca="1">IFERROR(__xludf.DUMMYFUNCTION("GOOGLETRANSLATE(A6670, ""en"", ""fr"")"),"Se faufiler")</f>
        <v>Se faufiler</v>
      </c>
      <c r="C6670" s="1" t="s">
        <v>196</v>
      </c>
      <c r="FE6670" s="1" t="s">
        <v>157</v>
      </c>
      <c r="FI6670" s="1" t="s">
        <v>161</v>
      </c>
      <c r="GD6670" s="1" t="s">
        <v>189</v>
      </c>
    </row>
    <row r="6671" spans="1:187" ht="11.25" customHeight="1">
      <c r="A6671" s="1" t="s">
        <v>9427</v>
      </c>
      <c r="B6671" s="1" t="str">
        <f ca="1">IFERROR(__xludf.DUMMYFUNCTION("GOOGLETRANSLATE(A6671, ""en"", ""fr"")"),"MALTRAITER")</f>
        <v>MALTRAITER</v>
      </c>
      <c r="C6671" s="1" t="s">
        <v>196</v>
      </c>
      <c r="EL6671" s="1" t="s">
        <v>138</v>
      </c>
      <c r="EN6671" s="1" t="s">
        <v>140</v>
      </c>
      <c r="GD6671" s="1" t="s">
        <v>189</v>
      </c>
    </row>
    <row r="6672" spans="1:187" ht="11.25" customHeight="1">
      <c r="A6672" s="1" t="s">
        <v>9428</v>
      </c>
      <c r="B6672" s="1" t="str">
        <f ca="1">IFERROR(__xludf.DUMMYFUNCTION("GOOGLETRANSLATE(A6672, ""en"", ""fr"")"),"Mauvais traitement")</f>
        <v>Mauvais traitement</v>
      </c>
      <c r="C6672" s="1" t="s">
        <v>196</v>
      </c>
      <c r="EE6672" s="1" t="s">
        <v>131</v>
      </c>
      <c r="EJ6672" s="1" t="s">
        <v>136</v>
      </c>
      <c r="GD6672" s="1" t="s">
        <v>193</v>
      </c>
    </row>
    <row r="6673" spans="1:187" ht="11.25" customHeight="1">
      <c r="A6673" s="1" t="s">
        <v>9429</v>
      </c>
      <c r="B6673" s="1" t="str">
        <f ca="1">IFERROR(__xludf.DUMMYFUNCTION("GOOGLETRANSLATE(A6673, ""en"", ""fr"")"),"MAÎTRESSE")</f>
        <v>MAÎTRESSE</v>
      </c>
      <c r="C6673" s="1" t="s">
        <v>196</v>
      </c>
      <c r="EQ6673" s="1" t="s">
        <v>143</v>
      </c>
      <c r="ES6673" s="1" t="s">
        <v>145</v>
      </c>
      <c r="GD6673" s="1" t="s">
        <v>448</v>
      </c>
    </row>
    <row r="6674" spans="1:187" ht="11.25" customHeight="1">
      <c r="A6674" s="1" t="s">
        <v>9430</v>
      </c>
      <c r="B6674" s="1" t="str">
        <f ca="1">IFERROR(__xludf.DUMMYFUNCTION("GOOGLETRANSLATE(A6674, ""en"", ""fr"")"),"MÉFIANCE")</f>
        <v>MÉFIANCE</v>
      </c>
      <c r="C6674" s="1" t="s">
        <v>192</v>
      </c>
      <c r="E6674" s="1" t="s">
        <v>16613</v>
      </c>
      <c r="N6674" s="1" t="s">
        <v>10</v>
      </c>
      <c r="X6674" s="1" t="s">
        <v>20</v>
      </c>
      <c r="BT6674" s="1" t="s">
        <v>68</v>
      </c>
      <c r="CK6674" s="1" t="s">
        <v>85</v>
      </c>
      <c r="DN6674" s="1" t="s">
        <v>114</v>
      </c>
      <c r="GD6674" s="1" t="s">
        <v>189</v>
      </c>
      <c r="GE6674" s="1" t="s">
        <v>190</v>
      </c>
    </row>
    <row r="6675" spans="1:187" ht="11.25" customHeight="1">
      <c r="A6675" s="1" t="s">
        <v>9431</v>
      </c>
      <c r="B6675" s="1" t="str">
        <f ca="1">IFERROR(__xludf.DUMMYFUNCTION("GOOGLETRANSLATE(A6675, ""en"", ""fr"")"),"MAL COMPRENDRE")</f>
        <v>MAL COMPRENDRE</v>
      </c>
      <c r="C6675" s="1" t="s">
        <v>185</v>
      </c>
      <c r="E6675" s="1" t="s">
        <v>16613</v>
      </c>
      <c r="H6675" s="1" t="s">
        <v>4</v>
      </c>
      <c r="O6675" s="1" t="s">
        <v>11</v>
      </c>
      <c r="CO6675" s="1" t="s">
        <v>89</v>
      </c>
      <c r="DN6675" s="1" t="s">
        <v>114</v>
      </c>
      <c r="FE6675" s="1" t="s">
        <v>157</v>
      </c>
      <c r="FI6675" s="1" t="s">
        <v>161</v>
      </c>
      <c r="GD6675" s="1" t="s">
        <v>189</v>
      </c>
      <c r="GE6675" s="1" t="s">
        <v>190</v>
      </c>
    </row>
    <row r="6676" spans="1:187" ht="11.25" customHeight="1">
      <c r="A6676" s="1" t="s">
        <v>9432</v>
      </c>
      <c r="B6676" s="1" t="str">
        <f ca="1">IFERROR(__xludf.DUMMYFUNCTION("GOOGLETRANSLATE(A6676, ""en"", ""fr"")"),"MALENTENDU")</f>
        <v>MALENTENDU</v>
      </c>
      <c r="C6676" s="1" t="s">
        <v>192</v>
      </c>
      <c r="E6676" s="1" t="s">
        <v>16613</v>
      </c>
      <c r="X6676" s="1" t="s">
        <v>20</v>
      </c>
      <c r="BK6676" s="1" t="s">
        <v>59</v>
      </c>
      <c r="BT6676" s="1" t="s">
        <v>68</v>
      </c>
      <c r="GD6676" s="1" t="s">
        <v>193</v>
      </c>
      <c r="GE6676" s="1" t="s">
        <v>190</v>
      </c>
    </row>
    <row r="6677" spans="1:187" ht="11.25" customHeight="1">
      <c r="A6677" s="1" t="s">
        <v>9433</v>
      </c>
      <c r="B6677" s="1" t="str">
        <f ca="1">IFERROR(__xludf.DUMMYFUNCTION("GOOGLETRANSLATE(A6677, ""en"", ""fr"")"),"MAL COMPRIS")</f>
        <v>MAL COMPRIS</v>
      </c>
      <c r="C6677" s="1" t="s">
        <v>185</v>
      </c>
      <c r="E6677" s="1" t="s">
        <v>16613</v>
      </c>
      <c r="H6677" s="1" t="s">
        <v>4</v>
      </c>
      <c r="O6677" s="1" t="s">
        <v>11</v>
      </c>
      <c r="CO6677" s="1" t="s">
        <v>89</v>
      </c>
      <c r="DN6677" s="1" t="s">
        <v>114</v>
      </c>
      <c r="FE6677" s="1" t="s">
        <v>157</v>
      </c>
      <c r="FI6677" s="1" t="s">
        <v>161</v>
      </c>
      <c r="GD6677" s="1" t="s">
        <v>189</v>
      </c>
      <c r="GE6677" s="1" t="s">
        <v>190</v>
      </c>
    </row>
    <row r="6678" spans="1:187" ht="11.25" customHeight="1">
      <c r="A6678" s="1" t="s">
        <v>9434</v>
      </c>
      <c r="B6678" s="1" t="str">
        <f ca="1">IFERROR(__xludf.DUMMYFUNCTION("GOOGLETRANSLATE(A6678, ""en"", ""fr"")"),"ABUSER")</f>
        <v>ABUSER</v>
      </c>
      <c r="C6678" s="1" t="s">
        <v>192</v>
      </c>
      <c r="E6678" s="1" t="s">
        <v>16613</v>
      </c>
      <c r="V6678" s="1" t="s">
        <v>18</v>
      </c>
      <c r="BT6678" s="1" t="s">
        <v>68</v>
      </c>
      <c r="GD6678" s="1" t="s">
        <v>193</v>
      </c>
      <c r="GE6678" s="1" t="s">
        <v>190</v>
      </c>
    </row>
    <row r="6679" spans="1:187" ht="11.25" customHeight="1">
      <c r="A6679" s="1" t="s">
        <v>9435</v>
      </c>
      <c r="B6679" s="1" t="str">
        <f ca="1">IFERROR(__xludf.DUMMYFUNCTION("GOOGLETRANSLATE(A6679, ""en"", ""fr"")"),"ATTÉNUER")</f>
        <v>ATTÉNUER</v>
      </c>
      <c r="C6679" s="1" t="s">
        <v>185</v>
      </c>
      <c r="BW6679" s="1" t="s">
        <v>71</v>
      </c>
      <c r="DN6679" s="1" t="s">
        <v>114</v>
      </c>
      <c r="FP6679" s="1" t="s">
        <v>168</v>
      </c>
      <c r="GD6679" s="1" t="s">
        <v>189</v>
      </c>
      <c r="GE6679" s="1" t="s">
        <v>190</v>
      </c>
    </row>
    <row r="6680" spans="1:187" ht="11.25" customHeight="1">
      <c r="A6680" s="1" t="s">
        <v>9436</v>
      </c>
      <c r="B6680" s="1" t="str">
        <f ca="1">IFERROR(__xludf.DUMMYFUNCTION("GOOGLETRANSLATE(A6680, ""en"", ""fr"")"),"Mélange n ° 1")</f>
        <v>Mélange n ° 1</v>
      </c>
      <c r="C6680" s="1" t="s">
        <v>185</v>
      </c>
      <c r="N6680" s="1" t="s">
        <v>10</v>
      </c>
      <c r="DD6680" s="1" t="s">
        <v>104</v>
      </c>
      <c r="DO6680" s="1" t="s">
        <v>115</v>
      </c>
      <c r="FP6680" s="1" t="s">
        <v>168</v>
      </c>
      <c r="GD6680" s="1" t="s">
        <v>189</v>
      </c>
      <c r="GE6680" s="1" t="s">
        <v>9437</v>
      </c>
    </row>
    <row r="6681" spans="1:187" ht="11.25" customHeight="1">
      <c r="A6681" s="1" t="s">
        <v>9438</v>
      </c>
      <c r="B6681" s="1" t="str">
        <f ca="1">IFERROR(__xludf.DUMMYFUNCTION("GOOGLETRANSLATE(A6681, ""en"", ""fr"")"),"Mélange n ° 2")</f>
        <v>Mélange n ° 2</v>
      </c>
      <c r="C6681" s="1" t="s">
        <v>185</v>
      </c>
      <c r="O6681" s="1" t="s">
        <v>11</v>
      </c>
      <c r="CR6681" s="1" t="s">
        <v>92</v>
      </c>
      <c r="GD6681" s="1" t="s">
        <v>202</v>
      </c>
      <c r="GE6681" s="1" t="s">
        <v>9439</v>
      </c>
    </row>
    <row r="6682" spans="1:187" ht="11.25" customHeight="1">
      <c r="A6682" s="1" t="s">
        <v>9440</v>
      </c>
      <c r="B6682" s="1" t="str">
        <f ca="1">IFERROR(__xludf.DUMMYFUNCTION("GOOGLETRANSLATE(A6682, ""en"", ""fr"")"),"Mélange n ° 3")</f>
        <v>Mélange n ° 3</v>
      </c>
      <c r="C6682" s="1" t="s">
        <v>185</v>
      </c>
      <c r="E6682" s="1" t="s">
        <v>16613</v>
      </c>
      <c r="H6682" s="1" t="s">
        <v>4</v>
      </c>
      <c r="L6682" s="1" t="s">
        <v>8</v>
      </c>
      <c r="O6682" s="1" t="s">
        <v>11</v>
      </c>
      <c r="T6682" s="1" t="s">
        <v>16</v>
      </c>
      <c r="V6682" s="1" t="s">
        <v>18</v>
      </c>
      <c r="EY6682" s="1" t="s">
        <v>151</v>
      </c>
      <c r="FC6682" s="1" t="s">
        <v>155</v>
      </c>
      <c r="GD6682" s="1" t="s">
        <v>202</v>
      </c>
      <c r="GE6682" s="1" t="s">
        <v>9441</v>
      </c>
    </row>
    <row r="6683" spans="1:187" ht="11.25" customHeight="1">
      <c r="A6683" s="1" t="s">
        <v>9442</v>
      </c>
      <c r="B6683" s="1" t="str">
        <f ca="1">IFERROR(__xludf.DUMMYFUNCTION("GOOGLETRANSLATE(A6683, ""en"", ""fr"")"),"Mélange n ° 4")</f>
        <v>Mélange n ° 4</v>
      </c>
      <c r="C6683" s="1" t="s">
        <v>185</v>
      </c>
      <c r="L6683" s="1" t="s">
        <v>8</v>
      </c>
      <c r="O6683" s="1" t="s">
        <v>11</v>
      </c>
      <c r="DD6683" s="1" t="s">
        <v>104</v>
      </c>
      <c r="GD6683" s="1" t="s">
        <v>202</v>
      </c>
      <c r="GE6683" s="1" t="s">
        <v>9443</v>
      </c>
    </row>
    <row r="6684" spans="1:187" ht="11.25" customHeight="1">
      <c r="A6684" s="1" t="s">
        <v>9444</v>
      </c>
      <c r="B6684" s="1" t="str">
        <f ca="1">IFERROR(__xludf.DUMMYFUNCTION("GOOGLETRANSLATE(A6684, ""en"", ""fr"")"),"Mélange n ° 5")</f>
        <v>Mélange n ° 5</v>
      </c>
      <c r="C6684" s="1" t="s">
        <v>185</v>
      </c>
      <c r="BC6684" s="1" t="s">
        <v>51</v>
      </c>
      <c r="BD6684" s="1" t="s">
        <v>52</v>
      </c>
      <c r="GD6684" s="1" t="s">
        <v>193</v>
      </c>
      <c r="GE6684" s="1" t="s">
        <v>9445</v>
      </c>
    </row>
    <row r="6685" spans="1:187" ht="11.25" customHeight="1">
      <c r="A6685" s="1" t="s">
        <v>9446</v>
      </c>
      <c r="B6685" s="1" t="str">
        <f ca="1">IFERROR(__xludf.DUMMYFUNCTION("GOOGLETRANSLATE(A6685, ""en"", ""fr"")"),"MÉLANGE")</f>
        <v>MÉLANGE</v>
      </c>
      <c r="C6685" s="1" t="s">
        <v>185</v>
      </c>
      <c r="CR6685" s="1" t="s">
        <v>92</v>
      </c>
      <c r="GD6685" s="1" t="s">
        <v>193</v>
      </c>
      <c r="GE6685" s="1" t="s">
        <v>190</v>
      </c>
    </row>
    <row r="6686" spans="1:187" ht="11.25" customHeight="1">
      <c r="A6686" s="1" t="s">
        <v>9447</v>
      </c>
      <c r="B6686" s="1" t="str">
        <f ca="1">IFERROR(__xludf.DUMMYFUNCTION("GOOGLETRANSLATE(A6686, ""en"", ""fr"")"),"GÉMIR")</f>
        <v>GÉMIR</v>
      </c>
      <c r="C6686" s="1" t="s">
        <v>192</v>
      </c>
      <c r="E6686" s="1" t="s">
        <v>16613</v>
      </c>
      <c r="N6686" s="1" t="s">
        <v>10</v>
      </c>
      <c r="Q6686" s="1" t="s">
        <v>13</v>
      </c>
      <c r="BK6686" s="1" t="s">
        <v>59</v>
      </c>
      <c r="DO6686" s="1" t="s">
        <v>115</v>
      </c>
      <c r="GD6686" s="1" t="s">
        <v>189</v>
      </c>
      <c r="GE6686" s="1" t="s">
        <v>190</v>
      </c>
    </row>
    <row r="6687" spans="1:187" ht="11.25" customHeight="1">
      <c r="A6687" s="1" t="s">
        <v>9448</v>
      </c>
      <c r="B6687" s="1" t="str">
        <f ca="1">IFERROR(__xludf.DUMMYFUNCTION("GOOGLETRANSLATE(A6687, ""en"", ""fr"")"),"FOULE")</f>
        <v>FOULE</v>
      </c>
      <c r="C6687" s="1" t="s">
        <v>185</v>
      </c>
      <c r="I6687" s="1" t="s">
        <v>5</v>
      </c>
      <c r="AK6687" s="1" t="s">
        <v>33</v>
      </c>
      <c r="AT6687" s="1" t="s">
        <v>42</v>
      </c>
      <c r="EC6687" s="1" t="s">
        <v>129</v>
      </c>
      <c r="ED6687" s="1" t="s">
        <v>130</v>
      </c>
      <c r="GD6687" s="1" t="s">
        <v>193</v>
      </c>
      <c r="GE6687" s="1" t="s">
        <v>190</v>
      </c>
    </row>
    <row r="6688" spans="1:187" ht="11.25" customHeight="1">
      <c r="A6688" s="1" t="s">
        <v>9449</v>
      </c>
      <c r="B6688" s="1" t="str">
        <f ca="1">IFERROR(__xludf.DUMMYFUNCTION("GOOGLETRANSLATE(A6688, ""en"", ""fr"")"),"MOBILE")</f>
        <v>MOBILE</v>
      </c>
      <c r="C6688" s="1" t="s">
        <v>185</v>
      </c>
      <c r="J6688" s="1" t="s">
        <v>6</v>
      </c>
      <c r="N6688" s="1" t="s">
        <v>10</v>
      </c>
      <c r="CE6688" s="1" t="s">
        <v>79</v>
      </c>
      <c r="GD6688" s="1" t="s">
        <v>202</v>
      </c>
      <c r="GE6688" s="1" t="s">
        <v>190</v>
      </c>
    </row>
    <row r="6689" spans="1:187" ht="11.25" customHeight="1">
      <c r="A6689" s="1" t="s">
        <v>9450</v>
      </c>
      <c r="B6689" s="1" t="str">
        <f ca="1">IFERROR(__xludf.DUMMYFUNCTION("GOOGLETRANSLATE(A6689, ""en"", ""fr"")"),"MOBILITÉ")</f>
        <v>MOBILITÉ</v>
      </c>
      <c r="C6689" s="1" t="s">
        <v>192</v>
      </c>
      <c r="D6689" s="1" t="s">
        <v>16612</v>
      </c>
      <c r="GD6689" s="1" t="s">
        <v>193</v>
      </c>
      <c r="GE6689" s="1" t="s">
        <v>190</v>
      </c>
    </row>
    <row r="6690" spans="1:187" ht="11.25" customHeight="1">
      <c r="A6690" s="1" t="s">
        <v>9451</v>
      </c>
      <c r="B6690" s="1" t="str">
        <f ca="1">IFERROR(__xludf.DUMMYFUNCTION("GOOGLETRANSLATE(A6690, ""en"", ""fr"")"),"MOBILISER")</f>
        <v>MOBILISER</v>
      </c>
      <c r="C6690" s="1" t="s">
        <v>192</v>
      </c>
      <c r="D6690" s="1" t="s">
        <v>16612</v>
      </c>
      <c r="N6690" s="1" t="s">
        <v>10</v>
      </c>
      <c r="CE6690" s="1" t="s">
        <v>79</v>
      </c>
      <c r="DN6690" s="1" t="s">
        <v>114</v>
      </c>
      <c r="GD6690" s="1" t="s">
        <v>189</v>
      </c>
      <c r="GE6690" s="1" t="s">
        <v>190</v>
      </c>
    </row>
    <row r="6691" spans="1:187" ht="11.25" customHeight="1">
      <c r="A6691" s="1" t="s">
        <v>9452</v>
      </c>
      <c r="B6691" s="1" t="str">
        <f ca="1">IFERROR(__xludf.DUMMYFUNCTION("GOOGLETRANSLATE(A6691, ""en"", ""fr"")"),"SE MOQUER")</f>
        <v>SE MOQUER</v>
      </c>
      <c r="C6691" s="1" t="s">
        <v>185</v>
      </c>
      <c r="E6691" s="1" t="s">
        <v>16613</v>
      </c>
      <c r="K6691" s="1" t="s">
        <v>7</v>
      </c>
      <c r="N6691" s="1" t="s">
        <v>10</v>
      </c>
      <c r="BK6691" s="1" t="s">
        <v>59</v>
      </c>
      <c r="DN6691" s="1" t="s">
        <v>114</v>
      </c>
      <c r="EL6691" s="1" t="s">
        <v>138</v>
      </c>
      <c r="EN6691" s="1" t="s">
        <v>140</v>
      </c>
      <c r="GD6691" s="1" t="s">
        <v>670</v>
      </c>
      <c r="GE6691" s="1" t="s">
        <v>190</v>
      </c>
    </row>
    <row r="6692" spans="1:187" ht="11.25" customHeight="1">
      <c r="A6692" s="1" t="s">
        <v>9453</v>
      </c>
      <c r="B6692" s="1" t="str">
        <f ca="1">IFERROR(__xludf.DUMMYFUNCTION("GOOGLETRANSLATE(A6692, ""en"", ""fr"")"),"MOQUERIE")</f>
        <v>MOQUERIE</v>
      </c>
      <c r="C6692" s="1" t="s">
        <v>192</v>
      </c>
      <c r="E6692" s="1" t="s">
        <v>16613</v>
      </c>
      <c r="K6692" s="1" t="s">
        <v>7</v>
      </c>
      <c r="BK6692" s="1" t="s">
        <v>59</v>
      </c>
      <c r="GD6692" s="1" t="s">
        <v>1177</v>
      </c>
      <c r="GE6692" s="1" t="s">
        <v>190</v>
      </c>
    </row>
    <row r="6693" spans="1:187" ht="11.25" customHeight="1">
      <c r="A6693" s="1" t="s">
        <v>9454</v>
      </c>
      <c r="B6693" s="1" t="str">
        <f ca="1">IFERROR(__xludf.DUMMYFUNCTION("GOOGLETRANSLATE(A6693, ""en"", ""fr"")"),"MODE")</f>
        <v>MODE</v>
      </c>
      <c r="C6693" s="1" t="s">
        <v>185</v>
      </c>
      <c r="BQ6693" s="1" t="s">
        <v>65</v>
      </c>
      <c r="GD6693" s="1" t="s">
        <v>193</v>
      </c>
      <c r="GE6693" s="1" t="s">
        <v>190</v>
      </c>
    </row>
    <row r="6694" spans="1:187" ht="11.25" customHeight="1">
      <c r="A6694" s="1" t="s">
        <v>9455</v>
      </c>
      <c r="B6694" s="1" t="str">
        <f ca="1">IFERROR(__xludf.DUMMYFUNCTION("GOOGLETRANSLATE(A6694, ""en"", ""fr"")"),"MODÉRÉ")</f>
        <v>MODÉRÉ</v>
      </c>
      <c r="C6694" s="1" t="s">
        <v>185</v>
      </c>
      <c r="D6694" s="1" t="s">
        <v>16612</v>
      </c>
      <c r="F6694" s="1" t="s">
        <v>2</v>
      </c>
      <c r="U6694" s="1" t="s">
        <v>17</v>
      </c>
      <c r="X6694" s="1" t="s">
        <v>20</v>
      </c>
      <c r="DN6694" s="1" t="s">
        <v>114</v>
      </c>
      <c r="GD6694" s="1" t="s">
        <v>202</v>
      </c>
      <c r="GE6694" s="1" t="s">
        <v>190</v>
      </c>
    </row>
    <row r="6695" spans="1:187" ht="11.25" customHeight="1">
      <c r="A6695" s="1" t="s">
        <v>9456</v>
      </c>
      <c r="B6695" s="1" t="str">
        <f ca="1">IFERROR(__xludf.DUMMYFUNCTION("GOOGLETRANSLATE(A6695, ""en"", ""fr"")"),"MODÉRATION")</f>
        <v>MODÉRATION</v>
      </c>
      <c r="C6695" s="1" t="s">
        <v>185</v>
      </c>
      <c r="D6695" s="1" t="s">
        <v>16612</v>
      </c>
      <c r="X6695" s="1" t="s">
        <v>20</v>
      </c>
      <c r="DX6695" s="1" t="s">
        <v>124</v>
      </c>
      <c r="ED6695" s="1" t="s">
        <v>130</v>
      </c>
      <c r="GD6695" s="1" t="s">
        <v>193</v>
      </c>
      <c r="GE6695" s="1" t="s">
        <v>190</v>
      </c>
    </row>
    <row r="6696" spans="1:187" ht="11.25" customHeight="1">
      <c r="A6696" s="1" t="s">
        <v>9457</v>
      </c>
      <c r="B6696" s="1" t="str">
        <f ca="1">IFERROR(__xludf.DUMMYFUNCTION("GOOGLETRANSLATE(A6696, ""en"", ""fr"")"),"Moderne # 1")</f>
        <v>Moderne # 1</v>
      </c>
      <c r="C6696" s="1" t="s">
        <v>185</v>
      </c>
      <c r="CY6696" s="1" t="s">
        <v>99</v>
      </c>
      <c r="FL6696" s="1" t="s">
        <v>164</v>
      </c>
      <c r="FM6696" s="1" t="s">
        <v>418</v>
      </c>
      <c r="GD6696" s="1" t="s">
        <v>202</v>
      </c>
      <c r="GE6696" s="1" t="s">
        <v>9458</v>
      </c>
    </row>
    <row r="6697" spans="1:187" ht="11.25" customHeight="1">
      <c r="A6697" s="1" t="s">
        <v>9459</v>
      </c>
      <c r="B6697" s="1" t="str">
        <f ca="1">IFERROR(__xludf.DUMMYFUNCTION("GOOGLETRANSLATE(A6697, ""en"", ""fr"")"),"Moderne # 2")</f>
        <v>Moderne # 2</v>
      </c>
      <c r="C6697" s="1" t="s">
        <v>185</v>
      </c>
      <c r="AK6697" s="1" t="s">
        <v>33</v>
      </c>
      <c r="AT6697" s="1" t="s">
        <v>42</v>
      </c>
      <c r="FK6697" s="1" t="s">
        <v>163</v>
      </c>
      <c r="FM6697" s="1" t="s">
        <v>418</v>
      </c>
      <c r="GD6697" s="1" t="s">
        <v>193</v>
      </c>
      <c r="GE6697" s="1" t="s">
        <v>9460</v>
      </c>
    </row>
    <row r="6698" spans="1:187" ht="11.25" customHeight="1">
      <c r="A6698" s="1" t="s">
        <v>9461</v>
      </c>
      <c r="B6698" s="1" t="str">
        <f ca="1">IFERROR(__xludf.DUMMYFUNCTION("GOOGLETRANSLATE(A6698, ""en"", ""fr"")"),"LA MODERNITÉ")</f>
        <v>LA MODERNITÉ</v>
      </c>
      <c r="C6698" s="1" t="s">
        <v>192</v>
      </c>
      <c r="D6698" s="1" t="s">
        <v>16612</v>
      </c>
      <c r="CY6698" s="1" t="s">
        <v>99</v>
      </c>
      <c r="GD6698" s="1" t="s">
        <v>193</v>
      </c>
      <c r="GE6698" s="1" t="s">
        <v>190</v>
      </c>
    </row>
    <row r="6699" spans="1:187" ht="11.25" customHeight="1">
      <c r="A6699" s="1" t="s">
        <v>9462</v>
      </c>
      <c r="B6699" s="1" t="str">
        <f ca="1">IFERROR(__xludf.DUMMYFUNCTION("GOOGLETRANSLATE(A6699, ""en"", ""fr"")"),"MODERNISATION")</f>
        <v>MODERNISATION</v>
      </c>
      <c r="C6699" s="1" t="s">
        <v>185</v>
      </c>
      <c r="U6699" s="1" t="s">
        <v>17</v>
      </c>
      <c r="AC6699" s="1" t="s">
        <v>25</v>
      </c>
      <c r="AH6699" s="1" t="s">
        <v>30</v>
      </c>
      <c r="FL6699" s="1" t="s">
        <v>164</v>
      </c>
      <c r="FM6699" s="1" t="s">
        <v>418</v>
      </c>
      <c r="GD6699" s="1" t="s">
        <v>193</v>
      </c>
      <c r="GE6699" s="1" t="s">
        <v>190</v>
      </c>
    </row>
    <row r="6700" spans="1:187" ht="11.25" customHeight="1">
      <c r="A6700" s="1" t="s">
        <v>9463</v>
      </c>
      <c r="B6700" s="1" t="str">
        <f ca="1">IFERROR(__xludf.DUMMYFUNCTION("GOOGLETRANSLATE(A6700, ""en"", ""fr"")"),"MODESTE")</f>
        <v>MODESTE</v>
      </c>
      <c r="C6700" s="1" t="s">
        <v>185</v>
      </c>
      <c r="D6700" s="1" t="s">
        <v>16612</v>
      </c>
      <c r="F6700" s="1" t="s">
        <v>2</v>
      </c>
      <c r="L6700" s="1" t="s">
        <v>8</v>
      </c>
      <c r="M6700" s="1" t="s">
        <v>9</v>
      </c>
      <c r="U6700" s="1" t="s">
        <v>17</v>
      </c>
      <c r="CN6700" s="1" t="s">
        <v>88</v>
      </c>
      <c r="EM6700" s="1" t="s">
        <v>139</v>
      </c>
      <c r="EN6700" s="1" t="s">
        <v>140</v>
      </c>
      <c r="GD6700" s="1" t="s">
        <v>202</v>
      </c>
      <c r="GE6700" s="1" t="s">
        <v>190</v>
      </c>
    </row>
    <row r="6701" spans="1:187" ht="11.25" customHeight="1">
      <c r="A6701" s="1" t="s">
        <v>9464</v>
      </c>
      <c r="B6701" s="1" t="str">
        <f ca="1">IFERROR(__xludf.DUMMYFUNCTION("GOOGLETRANSLATE(A6701, ""en"", ""fr"")"),"MODESTIE")</f>
        <v>MODESTIE</v>
      </c>
      <c r="C6701" s="1" t="s">
        <v>192</v>
      </c>
      <c r="D6701" s="1" t="s">
        <v>16612</v>
      </c>
      <c r="S6701" s="1" t="s">
        <v>15</v>
      </c>
      <c r="X6701" s="1" t="s">
        <v>20</v>
      </c>
      <c r="CR6701" s="1" t="s">
        <v>92</v>
      </c>
      <c r="GD6701" s="1" t="s">
        <v>193</v>
      </c>
      <c r="GE6701" s="1" t="s">
        <v>190</v>
      </c>
    </row>
    <row r="6702" spans="1:187" ht="11.25" customHeight="1">
      <c r="A6702" s="1" t="s">
        <v>9465</v>
      </c>
      <c r="B6702" s="1" t="str">
        <f ca="1">IFERROR(__xludf.DUMMYFUNCTION("GOOGLETRANSLATE(A6702, ""en"", ""fr"")"),"MODIFICATION")</f>
        <v>MODIFICATION</v>
      </c>
      <c r="C6702" s="1" t="s">
        <v>185</v>
      </c>
      <c r="N6702" s="1" t="s">
        <v>10</v>
      </c>
      <c r="BW6702" s="1" t="s">
        <v>71</v>
      </c>
      <c r="FP6702" s="1" t="s">
        <v>168</v>
      </c>
      <c r="GD6702" s="1" t="s">
        <v>193</v>
      </c>
      <c r="GE6702" s="1" t="s">
        <v>190</v>
      </c>
    </row>
    <row r="6703" spans="1:187" ht="11.25" customHeight="1">
      <c r="A6703" s="1" t="s">
        <v>9466</v>
      </c>
      <c r="B6703" s="1" t="str">
        <f ca="1">IFERROR(__xludf.DUMMYFUNCTION("GOOGLETRANSLATE(A6703, ""en"", ""fr"")"),"MODIFIER")</f>
        <v>MODIFIER</v>
      </c>
      <c r="C6703" s="1" t="s">
        <v>185</v>
      </c>
      <c r="J6703" s="1" t="s">
        <v>6</v>
      </c>
      <c r="N6703" s="1" t="s">
        <v>10</v>
      </c>
      <c r="BW6703" s="1" t="s">
        <v>71</v>
      </c>
      <c r="DN6703" s="1" t="s">
        <v>114</v>
      </c>
      <c r="FP6703" s="1" t="s">
        <v>168</v>
      </c>
      <c r="GD6703" s="1" t="s">
        <v>189</v>
      </c>
      <c r="GE6703" s="1" t="s">
        <v>190</v>
      </c>
    </row>
    <row r="6704" spans="1:187" ht="11.25" customHeight="1">
      <c r="A6704" s="1" t="s">
        <v>9467</v>
      </c>
      <c r="B6704" s="1" t="str">
        <f ca="1">IFERROR(__xludf.DUMMYFUNCTION("GOOGLETRANSLATE(A6704, ""en"", ""fr"")"),"HUMIDITÉ")</f>
        <v>HUMIDITÉ</v>
      </c>
      <c r="C6704" s="1" t="s">
        <v>185</v>
      </c>
      <c r="BU6704" s="1" t="s">
        <v>69</v>
      </c>
      <c r="GD6704" s="1" t="s">
        <v>193</v>
      </c>
      <c r="GE6704" s="1" t="s">
        <v>190</v>
      </c>
    </row>
    <row r="6705" spans="1:187" ht="11.25" customHeight="1">
      <c r="A6705" s="1" t="s">
        <v>9468</v>
      </c>
      <c r="B6705" s="1" t="str">
        <f ca="1">IFERROR(__xludf.DUMMYFUNCTION("GOOGLETRANSLATE(A6705, ""en"", ""fr"")"),"Moule n ° 1")</f>
        <v>Moule n ° 1</v>
      </c>
      <c r="C6705" s="1" t="s">
        <v>185</v>
      </c>
      <c r="BC6705" s="1" t="s">
        <v>51</v>
      </c>
      <c r="BD6705" s="1" t="s">
        <v>52</v>
      </c>
      <c r="GD6705" s="1" t="s">
        <v>193</v>
      </c>
      <c r="GE6705" s="1" t="s">
        <v>190</v>
      </c>
    </row>
    <row r="6706" spans="1:187" ht="11.25" customHeight="1">
      <c r="A6706" s="1" t="s">
        <v>9469</v>
      </c>
      <c r="B6706" s="1" t="str">
        <f ca="1">IFERROR(__xludf.DUMMYFUNCTION("GOOGLETRANSLATE(A6706, ""en"", ""fr"")"),"Moule n ° 2")</f>
        <v>Moule n ° 2</v>
      </c>
      <c r="C6706" s="1" t="s">
        <v>185</v>
      </c>
      <c r="J6706" s="1" t="s">
        <v>6</v>
      </c>
      <c r="N6706" s="1" t="s">
        <v>10</v>
      </c>
      <c r="AL6706" s="1" t="s">
        <v>34</v>
      </c>
      <c r="DN6706" s="1" t="s">
        <v>114</v>
      </c>
      <c r="FP6706" s="1" t="s">
        <v>168</v>
      </c>
      <c r="GD6706" s="1" t="s">
        <v>189</v>
      </c>
      <c r="GE6706" s="1" t="s">
        <v>190</v>
      </c>
    </row>
    <row r="6707" spans="1:187" ht="11.25" customHeight="1">
      <c r="A6707" s="1" t="s">
        <v>9470</v>
      </c>
      <c r="B6707" s="1" t="str">
        <f ca="1">IFERROR(__xludf.DUMMYFUNCTION("GOOGLETRANSLATE(A6707, ""en"", ""fr"")"),"MOLÉCULAIRE")</f>
        <v>MOLÉCULAIRE</v>
      </c>
      <c r="C6707" s="1" t="s">
        <v>185</v>
      </c>
      <c r="BC6707" s="1" t="s">
        <v>51</v>
      </c>
      <c r="BI6707" s="1" t="s">
        <v>57</v>
      </c>
      <c r="GD6707" s="1" t="s">
        <v>202</v>
      </c>
      <c r="GE6707" s="1" t="s">
        <v>190</v>
      </c>
    </row>
    <row r="6708" spans="1:187" ht="11.25" customHeight="1">
      <c r="A6708" s="1" t="s">
        <v>9471</v>
      </c>
      <c r="B6708" s="1" t="str">
        <f ca="1">IFERROR(__xludf.DUMMYFUNCTION("GOOGLETRANSLATE(A6708, ""en"", ""fr"")"),"MOLESTER")</f>
        <v>MOLESTER</v>
      </c>
      <c r="C6708" s="1" t="s">
        <v>192</v>
      </c>
      <c r="E6708" s="1" t="s">
        <v>16613</v>
      </c>
      <c r="I6708" s="1" t="s">
        <v>5</v>
      </c>
      <c r="N6708" s="1" t="s">
        <v>10</v>
      </c>
      <c r="DN6708" s="1" t="s">
        <v>114</v>
      </c>
      <c r="GD6708" s="1" t="s">
        <v>670</v>
      </c>
      <c r="GE6708" s="1" t="s">
        <v>190</v>
      </c>
    </row>
    <row r="6709" spans="1:187" ht="11.25" customHeight="1">
      <c r="A6709" s="1" t="s">
        <v>9472</v>
      </c>
      <c r="B6709" s="1" t="str">
        <f ca="1">IFERROR(__xludf.DUMMYFUNCTION("GOOGLETRANSLATE(A6709, ""en"", ""fr"")"),"MOMENT")</f>
        <v>MOMENT</v>
      </c>
      <c r="C6709" s="1" t="s">
        <v>185</v>
      </c>
      <c r="X6709" s="1" t="s">
        <v>20</v>
      </c>
      <c r="CQ6709" s="1" t="s">
        <v>91</v>
      </c>
      <c r="CY6709" s="1" t="s">
        <v>99</v>
      </c>
      <c r="CZ6709" s="1" t="s">
        <v>100</v>
      </c>
      <c r="GB6709" s="1" t="s">
        <v>180</v>
      </c>
      <c r="GD6709" s="1" t="s">
        <v>193</v>
      </c>
      <c r="GE6709" s="1" t="s">
        <v>9473</v>
      </c>
    </row>
    <row r="6710" spans="1:187" ht="11.25" customHeight="1">
      <c r="A6710" s="1" t="s">
        <v>9474</v>
      </c>
      <c r="B6710" s="1" t="str">
        <f ca="1">IFERROR(__xludf.DUMMYFUNCTION("GOOGLETRANSLATE(A6710, ""en"", ""fr"")"),"MOMENTANÉ")</f>
        <v>MOMENTANÉ</v>
      </c>
      <c r="C6710" s="1" t="s">
        <v>185</v>
      </c>
      <c r="L6710" s="1" t="s">
        <v>8</v>
      </c>
      <c r="X6710" s="1" t="s">
        <v>20</v>
      </c>
      <c r="CY6710" s="1" t="s">
        <v>99</v>
      </c>
      <c r="GB6710" s="1" t="s">
        <v>180</v>
      </c>
      <c r="GD6710" s="1" t="s">
        <v>236</v>
      </c>
      <c r="GE6710" s="1" t="s">
        <v>190</v>
      </c>
    </row>
    <row r="6711" spans="1:187" ht="11.25" customHeight="1">
      <c r="A6711" s="1" t="s">
        <v>9475</v>
      </c>
      <c r="B6711" s="1" t="str">
        <f ca="1">IFERROR(__xludf.DUMMYFUNCTION("GOOGLETRANSLATE(A6711, ""en"", ""fr"")"),"IMPORTANT")</f>
        <v>IMPORTANT</v>
      </c>
      <c r="C6711" s="1" t="s">
        <v>185</v>
      </c>
      <c r="D6711" s="1" t="s">
        <v>16612</v>
      </c>
      <c r="W6711" s="1" t="s">
        <v>19</v>
      </c>
      <c r="CR6711" s="1" t="s">
        <v>92</v>
      </c>
      <c r="DR6711" s="1" t="s">
        <v>118</v>
      </c>
      <c r="GD6711" s="1" t="s">
        <v>202</v>
      </c>
      <c r="GE6711" s="1" t="s">
        <v>190</v>
      </c>
    </row>
    <row r="6712" spans="1:187" ht="11.25" customHeight="1">
      <c r="A6712" s="1" t="s">
        <v>9476</v>
      </c>
      <c r="B6712" s="1" t="str">
        <f ca="1">IFERROR(__xludf.DUMMYFUNCTION("GOOGLETRANSLATE(A6712, ""en"", ""fr"")"),"ÉLAN")</f>
        <v>ÉLAN</v>
      </c>
      <c r="C6712" s="1" t="s">
        <v>185</v>
      </c>
      <c r="J6712" s="1" t="s">
        <v>6</v>
      </c>
      <c r="BX6712" s="1" t="s">
        <v>72</v>
      </c>
      <c r="GD6712" s="1" t="s">
        <v>193</v>
      </c>
      <c r="GE6712" s="1" t="s">
        <v>190</v>
      </c>
    </row>
    <row r="6713" spans="1:187" ht="11.25" customHeight="1">
      <c r="A6713" s="1" t="s">
        <v>9477</v>
      </c>
      <c r="B6713" s="1" t="str">
        <f ca="1">IFERROR(__xludf.DUMMYFUNCTION("GOOGLETRANSLATE(A6713, ""en"", ""fr"")"),"MONARQUE")</f>
        <v>MONARQUE</v>
      </c>
      <c r="C6713" s="1" t="s">
        <v>196</v>
      </c>
      <c r="DY6713" s="1" t="s">
        <v>125</v>
      </c>
      <c r="ED6713" s="1" t="s">
        <v>130</v>
      </c>
      <c r="GD6713" s="1" t="s">
        <v>4912</v>
      </c>
    </row>
    <row r="6714" spans="1:187" ht="11.25" customHeight="1">
      <c r="A6714" s="1" t="s">
        <v>9478</v>
      </c>
      <c r="B6714" s="1" t="str">
        <f ca="1">IFERROR(__xludf.DUMMYFUNCTION("GOOGLETRANSLATE(A6714, ""en"", ""fr"")"),"LA MONARCHIE")</f>
        <v>LA MONARCHIE</v>
      </c>
      <c r="C6714" s="1" t="s">
        <v>196</v>
      </c>
      <c r="DY6714" s="1" t="s">
        <v>125</v>
      </c>
      <c r="ED6714" s="1" t="s">
        <v>130</v>
      </c>
      <c r="GD6714" s="1" t="s">
        <v>470</v>
      </c>
    </row>
    <row r="6715" spans="1:187" ht="11.25" customHeight="1">
      <c r="A6715" s="1" t="s">
        <v>9479</v>
      </c>
      <c r="B6715" s="1" t="str">
        <f ca="1">IFERROR(__xludf.DUMMYFUNCTION("GOOGLETRANSLATE(A6715, ""en"", ""fr"")"),"LUNDI")</f>
        <v>LUNDI</v>
      </c>
      <c r="C6715" s="1" t="s">
        <v>185</v>
      </c>
      <c r="CQ6715" s="1" t="s">
        <v>91</v>
      </c>
      <c r="CY6715" s="1" t="s">
        <v>99</v>
      </c>
      <c r="CZ6715" s="1" t="s">
        <v>100</v>
      </c>
      <c r="GB6715" s="1" t="s">
        <v>180</v>
      </c>
      <c r="GD6715" s="1" t="s">
        <v>193</v>
      </c>
      <c r="GE6715" s="1" t="s">
        <v>190</v>
      </c>
    </row>
    <row r="6716" spans="1:187" ht="11.25" customHeight="1">
      <c r="A6716" s="1" t="s">
        <v>9480</v>
      </c>
      <c r="B6716" s="1" t="str">
        <f ca="1">IFERROR(__xludf.DUMMYFUNCTION("GOOGLETRANSLATE(A6716, ""en"", ""fr"")"),"MONÉTAIRE")</f>
        <v>MONÉTAIRE</v>
      </c>
      <c r="C6716" s="1" t="s">
        <v>185</v>
      </c>
      <c r="AA6716" s="1" t="s">
        <v>23</v>
      </c>
      <c r="AC6716" s="1" t="s">
        <v>25</v>
      </c>
      <c r="BC6716" s="1" t="s">
        <v>51</v>
      </c>
      <c r="BH6716" s="1" t="s">
        <v>56</v>
      </c>
      <c r="EV6716" s="1" t="s">
        <v>148</v>
      </c>
      <c r="EW6716" s="1" t="s">
        <v>149</v>
      </c>
      <c r="GD6716" s="1" t="s">
        <v>202</v>
      </c>
      <c r="GE6716" s="1" t="s">
        <v>9481</v>
      </c>
    </row>
    <row r="6717" spans="1:187" ht="11.25" customHeight="1">
      <c r="A6717" s="1" t="s">
        <v>9482</v>
      </c>
      <c r="B6717" s="1" t="str">
        <f ca="1">IFERROR(__xludf.DUMMYFUNCTION("GOOGLETRANSLATE(A6717, ""en"", ""fr"")"),"ARGENT")</f>
        <v>ARGENT</v>
      </c>
      <c r="C6717" s="1" t="s">
        <v>185</v>
      </c>
      <c r="AA6717" s="1" t="s">
        <v>23</v>
      </c>
      <c r="AC6717" s="1" t="s">
        <v>25</v>
      </c>
      <c r="BC6717" s="1" t="s">
        <v>51</v>
      </c>
      <c r="BH6717" s="1" t="s">
        <v>56</v>
      </c>
      <c r="BL6717" s="1" t="s">
        <v>60</v>
      </c>
      <c r="EV6717" s="1" t="s">
        <v>148</v>
      </c>
      <c r="EW6717" s="1" t="s">
        <v>149</v>
      </c>
      <c r="GD6717" s="1" t="s">
        <v>193</v>
      </c>
      <c r="GE6717" s="1" t="s">
        <v>9483</v>
      </c>
    </row>
    <row r="6718" spans="1:187" ht="11.25" customHeight="1">
      <c r="A6718" s="1" t="s">
        <v>9484</v>
      </c>
      <c r="B6718" s="1" t="str">
        <f ca="1">IFERROR(__xludf.DUMMYFUNCTION("GOOGLETRANSLATE(A6718, ""en"", ""fr"")"),"MONGOLIE")</f>
        <v>MONGOLIE</v>
      </c>
      <c r="C6718" s="1" t="s">
        <v>196</v>
      </c>
      <c r="FU6718" s="1" t="s">
        <v>173</v>
      </c>
      <c r="GD6718" s="1" t="s">
        <v>545</v>
      </c>
    </row>
    <row r="6719" spans="1:187" ht="11.25" customHeight="1">
      <c r="A6719" s="1" t="s">
        <v>9485</v>
      </c>
      <c r="B6719" s="1" t="str">
        <f ca="1">IFERROR(__xludf.DUMMYFUNCTION("GOOGLETRANSLATE(A6719, ""en"", ""fr"")"),"MONITEUR")</f>
        <v>MONITEUR</v>
      </c>
      <c r="C6719" s="1" t="s">
        <v>185</v>
      </c>
      <c r="J6719" s="1" t="s">
        <v>6</v>
      </c>
      <c r="K6719" s="1" t="s">
        <v>7</v>
      </c>
      <c r="AN6719" s="1" t="s">
        <v>36</v>
      </c>
      <c r="DN6719" s="1" t="s">
        <v>114</v>
      </c>
      <c r="FD6719" s="1" t="s">
        <v>156</v>
      </c>
      <c r="FI6719" s="1" t="s">
        <v>161</v>
      </c>
      <c r="GD6719" s="1" t="s">
        <v>189</v>
      </c>
      <c r="GE6719" s="1" t="s">
        <v>190</v>
      </c>
    </row>
    <row r="6720" spans="1:187" ht="11.25" customHeight="1">
      <c r="A6720" s="1" t="s">
        <v>9486</v>
      </c>
      <c r="B6720" s="1" t="str">
        <f ca="1">IFERROR(__xludf.DUMMYFUNCTION("GOOGLETRANSLATE(A6720, ""en"", ""fr"")"),"SINGE")</f>
        <v>SINGE</v>
      </c>
      <c r="C6720" s="1" t="s">
        <v>185</v>
      </c>
      <c r="AU6720" s="1" t="s">
        <v>43</v>
      </c>
      <c r="GD6720" s="1" t="s">
        <v>193</v>
      </c>
      <c r="GE6720" s="1" t="s">
        <v>9487</v>
      </c>
    </row>
    <row r="6721" spans="1:187" ht="11.25" customHeight="1">
      <c r="A6721" s="1" t="s">
        <v>9488</v>
      </c>
      <c r="B6721" s="1" t="str">
        <f ca="1">IFERROR(__xludf.DUMMYFUNCTION("GOOGLETRANSLATE(A6721, ""en"", ""fr"")"),"MONOPOLE")</f>
        <v>MONOPOLE</v>
      </c>
      <c r="C6721" s="1" t="s">
        <v>185</v>
      </c>
      <c r="J6721" s="1" t="s">
        <v>6</v>
      </c>
      <c r="K6721" s="1" t="s">
        <v>7</v>
      </c>
      <c r="AA6721" s="1" t="s">
        <v>23</v>
      </c>
      <c r="AC6721" s="1" t="s">
        <v>25</v>
      </c>
      <c r="AK6721" s="1" t="s">
        <v>33</v>
      </c>
      <c r="AT6721" s="1" t="s">
        <v>42</v>
      </c>
      <c r="DZ6721" s="1" t="s">
        <v>126</v>
      </c>
      <c r="ED6721" s="1" t="s">
        <v>130</v>
      </c>
      <c r="GD6721" s="1" t="s">
        <v>193</v>
      </c>
      <c r="GE6721" s="1" t="s">
        <v>190</v>
      </c>
    </row>
    <row r="6722" spans="1:187" ht="11.25" customHeight="1">
      <c r="A6722" s="1" t="s">
        <v>9489</v>
      </c>
      <c r="B6722" s="1" t="str">
        <f ca="1">IFERROR(__xludf.DUMMYFUNCTION("GOOGLETRANSLATE(A6722, ""en"", ""fr"")"),"MONOTONE")</f>
        <v>MONOTONE</v>
      </c>
      <c r="C6722" s="1" t="s">
        <v>192</v>
      </c>
      <c r="E6722" s="1" t="s">
        <v>16613</v>
      </c>
      <c r="V6722" s="1" t="s">
        <v>18</v>
      </c>
      <c r="CM6722" s="1" t="s">
        <v>87</v>
      </c>
      <c r="DR6722" s="1" t="s">
        <v>118</v>
      </c>
      <c r="GD6722" s="1" t="s">
        <v>202</v>
      </c>
      <c r="GE6722" s="1" t="s">
        <v>190</v>
      </c>
    </row>
    <row r="6723" spans="1:187" ht="11.25" customHeight="1">
      <c r="A6723" s="1" t="s">
        <v>9490</v>
      </c>
      <c r="B6723" s="1" t="str">
        <f ca="1">IFERROR(__xludf.DUMMYFUNCTION("GOOGLETRANSLATE(A6723, ""en"", ""fr"")"),"MONOTONIE")</f>
        <v>MONOTONIE</v>
      </c>
      <c r="C6723" s="1" t="s">
        <v>192</v>
      </c>
      <c r="E6723" s="1" t="s">
        <v>16613</v>
      </c>
      <c r="V6723" s="1" t="s">
        <v>18</v>
      </c>
      <c r="CM6723" s="1" t="s">
        <v>87</v>
      </c>
      <c r="GD6723" s="1" t="s">
        <v>193</v>
      </c>
      <c r="GE6723" s="1" t="s">
        <v>190</v>
      </c>
    </row>
    <row r="6724" spans="1:187" ht="11.25" customHeight="1">
      <c r="A6724" s="1" t="s">
        <v>9491</v>
      </c>
      <c r="B6724" s="1" t="str">
        <f ca="1">IFERROR(__xludf.DUMMYFUNCTION("GOOGLETRANSLATE(A6724, ""en"", ""fr"")"),"MONSTRE")</f>
        <v>MONSTRE</v>
      </c>
      <c r="C6724" s="1" t="s">
        <v>185</v>
      </c>
      <c r="E6724" s="1" t="s">
        <v>16613</v>
      </c>
      <c r="H6724" s="1" t="s">
        <v>4</v>
      </c>
      <c r="I6724" s="1" t="s">
        <v>5</v>
      </c>
      <c r="J6724" s="1" t="s">
        <v>6</v>
      </c>
      <c r="AU6724" s="1" t="s">
        <v>43</v>
      </c>
      <c r="GD6724" s="1" t="s">
        <v>193</v>
      </c>
      <c r="GE6724" s="1" t="s">
        <v>9492</v>
      </c>
    </row>
    <row r="6725" spans="1:187" ht="11.25" customHeight="1">
      <c r="A6725" s="1" t="s">
        <v>9493</v>
      </c>
      <c r="B6725" s="1" t="str">
        <f ca="1">IFERROR(__xludf.DUMMYFUNCTION("GOOGLETRANSLATE(A6725, ""en"", ""fr"")"),"MONSTRUEUX")</f>
        <v>MONSTRUEUX</v>
      </c>
      <c r="C6725" s="1" t="s">
        <v>185</v>
      </c>
      <c r="E6725" s="1" t="s">
        <v>16613</v>
      </c>
      <c r="H6725" s="1" t="s">
        <v>4</v>
      </c>
      <c r="I6725" s="1" t="s">
        <v>5</v>
      </c>
      <c r="J6725" s="1" t="s">
        <v>6</v>
      </c>
      <c r="V6725" s="1" t="s">
        <v>18</v>
      </c>
      <c r="W6725" s="1" t="s">
        <v>19</v>
      </c>
      <c r="GD6725" s="1" t="s">
        <v>202</v>
      </c>
      <c r="GE6725" s="1" t="s">
        <v>190</v>
      </c>
    </row>
    <row r="6726" spans="1:187" ht="11.25" customHeight="1">
      <c r="A6726" s="1" t="s">
        <v>9494</v>
      </c>
      <c r="B6726" s="1" t="str">
        <f ca="1">IFERROR(__xludf.DUMMYFUNCTION("GOOGLETRANSLATE(A6726, ""en"", ""fr"")"),"MONTANA")</f>
        <v>MONTANA</v>
      </c>
      <c r="C6726" s="1" t="s">
        <v>196</v>
      </c>
      <c r="GD6726" s="1" t="s">
        <v>653</v>
      </c>
    </row>
    <row r="6727" spans="1:187" ht="11.25" customHeight="1">
      <c r="A6727" s="1" t="s">
        <v>9495</v>
      </c>
      <c r="B6727" s="1" t="str">
        <f ca="1">IFERROR(__xludf.DUMMYFUNCTION("GOOGLETRANSLATE(A6727, ""en"", ""fr"")"),"MOIS # 1")</f>
        <v>MOIS # 1</v>
      </c>
      <c r="C6727" s="1" t="s">
        <v>185</v>
      </c>
      <c r="CQ6727" s="1" t="s">
        <v>91</v>
      </c>
      <c r="CY6727" s="1" t="s">
        <v>99</v>
      </c>
      <c r="CZ6727" s="1" t="s">
        <v>100</v>
      </c>
      <c r="GB6727" s="1" t="s">
        <v>180</v>
      </c>
      <c r="GD6727" s="1" t="s">
        <v>193</v>
      </c>
      <c r="GE6727" s="1" t="s">
        <v>9496</v>
      </c>
    </row>
    <row r="6728" spans="1:187" ht="11.25" customHeight="1">
      <c r="A6728" s="1" t="s">
        <v>9497</v>
      </c>
      <c r="B6728" s="1" t="str">
        <f ca="1">IFERROR(__xludf.DUMMYFUNCTION("GOOGLETRANSLATE(A6728, ""en"", ""fr"")"),"MOIS # 2")</f>
        <v>MOIS # 2</v>
      </c>
      <c r="C6728" s="1" t="s">
        <v>185</v>
      </c>
      <c r="CW6728" s="1" t="s">
        <v>97</v>
      </c>
      <c r="GB6728" s="1" t="s">
        <v>180</v>
      </c>
      <c r="GD6728" s="1" t="s">
        <v>202</v>
      </c>
      <c r="GE6728" s="1" t="s">
        <v>9498</v>
      </c>
    </row>
    <row r="6729" spans="1:187" ht="11.25" customHeight="1">
      <c r="A6729" s="1" t="s">
        <v>9499</v>
      </c>
      <c r="B6729" s="1" t="str">
        <f ca="1">IFERROR(__xludf.DUMMYFUNCTION("GOOGLETRANSLATE(A6729, ""en"", ""fr"")"),"MOIS # 3")</f>
        <v>MOIS # 3</v>
      </c>
      <c r="C6729" s="1" t="s">
        <v>185</v>
      </c>
      <c r="GD6729" s="1" t="s">
        <v>225</v>
      </c>
      <c r="GE6729" s="1" t="s">
        <v>9500</v>
      </c>
    </row>
    <row r="6730" spans="1:187" ht="11.25" customHeight="1">
      <c r="A6730" s="1" t="s">
        <v>9501</v>
      </c>
      <c r="B6730" s="1" t="str">
        <f ca="1">IFERROR(__xludf.DUMMYFUNCTION("GOOGLETRANSLATE(A6730, ""en"", ""fr"")"),"MONUMENT")</f>
        <v>MONUMENT</v>
      </c>
      <c r="C6730" s="1" t="s">
        <v>185</v>
      </c>
      <c r="J6730" s="1" t="s">
        <v>6</v>
      </c>
      <c r="AH6730" s="1" t="s">
        <v>30</v>
      </c>
      <c r="BC6730" s="1" t="s">
        <v>51</v>
      </c>
      <c r="BH6730" s="1" t="s">
        <v>56</v>
      </c>
      <c r="BL6730" s="1" t="s">
        <v>60</v>
      </c>
      <c r="EM6730" s="1" t="s">
        <v>139</v>
      </c>
      <c r="EN6730" s="1" t="s">
        <v>140</v>
      </c>
      <c r="GD6730" s="1" t="s">
        <v>193</v>
      </c>
      <c r="GE6730" s="1" t="s">
        <v>190</v>
      </c>
    </row>
    <row r="6731" spans="1:187" ht="11.25" customHeight="1">
      <c r="A6731" s="1" t="s">
        <v>9502</v>
      </c>
      <c r="B6731" s="1" t="str">
        <f ca="1">IFERROR(__xludf.DUMMYFUNCTION("GOOGLETRANSLATE(A6731, ""en"", ""fr"")"),"MONUMENTAL")</f>
        <v>MONUMENTAL</v>
      </c>
      <c r="C6731" s="1" t="s">
        <v>192</v>
      </c>
      <c r="D6731" s="1" t="s">
        <v>16612</v>
      </c>
      <c r="W6731" s="1" t="s">
        <v>19</v>
      </c>
      <c r="CR6731" s="1" t="s">
        <v>92</v>
      </c>
      <c r="DR6731" s="1" t="s">
        <v>118</v>
      </c>
      <c r="GD6731" s="1" t="s">
        <v>202</v>
      </c>
      <c r="GE6731" s="1" t="s">
        <v>190</v>
      </c>
    </row>
    <row r="6732" spans="1:187" ht="11.25" customHeight="1">
      <c r="A6732" s="1" t="s">
        <v>9503</v>
      </c>
      <c r="B6732" s="1" t="str">
        <f ca="1">IFERROR(__xludf.DUMMYFUNCTION("GOOGLETRANSLATE(A6732, ""en"", ""fr"")"),"HUMEUR")</f>
        <v>HUMEUR</v>
      </c>
      <c r="C6732" s="1" t="s">
        <v>185</v>
      </c>
      <c r="O6732" s="1" t="s">
        <v>11</v>
      </c>
      <c r="S6732" s="1" t="s">
        <v>15</v>
      </c>
      <c r="T6732" s="1" t="s">
        <v>16</v>
      </c>
      <c r="FA6732" s="1" t="s">
        <v>153</v>
      </c>
      <c r="FC6732" s="1" t="s">
        <v>155</v>
      </c>
      <c r="GD6732" s="1" t="s">
        <v>193</v>
      </c>
      <c r="GE6732" s="1" t="s">
        <v>190</v>
      </c>
    </row>
    <row r="6733" spans="1:187" ht="11.25" customHeight="1">
      <c r="A6733" s="1" t="s">
        <v>9504</v>
      </c>
      <c r="B6733" s="1" t="str">
        <f ca="1">IFERROR(__xludf.DUMMYFUNCTION("GOOGLETRANSLATE(A6733, ""en"", ""fr"")"),"LUNATIQUE")</f>
        <v>LUNATIQUE</v>
      </c>
      <c r="C6733" s="1" t="s">
        <v>192</v>
      </c>
      <c r="E6733" s="1" t="s">
        <v>16613</v>
      </c>
      <c r="T6733" s="1" t="s">
        <v>16</v>
      </c>
      <c r="BW6733" s="1" t="s">
        <v>71</v>
      </c>
      <c r="DR6733" s="1" t="s">
        <v>118</v>
      </c>
      <c r="GD6733" s="1" t="s">
        <v>202</v>
      </c>
      <c r="GE6733" s="1" t="s">
        <v>190</v>
      </c>
    </row>
    <row r="6734" spans="1:187" ht="11.25" customHeight="1">
      <c r="A6734" s="1" t="s">
        <v>9505</v>
      </c>
      <c r="B6734" s="1" t="str">
        <f ca="1">IFERROR(__xludf.DUMMYFUNCTION("GOOGLETRANSLATE(A6734, ""en"", ""fr"")"),"LUNE")</f>
        <v>LUNE</v>
      </c>
      <c r="C6734" s="1" t="s">
        <v>185</v>
      </c>
      <c r="AV6734" s="1" t="s">
        <v>44</v>
      </c>
      <c r="BB6734" s="1" t="s">
        <v>50</v>
      </c>
      <c r="GD6734" s="1" t="s">
        <v>193</v>
      </c>
      <c r="GE6734" s="1" t="s">
        <v>190</v>
      </c>
    </row>
    <row r="6735" spans="1:187" ht="11.25" customHeight="1">
      <c r="A6735" s="1" t="s">
        <v>9506</v>
      </c>
      <c r="B6735" s="1" t="str">
        <f ca="1">IFERROR(__xludf.DUMMYFUNCTION("GOOGLETRANSLATE(A6735, ""en"", ""fr"")"),"MORALE")</f>
        <v>MORALE</v>
      </c>
      <c r="C6735" s="1" t="s">
        <v>185</v>
      </c>
      <c r="D6735" s="1" t="s">
        <v>16612</v>
      </c>
      <c r="F6735" s="1" t="s">
        <v>2</v>
      </c>
      <c r="U6735" s="1" t="s">
        <v>17</v>
      </c>
      <c r="EE6735" s="1" t="s">
        <v>131</v>
      </c>
      <c r="EJ6735" s="1" t="s">
        <v>136</v>
      </c>
      <c r="GD6735" s="1" t="s">
        <v>202</v>
      </c>
      <c r="GE6735" s="1" t="s">
        <v>9507</v>
      </c>
    </row>
    <row r="6736" spans="1:187" ht="11.25" customHeight="1">
      <c r="A6736" s="1" t="s">
        <v>9508</v>
      </c>
      <c r="B6736" s="1" t="str">
        <f ca="1">IFERROR(__xludf.DUMMYFUNCTION("GOOGLETRANSLATE(A6736, ""en"", ""fr"")"),"MORAL")</f>
        <v>MORAL</v>
      </c>
      <c r="C6736" s="1" t="s">
        <v>192</v>
      </c>
      <c r="D6736" s="1" t="s">
        <v>16612</v>
      </c>
      <c r="S6736" s="1" t="s">
        <v>15</v>
      </c>
      <c r="CG6736" s="1" t="s">
        <v>81</v>
      </c>
      <c r="GD6736" s="1" t="s">
        <v>193</v>
      </c>
      <c r="GE6736" s="1" t="s">
        <v>190</v>
      </c>
    </row>
    <row r="6737" spans="1:187" ht="11.25" customHeight="1">
      <c r="A6737" s="1" t="s">
        <v>9509</v>
      </c>
      <c r="B6737" s="1" t="str">
        <f ca="1">IFERROR(__xludf.DUMMYFUNCTION("GOOGLETRANSLATE(A6737, ""en"", ""fr"")"),"Moraliste")</f>
        <v>Moraliste</v>
      </c>
      <c r="C6737" s="1" t="s">
        <v>192</v>
      </c>
      <c r="D6737" s="1" t="s">
        <v>16612</v>
      </c>
      <c r="CJ6737" s="1" t="s">
        <v>84</v>
      </c>
      <c r="CR6737" s="1" t="s">
        <v>92</v>
      </c>
      <c r="DR6737" s="1" t="s">
        <v>118</v>
      </c>
      <c r="GD6737" s="1" t="s">
        <v>202</v>
      </c>
      <c r="GE6737" s="1" t="s">
        <v>190</v>
      </c>
    </row>
    <row r="6738" spans="1:187" ht="11.25" customHeight="1">
      <c r="A6738" s="1" t="s">
        <v>9510</v>
      </c>
      <c r="B6738" s="1" t="str">
        <f ca="1">IFERROR(__xludf.DUMMYFUNCTION("GOOGLETRANSLATE(A6738, ""en"", ""fr"")"),"MORALITÉ")</f>
        <v>MORALITÉ</v>
      </c>
      <c r="C6738" s="1" t="s">
        <v>185</v>
      </c>
      <c r="D6738" s="1" t="s">
        <v>16612</v>
      </c>
      <c r="F6738" s="1" t="s">
        <v>2</v>
      </c>
      <c r="Z6738" s="1" t="s">
        <v>22</v>
      </c>
      <c r="CP6738" s="1" t="s">
        <v>90</v>
      </c>
      <c r="CQ6738" s="1" t="s">
        <v>91</v>
      </c>
      <c r="EE6738" s="1" t="s">
        <v>131</v>
      </c>
      <c r="EJ6738" s="1" t="s">
        <v>136</v>
      </c>
      <c r="GD6738" s="1" t="s">
        <v>193</v>
      </c>
      <c r="GE6738" s="1" t="s">
        <v>190</v>
      </c>
    </row>
    <row r="6739" spans="1:187" ht="11.25" customHeight="1">
      <c r="A6739" s="1" t="s">
        <v>9511</v>
      </c>
      <c r="B6739" s="1" t="str">
        <f ca="1">IFERROR(__xludf.DUMMYFUNCTION("GOOGLETRANSLATE(A6739, ""en"", ""fr"")"),"PLUS")</f>
        <v>PLUS</v>
      </c>
      <c r="C6739" s="1" t="s">
        <v>185</v>
      </c>
      <c r="J6739" s="1" t="s">
        <v>6</v>
      </c>
      <c r="CL6739" s="1" t="s">
        <v>86</v>
      </c>
      <c r="CS6739" s="1" t="s">
        <v>93</v>
      </c>
      <c r="GD6739" s="1" t="s">
        <v>9512</v>
      </c>
      <c r="GE6739" s="1" t="s">
        <v>9513</v>
      </c>
    </row>
    <row r="6740" spans="1:187" ht="11.25" customHeight="1">
      <c r="A6740" s="1" t="s">
        <v>9514</v>
      </c>
      <c r="B6740" s="1" t="str">
        <f ca="1">IFERROR(__xludf.DUMMYFUNCTION("GOOGLETRANSLATE(A6740, ""en"", ""fr"")"),"DE PLUS")</f>
        <v>DE PLUS</v>
      </c>
      <c r="C6740" s="1" t="s">
        <v>185</v>
      </c>
      <c r="W6740" s="1" t="s">
        <v>19</v>
      </c>
      <c r="GD6740" s="1" t="s">
        <v>236</v>
      </c>
      <c r="GE6740" s="1" t="s">
        <v>190</v>
      </c>
    </row>
    <row r="6741" spans="1:187" ht="11.25" customHeight="1">
      <c r="A6741" s="1" t="s">
        <v>9515</v>
      </c>
      <c r="B6741" s="1" t="str">
        <f ca="1">IFERROR(__xludf.DUMMYFUNCTION("GOOGLETRANSLATE(A6741, ""en"", ""fr"")"),"MATIN")</f>
        <v>MATIN</v>
      </c>
      <c r="C6741" s="1" t="s">
        <v>185</v>
      </c>
      <c r="CQ6741" s="1" t="s">
        <v>91</v>
      </c>
      <c r="CY6741" s="1" t="s">
        <v>99</v>
      </c>
      <c r="CZ6741" s="1" t="s">
        <v>100</v>
      </c>
      <c r="GB6741" s="1" t="s">
        <v>180</v>
      </c>
      <c r="GD6741" s="1" t="s">
        <v>193</v>
      </c>
      <c r="GE6741" s="1" t="s">
        <v>9516</v>
      </c>
    </row>
    <row r="6742" spans="1:187" ht="11.25" customHeight="1">
      <c r="A6742" s="1" t="s">
        <v>9517</v>
      </c>
      <c r="B6742" s="1" t="str">
        <f ca="1">IFERROR(__xludf.DUMMYFUNCTION("GOOGLETRANSLATE(A6742, ""en"", ""fr"")"),"MAROC")</f>
        <v>MAROC</v>
      </c>
      <c r="C6742" s="1" t="s">
        <v>196</v>
      </c>
      <c r="FU6742" s="1" t="s">
        <v>173</v>
      </c>
      <c r="GD6742" s="1" t="s">
        <v>545</v>
      </c>
    </row>
    <row r="6743" spans="1:187" ht="11.25" customHeight="1">
      <c r="A6743" s="1" t="s">
        <v>9518</v>
      </c>
      <c r="B6743" s="1" t="str">
        <f ca="1">IFERROR(__xludf.DUMMYFUNCTION("GOOGLETRANSLATE(A6743, ""en"", ""fr"")"),"MORTALITÉ")</f>
        <v>MORTALITÉ</v>
      </c>
      <c r="C6743" s="1" t="s">
        <v>196</v>
      </c>
      <c r="EZ6743" s="1" t="s">
        <v>152</v>
      </c>
      <c r="FC6743" s="1" t="s">
        <v>155</v>
      </c>
      <c r="GD6743" s="1" t="s">
        <v>193</v>
      </c>
    </row>
    <row r="6744" spans="1:187" ht="11.25" customHeight="1">
      <c r="A6744" s="1" t="s">
        <v>9519</v>
      </c>
      <c r="B6744" s="1" t="str">
        <f ca="1">IFERROR(__xludf.DUMMYFUNCTION("GOOGLETRANSLATE(A6744, ""en"", ""fr"")"),"MORTIER")</f>
        <v>MORTIER</v>
      </c>
      <c r="C6744" s="1" t="s">
        <v>185</v>
      </c>
      <c r="BC6744" s="1" t="s">
        <v>51</v>
      </c>
      <c r="BD6744" s="1" t="s">
        <v>52</v>
      </c>
      <c r="GD6744" s="1" t="s">
        <v>193</v>
      </c>
      <c r="GE6744" s="1" t="s">
        <v>190</v>
      </c>
    </row>
    <row r="6745" spans="1:187" ht="11.25" customHeight="1">
      <c r="A6745" s="1" t="s">
        <v>9520</v>
      </c>
      <c r="B6745" s="1" t="str">
        <f ca="1">IFERROR(__xludf.DUMMYFUNCTION("GOOGLETRANSLATE(A6745, ""en"", ""fr"")"),"Hypothèque n ° 1")</f>
        <v>Hypothèque n ° 1</v>
      </c>
      <c r="C6745" s="1" t="s">
        <v>185</v>
      </c>
      <c r="AA6745" s="1" t="s">
        <v>23</v>
      </c>
      <c r="AC6745" s="1" t="s">
        <v>25</v>
      </c>
      <c r="BK6745" s="1" t="s">
        <v>59</v>
      </c>
      <c r="BL6745" s="1" t="s">
        <v>60</v>
      </c>
      <c r="EV6745" s="1" t="s">
        <v>148</v>
      </c>
      <c r="EW6745" s="1" t="s">
        <v>149</v>
      </c>
      <c r="GC6745" s="1" t="s">
        <v>181</v>
      </c>
      <c r="GD6745" s="1" t="s">
        <v>193</v>
      </c>
      <c r="GE6745" s="1" t="s">
        <v>190</v>
      </c>
    </row>
    <row r="6746" spans="1:187" ht="11.25" customHeight="1">
      <c r="A6746" s="1" t="s">
        <v>9521</v>
      </c>
      <c r="B6746" s="1" t="str">
        <f ca="1">IFERROR(__xludf.DUMMYFUNCTION("GOOGLETRANSLATE(A6746, ""en"", ""fr"")"),"Hypothèque n ° 2")</f>
        <v>Hypothèque n ° 2</v>
      </c>
      <c r="C6746" s="1" t="s">
        <v>185</v>
      </c>
      <c r="AA6746" s="1" t="s">
        <v>23</v>
      </c>
      <c r="AB6746" s="1" t="s">
        <v>24</v>
      </c>
      <c r="DN6746" s="1" t="s">
        <v>114</v>
      </c>
      <c r="EU6746" s="1" t="s">
        <v>147</v>
      </c>
      <c r="EW6746" s="1" t="s">
        <v>149</v>
      </c>
      <c r="GD6746" s="1" t="s">
        <v>189</v>
      </c>
      <c r="GE6746" s="1" t="s">
        <v>190</v>
      </c>
    </row>
    <row r="6747" spans="1:187" ht="11.25" customHeight="1">
      <c r="A6747" s="1" t="s">
        <v>9522</v>
      </c>
      <c r="B6747" s="1" t="str">
        <f ca="1">IFERROR(__xludf.DUMMYFUNCTION("GOOGLETRANSLATE(A6747, ""en"", ""fr"")"),"MORTIFIER")</f>
        <v>MORTIFIER</v>
      </c>
      <c r="C6747" s="1" t="s">
        <v>192</v>
      </c>
      <c r="E6747" s="1" t="s">
        <v>16613</v>
      </c>
      <c r="O6747" s="1" t="s">
        <v>11</v>
      </c>
      <c r="Q6747" s="1" t="s">
        <v>13</v>
      </c>
      <c r="T6747" s="1" t="s">
        <v>16</v>
      </c>
      <c r="DN6747" s="1" t="s">
        <v>114</v>
      </c>
      <c r="GD6747" s="1" t="s">
        <v>189</v>
      </c>
      <c r="GE6747" s="1" t="s">
        <v>190</v>
      </c>
    </row>
    <row r="6748" spans="1:187" ht="11.25" customHeight="1">
      <c r="A6748" s="1" t="s">
        <v>9523</v>
      </c>
      <c r="B6748" s="1" t="str">
        <f ca="1">IFERROR(__xludf.DUMMYFUNCTION("GOOGLETRANSLATE(A6748, ""en"", ""fr"")"),"MOSCOU")</f>
        <v>MOSCOU</v>
      </c>
      <c r="C6748" s="1" t="s">
        <v>185</v>
      </c>
      <c r="AC6748" s="1" t="s">
        <v>25</v>
      </c>
      <c r="AH6748" s="1" t="s">
        <v>30</v>
      </c>
      <c r="DI6748" s="1" t="s">
        <v>109</v>
      </c>
      <c r="DZ6748" s="1" t="s">
        <v>126</v>
      </c>
      <c r="ED6748" s="1" t="s">
        <v>130</v>
      </c>
      <c r="GD6748" s="1" t="s">
        <v>193</v>
      </c>
      <c r="GE6748" s="1" t="s">
        <v>190</v>
      </c>
    </row>
    <row r="6749" spans="1:187" ht="11.25" customHeight="1">
      <c r="A6749" s="1" t="s">
        <v>9524</v>
      </c>
      <c r="B6749" s="1" t="str">
        <f ca="1">IFERROR(__xludf.DUMMYFUNCTION("GOOGLETRANSLATE(A6749, ""en"", ""fr"")"),"La plupart # 1")</f>
        <v>La plupart # 1</v>
      </c>
      <c r="C6749" s="1" t="s">
        <v>185</v>
      </c>
      <c r="J6749" s="1" t="s">
        <v>6</v>
      </c>
      <c r="W6749" s="1" t="s">
        <v>19</v>
      </c>
      <c r="CL6749" s="1" t="s">
        <v>86</v>
      </c>
      <c r="CS6749" s="1" t="s">
        <v>93</v>
      </c>
      <c r="GD6749" s="1" t="s">
        <v>9525</v>
      </c>
      <c r="GE6749" s="1" t="s">
        <v>9526</v>
      </c>
    </row>
    <row r="6750" spans="1:187" ht="11.25" customHeight="1">
      <c r="A6750" s="1" t="s">
        <v>9527</v>
      </c>
      <c r="B6750" s="1" t="str">
        <f ca="1">IFERROR(__xludf.DUMMYFUNCTION("GOOGLETRANSLATE(A6750, ""en"", ""fr"")"),"La plupart # 2")</f>
        <v>La plupart # 2</v>
      </c>
      <c r="C6750" s="1" t="s">
        <v>185</v>
      </c>
      <c r="J6750" s="1" t="s">
        <v>6</v>
      </c>
      <c r="W6750" s="1" t="s">
        <v>19</v>
      </c>
      <c r="CS6750" s="1" t="s">
        <v>93</v>
      </c>
      <c r="GD6750" s="1" t="s">
        <v>1957</v>
      </c>
      <c r="GE6750" s="1" t="s">
        <v>9528</v>
      </c>
    </row>
    <row r="6751" spans="1:187" ht="11.25" customHeight="1">
      <c r="A6751" s="1" t="s">
        <v>9529</v>
      </c>
      <c r="B6751" s="1" t="str">
        <f ca="1">IFERROR(__xludf.DUMMYFUNCTION("GOOGLETRANSLATE(A6751, ""en"", ""fr"")"),"La plupart # 3")</f>
        <v>La plupart # 3</v>
      </c>
      <c r="C6751" s="1" t="s">
        <v>185</v>
      </c>
      <c r="J6751" s="1" t="s">
        <v>6</v>
      </c>
      <c r="W6751" s="1" t="s">
        <v>19</v>
      </c>
      <c r="CS6751" s="1" t="s">
        <v>93</v>
      </c>
      <c r="GD6751" s="1" t="s">
        <v>236</v>
      </c>
      <c r="GE6751" s="1" t="s">
        <v>9530</v>
      </c>
    </row>
    <row r="6752" spans="1:187" ht="11.25" customHeight="1">
      <c r="A6752" s="1" t="s">
        <v>9531</v>
      </c>
      <c r="B6752" s="1" t="str">
        <f ca="1">IFERROR(__xludf.DUMMYFUNCTION("GOOGLETRANSLATE(A6752, ""en"", ""fr"")"),"La plupart # 4")</f>
        <v>La plupart # 4</v>
      </c>
      <c r="C6752" s="1" t="s">
        <v>185</v>
      </c>
      <c r="GD6752" s="1" t="s">
        <v>225</v>
      </c>
      <c r="GE6752" s="1" t="s">
        <v>9532</v>
      </c>
    </row>
    <row r="6753" spans="1:187" ht="11.25" customHeight="1">
      <c r="A6753" s="1" t="s">
        <v>9533</v>
      </c>
      <c r="B6753" s="1" t="str">
        <f ca="1">IFERROR(__xludf.DUMMYFUNCTION("GOOGLETRANSLATE(A6753, ""en"", ""fr"")"),"MOTEL")</f>
        <v>MOTEL</v>
      </c>
      <c r="C6753" s="1" t="s">
        <v>185</v>
      </c>
      <c r="AA6753" s="1" t="s">
        <v>23</v>
      </c>
      <c r="AV6753" s="1" t="s">
        <v>44</v>
      </c>
      <c r="AW6753" s="1" t="s">
        <v>45</v>
      </c>
      <c r="GD6753" s="1" t="s">
        <v>193</v>
      </c>
      <c r="GE6753" s="1" t="s">
        <v>190</v>
      </c>
    </row>
    <row r="6754" spans="1:187" ht="11.25" customHeight="1">
      <c r="A6754" s="1" t="s">
        <v>9534</v>
      </c>
      <c r="B6754" s="1" t="str">
        <f ca="1">IFERROR(__xludf.DUMMYFUNCTION("GOOGLETRANSLATE(A6754, ""en"", ""fr"")"),"PAPILLON DE NUIT")</f>
        <v>PAPILLON DE NUIT</v>
      </c>
      <c r="C6754" s="1" t="s">
        <v>185</v>
      </c>
      <c r="AU6754" s="1" t="s">
        <v>43</v>
      </c>
      <c r="GD6754" s="1" t="s">
        <v>193</v>
      </c>
      <c r="GE6754" s="1" t="s">
        <v>190</v>
      </c>
    </row>
    <row r="6755" spans="1:187" ht="11.25" customHeight="1">
      <c r="A6755" s="1" t="s">
        <v>9535</v>
      </c>
      <c r="B6755" s="1" t="str">
        <f ca="1">IFERROR(__xludf.DUMMYFUNCTION("GOOGLETRANSLATE(A6755, ""en"", ""fr"")"),"MÈRE")</f>
        <v>MÈRE</v>
      </c>
      <c r="C6755" s="1" t="s">
        <v>185</v>
      </c>
      <c r="G6755" s="1" t="s">
        <v>3</v>
      </c>
      <c r="AJ6755" s="1" t="s">
        <v>32</v>
      </c>
      <c r="AP6755" s="1" t="s">
        <v>38</v>
      </c>
      <c r="AR6755" s="1" t="s">
        <v>40</v>
      </c>
      <c r="AT6755" s="1" t="s">
        <v>42</v>
      </c>
      <c r="EQ6755" s="1" t="s">
        <v>143</v>
      </c>
      <c r="ES6755" s="1" t="s">
        <v>145</v>
      </c>
      <c r="GD6755" s="1" t="s">
        <v>837</v>
      </c>
      <c r="GE6755" s="1" t="s">
        <v>9536</v>
      </c>
    </row>
    <row r="6756" spans="1:187" ht="11.25" customHeight="1">
      <c r="A6756" s="1" t="s">
        <v>9537</v>
      </c>
      <c r="B6756" s="1" t="str">
        <f ca="1">IFERROR(__xludf.DUMMYFUNCTION("GOOGLETRANSLATE(A6756, ""en"", ""fr"")"),"MOUVEMENT")</f>
        <v>MOUVEMENT</v>
      </c>
      <c r="C6756" s="1" t="s">
        <v>185</v>
      </c>
      <c r="N6756" s="1" t="s">
        <v>10</v>
      </c>
      <c r="CE6756" s="1" t="s">
        <v>79</v>
      </c>
      <c r="GD6756" s="1" t="s">
        <v>193</v>
      </c>
      <c r="GE6756" s="1" t="s">
        <v>190</v>
      </c>
    </row>
    <row r="6757" spans="1:187" ht="11.25" customHeight="1">
      <c r="A6757" s="1" t="s">
        <v>9538</v>
      </c>
      <c r="B6757" s="1" t="str">
        <f ca="1">IFERROR(__xludf.DUMMYFUNCTION("GOOGLETRANSLATE(A6757, ""en"", ""fr"")"),"IMMOBILE")</f>
        <v>IMMOBILE</v>
      </c>
      <c r="C6757" s="1" t="s">
        <v>192</v>
      </c>
      <c r="E6757" s="1" t="s">
        <v>16613</v>
      </c>
      <c r="CA6757" s="1" t="s">
        <v>75</v>
      </c>
      <c r="DR6757" s="1" t="s">
        <v>118</v>
      </c>
      <c r="GD6757" s="1" t="s">
        <v>202</v>
      </c>
      <c r="GE6757" s="1" t="s">
        <v>190</v>
      </c>
    </row>
    <row r="6758" spans="1:187" ht="11.25" customHeight="1">
      <c r="A6758" s="1" t="s">
        <v>9539</v>
      </c>
      <c r="B6758" s="1" t="str">
        <f ca="1">IFERROR(__xludf.DUMMYFUNCTION("GOOGLETRANSLATE(A6758, ""en"", ""fr"")"),"MOTIVER")</f>
        <v>MOTIVER</v>
      </c>
      <c r="C6758" s="1" t="s">
        <v>192</v>
      </c>
      <c r="D6758" s="1" t="s">
        <v>16612</v>
      </c>
      <c r="N6758" s="1" t="s">
        <v>10</v>
      </c>
      <c r="S6758" s="1" t="s">
        <v>15</v>
      </c>
      <c r="CI6758" s="1" t="s">
        <v>83</v>
      </c>
      <c r="DN6758" s="1" t="s">
        <v>114</v>
      </c>
      <c r="GD6758" s="1" t="s">
        <v>670</v>
      </c>
      <c r="GE6758" s="1" t="s">
        <v>190</v>
      </c>
    </row>
    <row r="6759" spans="1:187" ht="11.25" customHeight="1">
      <c r="A6759" s="1" t="s">
        <v>9540</v>
      </c>
      <c r="B6759" s="1" t="str">
        <f ca="1">IFERROR(__xludf.DUMMYFUNCTION("GOOGLETRANSLATE(A6759, ""en"", ""fr"")"),"MOTIVÉ")</f>
        <v>MOTIVÉ</v>
      </c>
      <c r="C6759" s="1" t="s">
        <v>185</v>
      </c>
      <c r="D6759" s="1" t="s">
        <v>16612</v>
      </c>
      <c r="F6759" s="1" t="s">
        <v>2</v>
      </c>
      <c r="N6759" s="1" t="s">
        <v>10</v>
      </c>
      <c r="T6759" s="1" t="s">
        <v>16</v>
      </c>
      <c r="BN6759" s="1" t="s">
        <v>62</v>
      </c>
      <c r="FR6759" s="1" t="s">
        <v>170</v>
      </c>
      <c r="GD6759" s="1" t="s">
        <v>202</v>
      </c>
      <c r="GE6759" s="1" t="s">
        <v>190</v>
      </c>
    </row>
    <row r="6760" spans="1:187" ht="11.25" customHeight="1">
      <c r="A6760" s="1" t="s">
        <v>9541</v>
      </c>
      <c r="B6760" s="1" t="str">
        <f ca="1">IFERROR(__xludf.DUMMYFUNCTION("GOOGLETRANSLATE(A6760, ""en"", ""fr"")"),"MOTIVATION")</f>
        <v>MOTIVATION</v>
      </c>
      <c r="C6760" s="1" t="s">
        <v>185</v>
      </c>
      <c r="D6760" s="1" t="s">
        <v>16612</v>
      </c>
      <c r="F6760" s="1" t="s">
        <v>2</v>
      </c>
      <c r="N6760" s="1" t="s">
        <v>10</v>
      </c>
      <c r="BN6760" s="1" t="s">
        <v>62</v>
      </c>
      <c r="FR6760" s="1" t="s">
        <v>170</v>
      </c>
      <c r="GD6760" s="1" t="s">
        <v>193</v>
      </c>
      <c r="GE6760" s="1" t="s">
        <v>190</v>
      </c>
    </row>
    <row r="6761" spans="1:187" ht="11.25" customHeight="1">
      <c r="A6761" s="1" t="s">
        <v>9542</v>
      </c>
      <c r="B6761" s="1" t="str">
        <f ca="1">IFERROR(__xludf.DUMMYFUNCTION("GOOGLETRANSLATE(A6761, ""en"", ""fr"")"),"MOTIF")</f>
        <v>MOTIF</v>
      </c>
      <c r="C6761" s="1" t="s">
        <v>185</v>
      </c>
      <c r="D6761" s="1" t="s">
        <v>16612</v>
      </c>
      <c r="F6761" s="1" t="s">
        <v>2</v>
      </c>
      <c r="N6761" s="1" t="s">
        <v>10</v>
      </c>
      <c r="BN6761" s="1" t="s">
        <v>62</v>
      </c>
      <c r="FR6761" s="1" t="s">
        <v>170</v>
      </c>
      <c r="GD6761" s="1" t="s">
        <v>193</v>
      </c>
      <c r="GE6761" s="1" t="s">
        <v>190</v>
      </c>
    </row>
    <row r="6762" spans="1:187" ht="11.25" customHeight="1">
      <c r="A6762" s="1" t="s">
        <v>9543</v>
      </c>
      <c r="B6762" s="1" t="str">
        <f ca="1">IFERROR(__xludf.DUMMYFUNCTION("GOOGLETRANSLATE(A6762, ""en"", ""fr"")"),"HÉTÉROCLITE")</f>
        <v>HÉTÉROCLITE</v>
      </c>
      <c r="C6762" s="1" t="s">
        <v>185</v>
      </c>
      <c r="E6762" s="1" t="s">
        <v>16613</v>
      </c>
      <c r="H6762" s="1" t="s">
        <v>4</v>
      </c>
      <c r="CR6762" s="1" t="s">
        <v>92</v>
      </c>
      <c r="GD6762" s="1" t="s">
        <v>202</v>
      </c>
      <c r="GE6762" s="1" t="s">
        <v>190</v>
      </c>
    </row>
    <row r="6763" spans="1:187" ht="11.25" customHeight="1">
      <c r="A6763" s="1" t="s">
        <v>9544</v>
      </c>
      <c r="B6763" s="1" t="str">
        <f ca="1">IFERROR(__xludf.DUMMYFUNCTION("GOOGLETRANSLATE(A6763, ""en"", ""fr"")"),"MOTEUR")</f>
        <v>MOTEUR</v>
      </c>
      <c r="C6763" s="1" t="s">
        <v>185</v>
      </c>
      <c r="BC6763" s="1" t="s">
        <v>51</v>
      </c>
      <c r="BD6763" s="1" t="s">
        <v>52</v>
      </c>
      <c r="GD6763" s="1" t="s">
        <v>193</v>
      </c>
      <c r="GE6763" s="1" t="s">
        <v>190</v>
      </c>
    </row>
    <row r="6764" spans="1:187" ht="11.25" customHeight="1">
      <c r="A6764" s="1" t="s">
        <v>9545</v>
      </c>
      <c r="B6764" s="1" t="str">
        <f ca="1">IFERROR(__xludf.DUMMYFUNCTION("GOOGLETRANSLATE(A6764, ""en"", ""fr"")"),"AUTOMOBILISTE")</f>
        <v>AUTOMOBILISTE</v>
      </c>
      <c r="C6764" s="1" t="s">
        <v>185</v>
      </c>
      <c r="AJ6764" s="1" t="s">
        <v>32</v>
      </c>
      <c r="AT6764" s="1" t="s">
        <v>42</v>
      </c>
      <c r="FT6764" s="1" t="s">
        <v>172</v>
      </c>
      <c r="GD6764" s="1" t="s">
        <v>193</v>
      </c>
      <c r="GE6764" s="1" t="s">
        <v>190</v>
      </c>
    </row>
    <row r="6765" spans="1:187" ht="11.25" customHeight="1">
      <c r="A6765" s="1" t="s">
        <v>9546</v>
      </c>
      <c r="B6765" s="1" t="str">
        <f ca="1">IFERROR(__xludf.DUMMYFUNCTION("GOOGLETRANSLATE(A6765, ""en"", ""fr"")"),"TACHETÉ")</f>
        <v>TACHETÉ</v>
      </c>
      <c r="C6765" s="1" t="s">
        <v>185</v>
      </c>
      <c r="CR6765" s="1" t="s">
        <v>92</v>
      </c>
      <c r="GD6765" s="1" t="s">
        <v>202</v>
      </c>
      <c r="GE6765" s="1" t="s">
        <v>190</v>
      </c>
    </row>
    <row r="6766" spans="1:187" ht="11.25" customHeight="1">
      <c r="A6766" s="1" t="s">
        <v>9547</v>
      </c>
      <c r="B6766" s="1" t="str">
        <f ca="1">IFERROR(__xludf.DUMMYFUNCTION("GOOGLETRANSLATE(A6766, ""en"", ""fr"")"),"MONTICULE")</f>
        <v>MONTICULE</v>
      </c>
      <c r="C6766" s="1" t="s">
        <v>185</v>
      </c>
      <c r="AV6766" s="1" t="s">
        <v>44</v>
      </c>
      <c r="BA6766" s="1" t="s">
        <v>49</v>
      </c>
      <c r="GD6766" s="1" t="s">
        <v>193</v>
      </c>
      <c r="GE6766" s="1" t="s">
        <v>190</v>
      </c>
    </row>
    <row r="6767" spans="1:187" ht="11.25" customHeight="1">
      <c r="A6767" s="1" t="s">
        <v>9548</v>
      </c>
      <c r="B6767" s="1" t="str">
        <f ca="1">IFERROR(__xludf.DUMMYFUNCTION("GOOGLETRANSLATE(A6767, ""en"", ""fr"")"),"Mont # 1")</f>
        <v>Mont # 1</v>
      </c>
      <c r="C6767" s="1" t="s">
        <v>185</v>
      </c>
      <c r="AV6767" s="1" t="s">
        <v>44</v>
      </c>
      <c r="BA6767" s="1" t="s">
        <v>49</v>
      </c>
      <c r="GD6767" s="1" t="s">
        <v>193</v>
      </c>
      <c r="GE6767" s="1" t="s">
        <v>190</v>
      </c>
    </row>
    <row r="6768" spans="1:187" ht="11.25" customHeight="1">
      <c r="A6768" s="1" t="s">
        <v>9549</v>
      </c>
      <c r="B6768" s="1" t="str">
        <f ca="1">IFERROR(__xludf.DUMMYFUNCTION("GOOGLETRANSLATE(A6768, ""en"", ""fr"")"),"MONT # 2")</f>
        <v>MONT # 2</v>
      </c>
      <c r="C6768" s="1" t="s">
        <v>185</v>
      </c>
      <c r="N6768" s="1" t="s">
        <v>10</v>
      </c>
      <c r="DD6768" s="1" t="s">
        <v>104</v>
      </c>
      <c r="DN6768" s="1" t="s">
        <v>114</v>
      </c>
      <c r="FP6768" s="1" t="s">
        <v>168</v>
      </c>
      <c r="GD6768" s="1" t="s">
        <v>189</v>
      </c>
      <c r="GE6768" s="1" t="s">
        <v>190</v>
      </c>
    </row>
    <row r="6769" spans="1:187" ht="11.25" customHeight="1">
      <c r="A6769" s="1" t="s">
        <v>9550</v>
      </c>
      <c r="B6769" s="1" t="str">
        <f ca="1">IFERROR(__xludf.DUMMYFUNCTION("GOOGLETRANSLATE(A6769, ""en"", ""fr"")"),"MONTAGNE")</f>
        <v>MONTAGNE</v>
      </c>
      <c r="C6769" s="1" t="s">
        <v>185</v>
      </c>
      <c r="AV6769" s="1" t="s">
        <v>44</v>
      </c>
      <c r="BA6769" s="1" t="s">
        <v>49</v>
      </c>
      <c r="GD6769" s="1" t="s">
        <v>193</v>
      </c>
      <c r="GE6769" s="1" t="s">
        <v>9551</v>
      </c>
    </row>
    <row r="6770" spans="1:187" ht="11.25" customHeight="1">
      <c r="A6770" s="1" t="s">
        <v>9552</v>
      </c>
      <c r="B6770" s="1" t="str">
        <f ca="1">IFERROR(__xludf.DUMMYFUNCTION("GOOGLETRANSLATE(A6770, ""en"", ""fr"")"),"Mourn # 1")</f>
        <v>Mourn # 1</v>
      </c>
      <c r="C6770" s="1" t="s">
        <v>185</v>
      </c>
      <c r="E6770" s="1" t="s">
        <v>16613</v>
      </c>
      <c r="G6770" s="1" t="s">
        <v>3</v>
      </c>
      <c r="H6770" s="1" t="s">
        <v>4</v>
      </c>
      <c r="L6770" s="1" t="s">
        <v>8</v>
      </c>
      <c r="O6770" s="1" t="s">
        <v>11</v>
      </c>
      <c r="Q6770" s="1" t="s">
        <v>13</v>
      </c>
      <c r="EX6770" s="1" t="s">
        <v>150</v>
      </c>
      <c r="FC6770" s="1" t="s">
        <v>155</v>
      </c>
      <c r="GD6770" s="1" t="s">
        <v>193</v>
      </c>
      <c r="GE6770" s="1" t="s">
        <v>190</v>
      </c>
    </row>
    <row r="6771" spans="1:187" ht="11.25" customHeight="1">
      <c r="A6771" s="1" t="s">
        <v>9553</v>
      </c>
      <c r="B6771" s="1" t="str">
        <f ca="1">IFERROR(__xludf.DUMMYFUNCTION("GOOGLETRANSLATE(A6771, ""en"", ""fr"")"),"Mourn # 2")</f>
        <v>Mourn # 2</v>
      </c>
      <c r="C6771" s="1" t="s">
        <v>185</v>
      </c>
      <c r="E6771" s="1" t="s">
        <v>16613</v>
      </c>
      <c r="G6771" s="1" t="s">
        <v>3</v>
      </c>
      <c r="H6771" s="1" t="s">
        <v>4</v>
      </c>
      <c r="L6771" s="1" t="s">
        <v>8</v>
      </c>
      <c r="O6771" s="1" t="s">
        <v>11</v>
      </c>
      <c r="Q6771" s="1" t="s">
        <v>13</v>
      </c>
      <c r="DN6771" s="1" t="s">
        <v>114</v>
      </c>
      <c r="EX6771" s="1" t="s">
        <v>150</v>
      </c>
      <c r="FC6771" s="1" t="s">
        <v>155</v>
      </c>
      <c r="GD6771" s="1" t="s">
        <v>189</v>
      </c>
      <c r="GE6771" s="1" t="s">
        <v>190</v>
      </c>
    </row>
    <row r="6772" spans="1:187" ht="11.25" customHeight="1">
      <c r="A6772" s="1" t="s">
        <v>9554</v>
      </c>
      <c r="B6772" s="1" t="str">
        <f ca="1">IFERROR(__xludf.DUMMYFUNCTION("GOOGLETRANSLATE(A6772, ""en"", ""fr"")"),"PLEUREUSE")</f>
        <v>PLEUREUSE</v>
      </c>
      <c r="C6772" s="1" t="s">
        <v>192</v>
      </c>
      <c r="E6772" s="1" t="s">
        <v>16613</v>
      </c>
      <c r="Q6772" s="1" t="s">
        <v>13</v>
      </c>
      <c r="T6772" s="1" t="s">
        <v>16</v>
      </c>
      <c r="AJ6772" s="1" t="s">
        <v>32</v>
      </c>
      <c r="AT6772" s="1" t="s">
        <v>42</v>
      </c>
      <c r="GD6772" s="1" t="s">
        <v>193</v>
      </c>
      <c r="GE6772" s="1" t="s">
        <v>190</v>
      </c>
    </row>
    <row r="6773" spans="1:187" ht="11.25" customHeight="1">
      <c r="A6773" s="1" t="s">
        <v>9555</v>
      </c>
      <c r="B6773" s="1" t="str">
        <f ca="1">IFERROR(__xludf.DUMMYFUNCTION("GOOGLETRANSLATE(A6773, ""en"", ""fr"")"),"SOURIS")</f>
        <v>SOURIS</v>
      </c>
      <c r="C6773" s="1" t="s">
        <v>185</v>
      </c>
      <c r="AU6773" s="1" t="s">
        <v>43</v>
      </c>
      <c r="GD6773" s="1" t="s">
        <v>193</v>
      </c>
      <c r="GE6773" s="1" t="s">
        <v>190</v>
      </c>
    </row>
    <row r="6774" spans="1:187" ht="11.25" customHeight="1">
      <c r="A6774" s="1" t="s">
        <v>9556</v>
      </c>
      <c r="B6774" s="1" t="str">
        <f ca="1">IFERROR(__xludf.DUMMYFUNCTION("GOOGLETRANSLATE(A6774, ""en"", ""fr"")"),"Bouche # 1")</f>
        <v>Bouche # 1</v>
      </c>
      <c r="C6774" s="1" t="s">
        <v>185</v>
      </c>
      <c r="BJ6774" s="1" t="s">
        <v>58</v>
      </c>
      <c r="GD6774" s="1" t="s">
        <v>849</v>
      </c>
      <c r="GE6774" s="1" t="s">
        <v>9557</v>
      </c>
    </row>
    <row r="6775" spans="1:187" ht="11.25" customHeight="1">
      <c r="A6775" s="1" t="s">
        <v>9558</v>
      </c>
      <c r="B6775" s="1" t="str">
        <f ca="1">IFERROR(__xludf.DUMMYFUNCTION("GOOGLETRANSLATE(A6775, ""en"", ""fr"")"),"Bouche # 2")</f>
        <v>Bouche # 2</v>
      </c>
      <c r="C6775" s="1" t="s">
        <v>185</v>
      </c>
      <c r="DA6775" s="1" t="s">
        <v>101</v>
      </c>
      <c r="GB6775" s="1" t="s">
        <v>180</v>
      </c>
      <c r="GD6775" s="1" t="s">
        <v>193</v>
      </c>
      <c r="GE6775" s="1" t="s">
        <v>9559</v>
      </c>
    </row>
    <row r="6776" spans="1:187" ht="11.25" customHeight="1">
      <c r="A6776" s="1" t="s">
        <v>9560</v>
      </c>
      <c r="B6776" s="1" t="str">
        <f ca="1">IFERROR(__xludf.DUMMYFUNCTION("GOOGLETRANSLATE(A6776, ""en"", ""fr"")"),"Bouche # 3")</f>
        <v>Bouche # 3</v>
      </c>
      <c r="C6776" s="1" t="s">
        <v>185</v>
      </c>
      <c r="BK6776" s="1" t="s">
        <v>59</v>
      </c>
      <c r="DO6776" s="1" t="s">
        <v>115</v>
      </c>
      <c r="FP6776" s="1" t="s">
        <v>168</v>
      </c>
      <c r="GD6776" s="1" t="s">
        <v>189</v>
      </c>
      <c r="GE6776" s="1" t="s">
        <v>9561</v>
      </c>
    </row>
    <row r="6777" spans="1:187" ht="11.25" customHeight="1">
      <c r="A6777" s="1" t="s">
        <v>9562</v>
      </c>
      <c r="B6777" s="1" t="str">
        <f ca="1">IFERROR(__xludf.DUMMYFUNCTION("GOOGLETRANSLATE(A6777, ""en"", ""fr"")"),"Bouche # 4")</f>
        <v>Bouche # 4</v>
      </c>
      <c r="C6777" s="1" t="s">
        <v>185</v>
      </c>
      <c r="GD6777" s="1" t="s">
        <v>225</v>
      </c>
      <c r="GE6777" s="1" t="s">
        <v>9563</v>
      </c>
    </row>
    <row r="6778" spans="1:187" ht="11.25" customHeight="1">
      <c r="A6778" s="1" t="s">
        <v>9564</v>
      </c>
      <c r="B6778" s="1" t="str">
        <f ca="1">IFERROR(__xludf.DUMMYFUNCTION("GOOGLETRANSLATE(A6778, ""en"", ""fr"")"),"MOBILE")</f>
        <v>MOBILE</v>
      </c>
      <c r="C6778" s="1" t="s">
        <v>185</v>
      </c>
      <c r="O6778" s="1" t="s">
        <v>11</v>
      </c>
      <c r="BQ6778" s="1" t="s">
        <v>65</v>
      </c>
      <c r="GD6778" s="1" t="s">
        <v>202</v>
      </c>
      <c r="GE6778" s="1" t="s">
        <v>190</v>
      </c>
    </row>
    <row r="6779" spans="1:187" ht="11.25" customHeight="1">
      <c r="A6779" s="1" t="s">
        <v>9565</v>
      </c>
      <c r="B6779" s="1" t="str">
        <f ca="1">IFERROR(__xludf.DUMMYFUNCTION("GOOGLETRANSLATE(A6779, ""en"", ""fr"")"),"Déplacer # 1")</f>
        <v>Déplacer # 1</v>
      </c>
      <c r="C6779" s="1" t="s">
        <v>185</v>
      </c>
      <c r="J6779" s="1" t="s">
        <v>6</v>
      </c>
      <c r="N6779" s="1" t="s">
        <v>10</v>
      </c>
      <c r="CE6779" s="1" t="s">
        <v>79</v>
      </c>
      <c r="DO6779" s="1" t="s">
        <v>115</v>
      </c>
      <c r="FP6779" s="1" t="s">
        <v>168</v>
      </c>
      <c r="GD6779" s="1" t="s">
        <v>400</v>
      </c>
      <c r="GE6779" s="1" t="s">
        <v>9566</v>
      </c>
    </row>
    <row r="6780" spans="1:187" ht="11.25" customHeight="1">
      <c r="A6780" s="1" t="s">
        <v>9567</v>
      </c>
      <c r="B6780" s="1" t="str">
        <f ca="1">IFERROR(__xludf.DUMMYFUNCTION("GOOGLETRANSLATE(A6780, ""en"", ""fr"")"),"Déplacer # 2")</f>
        <v>Déplacer # 2</v>
      </c>
      <c r="C6780" s="1" t="s">
        <v>185</v>
      </c>
      <c r="J6780" s="1" t="s">
        <v>6</v>
      </c>
      <c r="N6780" s="1" t="s">
        <v>10</v>
      </c>
      <c r="CE6780" s="1" t="s">
        <v>79</v>
      </c>
      <c r="EC6780" s="1" t="s">
        <v>129</v>
      </c>
      <c r="ED6780" s="1" t="s">
        <v>130</v>
      </c>
      <c r="GD6780" s="1" t="s">
        <v>193</v>
      </c>
      <c r="GE6780" s="1" t="s">
        <v>9568</v>
      </c>
    </row>
    <row r="6781" spans="1:187" ht="11.25" customHeight="1">
      <c r="A6781" s="1" t="s">
        <v>9569</v>
      </c>
      <c r="B6781" s="1" t="str">
        <f ca="1">IFERROR(__xludf.DUMMYFUNCTION("GOOGLETRANSLATE(A6781, ""en"", ""fr"")"),"Déplacer # 3")</f>
        <v>Déplacer # 3</v>
      </c>
      <c r="C6781" s="1" t="s">
        <v>185</v>
      </c>
      <c r="J6781" s="1" t="s">
        <v>6</v>
      </c>
      <c r="K6781" s="1" t="s">
        <v>7</v>
      </c>
      <c r="N6781" s="1" t="s">
        <v>10</v>
      </c>
      <c r="AN6781" s="1" t="s">
        <v>36</v>
      </c>
      <c r="DN6781" s="1" t="s">
        <v>114</v>
      </c>
      <c r="GD6781" s="1" t="s">
        <v>189</v>
      </c>
      <c r="GE6781" s="1" t="s">
        <v>9570</v>
      </c>
    </row>
    <row r="6782" spans="1:187" ht="11.25" customHeight="1">
      <c r="A6782" s="1" t="s">
        <v>9571</v>
      </c>
      <c r="B6782" s="1" t="str">
        <f ca="1">IFERROR(__xludf.DUMMYFUNCTION("GOOGLETRANSLATE(A6782, ""en"", ""fr"")"),"Déplacer # 4")</f>
        <v>Déplacer # 4</v>
      </c>
      <c r="C6782" s="1" t="s">
        <v>185</v>
      </c>
      <c r="J6782" s="1" t="s">
        <v>6</v>
      </c>
      <c r="S6782" s="1" t="s">
        <v>15</v>
      </c>
      <c r="GD6782" s="1" t="s">
        <v>202</v>
      </c>
      <c r="GE6782" s="1" t="s">
        <v>9572</v>
      </c>
    </row>
    <row r="6783" spans="1:187" ht="11.25" customHeight="1">
      <c r="A6783" s="1" t="s">
        <v>9573</v>
      </c>
      <c r="B6783" s="1" t="str">
        <f ca="1">IFERROR(__xludf.DUMMYFUNCTION("GOOGLETRANSLATE(A6783, ""en"", ""fr"")"),"Déplacer # 5")</f>
        <v>Déplacer # 5</v>
      </c>
      <c r="C6783" s="1" t="s">
        <v>185</v>
      </c>
      <c r="N6783" s="1" t="s">
        <v>10</v>
      </c>
      <c r="CE6783" s="1" t="s">
        <v>79</v>
      </c>
      <c r="FP6783" s="1" t="s">
        <v>168</v>
      </c>
      <c r="GD6783" s="1" t="s">
        <v>202</v>
      </c>
      <c r="GE6783" s="1" t="s">
        <v>9574</v>
      </c>
    </row>
    <row r="6784" spans="1:187" ht="11.25" customHeight="1">
      <c r="A6784" s="1" t="s">
        <v>9575</v>
      </c>
      <c r="B6784" s="1" t="str">
        <f ca="1">IFERROR(__xludf.DUMMYFUNCTION("GOOGLETRANSLATE(A6784, ""en"", ""fr"")"),"MOUVEMENT")</f>
        <v>MOUVEMENT</v>
      </c>
      <c r="C6784" s="1" t="s">
        <v>185</v>
      </c>
      <c r="J6784" s="1" t="s">
        <v>6</v>
      </c>
      <c r="N6784" s="1" t="s">
        <v>10</v>
      </c>
      <c r="CE6784" s="1" t="s">
        <v>79</v>
      </c>
      <c r="DZ6784" s="1" t="s">
        <v>126</v>
      </c>
      <c r="ED6784" s="1" t="s">
        <v>130</v>
      </c>
      <c r="FP6784" s="1" t="s">
        <v>168</v>
      </c>
      <c r="GD6784" s="1" t="s">
        <v>193</v>
      </c>
      <c r="GE6784" s="1" t="s">
        <v>9576</v>
      </c>
    </row>
    <row r="6785" spans="1:187" ht="11.25" customHeight="1">
      <c r="A6785" s="1" t="s">
        <v>9577</v>
      </c>
      <c r="B6785" s="1" t="str">
        <f ca="1">IFERROR(__xludf.DUMMYFUNCTION("GOOGLETRANSLATE(A6785, ""en"", ""fr"")"),"DÉMÉNAGEUR")</f>
        <v>DÉMÉNAGEUR</v>
      </c>
      <c r="C6785" s="1" t="s">
        <v>185</v>
      </c>
      <c r="J6785" s="1" t="s">
        <v>6</v>
      </c>
      <c r="N6785" s="1" t="s">
        <v>10</v>
      </c>
      <c r="AJ6785" s="1" t="s">
        <v>32</v>
      </c>
      <c r="AT6785" s="1" t="s">
        <v>42</v>
      </c>
      <c r="FK6785" s="1" t="s">
        <v>163</v>
      </c>
      <c r="FM6785" s="1" t="s">
        <v>418</v>
      </c>
      <c r="GD6785" s="1" t="s">
        <v>9578</v>
      </c>
      <c r="GE6785" s="1" t="s">
        <v>190</v>
      </c>
    </row>
    <row r="6786" spans="1:187" ht="11.25" customHeight="1">
      <c r="A6786" s="1" t="s">
        <v>9579</v>
      </c>
      <c r="B6786" s="1" t="str">
        <f ca="1">IFERROR(__xludf.DUMMYFUNCTION("GOOGLETRANSLATE(A6786, ""en"", ""fr"")"),"FILM")</f>
        <v>FILM</v>
      </c>
      <c r="C6786" s="1" t="s">
        <v>185</v>
      </c>
      <c r="AD6786" s="1" t="s">
        <v>26</v>
      </c>
      <c r="BC6786" s="1" t="s">
        <v>51</v>
      </c>
      <c r="BH6786" s="1" t="s">
        <v>56</v>
      </c>
      <c r="BL6786" s="1" t="s">
        <v>60</v>
      </c>
      <c r="GD6786" s="1" t="s">
        <v>193</v>
      </c>
      <c r="GE6786" s="1" t="s">
        <v>190</v>
      </c>
    </row>
    <row r="6787" spans="1:187" ht="11.25" customHeight="1">
      <c r="A6787" s="1" t="s">
        <v>9580</v>
      </c>
      <c r="B6787" s="1" t="str">
        <f ca="1">IFERROR(__xludf.DUMMYFUNCTION("GOOGLETRANSLATE(A6787, ""en"", ""fr"")"),"Mozambique")</f>
        <v>Mozambique</v>
      </c>
      <c r="C6787" s="1" t="s">
        <v>196</v>
      </c>
      <c r="FU6787" s="1" t="s">
        <v>173</v>
      </c>
      <c r="GD6787" s="1" t="s">
        <v>545</v>
      </c>
    </row>
    <row r="6788" spans="1:187" ht="11.25" customHeight="1">
      <c r="A6788" s="1" t="s">
        <v>9581</v>
      </c>
      <c r="B6788" s="1" t="str">
        <f ca="1">IFERROR(__xludf.DUMMYFUNCTION("GOOGLETRANSLATE(A6788, ""en"", ""fr"")"),"Mph")</f>
        <v>Mph</v>
      </c>
      <c r="C6788" s="1" t="s">
        <v>185</v>
      </c>
      <c r="CY6788" s="1" t="s">
        <v>99</v>
      </c>
      <c r="GB6788" s="1" t="s">
        <v>180</v>
      </c>
      <c r="GD6788" s="1" t="s">
        <v>193</v>
      </c>
      <c r="GE6788" s="1" t="s">
        <v>190</v>
      </c>
    </row>
    <row r="6789" spans="1:187" ht="11.25" customHeight="1">
      <c r="A6789" s="1" t="s">
        <v>9582</v>
      </c>
      <c r="B6789" s="1" t="str">
        <f ca="1">IFERROR(__xludf.DUMMYFUNCTION("GOOGLETRANSLATE(A6789, ""en"", ""fr"")"),"M.")</f>
        <v>M.</v>
      </c>
      <c r="C6789" s="1" t="s">
        <v>185</v>
      </c>
      <c r="AJ6789" s="1" t="s">
        <v>32</v>
      </c>
      <c r="AQ6789" s="1" t="s">
        <v>39</v>
      </c>
      <c r="AT6789" s="1" t="s">
        <v>42</v>
      </c>
      <c r="GD6789" s="1" t="s">
        <v>202</v>
      </c>
      <c r="GE6789" s="1" t="s">
        <v>190</v>
      </c>
    </row>
    <row r="6790" spans="1:187" ht="11.25" customHeight="1">
      <c r="A6790" s="1" t="s">
        <v>9583</v>
      </c>
      <c r="B6790" s="1" t="str">
        <f ca="1">IFERROR(__xludf.DUMMYFUNCTION("GOOGLETRANSLATE(A6790, ""en"", ""fr"")"),"MME.")</f>
        <v>MME.</v>
      </c>
      <c r="C6790" s="1" t="s">
        <v>185</v>
      </c>
      <c r="AJ6790" s="1" t="s">
        <v>32</v>
      </c>
      <c r="AR6790" s="1" t="s">
        <v>40</v>
      </c>
      <c r="AT6790" s="1" t="s">
        <v>42</v>
      </c>
      <c r="GD6790" s="1" t="s">
        <v>202</v>
      </c>
      <c r="GE6790" s="1" t="s">
        <v>190</v>
      </c>
    </row>
    <row r="6791" spans="1:187" ht="11.25" customHeight="1">
      <c r="A6791" s="1" t="s">
        <v>9584</v>
      </c>
      <c r="B6791" s="1" t="str">
        <f ca="1">IFERROR(__xludf.DUMMYFUNCTION("GOOGLETRANSLATE(A6791, ""en"", ""fr"")"),"MS.")</f>
        <v>MS.</v>
      </c>
      <c r="C6791" s="1" t="s">
        <v>185</v>
      </c>
      <c r="AJ6791" s="1" t="s">
        <v>32</v>
      </c>
      <c r="AR6791" s="1" t="s">
        <v>40</v>
      </c>
      <c r="AT6791" s="1" t="s">
        <v>42</v>
      </c>
      <c r="GD6791" s="1" t="s">
        <v>202</v>
      </c>
      <c r="GE6791" s="1" t="s">
        <v>190</v>
      </c>
    </row>
    <row r="6792" spans="1:187" ht="11.25" customHeight="1">
      <c r="A6792" s="1" t="s">
        <v>9585</v>
      </c>
      <c r="B6792" s="1" t="str">
        <f ca="1">IFERROR(__xludf.DUMMYFUNCTION("GOOGLETRANSLATE(A6792, ""en"", ""fr"")"),"BEAUCOUP")</f>
        <v>BEAUCOUP</v>
      </c>
      <c r="C6792" s="1" t="s">
        <v>185</v>
      </c>
      <c r="J6792" s="1" t="s">
        <v>6</v>
      </c>
      <c r="CS6792" s="1" t="s">
        <v>93</v>
      </c>
      <c r="GD6792" s="1" t="s">
        <v>9586</v>
      </c>
      <c r="GE6792" s="1" t="s">
        <v>9587</v>
      </c>
    </row>
    <row r="6793" spans="1:187" ht="11.25" customHeight="1">
      <c r="A6793" s="1" t="s">
        <v>9588</v>
      </c>
      <c r="B6793" s="1" t="str">
        <f ca="1">IFERROR(__xludf.DUMMYFUNCTION("GOOGLETRANSLATE(A6793, ""en"", ""fr"")"),"BOUE")</f>
        <v>BOUE</v>
      </c>
      <c r="C6793" s="1" t="s">
        <v>185</v>
      </c>
      <c r="BC6793" s="1" t="s">
        <v>51</v>
      </c>
      <c r="BI6793" s="1" t="s">
        <v>57</v>
      </c>
      <c r="GD6793" s="1" t="s">
        <v>193</v>
      </c>
      <c r="GE6793" s="1" t="s">
        <v>9589</v>
      </c>
    </row>
    <row r="6794" spans="1:187" ht="11.25" customHeight="1">
      <c r="A6794" s="1" t="s">
        <v>9590</v>
      </c>
      <c r="B6794" s="1" t="str">
        <f ca="1">IFERROR(__xludf.DUMMYFUNCTION("GOOGLETRANSLATE(A6794, ""en"", ""fr"")"),"CONFUSION")</f>
        <v>CONFUSION</v>
      </c>
      <c r="C6794" s="1" t="s">
        <v>192</v>
      </c>
      <c r="E6794" s="1" t="s">
        <v>16613</v>
      </c>
      <c r="N6794" s="1" t="s">
        <v>10</v>
      </c>
      <c r="BP6794" s="1" t="s">
        <v>64</v>
      </c>
      <c r="DN6794" s="1" t="s">
        <v>114</v>
      </c>
      <c r="GD6794" s="1" t="s">
        <v>189</v>
      </c>
      <c r="GE6794" s="1" t="s">
        <v>190</v>
      </c>
    </row>
    <row r="6795" spans="1:187" ht="11.25" customHeight="1">
      <c r="A6795" s="1" t="s">
        <v>9591</v>
      </c>
      <c r="B6795" s="1" t="str">
        <f ca="1">IFERROR(__xludf.DUMMYFUNCTION("GOOGLETRANSLATE(A6795, ""en"", ""fr"")"),"BOUEUX")</f>
        <v>BOUEUX</v>
      </c>
      <c r="C6795" s="1" t="s">
        <v>192</v>
      </c>
      <c r="E6795" s="1" t="s">
        <v>16613</v>
      </c>
      <c r="X6795" s="1" t="s">
        <v>20</v>
      </c>
      <c r="CK6795" s="1" t="s">
        <v>85</v>
      </c>
      <c r="DR6795" s="1" t="s">
        <v>118</v>
      </c>
      <c r="GD6795" s="1" t="s">
        <v>202</v>
      </c>
      <c r="GE6795" s="1" t="s">
        <v>190</v>
      </c>
    </row>
    <row r="6796" spans="1:187" ht="11.25" customHeight="1">
      <c r="A6796" s="1" t="s">
        <v>9592</v>
      </c>
      <c r="B6796" s="1" t="str">
        <f ca="1">IFERROR(__xludf.DUMMYFUNCTION("GOOGLETRANSLATE(A6796, ""en"", ""fr"")"),"Étouffer # 1")</f>
        <v>Étouffer # 1</v>
      </c>
      <c r="C6796" s="1" t="s">
        <v>185</v>
      </c>
      <c r="N6796" s="1" t="s">
        <v>10</v>
      </c>
      <c r="CR6796" s="1" t="s">
        <v>92</v>
      </c>
      <c r="GD6796" s="1" t="s">
        <v>202</v>
      </c>
      <c r="GE6796" s="1" t="s">
        <v>190</v>
      </c>
    </row>
    <row r="6797" spans="1:187" ht="11.25" customHeight="1">
      <c r="A6797" s="1" t="s">
        <v>9593</v>
      </c>
      <c r="B6797" s="1" t="str">
        <f ca="1">IFERROR(__xludf.DUMMYFUNCTION("GOOGLETRANSLATE(A6797, ""en"", ""fr"")"),"Mouffler # 2")</f>
        <v>Mouffler # 2</v>
      </c>
      <c r="C6797" s="1" t="s">
        <v>185</v>
      </c>
      <c r="J6797" s="1" t="s">
        <v>6</v>
      </c>
      <c r="K6797" s="1" t="s">
        <v>7</v>
      </c>
      <c r="N6797" s="1" t="s">
        <v>10</v>
      </c>
      <c r="CC6797" s="1" t="s">
        <v>77</v>
      </c>
      <c r="DN6797" s="1" t="s">
        <v>114</v>
      </c>
      <c r="FO6797" s="1" t="s">
        <v>167</v>
      </c>
      <c r="GD6797" s="1" t="s">
        <v>189</v>
      </c>
      <c r="GE6797" s="1" t="s">
        <v>190</v>
      </c>
    </row>
    <row r="6798" spans="1:187" ht="11.25" customHeight="1">
      <c r="A6798" s="1" t="s">
        <v>9594</v>
      </c>
      <c r="B6798" s="1" t="str">
        <f ca="1">IFERROR(__xludf.DUMMYFUNCTION("GOOGLETRANSLATE(A6798, ""en"", ""fr"")"),"MULE")</f>
        <v>MULE</v>
      </c>
      <c r="C6798" s="1" t="s">
        <v>185</v>
      </c>
      <c r="AU6798" s="1" t="s">
        <v>43</v>
      </c>
      <c r="GD6798" s="1" t="s">
        <v>193</v>
      </c>
      <c r="GE6798" s="1" t="s">
        <v>190</v>
      </c>
    </row>
    <row r="6799" spans="1:187" ht="11.25" customHeight="1">
      <c r="A6799" s="1" t="s">
        <v>9595</v>
      </c>
      <c r="B6799" s="1" t="str">
        <f ca="1">IFERROR(__xludf.DUMMYFUNCTION("GOOGLETRANSLATE(A6799, ""en"", ""fr"")"),"Force multilatérale")</f>
        <v>Force multilatérale</v>
      </c>
      <c r="C6799" s="1" t="s">
        <v>196</v>
      </c>
      <c r="GD6799" s="1" t="s">
        <v>2981</v>
      </c>
    </row>
    <row r="6800" spans="1:187" ht="11.25" customHeight="1">
      <c r="A6800" s="1" t="s">
        <v>9596</v>
      </c>
      <c r="B6800" s="1" t="str">
        <f ca="1">IFERROR(__xludf.DUMMYFUNCTION("GOOGLETRANSLATE(A6800, ""en"", ""fr"")"),"PLUSIEURS")</f>
        <v>PLUSIEURS</v>
      </c>
      <c r="C6800" s="1" t="s">
        <v>185</v>
      </c>
      <c r="J6800" s="1" t="s">
        <v>6</v>
      </c>
      <c r="CS6800" s="1" t="s">
        <v>93</v>
      </c>
      <c r="GD6800" s="1" t="s">
        <v>2464</v>
      </c>
      <c r="GE6800" s="1" t="s">
        <v>190</v>
      </c>
    </row>
    <row r="6801" spans="1:187" ht="11.25" customHeight="1">
      <c r="A6801" s="1" t="s">
        <v>9597</v>
      </c>
      <c r="B6801" s="1" t="str">
        <f ca="1">IFERROR(__xludf.DUMMYFUNCTION("GOOGLETRANSLATE(A6801, ""en"", ""fr"")"),"MULTIPLICATION")</f>
        <v>MULTIPLICATION</v>
      </c>
      <c r="C6801" s="1" t="s">
        <v>185</v>
      </c>
      <c r="J6801" s="1" t="s">
        <v>6</v>
      </c>
      <c r="CS6801" s="1" t="s">
        <v>93</v>
      </c>
      <c r="FP6801" s="1" t="s">
        <v>168</v>
      </c>
      <c r="GD6801" s="1" t="s">
        <v>193</v>
      </c>
      <c r="GE6801" s="1" t="s">
        <v>190</v>
      </c>
    </row>
    <row r="6802" spans="1:187" ht="11.25" customHeight="1">
      <c r="A6802" s="1" t="s">
        <v>9598</v>
      </c>
      <c r="B6802" s="1" t="str">
        <f ca="1">IFERROR(__xludf.DUMMYFUNCTION("GOOGLETRANSLATE(A6802, ""en"", ""fr"")"),"MULTIPLIER")</f>
        <v>MULTIPLIER</v>
      </c>
      <c r="C6802" s="1" t="s">
        <v>185</v>
      </c>
      <c r="J6802" s="1" t="s">
        <v>6</v>
      </c>
      <c r="N6802" s="1" t="s">
        <v>10</v>
      </c>
      <c r="CO6802" s="1" t="s">
        <v>89</v>
      </c>
      <c r="DO6802" s="1" t="s">
        <v>115</v>
      </c>
      <c r="FP6802" s="1" t="s">
        <v>168</v>
      </c>
      <c r="GD6802" s="1" t="s">
        <v>189</v>
      </c>
      <c r="GE6802" s="1" t="s">
        <v>190</v>
      </c>
    </row>
    <row r="6803" spans="1:187" ht="11.25" customHeight="1">
      <c r="A6803" s="1" t="s">
        <v>9599</v>
      </c>
      <c r="B6803" s="1" t="str">
        <f ca="1">IFERROR(__xludf.DUMMYFUNCTION("GOOGLETRANSLATE(A6803, ""en"", ""fr"")"),"MULTITUDE")</f>
        <v>MULTITUDE</v>
      </c>
      <c r="C6803" s="1" t="s">
        <v>192</v>
      </c>
      <c r="D6803" s="1" t="s">
        <v>16612</v>
      </c>
      <c r="AK6803" s="1" t="s">
        <v>33</v>
      </c>
      <c r="CS6803" s="1" t="s">
        <v>93</v>
      </c>
      <c r="GD6803" s="1" t="s">
        <v>193</v>
      </c>
      <c r="GE6803" s="1" t="s">
        <v>190</v>
      </c>
    </row>
    <row r="6804" spans="1:187" ht="11.25" customHeight="1">
      <c r="A6804" s="1" t="s">
        <v>9600</v>
      </c>
      <c r="B6804" s="1" t="str">
        <f ca="1">IFERROR(__xludf.DUMMYFUNCTION("GOOGLETRANSLATE(A6804, ""en"", ""fr"")"),"MARMONNER")</f>
        <v>MARMONNER</v>
      </c>
      <c r="C6804" s="1" t="s">
        <v>192</v>
      </c>
      <c r="E6804" s="1" t="s">
        <v>16613</v>
      </c>
      <c r="X6804" s="1" t="s">
        <v>20</v>
      </c>
      <c r="BK6804" s="1" t="s">
        <v>59</v>
      </c>
      <c r="DO6804" s="1" t="s">
        <v>115</v>
      </c>
      <c r="GD6804" s="1" t="s">
        <v>189</v>
      </c>
      <c r="GE6804" s="1" t="s">
        <v>190</v>
      </c>
    </row>
    <row r="6805" spans="1:187" ht="11.25" customHeight="1">
      <c r="A6805" s="1" t="s">
        <v>9601</v>
      </c>
      <c r="B6805" s="1" t="str">
        <f ca="1">IFERROR(__xludf.DUMMYFUNCTION("GOOGLETRANSLATE(A6805, ""en"", ""fr"")"),"BANAL")</f>
        <v>BANAL</v>
      </c>
      <c r="C6805" s="1" t="s">
        <v>192</v>
      </c>
      <c r="E6805" s="1" t="s">
        <v>16613</v>
      </c>
      <c r="V6805" s="1" t="s">
        <v>18</v>
      </c>
      <c r="CM6805" s="1" t="s">
        <v>87</v>
      </c>
      <c r="DR6805" s="1" t="s">
        <v>118</v>
      </c>
      <c r="GD6805" s="1" t="s">
        <v>202</v>
      </c>
      <c r="GE6805" s="1" t="s">
        <v>190</v>
      </c>
    </row>
    <row r="6806" spans="1:187" ht="11.25" customHeight="1">
      <c r="A6806" s="1" t="s">
        <v>9602</v>
      </c>
      <c r="B6806" s="1" t="str">
        <f ca="1">IFERROR(__xludf.DUMMYFUNCTION("GOOGLETRANSLATE(A6806, ""en"", ""fr"")"),"MUNICIPAL")</f>
        <v>MUNICIPAL</v>
      </c>
      <c r="C6806" s="1" t="s">
        <v>185</v>
      </c>
      <c r="AC6806" s="1" t="s">
        <v>25</v>
      </c>
      <c r="AG6806" s="1" t="s">
        <v>29</v>
      </c>
      <c r="AH6806" s="1" t="s">
        <v>30</v>
      </c>
      <c r="AV6806" s="1" t="s">
        <v>44</v>
      </c>
      <c r="AX6806" s="1" t="s">
        <v>46</v>
      </c>
      <c r="DV6806" s="1" t="s">
        <v>122</v>
      </c>
      <c r="ED6806" s="1" t="s">
        <v>130</v>
      </c>
      <c r="GD6806" s="1" t="s">
        <v>202</v>
      </c>
      <c r="GE6806" s="1" t="s">
        <v>190</v>
      </c>
    </row>
    <row r="6807" spans="1:187" ht="11.25" customHeight="1">
      <c r="A6807" s="1" t="s">
        <v>9603</v>
      </c>
      <c r="B6807" s="1" t="str">
        <f ca="1">IFERROR(__xludf.DUMMYFUNCTION("GOOGLETRANSLATE(A6807, ""en"", ""fr"")"),"MUNICIPALITÉ")</f>
        <v>MUNICIPALITÉ</v>
      </c>
      <c r="C6807" s="1" t="s">
        <v>185</v>
      </c>
      <c r="AG6807" s="1" t="s">
        <v>29</v>
      </c>
      <c r="AH6807" s="1" t="s">
        <v>30</v>
      </c>
      <c r="AV6807" s="1" t="s">
        <v>44</v>
      </c>
      <c r="AX6807" s="1" t="s">
        <v>46</v>
      </c>
      <c r="DV6807" s="1" t="s">
        <v>122</v>
      </c>
      <c r="ED6807" s="1" t="s">
        <v>130</v>
      </c>
      <c r="GD6807" s="1" t="s">
        <v>193</v>
      </c>
      <c r="GE6807" s="1" t="s">
        <v>190</v>
      </c>
    </row>
    <row r="6808" spans="1:187" ht="11.25" customHeight="1">
      <c r="A6808" s="1" t="s">
        <v>9604</v>
      </c>
      <c r="B6808" s="1" t="str">
        <f ca="1">IFERROR(__xludf.DUMMYFUNCTION("GOOGLETRANSLATE(A6808, ""en"", ""fr"")"),"MUNITION")</f>
        <v>MUNITION</v>
      </c>
      <c r="C6808" s="1" t="s">
        <v>185</v>
      </c>
      <c r="AF6808" s="1" t="s">
        <v>28</v>
      </c>
      <c r="BC6808" s="1" t="s">
        <v>51</v>
      </c>
      <c r="BD6808" s="1" t="s">
        <v>52</v>
      </c>
      <c r="DW6808" s="1" t="s">
        <v>123</v>
      </c>
      <c r="ED6808" s="1" t="s">
        <v>130</v>
      </c>
      <c r="GD6808" s="1" t="s">
        <v>193</v>
      </c>
      <c r="GE6808" s="1" t="s">
        <v>190</v>
      </c>
    </row>
    <row r="6809" spans="1:187" ht="11.25" customHeight="1">
      <c r="A6809" s="1" t="s">
        <v>9605</v>
      </c>
      <c r="B6809" s="1" t="str">
        <f ca="1">IFERROR(__xludf.DUMMYFUNCTION("GOOGLETRANSLATE(A6809, ""en"", ""fr"")"),"Meurtre n ° 1")</f>
        <v>Meurtre n ° 1</v>
      </c>
      <c r="C6809" s="1" t="s">
        <v>185</v>
      </c>
      <c r="E6809" s="1" t="s">
        <v>16613</v>
      </c>
      <c r="H6809" s="1" t="s">
        <v>4</v>
      </c>
      <c r="I6809" s="1" t="s">
        <v>5</v>
      </c>
      <c r="J6809" s="1" t="s">
        <v>6</v>
      </c>
      <c r="N6809" s="1" t="s">
        <v>10</v>
      </c>
      <c r="V6809" s="1" t="s">
        <v>18</v>
      </c>
      <c r="FO6809" s="1" t="s">
        <v>167</v>
      </c>
      <c r="GD6809" s="1" t="s">
        <v>193</v>
      </c>
      <c r="GE6809" s="1" t="s">
        <v>190</v>
      </c>
    </row>
    <row r="6810" spans="1:187" ht="11.25" customHeight="1">
      <c r="A6810" s="1" t="s">
        <v>9606</v>
      </c>
      <c r="B6810" s="1" t="str">
        <f ca="1">IFERROR(__xludf.DUMMYFUNCTION("GOOGLETRANSLATE(A6810, ""en"", ""fr"")"),"Murder # 2")</f>
        <v>Murder # 2</v>
      </c>
      <c r="C6810" s="1" t="s">
        <v>185</v>
      </c>
      <c r="E6810" s="1" t="s">
        <v>16613</v>
      </c>
      <c r="H6810" s="1" t="s">
        <v>4</v>
      </c>
      <c r="I6810" s="1" t="s">
        <v>5</v>
      </c>
      <c r="J6810" s="1" t="s">
        <v>6</v>
      </c>
      <c r="N6810" s="1" t="s">
        <v>10</v>
      </c>
      <c r="AN6810" s="1" t="s">
        <v>36</v>
      </c>
      <c r="DO6810" s="1" t="s">
        <v>115</v>
      </c>
      <c r="FO6810" s="1" t="s">
        <v>167</v>
      </c>
      <c r="GD6810" s="1" t="s">
        <v>189</v>
      </c>
      <c r="GE6810" s="1" t="s">
        <v>190</v>
      </c>
    </row>
    <row r="6811" spans="1:187" ht="11.25" customHeight="1">
      <c r="A6811" s="1" t="s">
        <v>9607</v>
      </c>
      <c r="B6811" s="1" t="str">
        <f ca="1">IFERROR(__xludf.DUMMYFUNCTION("GOOGLETRANSLATE(A6811, ""en"", ""fr"")"),"MEURTRIER")</f>
        <v>MEURTRIER</v>
      </c>
      <c r="C6811" s="1" t="s">
        <v>196</v>
      </c>
      <c r="EE6811" s="1" t="s">
        <v>131</v>
      </c>
      <c r="EJ6811" s="1" t="s">
        <v>136</v>
      </c>
      <c r="GD6811" s="1" t="s">
        <v>448</v>
      </c>
    </row>
    <row r="6812" spans="1:187" ht="11.25" customHeight="1">
      <c r="A6812" s="1" t="s">
        <v>9608</v>
      </c>
      <c r="B6812" s="1" t="str">
        <f ca="1">IFERROR(__xludf.DUMMYFUNCTION("GOOGLETRANSLATE(A6812, ""en"", ""fr"")"),"MEURTRIER")</f>
        <v>MEURTRIER</v>
      </c>
      <c r="C6812" s="1" t="s">
        <v>192</v>
      </c>
      <c r="E6812" s="1" t="s">
        <v>16613</v>
      </c>
      <c r="I6812" s="1" t="s">
        <v>5</v>
      </c>
      <c r="DQ6812" s="1" t="s">
        <v>117</v>
      </c>
      <c r="GD6812" s="1" t="s">
        <v>202</v>
      </c>
      <c r="GE6812" s="1" t="s">
        <v>190</v>
      </c>
    </row>
    <row r="6813" spans="1:187" ht="11.25" customHeight="1">
      <c r="A6813" s="1" t="s">
        <v>9609</v>
      </c>
      <c r="B6813" s="1" t="str">
        <f ca="1">IFERROR(__xludf.DUMMYFUNCTION("GOOGLETRANSLATE(A6813, ""en"", ""fr"")"),"SOMBRE")</f>
        <v>SOMBRE</v>
      </c>
      <c r="C6813" s="1" t="s">
        <v>192</v>
      </c>
      <c r="E6813" s="1" t="s">
        <v>16613</v>
      </c>
      <c r="X6813" s="1" t="s">
        <v>20</v>
      </c>
      <c r="CK6813" s="1" t="s">
        <v>85</v>
      </c>
      <c r="DR6813" s="1" t="s">
        <v>118</v>
      </c>
      <c r="GD6813" s="1" t="s">
        <v>202</v>
      </c>
      <c r="GE6813" s="1" t="s">
        <v>190</v>
      </c>
    </row>
    <row r="6814" spans="1:187" ht="11.25" customHeight="1">
      <c r="A6814" s="1" t="s">
        <v>9610</v>
      </c>
      <c r="B6814" s="1" t="str">
        <f ca="1">IFERROR(__xludf.DUMMYFUNCTION("GOOGLETRANSLATE(A6814, ""en"", ""fr"")"),"Murmur # 1")</f>
        <v>Murmur # 1</v>
      </c>
      <c r="C6814" s="1" t="s">
        <v>185</v>
      </c>
      <c r="L6814" s="1" t="s">
        <v>8</v>
      </c>
      <c r="M6814" s="1" t="s">
        <v>9</v>
      </c>
      <c r="BK6814" s="1" t="s">
        <v>59</v>
      </c>
      <c r="BL6814" s="1" t="s">
        <v>60</v>
      </c>
      <c r="GC6814" s="1" t="s">
        <v>181</v>
      </c>
      <c r="GD6814" s="1" t="s">
        <v>193</v>
      </c>
      <c r="GE6814" s="1" t="s">
        <v>190</v>
      </c>
    </row>
    <row r="6815" spans="1:187" ht="11.25" customHeight="1">
      <c r="A6815" s="1" t="s">
        <v>9611</v>
      </c>
      <c r="B6815" s="1" t="str">
        <f ca="1">IFERROR(__xludf.DUMMYFUNCTION("GOOGLETRANSLATE(A6815, ""en"", ""fr"")"),"Murmur # 2")</f>
        <v>Murmur # 2</v>
      </c>
      <c r="C6815" s="1" t="s">
        <v>185</v>
      </c>
      <c r="L6815" s="1" t="s">
        <v>8</v>
      </c>
      <c r="M6815" s="1" t="s">
        <v>9</v>
      </c>
      <c r="BK6815" s="1" t="s">
        <v>59</v>
      </c>
      <c r="DO6815" s="1" t="s">
        <v>115</v>
      </c>
      <c r="GD6815" s="1" t="s">
        <v>189</v>
      </c>
      <c r="GE6815" s="1" t="s">
        <v>190</v>
      </c>
    </row>
    <row r="6816" spans="1:187" ht="11.25" customHeight="1">
      <c r="A6816" s="1" t="s">
        <v>9612</v>
      </c>
      <c r="B6816" s="1" t="str">
        <f ca="1">IFERROR(__xludf.DUMMYFUNCTION("GOOGLETRANSLATE(A6816, ""en"", ""fr"")"),"MUSCLE")</f>
        <v>MUSCLE</v>
      </c>
      <c r="C6816" s="1" t="s">
        <v>185</v>
      </c>
      <c r="J6816" s="1" t="s">
        <v>6</v>
      </c>
      <c r="BJ6816" s="1" t="s">
        <v>58</v>
      </c>
      <c r="EC6816" s="1" t="s">
        <v>129</v>
      </c>
      <c r="ED6816" s="1" t="s">
        <v>130</v>
      </c>
      <c r="GD6816" s="1" t="s">
        <v>193</v>
      </c>
      <c r="GE6816" s="1" t="s">
        <v>190</v>
      </c>
    </row>
    <row r="6817" spans="1:187" ht="11.25" customHeight="1">
      <c r="A6817" s="1" t="s">
        <v>9613</v>
      </c>
      <c r="B6817" s="1" t="str">
        <f ca="1">IFERROR(__xludf.DUMMYFUNCTION("GOOGLETRANSLATE(A6817, ""en"", ""fr"")"),"MUSCLÉ")</f>
        <v>MUSCLÉ</v>
      </c>
      <c r="C6817" s="1" t="s">
        <v>185</v>
      </c>
      <c r="J6817" s="1" t="s">
        <v>6</v>
      </c>
      <c r="BJ6817" s="1" t="s">
        <v>58</v>
      </c>
      <c r="EC6817" s="1" t="s">
        <v>129</v>
      </c>
      <c r="ED6817" s="1" t="s">
        <v>130</v>
      </c>
      <c r="GD6817" s="1" t="s">
        <v>202</v>
      </c>
      <c r="GE6817" s="1" t="s">
        <v>190</v>
      </c>
    </row>
    <row r="6818" spans="1:187" ht="11.25" customHeight="1">
      <c r="A6818" s="1" t="s">
        <v>9614</v>
      </c>
      <c r="B6818" s="1" t="str">
        <f ca="1">IFERROR(__xludf.DUMMYFUNCTION("GOOGLETRANSLATE(A6818, ""en"", ""fr"")"),"MUSÉE")</f>
        <v>MUSÉE</v>
      </c>
      <c r="C6818" s="1" t="s">
        <v>185</v>
      </c>
      <c r="Y6818" s="1" t="s">
        <v>21</v>
      </c>
      <c r="AV6818" s="1" t="s">
        <v>44</v>
      </c>
      <c r="AW6818" s="1" t="s">
        <v>45</v>
      </c>
      <c r="FH6818" s="1" t="s">
        <v>160</v>
      </c>
      <c r="FI6818" s="1" t="s">
        <v>161</v>
      </c>
      <c r="GD6818" s="1" t="s">
        <v>193</v>
      </c>
      <c r="GE6818" s="1" t="s">
        <v>190</v>
      </c>
    </row>
    <row r="6819" spans="1:187" ht="11.25" customHeight="1">
      <c r="A6819" s="1" t="s">
        <v>9615</v>
      </c>
      <c r="B6819" s="1" t="str">
        <f ca="1">IFERROR(__xludf.DUMMYFUNCTION("GOOGLETRANSLATE(A6819, ""en"", ""fr"")"),"MUSIQUE")</f>
        <v>MUSIQUE</v>
      </c>
      <c r="C6819" s="1" t="s">
        <v>185</v>
      </c>
      <c r="AD6819" s="1" t="s">
        <v>26</v>
      </c>
      <c r="BK6819" s="1" t="s">
        <v>59</v>
      </c>
      <c r="BL6819" s="1" t="s">
        <v>60</v>
      </c>
      <c r="FJ6819" s="1" t="s">
        <v>162</v>
      </c>
      <c r="FM6819" s="1" t="s">
        <v>418</v>
      </c>
      <c r="GC6819" s="1" t="s">
        <v>181</v>
      </c>
      <c r="GD6819" s="1" t="s">
        <v>193</v>
      </c>
      <c r="GE6819" s="1" t="s">
        <v>9616</v>
      </c>
    </row>
    <row r="6820" spans="1:187" ht="11.25" customHeight="1">
      <c r="A6820" s="1" t="s">
        <v>9617</v>
      </c>
      <c r="B6820" s="1" t="str">
        <f ca="1">IFERROR(__xludf.DUMMYFUNCTION("GOOGLETRANSLATE(A6820, ""en"", ""fr"")"),"MUSICAL")</f>
        <v>MUSICAL</v>
      </c>
      <c r="C6820" s="1" t="s">
        <v>185</v>
      </c>
      <c r="AD6820" s="1" t="s">
        <v>26</v>
      </c>
      <c r="BK6820" s="1" t="s">
        <v>59</v>
      </c>
      <c r="FJ6820" s="1" t="s">
        <v>162</v>
      </c>
      <c r="FM6820" s="1" t="s">
        <v>418</v>
      </c>
      <c r="GC6820" s="1" t="s">
        <v>181</v>
      </c>
      <c r="GD6820" s="1" t="s">
        <v>202</v>
      </c>
      <c r="GE6820" s="1" t="s">
        <v>190</v>
      </c>
    </row>
    <row r="6821" spans="1:187" ht="11.25" customHeight="1">
      <c r="A6821" s="1" t="s">
        <v>9618</v>
      </c>
      <c r="B6821" s="1" t="str">
        <f ca="1">IFERROR(__xludf.DUMMYFUNCTION("GOOGLETRANSLATE(A6821, ""en"", ""fr"")"),"MUSICIEN")</f>
        <v>MUSICIEN</v>
      </c>
      <c r="C6821" s="1" t="s">
        <v>185</v>
      </c>
      <c r="AD6821" s="1" t="s">
        <v>26</v>
      </c>
      <c r="AJ6821" s="1" t="s">
        <v>32</v>
      </c>
      <c r="AT6821" s="1" t="s">
        <v>42</v>
      </c>
      <c r="FK6821" s="1" t="s">
        <v>163</v>
      </c>
      <c r="FM6821" s="1" t="s">
        <v>418</v>
      </c>
      <c r="GD6821" s="1" t="s">
        <v>193</v>
      </c>
      <c r="GE6821" s="1" t="s">
        <v>9619</v>
      </c>
    </row>
    <row r="6822" spans="1:187" ht="11.25" customHeight="1">
      <c r="A6822" s="1" t="s">
        <v>9620</v>
      </c>
      <c r="B6822" s="1" t="str">
        <f ca="1">IFERROR(__xludf.DUMMYFUNCTION("GOOGLETRANSLATE(A6822, ""en"", ""fr"")"),"Doit n ° 1")</f>
        <v>Doit n ° 1</v>
      </c>
      <c r="C6822" s="1" t="s">
        <v>185</v>
      </c>
      <c r="CJ6822" s="1" t="s">
        <v>84</v>
      </c>
      <c r="DP6822" s="1" t="s">
        <v>116</v>
      </c>
      <c r="GD6822" s="1" t="s">
        <v>222</v>
      </c>
      <c r="GE6822" s="1" t="s">
        <v>9621</v>
      </c>
    </row>
    <row r="6823" spans="1:187" ht="11.25" customHeight="1">
      <c r="A6823" s="1" t="s">
        <v>9622</v>
      </c>
      <c r="B6823" s="1" t="str">
        <f ca="1">IFERROR(__xludf.DUMMYFUNCTION("GOOGLETRANSLATE(A6823, ""en"", ""fr"")"),"Doit # 2")</f>
        <v>Doit # 2</v>
      </c>
      <c r="C6823" s="1" t="s">
        <v>185</v>
      </c>
      <c r="U6823" s="1" t="s">
        <v>17</v>
      </c>
      <c r="GD6823" s="1" t="s">
        <v>193</v>
      </c>
      <c r="GE6823" s="1" t="s">
        <v>9623</v>
      </c>
    </row>
    <row r="6824" spans="1:187" ht="11.25" customHeight="1">
      <c r="A6824" s="1" t="s">
        <v>9624</v>
      </c>
      <c r="B6824" s="1" t="str">
        <f ca="1">IFERROR(__xludf.DUMMYFUNCTION("GOOGLETRANSLATE(A6824, ""en"", ""fr"")"),"RASSEMBLEMENT")</f>
        <v>RASSEMBLEMENT</v>
      </c>
      <c r="C6824" s="1" t="s">
        <v>185</v>
      </c>
      <c r="J6824" s="1" t="s">
        <v>6</v>
      </c>
      <c r="N6824" s="1" t="s">
        <v>10</v>
      </c>
      <c r="CC6824" s="1" t="s">
        <v>77</v>
      </c>
      <c r="DN6824" s="1" t="s">
        <v>114</v>
      </c>
      <c r="FP6824" s="1" t="s">
        <v>168</v>
      </c>
      <c r="GD6824" s="1" t="s">
        <v>189</v>
      </c>
      <c r="GE6824" s="1" t="s">
        <v>190</v>
      </c>
    </row>
    <row r="6825" spans="1:187" ht="11.25" customHeight="1">
      <c r="A6825" s="1" t="s">
        <v>9625</v>
      </c>
      <c r="B6825" s="1" t="str">
        <f ca="1">IFERROR(__xludf.DUMMYFUNCTION("GOOGLETRANSLATE(A6825, ""en"", ""fr"")"),"MURMURER")</f>
        <v>MURMURER</v>
      </c>
      <c r="C6825" s="1" t="s">
        <v>185</v>
      </c>
      <c r="E6825" s="1" t="s">
        <v>16613</v>
      </c>
      <c r="H6825" s="1" t="s">
        <v>4</v>
      </c>
      <c r="I6825" s="1" t="s">
        <v>5</v>
      </c>
      <c r="L6825" s="1" t="s">
        <v>8</v>
      </c>
      <c r="BK6825" s="1" t="s">
        <v>59</v>
      </c>
      <c r="DO6825" s="1" t="s">
        <v>115</v>
      </c>
      <c r="GD6825" s="1" t="s">
        <v>189</v>
      </c>
      <c r="GE6825" s="1" t="s">
        <v>190</v>
      </c>
    </row>
    <row r="6826" spans="1:187" ht="11.25" customHeight="1">
      <c r="A6826" s="1" t="s">
        <v>9626</v>
      </c>
      <c r="B6826" s="1" t="str">
        <f ca="1">IFERROR(__xludf.DUMMYFUNCTION("GOOGLETRANSLATE(A6826, ""en"", ""fr"")"),"VIANDE DE MOUTON")</f>
        <v>VIANDE DE MOUTON</v>
      </c>
      <c r="C6826" s="1" t="s">
        <v>185</v>
      </c>
      <c r="BC6826" s="1" t="s">
        <v>51</v>
      </c>
      <c r="BE6826" s="1" t="s">
        <v>53</v>
      </c>
      <c r="GD6826" s="1" t="s">
        <v>193</v>
      </c>
      <c r="GE6826" s="1" t="s">
        <v>190</v>
      </c>
    </row>
    <row r="6827" spans="1:187" ht="11.25" customHeight="1">
      <c r="A6827" s="1" t="s">
        <v>9627</v>
      </c>
      <c r="B6827" s="1" t="str">
        <f ca="1">IFERROR(__xludf.DUMMYFUNCTION("GOOGLETRANSLATE(A6827, ""en"", ""fr"")"),"Mutuel n ° 1")</f>
        <v>Mutuel n ° 1</v>
      </c>
      <c r="C6827" s="1" t="s">
        <v>185</v>
      </c>
      <c r="D6827" s="1" t="s">
        <v>16612</v>
      </c>
      <c r="F6827" s="1" t="s">
        <v>2</v>
      </c>
      <c r="G6827" s="1" t="s">
        <v>3</v>
      </c>
      <c r="AK6827" s="1" t="s">
        <v>33</v>
      </c>
      <c r="AT6827" s="1" t="s">
        <v>42</v>
      </c>
      <c r="GD6827" s="1" t="s">
        <v>202</v>
      </c>
      <c r="GE6827" s="1" t="s">
        <v>9628</v>
      </c>
    </row>
    <row r="6828" spans="1:187" ht="11.25" customHeight="1">
      <c r="A6828" s="1" t="s">
        <v>9629</v>
      </c>
      <c r="B6828" s="1" t="str">
        <f ca="1">IFERROR(__xludf.DUMMYFUNCTION("GOOGLETRANSLATE(A6828, ""en"", ""fr"")"),"Mutuel n ° 2")</f>
        <v>Mutuel n ° 2</v>
      </c>
      <c r="C6828" s="1" t="s">
        <v>185</v>
      </c>
      <c r="D6828" s="1" t="s">
        <v>16612</v>
      </c>
      <c r="F6828" s="1" t="s">
        <v>2</v>
      </c>
      <c r="G6828" s="1" t="s">
        <v>3</v>
      </c>
      <c r="AK6828" s="1" t="s">
        <v>33</v>
      </c>
      <c r="AT6828" s="1" t="s">
        <v>42</v>
      </c>
      <c r="GD6828" s="1" t="s">
        <v>236</v>
      </c>
      <c r="GE6828" s="1" t="s">
        <v>9630</v>
      </c>
    </row>
    <row r="6829" spans="1:187" ht="11.25" customHeight="1">
      <c r="A6829" s="1" t="s">
        <v>9631</v>
      </c>
      <c r="B6829" s="1" t="str">
        <f ca="1">IFERROR(__xludf.DUMMYFUNCTION("GOOGLETRANSLATE(A6829, ""en"", ""fr"")"),"MON")</f>
        <v>MON</v>
      </c>
      <c r="C6829" s="1" t="s">
        <v>185</v>
      </c>
      <c r="DF6829" s="1" t="s">
        <v>106</v>
      </c>
      <c r="GD6829" s="1" t="s">
        <v>9632</v>
      </c>
      <c r="GE6829" s="1" t="s">
        <v>9633</v>
      </c>
    </row>
    <row r="6830" spans="1:187" ht="11.25" customHeight="1">
      <c r="A6830" s="1" t="s">
        <v>9634</v>
      </c>
      <c r="B6830" s="1" t="str">
        <f ca="1">IFERROR(__xludf.DUMMYFUNCTION("GOOGLETRANSLATE(A6830, ""en"", ""fr"")"),"MYRIADE")</f>
        <v>MYRIADE</v>
      </c>
      <c r="C6830" s="1" t="s">
        <v>192</v>
      </c>
      <c r="D6830" s="1" t="s">
        <v>16612</v>
      </c>
      <c r="AK6830" s="1" t="s">
        <v>33</v>
      </c>
      <c r="CS6830" s="1" t="s">
        <v>93</v>
      </c>
      <c r="GD6830" s="1" t="s">
        <v>193</v>
      </c>
      <c r="GE6830" s="1" t="s">
        <v>190</v>
      </c>
    </row>
    <row r="6831" spans="1:187" ht="11.25" customHeight="1">
      <c r="A6831" s="1" t="s">
        <v>9635</v>
      </c>
      <c r="B6831" s="1" t="str">
        <f ca="1">IFERROR(__xludf.DUMMYFUNCTION("GOOGLETRANSLATE(A6831, ""en"", ""fr"")"),"Moi-même # 1")</f>
        <v>Moi-même # 1</v>
      </c>
      <c r="C6831" s="1" t="s">
        <v>192</v>
      </c>
      <c r="GD6831" s="1" t="s">
        <v>9636</v>
      </c>
    </row>
    <row r="6832" spans="1:187" ht="11.25" customHeight="1">
      <c r="A6832" s="1" t="s">
        <v>9637</v>
      </c>
      <c r="B6832" s="1" t="str">
        <f ca="1">IFERROR(__xludf.DUMMYFUNCTION("GOOGLETRANSLATE(A6832, ""en"", ""fr"")"),"Moi-même&gt; # 1")</f>
        <v>Moi-même&gt; # 1</v>
      </c>
      <c r="C6832" s="1" t="s">
        <v>192</v>
      </c>
      <c r="DF6832" s="1" t="s">
        <v>106</v>
      </c>
      <c r="GD6832" s="1" t="s">
        <v>9638</v>
      </c>
      <c r="GE6832" s="1" t="s">
        <v>9639</v>
      </c>
    </row>
    <row r="6833" spans="1:187" ht="11.25" customHeight="1">
      <c r="A6833" s="1" t="s">
        <v>9640</v>
      </c>
      <c r="B6833" s="1" t="str">
        <f ca="1">IFERROR(__xludf.DUMMYFUNCTION("GOOGLETRANSLATE(A6833, ""en"", ""fr"")"),"Moi-même&gt; # 2")</f>
        <v>Moi-même&gt; # 2</v>
      </c>
      <c r="C6833" s="1" t="s">
        <v>192</v>
      </c>
      <c r="L6833" s="1" t="s">
        <v>8</v>
      </c>
      <c r="DA6833" s="1" t="s">
        <v>101</v>
      </c>
      <c r="GD6833" s="1" t="s">
        <v>236</v>
      </c>
      <c r="GE6833" s="1" t="s">
        <v>9641</v>
      </c>
    </row>
    <row r="6834" spans="1:187" ht="11.25" customHeight="1">
      <c r="A6834" s="1" t="s">
        <v>9642</v>
      </c>
      <c r="B6834" s="1" t="str">
        <f ca="1">IFERROR(__xludf.DUMMYFUNCTION("GOOGLETRANSLATE(A6834, ""en"", ""fr"")"),"Moi-même&gt; # 3")</f>
        <v>Moi-même&gt; # 3</v>
      </c>
      <c r="C6834" s="1" t="s">
        <v>185</v>
      </c>
      <c r="E6834" s="1" t="s">
        <v>16613</v>
      </c>
      <c r="H6834" s="1" t="s">
        <v>4</v>
      </c>
      <c r="L6834" s="1" t="s">
        <v>8</v>
      </c>
      <c r="O6834" s="1" t="s">
        <v>11</v>
      </c>
      <c r="Q6834" s="1" t="s">
        <v>13</v>
      </c>
      <c r="T6834" s="1" t="s">
        <v>16</v>
      </c>
      <c r="FA6834" s="1" t="s">
        <v>153</v>
      </c>
      <c r="FC6834" s="1" t="s">
        <v>155</v>
      </c>
      <c r="GD6834" s="1" t="s">
        <v>202</v>
      </c>
      <c r="GE6834" s="1" t="s">
        <v>9643</v>
      </c>
    </row>
    <row r="6835" spans="1:187" ht="11.25" customHeight="1">
      <c r="A6835" s="1" t="s">
        <v>9644</v>
      </c>
      <c r="B6835" s="1" t="str">
        <f ca="1">IFERROR(__xludf.DUMMYFUNCTION("GOOGLETRANSLATE(A6835, ""en"", ""fr"")"),"MYSTÉRIEUX")</f>
        <v>MYSTÉRIEUX</v>
      </c>
      <c r="C6835" s="1" t="s">
        <v>185</v>
      </c>
      <c r="CH6835" s="1" t="s">
        <v>82</v>
      </c>
      <c r="FH6835" s="1" t="s">
        <v>160</v>
      </c>
      <c r="FI6835" s="1" t="s">
        <v>161</v>
      </c>
      <c r="GD6835" s="1" t="s">
        <v>202</v>
      </c>
      <c r="GE6835" s="1" t="s">
        <v>190</v>
      </c>
    </row>
    <row r="6836" spans="1:187" ht="11.25" customHeight="1">
      <c r="A6836" s="1" t="s">
        <v>9645</v>
      </c>
      <c r="B6836" s="1" t="str">
        <f ca="1">IFERROR(__xludf.DUMMYFUNCTION("GOOGLETRANSLATE(A6836, ""en"", ""fr"")"),"MYSTÈRE")</f>
        <v>MYSTÈRE</v>
      </c>
      <c r="C6836" s="1" t="s">
        <v>185</v>
      </c>
      <c r="CH6836" s="1" t="s">
        <v>82</v>
      </c>
      <c r="FH6836" s="1" t="s">
        <v>160</v>
      </c>
      <c r="FI6836" s="1" t="s">
        <v>161</v>
      </c>
      <c r="GD6836" s="1" t="s">
        <v>193</v>
      </c>
      <c r="GE6836" s="1" t="s">
        <v>190</v>
      </c>
    </row>
    <row r="6837" spans="1:187" ht="11.25" customHeight="1">
      <c r="A6837" s="1" t="s">
        <v>9646</v>
      </c>
      <c r="B6837" s="1" t="str">
        <f ca="1">IFERROR(__xludf.DUMMYFUNCTION("GOOGLETRANSLATE(A6837, ""en"", ""fr"")"),"MYSTIQUE")</f>
        <v>MYSTIQUE</v>
      </c>
      <c r="C6837" s="1" t="s">
        <v>196</v>
      </c>
      <c r="EF6837" s="1" t="s">
        <v>132</v>
      </c>
      <c r="EJ6837" s="1" t="s">
        <v>136</v>
      </c>
      <c r="GD6837" s="1" t="s">
        <v>448</v>
      </c>
    </row>
    <row r="6838" spans="1:187" ht="11.25" customHeight="1">
      <c r="A6838" s="1" t="s">
        <v>9647</v>
      </c>
      <c r="B6838" s="1" t="str">
        <f ca="1">IFERROR(__xludf.DUMMYFUNCTION("GOOGLETRANSLATE(A6838, ""en"", ""fr"")"),"MYSTIQUE")</f>
        <v>MYSTIQUE</v>
      </c>
      <c r="C6838" s="1" t="s">
        <v>196</v>
      </c>
      <c r="FH6838" s="1" t="s">
        <v>160</v>
      </c>
      <c r="FI6838" s="1" t="s">
        <v>161</v>
      </c>
      <c r="GD6838" s="1" t="s">
        <v>202</v>
      </c>
    </row>
    <row r="6839" spans="1:187" ht="11.25" customHeight="1">
      <c r="A6839" s="1" t="s">
        <v>9648</v>
      </c>
      <c r="B6839" s="1" t="str">
        <f ca="1">IFERROR(__xludf.DUMMYFUNCTION("GOOGLETRANSLATE(A6839, ""en"", ""fr"")"),"MYTHE")</f>
        <v>MYTHE</v>
      </c>
      <c r="C6839" s="1" t="s">
        <v>185</v>
      </c>
      <c r="AI6839" s="1" t="s">
        <v>31</v>
      </c>
      <c r="BK6839" s="1" t="s">
        <v>59</v>
      </c>
      <c r="BL6839" s="1" t="s">
        <v>60</v>
      </c>
      <c r="FH6839" s="1" t="s">
        <v>160</v>
      </c>
      <c r="FI6839" s="1" t="s">
        <v>161</v>
      </c>
      <c r="GC6839" s="1" t="s">
        <v>181</v>
      </c>
      <c r="GD6839" s="1" t="s">
        <v>193</v>
      </c>
      <c r="GE6839" s="1" t="s">
        <v>190</v>
      </c>
    </row>
    <row r="6840" spans="1:187" ht="11.25" customHeight="1">
      <c r="A6840" s="1" t="s">
        <v>9649</v>
      </c>
      <c r="B6840" s="1" t="str">
        <f ca="1">IFERROR(__xludf.DUMMYFUNCTION("GOOGLETRANSLATE(A6840, ""en"", ""fr"")"),"NAG # 1")</f>
        <v>NAG # 1</v>
      </c>
      <c r="C6840" s="1" t="s">
        <v>185</v>
      </c>
      <c r="AU6840" s="1" t="s">
        <v>43</v>
      </c>
      <c r="GD6840" s="1" t="s">
        <v>193</v>
      </c>
      <c r="GE6840" s="1" t="s">
        <v>190</v>
      </c>
    </row>
    <row r="6841" spans="1:187" ht="11.25" customHeight="1">
      <c r="A6841" s="1" t="s">
        <v>9650</v>
      </c>
      <c r="B6841" s="1" t="str">
        <f ca="1">IFERROR(__xludf.DUMMYFUNCTION("GOOGLETRANSLATE(A6841, ""en"", ""fr"")"),"NAG # 2")</f>
        <v>NAG # 2</v>
      </c>
      <c r="C6841" s="1" t="s">
        <v>185</v>
      </c>
      <c r="E6841" s="1" t="s">
        <v>16613</v>
      </c>
      <c r="H6841" s="1" t="s">
        <v>4</v>
      </c>
      <c r="I6841" s="1" t="s">
        <v>5</v>
      </c>
      <c r="N6841" s="1" t="s">
        <v>10</v>
      </c>
      <c r="BK6841" s="1" t="s">
        <v>59</v>
      </c>
      <c r="DN6841" s="1" t="s">
        <v>114</v>
      </c>
      <c r="FW6841" s="1" t="s">
        <v>175</v>
      </c>
      <c r="GD6841" s="1" t="s">
        <v>189</v>
      </c>
      <c r="GE6841" s="1" t="s">
        <v>190</v>
      </c>
    </row>
    <row r="6842" spans="1:187" ht="11.25" customHeight="1">
      <c r="A6842" s="1" t="s">
        <v>9651</v>
      </c>
      <c r="B6842" s="1" t="str">
        <f ca="1">IFERROR(__xludf.DUMMYFUNCTION("GOOGLETRANSLATE(A6842, ""en"", ""fr"")"),"Ongle n ° 1")</f>
        <v>Ongle n ° 1</v>
      </c>
      <c r="C6842" s="1" t="s">
        <v>185</v>
      </c>
      <c r="BC6842" s="1" t="s">
        <v>51</v>
      </c>
      <c r="BD6842" s="1" t="s">
        <v>52</v>
      </c>
      <c r="GD6842" s="1" t="s">
        <v>193</v>
      </c>
      <c r="GE6842" s="1" t="s">
        <v>190</v>
      </c>
    </row>
    <row r="6843" spans="1:187" ht="11.25" customHeight="1">
      <c r="A6843" s="1" t="s">
        <v>9652</v>
      </c>
      <c r="B6843" s="1" t="str">
        <f ca="1">IFERROR(__xludf.DUMMYFUNCTION("GOOGLETRANSLATE(A6843, ""en"", ""fr"")"),"Ongle n ° 2")</f>
        <v>Ongle n ° 2</v>
      </c>
      <c r="C6843" s="1" t="s">
        <v>185</v>
      </c>
      <c r="N6843" s="1" t="s">
        <v>10</v>
      </c>
      <c r="AL6843" s="1" t="s">
        <v>34</v>
      </c>
      <c r="DO6843" s="1" t="s">
        <v>115</v>
      </c>
      <c r="FP6843" s="1" t="s">
        <v>168</v>
      </c>
      <c r="GD6843" s="1" t="s">
        <v>189</v>
      </c>
      <c r="GE6843" s="1" t="s">
        <v>190</v>
      </c>
    </row>
    <row r="6844" spans="1:187" ht="11.25" customHeight="1">
      <c r="A6844" s="1" t="s">
        <v>9653</v>
      </c>
      <c r="B6844" s="1" t="str">
        <f ca="1">IFERROR(__xludf.DUMMYFUNCTION("GOOGLETRANSLATE(A6844, ""en"", ""fr"")"),"NAÏF")</f>
        <v>NAÏF</v>
      </c>
      <c r="C6844" s="1" t="s">
        <v>185</v>
      </c>
      <c r="E6844" s="1" t="s">
        <v>16613</v>
      </c>
      <c r="H6844" s="1" t="s">
        <v>4</v>
      </c>
      <c r="L6844" s="1" t="s">
        <v>8</v>
      </c>
      <c r="O6844" s="1" t="s">
        <v>11</v>
      </c>
      <c r="V6844" s="1" t="s">
        <v>18</v>
      </c>
      <c r="CN6844" s="1" t="s">
        <v>88</v>
      </c>
      <c r="FH6844" s="1" t="s">
        <v>160</v>
      </c>
      <c r="FI6844" s="1" t="s">
        <v>161</v>
      </c>
      <c r="GD6844" s="1" t="s">
        <v>202</v>
      </c>
      <c r="GE6844" s="1" t="s">
        <v>190</v>
      </c>
    </row>
    <row r="6845" spans="1:187" ht="11.25" customHeight="1">
      <c r="A6845" s="1" t="s">
        <v>9654</v>
      </c>
      <c r="B6845" s="1" t="str">
        <f ca="1">IFERROR(__xludf.DUMMYFUNCTION("GOOGLETRANSLATE(A6845, ""en"", ""fr"")"),"NU")</f>
        <v>NU</v>
      </c>
      <c r="C6845" s="1" t="s">
        <v>185</v>
      </c>
      <c r="CR6845" s="1" t="s">
        <v>92</v>
      </c>
      <c r="GD6845" s="1" t="s">
        <v>202</v>
      </c>
      <c r="GE6845" s="1" t="s">
        <v>190</v>
      </c>
    </row>
    <row r="6846" spans="1:187" ht="11.25" customHeight="1">
      <c r="A6846" s="1" t="s">
        <v>9655</v>
      </c>
      <c r="B6846" s="1" t="str">
        <f ca="1">IFERROR(__xludf.DUMMYFUNCTION("GOOGLETRANSLATE(A6846, ""en"", ""fr"")"),"Nom # 1")</f>
        <v>Nom # 1</v>
      </c>
      <c r="C6846" s="1" t="s">
        <v>185</v>
      </c>
      <c r="BK6846" s="1" t="s">
        <v>59</v>
      </c>
      <c r="BL6846" s="1" t="s">
        <v>60</v>
      </c>
      <c r="FH6846" s="1" t="s">
        <v>160</v>
      </c>
      <c r="FI6846" s="1" t="s">
        <v>161</v>
      </c>
      <c r="GC6846" s="1" t="s">
        <v>181</v>
      </c>
      <c r="GD6846" s="1" t="s">
        <v>193</v>
      </c>
      <c r="GE6846" s="1" t="s">
        <v>9656</v>
      </c>
    </row>
    <row r="6847" spans="1:187" ht="11.25" customHeight="1">
      <c r="A6847" s="1" t="s">
        <v>9657</v>
      </c>
      <c r="B6847" s="1" t="str">
        <f ca="1">IFERROR(__xludf.DUMMYFUNCTION("GOOGLETRANSLATE(A6847, ""en"", ""fr"")"),"Nom n ° 2")</f>
        <v>Nom n ° 2</v>
      </c>
      <c r="C6847" s="1" t="s">
        <v>185</v>
      </c>
      <c r="BK6847" s="1" t="s">
        <v>59</v>
      </c>
      <c r="DO6847" s="1" t="s">
        <v>115</v>
      </c>
      <c r="FH6847" s="1" t="s">
        <v>160</v>
      </c>
      <c r="FI6847" s="1" t="s">
        <v>161</v>
      </c>
      <c r="GD6847" s="1" t="s">
        <v>189</v>
      </c>
      <c r="GE6847" s="1" t="s">
        <v>9658</v>
      </c>
    </row>
    <row r="6848" spans="1:187" ht="11.25" customHeight="1">
      <c r="A6848" s="1" t="s">
        <v>9659</v>
      </c>
      <c r="B6848" s="1" t="str">
        <f ca="1">IFERROR(__xludf.DUMMYFUNCTION("GOOGLETRANSLATE(A6848, ""en"", ""fr"")"),"Nom n ° 3")</f>
        <v>Nom n ° 3</v>
      </c>
      <c r="C6848" s="1" t="s">
        <v>185</v>
      </c>
      <c r="BK6848" s="1" t="s">
        <v>59</v>
      </c>
      <c r="FH6848" s="1" t="s">
        <v>160</v>
      </c>
      <c r="FI6848" s="1" t="s">
        <v>161</v>
      </c>
      <c r="GC6848" s="1" t="s">
        <v>181</v>
      </c>
      <c r="GD6848" s="1" t="s">
        <v>193</v>
      </c>
      <c r="GE6848" s="1" t="s">
        <v>9660</v>
      </c>
    </row>
    <row r="6849" spans="1:187" ht="11.25" customHeight="1">
      <c r="A6849" s="1" t="s">
        <v>9661</v>
      </c>
      <c r="B6849" s="1" t="str">
        <f ca="1">IFERROR(__xludf.DUMMYFUNCTION("GOOGLETRANSLATE(A6849, ""en"", ""fr"")"),"Nom n ° 4")</f>
        <v>Nom n ° 4</v>
      </c>
      <c r="C6849" s="1" t="s">
        <v>185</v>
      </c>
      <c r="L6849" s="1" t="s">
        <v>8</v>
      </c>
      <c r="M6849" s="1" t="s">
        <v>9</v>
      </c>
      <c r="O6849" s="1" t="s">
        <v>11</v>
      </c>
      <c r="AN6849" s="1" t="s">
        <v>36</v>
      </c>
      <c r="GD6849" s="1" t="s">
        <v>202</v>
      </c>
      <c r="GE6849" s="1" t="s">
        <v>9662</v>
      </c>
    </row>
    <row r="6850" spans="1:187" ht="11.25" customHeight="1">
      <c r="A6850" s="1" t="s">
        <v>9663</v>
      </c>
      <c r="B6850" s="1" t="str">
        <f ca="1">IFERROR(__xludf.DUMMYFUNCTION("GOOGLETRANSLATE(A6850, ""en"", ""fr"")"),"Nom n ° 5")</f>
        <v>Nom n ° 5</v>
      </c>
      <c r="C6850" s="1" t="s">
        <v>185</v>
      </c>
      <c r="BQ6850" s="1" t="s">
        <v>65</v>
      </c>
      <c r="EK6850" s="1" t="s">
        <v>137</v>
      </c>
      <c r="EN6850" s="1" t="s">
        <v>140</v>
      </c>
      <c r="GD6850" s="1" t="s">
        <v>193</v>
      </c>
      <c r="GE6850" s="1" t="s">
        <v>9664</v>
      </c>
    </row>
    <row r="6851" spans="1:187" ht="11.25" customHeight="1">
      <c r="A6851" s="1" t="s">
        <v>9665</v>
      </c>
      <c r="B6851" s="1" t="str">
        <f ca="1">IFERROR(__xludf.DUMMYFUNCTION("GOOGLETRANSLATE(A6851, ""en"", ""fr"")"),"Nom n ° 6")</f>
        <v>Nom n ° 6</v>
      </c>
      <c r="C6851" s="1" t="s">
        <v>185</v>
      </c>
      <c r="CH6851" s="1" t="s">
        <v>82</v>
      </c>
      <c r="GD6851" s="1" t="s">
        <v>236</v>
      </c>
      <c r="GE6851" s="1" t="s">
        <v>9666</v>
      </c>
    </row>
    <row r="6852" spans="1:187" ht="11.25" customHeight="1">
      <c r="A6852" s="1" t="s">
        <v>9667</v>
      </c>
      <c r="B6852" s="1" t="str">
        <f ca="1">IFERROR(__xludf.DUMMYFUNCTION("GOOGLETRANSLATE(A6852, ""en"", ""fr"")"),"NARRATIF")</f>
        <v>NARRATIF</v>
      </c>
      <c r="C6852" s="1" t="s">
        <v>185</v>
      </c>
      <c r="AD6852" s="1" t="s">
        <v>26</v>
      </c>
      <c r="BK6852" s="1" t="s">
        <v>59</v>
      </c>
      <c r="BL6852" s="1" t="s">
        <v>60</v>
      </c>
      <c r="GC6852" s="1" t="s">
        <v>181</v>
      </c>
      <c r="GD6852" s="1" t="s">
        <v>193</v>
      </c>
      <c r="GE6852" s="1" t="s">
        <v>190</v>
      </c>
    </row>
    <row r="6853" spans="1:187" ht="11.25" customHeight="1">
      <c r="A6853" s="1" t="s">
        <v>9668</v>
      </c>
      <c r="B6853" s="1" t="str">
        <f ca="1">IFERROR(__xludf.DUMMYFUNCTION("GOOGLETRANSLATE(A6853, ""en"", ""fr"")"),"ÉTROIT")</f>
        <v>ÉTROIT</v>
      </c>
      <c r="C6853" s="1" t="s">
        <v>185</v>
      </c>
      <c r="L6853" s="1" t="s">
        <v>8</v>
      </c>
      <c r="DA6853" s="1" t="s">
        <v>101</v>
      </c>
      <c r="DC6853" s="1" t="s">
        <v>103</v>
      </c>
      <c r="GD6853" s="1" t="s">
        <v>202</v>
      </c>
      <c r="GE6853" s="1" t="s">
        <v>190</v>
      </c>
    </row>
    <row r="6854" spans="1:187" ht="11.25" customHeight="1">
      <c r="A6854" s="1" t="s">
        <v>9669</v>
      </c>
      <c r="B6854" s="1" t="str">
        <f ca="1">IFERROR(__xludf.DUMMYFUNCTION("GOOGLETRANSLATE(A6854, ""en"", ""fr"")"),"MÉCHANT")</f>
        <v>MÉCHANT</v>
      </c>
      <c r="C6854" s="1" t="s">
        <v>192</v>
      </c>
      <c r="E6854" s="1" t="s">
        <v>16613</v>
      </c>
      <c r="I6854" s="1" t="s">
        <v>5</v>
      </c>
      <c r="DR6854" s="1" t="s">
        <v>118</v>
      </c>
      <c r="GD6854" s="1" t="s">
        <v>202</v>
      </c>
      <c r="GE6854" s="1" t="s">
        <v>190</v>
      </c>
    </row>
    <row r="6855" spans="1:187" ht="11.25" customHeight="1">
      <c r="A6855" s="1" t="s">
        <v>9670</v>
      </c>
      <c r="B6855" s="1" t="str">
        <f ca="1">IFERROR(__xludf.DUMMYFUNCTION("GOOGLETRANSLATE(A6855, ""en"", ""fr"")"),"NATION")</f>
        <v>NATION</v>
      </c>
      <c r="C6855" s="1" t="s">
        <v>185</v>
      </c>
      <c r="AC6855" s="1" t="s">
        <v>25</v>
      </c>
      <c r="AG6855" s="1" t="s">
        <v>29</v>
      </c>
      <c r="AH6855" s="1" t="s">
        <v>30</v>
      </c>
      <c r="AK6855" s="1" t="s">
        <v>33</v>
      </c>
      <c r="AT6855" s="1" t="s">
        <v>42</v>
      </c>
      <c r="EC6855" s="1" t="s">
        <v>129</v>
      </c>
      <c r="ED6855" s="1" t="s">
        <v>130</v>
      </c>
      <c r="GD6855" s="1" t="s">
        <v>193</v>
      </c>
      <c r="GE6855" s="1" t="s">
        <v>9671</v>
      </c>
    </row>
    <row r="6856" spans="1:187" ht="11.25" customHeight="1">
      <c r="A6856" s="1" t="s">
        <v>9672</v>
      </c>
      <c r="B6856" s="1" t="str">
        <f ca="1">IFERROR(__xludf.DUMMYFUNCTION("GOOGLETRANSLATE(A6856, ""en"", ""fr"")"),"NATIONAL")</f>
        <v>NATIONAL</v>
      </c>
      <c r="C6856" s="1" t="s">
        <v>185</v>
      </c>
      <c r="AG6856" s="1" t="s">
        <v>29</v>
      </c>
      <c r="AH6856" s="1" t="s">
        <v>30</v>
      </c>
      <c r="AK6856" s="1" t="s">
        <v>33</v>
      </c>
      <c r="AT6856" s="1" t="s">
        <v>42</v>
      </c>
      <c r="EC6856" s="1" t="s">
        <v>129</v>
      </c>
      <c r="ED6856" s="1" t="s">
        <v>130</v>
      </c>
      <c r="GD6856" s="1" t="s">
        <v>202</v>
      </c>
      <c r="GE6856" s="1" t="s">
        <v>9673</v>
      </c>
    </row>
    <row r="6857" spans="1:187" ht="11.25" customHeight="1">
      <c r="A6857" s="1" t="s">
        <v>9674</v>
      </c>
      <c r="B6857" s="1" t="str">
        <f ca="1">IFERROR(__xludf.DUMMYFUNCTION("GOOGLETRANSLATE(A6857, ""en"", ""fr"")"),"NATIONALISME")</f>
        <v>NATIONALISME</v>
      </c>
      <c r="C6857" s="1" t="s">
        <v>185</v>
      </c>
      <c r="Z6857" s="1" t="s">
        <v>22</v>
      </c>
      <c r="AH6857" s="1" t="s">
        <v>30</v>
      </c>
      <c r="CP6857" s="1" t="s">
        <v>90</v>
      </c>
      <c r="CQ6857" s="1" t="s">
        <v>91</v>
      </c>
      <c r="EA6857" s="1" t="s">
        <v>127</v>
      </c>
      <c r="ED6857" s="1" t="s">
        <v>130</v>
      </c>
      <c r="GD6857" s="1" t="s">
        <v>193</v>
      </c>
      <c r="GE6857" s="1" t="s">
        <v>190</v>
      </c>
    </row>
    <row r="6858" spans="1:187" ht="11.25" customHeight="1">
      <c r="A6858" s="1" t="s">
        <v>9675</v>
      </c>
      <c r="B6858" s="1" t="str">
        <f ca="1">IFERROR(__xludf.DUMMYFUNCTION("GOOGLETRANSLATE(A6858, ""en"", ""fr"")"),"NATIONALISTE")</f>
        <v>NATIONALISTE</v>
      </c>
      <c r="C6858" s="1" t="s">
        <v>196</v>
      </c>
      <c r="DV6858" s="1" t="s">
        <v>122</v>
      </c>
      <c r="ED6858" s="1" t="s">
        <v>130</v>
      </c>
      <c r="GD6858" s="1" t="s">
        <v>193</v>
      </c>
    </row>
    <row r="6859" spans="1:187" ht="11.25" customHeight="1">
      <c r="A6859" s="1" t="s">
        <v>9676</v>
      </c>
      <c r="B6859" s="1" t="str">
        <f ca="1">IFERROR(__xludf.DUMMYFUNCTION("GOOGLETRANSLATE(A6859, ""en"", ""fr"")"),"NATIONALISTE")</f>
        <v>NATIONALISTE</v>
      </c>
      <c r="C6859" s="1" t="s">
        <v>196</v>
      </c>
      <c r="DV6859" s="1" t="s">
        <v>122</v>
      </c>
      <c r="ED6859" s="1" t="s">
        <v>130</v>
      </c>
      <c r="GD6859" s="1" t="s">
        <v>202</v>
      </c>
    </row>
    <row r="6860" spans="1:187" ht="11.25" customHeight="1">
      <c r="A6860" s="1" t="s">
        <v>9677</v>
      </c>
      <c r="B6860" s="1" t="str">
        <f ca="1">IFERROR(__xludf.DUMMYFUNCTION("GOOGLETRANSLATE(A6860, ""en"", ""fr"")"),"NATIONALITÉ")</f>
        <v>NATIONALITÉ</v>
      </c>
      <c r="C6860" s="1" t="s">
        <v>196</v>
      </c>
      <c r="EB6860" s="1" t="s">
        <v>128</v>
      </c>
      <c r="ED6860" s="1" t="s">
        <v>130</v>
      </c>
      <c r="GD6860" s="1" t="s">
        <v>193</v>
      </c>
    </row>
    <row r="6861" spans="1:187" ht="11.25" customHeight="1">
      <c r="A6861" s="1" t="s">
        <v>9678</v>
      </c>
      <c r="B6861" s="1" t="str">
        <f ca="1">IFERROR(__xludf.DUMMYFUNCTION("GOOGLETRANSLATE(A6861, ""en"", ""fr"")"),"Natif n ° 1")</f>
        <v>Natif n ° 1</v>
      </c>
      <c r="C6861" s="1" t="s">
        <v>185</v>
      </c>
      <c r="AJ6861" s="1" t="s">
        <v>32</v>
      </c>
      <c r="AT6861" s="1" t="s">
        <v>42</v>
      </c>
      <c r="GD6861" s="1" t="s">
        <v>202</v>
      </c>
      <c r="GE6861" s="1" t="s">
        <v>9679</v>
      </c>
    </row>
    <row r="6862" spans="1:187" ht="11.25" customHeight="1">
      <c r="A6862" s="1" t="s">
        <v>9680</v>
      </c>
      <c r="B6862" s="1" t="str">
        <f ca="1">IFERROR(__xludf.DUMMYFUNCTION("GOOGLETRANSLATE(A6862, ""en"", ""fr"")"),"Natif n ° 2")</f>
        <v>Natif n ° 2</v>
      </c>
      <c r="C6862" s="1" t="s">
        <v>185</v>
      </c>
      <c r="AH6862" s="1" t="s">
        <v>30</v>
      </c>
      <c r="AJ6862" s="1" t="s">
        <v>32</v>
      </c>
      <c r="AO6862" s="1" t="s">
        <v>37</v>
      </c>
      <c r="AT6862" s="1" t="s">
        <v>42</v>
      </c>
      <c r="GD6862" s="1" t="s">
        <v>193</v>
      </c>
      <c r="GE6862" s="1" t="s">
        <v>9681</v>
      </c>
    </row>
    <row r="6863" spans="1:187" ht="11.25" customHeight="1">
      <c r="A6863" s="1" t="s">
        <v>9682</v>
      </c>
      <c r="B6863" s="1" t="str">
        <f ca="1">IFERROR(__xludf.DUMMYFUNCTION("GOOGLETRANSLATE(A6863, ""en"", ""fr"")"),"Natural # 1")</f>
        <v>Natural # 1</v>
      </c>
      <c r="C6863" s="1" t="s">
        <v>185</v>
      </c>
      <c r="D6863" s="1" t="s">
        <v>16612</v>
      </c>
      <c r="F6863" s="1" t="s">
        <v>2</v>
      </c>
      <c r="W6863" s="1" t="s">
        <v>19</v>
      </c>
      <c r="BU6863" s="1" t="s">
        <v>69</v>
      </c>
      <c r="GD6863" s="1" t="s">
        <v>202</v>
      </c>
      <c r="GE6863" s="1" t="s">
        <v>9683</v>
      </c>
    </row>
    <row r="6864" spans="1:187" ht="11.25" customHeight="1">
      <c r="A6864" s="1" t="s">
        <v>9684</v>
      </c>
      <c r="B6864" s="1" t="str">
        <f ca="1">IFERROR(__xludf.DUMMYFUNCTION("GOOGLETRANSLATE(A6864, ""en"", ""fr"")"),"Natural # 2")</f>
        <v>Natural # 2</v>
      </c>
      <c r="C6864" s="1" t="s">
        <v>185</v>
      </c>
      <c r="D6864" s="1" t="s">
        <v>16612</v>
      </c>
      <c r="F6864" s="1" t="s">
        <v>2</v>
      </c>
      <c r="W6864" s="1" t="s">
        <v>19</v>
      </c>
      <c r="CI6864" s="1" t="s">
        <v>83</v>
      </c>
      <c r="GD6864" s="1" t="s">
        <v>236</v>
      </c>
      <c r="GE6864" s="1" t="s">
        <v>9685</v>
      </c>
    </row>
    <row r="6865" spans="1:187" ht="11.25" customHeight="1">
      <c r="A6865" s="1" t="s">
        <v>9686</v>
      </c>
      <c r="B6865" s="1" t="str">
        <f ca="1">IFERROR(__xludf.DUMMYFUNCTION("GOOGLETRANSLATE(A6865, ""en"", ""fr"")"),"NATURALISATION")</f>
        <v>NATURALISATION</v>
      </c>
      <c r="C6865" s="1" t="s">
        <v>196</v>
      </c>
      <c r="EB6865" s="1" t="s">
        <v>128</v>
      </c>
      <c r="ED6865" s="1" t="s">
        <v>130</v>
      </c>
      <c r="GD6865" s="1" t="s">
        <v>189</v>
      </c>
    </row>
    <row r="6866" spans="1:187" ht="11.25" customHeight="1">
      <c r="A6866" s="1" t="s">
        <v>9687</v>
      </c>
      <c r="B6866" s="1" t="str">
        <f ca="1">IFERROR(__xludf.DUMMYFUNCTION("GOOGLETRANSLATE(A6866, ""en"", ""fr"")"),"Nature # 1")</f>
        <v>Nature # 1</v>
      </c>
      <c r="C6866" s="1" t="s">
        <v>185</v>
      </c>
      <c r="CH6866" s="1" t="s">
        <v>82</v>
      </c>
      <c r="CP6866" s="1" t="s">
        <v>90</v>
      </c>
      <c r="CQ6866" s="1" t="s">
        <v>91</v>
      </c>
      <c r="GD6866" s="1" t="s">
        <v>193</v>
      </c>
      <c r="GE6866" s="1" t="s">
        <v>9688</v>
      </c>
    </row>
    <row r="6867" spans="1:187" ht="11.25" customHeight="1">
      <c r="A6867" s="1" t="s">
        <v>9689</v>
      </c>
      <c r="B6867" s="1" t="str">
        <f ca="1">IFERROR(__xludf.DUMMYFUNCTION("GOOGLETRANSLATE(A6867, ""en"", ""fr"")"),"Nature # 2")</f>
        <v>Nature # 2</v>
      </c>
      <c r="C6867" s="1" t="s">
        <v>185</v>
      </c>
      <c r="BU6867" s="1" t="s">
        <v>69</v>
      </c>
      <c r="GD6867" s="1" t="s">
        <v>193</v>
      </c>
      <c r="GE6867" s="1" t="s">
        <v>9690</v>
      </c>
    </row>
    <row r="6868" spans="1:187" ht="11.25" customHeight="1">
      <c r="A6868" s="1" t="s">
        <v>9691</v>
      </c>
      <c r="B6868" s="1" t="str">
        <f ca="1">IFERROR(__xludf.DUMMYFUNCTION("GOOGLETRANSLATE(A6868, ""en"", ""fr"")"),"VILAIN")</f>
        <v>VILAIN</v>
      </c>
      <c r="C6868" s="1" t="s">
        <v>192</v>
      </c>
      <c r="E6868" s="1" t="s">
        <v>16613</v>
      </c>
      <c r="I6868" s="1" t="s">
        <v>5</v>
      </c>
      <c r="DR6868" s="1" t="s">
        <v>118</v>
      </c>
      <c r="GD6868" s="1" t="s">
        <v>202</v>
      </c>
      <c r="GE6868" s="1" t="s">
        <v>190</v>
      </c>
    </row>
    <row r="6869" spans="1:187" ht="11.25" customHeight="1">
      <c r="A6869" s="1" t="s">
        <v>9692</v>
      </c>
      <c r="B6869" s="1" t="str">
        <f ca="1">IFERROR(__xludf.DUMMYFUNCTION("GOOGLETRANSLATE(A6869, ""en"", ""fr"")"),"NAVAL")</f>
        <v>NAVAL</v>
      </c>
      <c r="C6869" s="1" t="s">
        <v>185</v>
      </c>
      <c r="J6869" s="1" t="s">
        <v>6</v>
      </c>
      <c r="Z6869" s="1" t="s">
        <v>22</v>
      </c>
      <c r="AF6869" s="1" t="s">
        <v>28</v>
      </c>
      <c r="AH6869" s="1" t="s">
        <v>30</v>
      </c>
      <c r="DY6869" s="1" t="s">
        <v>125</v>
      </c>
      <c r="ED6869" s="1" t="s">
        <v>130</v>
      </c>
      <c r="GD6869" s="1" t="s">
        <v>202</v>
      </c>
      <c r="GE6869" s="1" t="s">
        <v>190</v>
      </c>
    </row>
    <row r="6870" spans="1:187" ht="11.25" customHeight="1">
      <c r="A6870" s="1" t="s">
        <v>9693</v>
      </c>
      <c r="B6870" s="1" t="str">
        <f ca="1">IFERROR(__xludf.DUMMYFUNCTION("GOOGLETRANSLATE(A6870, ""en"", ""fr"")"),"NAVIGABLE")</f>
        <v>NAVIGABLE</v>
      </c>
      <c r="C6870" s="1" t="s">
        <v>192</v>
      </c>
      <c r="D6870" s="1" t="s">
        <v>16612</v>
      </c>
      <c r="W6870" s="1" t="s">
        <v>19</v>
      </c>
      <c r="CH6870" s="1" t="s">
        <v>82</v>
      </c>
      <c r="DR6870" s="1" t="s">
        <v>118</v>
      </c>
      <c r="GD6870" s="1" t="s">
        <v>202</v>
      </c>
      <c r="GE6870" s="1" t="s">
        <v>190</v>
      </c>
    </row>
    <row r="6871" spans="1:187" ht="11.25" customHeight="1">
      <c r="A6871" s="1" t="s">
        <v>9694</v>
      </c>
      <c r="B6871" s="1" t="str">
        <f ca="1">IFERROR(__xludf.DUMMYFUNCTION("GOOGLETRANSLATE(A6871, ""en"", ""fr"")"),"LA NAVIGATION")</f>
        <v>LA NAVIGATION</v>
      </c>
      <c r="C6871" s="1" t="s">
        <v>196</v>
      </c>
      <c r="GD6871" s="1" t="s">
        <v>193</v>
      </c>
    </row>
    <row r="6872" spans="1:187" ht="11.25" customHeight="1">
      <c r="A6872" s="1" t="s">
        <v>9695</v>
      </c>
      <c r="B6872" s="1" t="str">
        <f ca="1">IFERROR(__xludf.DUMMYFUNCTION("GOOGLETRANSLATE(A6872, ""en"", ""fr"")"),"MARINE")</f>
        <v>MARINE</v>
      </c>
      <c r="C6872" s="1" t="s">
        <v>185</v>
      </c>
      <c r="J6872" s="1" t="s">
        <v>6</v>
      </c>
      <c r="AF6872" s="1" t="s">
        <v>28</v>
      </c>
      <c r="AH6872" s="1" t="s">
        <v>30</v>
      </c>
      <c r="AK6872" s="1" t="s">
        <v>33</v>
      </c>
      <c r="AT6872" s="1" t="s">
        <v>42</v>
      </c>
      <c r="DY6872" s="1" t="s">
        <v>125</v>
      </c>
      <c r="ED6872" s="1" t="s">
        <v>130</v>
      </c>
      <c r="GD6872" s="1" t="s">
        <v>193</v>
      </c>
      <c r="GE6872" s="1" t="s">
        <v>190</v>
      </c>
    </row>
    <row r="6873" spans="1:187" ht="11.25" customHeight="1">
      <c r="A6873" s="1" t="s">
        <v>9696</v>
      </c>
      <c r="B6873" s="1" t="str">
        <f ca="1">IFERROR(__xludf.DUMMYFUNCTION("GOOGLETRANSLATE(A6873, ""en"", ""fr"")"),"NON")</f>
        <v>NON</v>
      </c>
      <c r="C6873" s="1" t="s">
        <v>192</v>
      </c>
      <c r="DK6873" s="1" t="s">
        <v>111</v>
      </c>
      <c r="DM6873" s="1" t="s">
        <v>113</v>
      </c>
      <c r="GE6873" s="1" t="s">
        <v>190</v>
      </c>
    </row>
    <row r="6874" spans="1:187" ht="11.25" customHeight="1">
      <c r="A6874" s="1" t="s">
        <v>9697</v>
      </c>
      <c r="B6874" s="1" t="str">
        <f ca="1">IFERROR(__xludf.DUMMYFUNCTION("GOOGLETRANSLATE(A6874, ""en"", ""fr"")"),"NAZI")</f>
        <v>NAZI</v>
      </c>
      <c r="C6874" s="1" t="s">
        <v>196</v>
      </c>
      <c r="EA6874" s="1" t="s">
        <v>127</v>
      </c>
      <c r="ED6874" s="1" t="s">
        <v>130</v>
      </c>
      <c r="GD6874" s="1" t="s">
        <v>193</v>
      </c>
    </row>
    <row r="6875" spans="1:187" ht="11.25" customHeight="1">
      <c r="A6875" s="1" t="s">
        <v>9698</v>
      </c>
      <c r="B6875" s="1" t="str">
        <f ca="1">IFERROR(__xludf.DUMMYFUNCTION("GOOGLETRANSLATE(A6875, ""en"", ""fr"")"),"Près de n ° 1")</f>
        <v>Près de n ° 1</v>
      </c>
      <c r="C6875" s="1" t="s">
        <v>185</v>
      </c>
      <c r="DA6875" s="1" t="s">
        <v>101</v>
      </c>
      <c r="GB6875" s="1" t="s">
        <v>180</v>
      </c>
      <c r="GD6875" s="1" t="s">
        <v>215</v>
      </c>
      <c r="GE6875" s="1" t="s">
        <v>9699</v>
      </c>
    </row>
    <row r="6876" spans="1:187" ht="11.25" customHeight="1">
      <c r="A6876" s="1" t="s">
        <v>9700</v>
      </c>
      <c r="B6876" s="1" t="str">
        <f ca="1">IFERROR(__xludf.DUMMYFUNCTION("GOOGLETRANSLATE(A6876, ""en"", ""fr"")"),"Près de n ° 2")</f>
        <v>Près de n ° 2</v>
      </c>
      <c r="C6876" s="1" t="s">
        <v>185</v>
      </c>
      <c r="J6876" s="1" t="s">
        <v>6</v>
      </c>
      <c r="DA6876" s="1" t="s">
        <v>101</v>
      </c>
      <c r="DB6876" s="1" t="s">
        <v>102</v>
      </c>
      <c r="GB6876" s="1" t="s">
        <v>180</v>
      </c>
      <c r="GD6876" s="1" t="s">
        <v>202</v>
      </c>
      <c r="GE6876" s="1" t="s">
        <v>9701</v>
      </c>
    </row>
    <row r="6877" spans="1:187" ht="11.25" customHeight="1">
      <c r="A6877" s="1" t="s">
        <v>9702</v>
      </c>
      <c r="B6877" s="1" t="str">
        <f ca="1">IFERROR(__xludf.DUMMYFUNCTION("GOOGLETRANSLATE(A6877, ""en"", ""fr"")"),"Près de # 3")</f>
        <v>Près de # 3</v>
      </c>
      <c r="C6877" s="1" t="s">
        <v>185</v>
      </c>
      <c r="DA6877" s="1" t="s">
        <v>101</v>
      </c>
      <c r="GB6877" s="1" t="s">
        <v>180</v>
      </c>
      <c r="GD6877" s="1" t="s">
        <v>236</v>
      </c>
      <c r="GE6877" s="1" t="s">
        <v>9703</v>
      </c>
    </row>
    <row r="6878" spans="1:187" ht="11.25" customHeight="1">
      <c r="A6878" s="1" t="s">
        <v>9704</v>
      </c>
      <c r="B6878" s="1" t="str">
        <f ca="1">IFERROR(__xludf.DUMMYFUNCTION("GOOGLETRANSLATE(A6878, ""en"", ""fr"")"),"Près de n ° 4")</f>
        <v>Près de n ° 4</v>
      </c>
      <c r="C6878" s="1" t="s">
        <v>185</v>
      </c>
      <c r="DA6878" s="1" t="s">
        <v>101</v>
      </c>
      <c r="DB6878" s="1" t="s">
        <v>102</v>
      </c>
      <c r="GB6878" s="1" t="s">
        <v>180</v>
      </c>
      <c r="GD6878" s="1" t="s">
        <v>202</v>
      </c>
      <c r="GE6878" s="1" t="s">
        <v>9705</v>
      </c>
    </row>
    <row r="6879" spans="1:187" ht="11.25" customHeight="1">
      <c r="A6879" s="1" t="s">
        <v>9706</v>
      </c>
      <c r="B6879" s="1" t="str">
        <f ca="1">IFERROR(__xludf.DUMMYFUNCTION("GOOGLETRANSLATE(A6879, ""en"", ""fr"")"),"Près du n ° 5")</f>
        <v>Près du n ° 5</v>
      </c>
      <c r="C6879" s="1" t="s">
        <v>185</v>
      </c>
      <c r="DA6879" s="1" t="s">
        <v>101</v>
      </c>
      <c r="DB6879" s="1" t="s">
        <v>102</v>
      </c>
      <c r="GB6879" s="1" t="s">
        <v>180</v>
      </c>
      <c r="GD6879" s="1" t="s">
        <v>202</v>
      </c>
      <c r="GE6879" s="1" t="s">
        <v>9707</v>
      </c>
    </row>
    <row r="6880" spans="1:187" ht="11.25" customHeight="1">
      <c r="A6880" s="1" t="s">
        <v>9708</v>
      </c>
      <c r="B6880" s="1" t="str">
        <f ca="1">IFERROR(__xludf.DUMMYFUNCTION("GOOGLETRANSLATE(A6880, ""en"", ""fr"")"),"Près de # 6")</f>
        <v>Près de # 6</v>
      </c>
      <c r="C6880" s="1" t="s">
        <v>185</v>
      </c>
      <c r="X6880" s="1" t="s">
        <v>20</v>
      </c>
      <c r="CS6880" s="1" t="s">
        <v>93</v>
      </c>
      <c r="FZ6880" s="1" t="s">
        <v>178</v>
      </c>
      <c r="GD6880" s="1" t="s">
        <v>236</v>
      </c>
      <c r="GE6880" s="1" t="s">
        <v>9709</v>
      </c>
    </row>
    <row r="6881" spans="1:187" ht="11.25" customHeight="1">
      <c r="A6881" s="1" t="s">
        <v>9710</v>
      </c>
      <c r="B6881" s="1" t="str">
        <f ca="1">IFERROR(__xludf.DUMMYFUNCTION("GOOGLETRANSLATE(A6881, ""en"", ""fr"")"),"Près de n ° 7")</f>
        <v>Près de n ° 7</v>
      </c>
      <c r="C6881" s="1" t="s">
        <v>185</v>
      </c>
      <c r="N6881" s="1" t="s">
        <v>10</v>
      </c>
      <c r="CE6881" s="1" t="s">
        <v>79</v>
      </c>
      <c r="DN6881" s="1" t="s">
        <v>114</v>
      </c>
      <c r="FP6881" s="1" t="s">
        <v>168</v>
      </c>
      <c r="GD6881" s="1" t="s">
        <v>189</v>
      </c>
      <c r="GE6881" s="1" t="s">
        <v>9711</v>
      </c>
    </row>
    <row r="6882" spans="1:187" ht="11.25" customHeight="1">
      <c r="A6882" s="1" t="s">
        <v>9712</v>
      </c>
      <c r="B6882" s="1" t="str">
        <f ca="1">IFERROR(__xludf.DUMMYFUNCTION("GOOGLETRANSLATE(A6882, ""en"", ""fr"")"),"PROCHE")</f>
        <v>PROCHE</v>
      </c>
      <c r="C6882" s="1" t="s">
        <v>185</v>
      </c>
      <c r="DA6882" s="1" t="s">
        <v>101</v>
      </c>
      <c r="GB6882" s="1" t="s">
        <v>180</v>
      </c>
      <c r="GD6882" s="1" t="s">
        <v>207</v>
      </c>
      <c r="GE6882" s="1" t="s">
        <v>9713</v>
      </c>
    </row>
    <row r="6883" spans="1:187" ht="11.25" customHeight="1">
      <c r="A6883" s="1" t="s">
        <v>9714</v>
      </c>
      <c r="B6883" s="1" t="str">
        <f ca="1">IFERROR(__xludf.DUMMYFUNCTION("GOOGLETRANSLATE(A6883, ""en"", ""fr"")"),"SOIGNÉ")</f>
        <v>SOIGNÉ</v>
      </c>
      <c r="C6883" s="1" t="s">
        <v>185</v>
      </c>
      <c r="D6883" s="1" t="s">
        <v>16612</v>
      </c>
      <c r="F6883" s="1" t="s">
        <v>2</v>
      </c>
      <c r="U6883" s="1" t="s">
        <v>17</v>
      </c>
      <c r="CN6883" s="1" t="s">
        <v>88</v>
      </c>
      <c r="GD6883" s="1" t="s">
        <v>202</v>
      </c>
      <c r="GE6883" s="1" t="s">
        <v>190</v>
      </c>
    </row>
    <row r="6884" spans="1:187" ht="11.25" customHeight="1">
      <c r="A6884" s="1" t="s">
        <v>9715</v>
      </c>
      <c r="B6884" s="1" t="str">
        <f ca="1">IFERROR(__xludf.DUMMYFUNCTION("GOOGLETRANSLATE(A6884, ""en"", ""fr"")"),"NEBRASKA")</f>
        <v>NEBRASKA</v>
      </c>
      <c r="C6884" s="1" t="s">
        <v>196</v>
      </c>
      <c r="GD6884" s="1" t="s">
        <v>653</v>
      </c>
    </row>
    <row r="6885" spans="1:187" ht="11.25" customHeight="1">
      <c r="A6885" s="1" t="s">
        <v>9716</v>
      </c>
      <c r="B6885" s="1" t="str">
        <f ca="1">IFERROR(__xludf.DUMMYFUNCTION("GOOGLETRANSLATE(A6885, ""en"", ""fr"")"),"NÉBULEUX")</f>
        <v>NÉBULEUX</v>
      </c>
      <c r="C6885" s="1" t="s">
        <v>192</v>
      </c>
      <c r="E6885" s="1" t="s">
        <v>16613</v>
      </c>
      <c r="X6885" s="1" t="s">
        <v>20</v>
      </c>
      <c r="CK6885" s="1" t="s">
        <v>85</v>
      </c>
      <c r="DR6885" s="1" t="s">
        <v>118</v>
      </c>
      <c r="GD6885" s="1" t="s">
        <v>202</v>
      </c>
      <c r="GE6885" s="1" t="s">
        <v>190</v>
      </c>
    </row>
    <row r="6886" spans="1:187" ht="11.25" customHeight="1">
      <c r="A6886" s="1" t="s">
        <v>9717</v>
      </c>
      <c r="B6886" s="1" t="str">
        <f ca="1">IFERROR(__xludf.DUMMYFUNCTION("GOOGLETRANSLATE(A6886, ""en"", ""fr"")"),"NÉCESSAIREMENT")</f>
        <v>NÉCESSAIREMENT</v>
      </c>
      <c r="C6886" s="1" t="s">
        <v>192</v>
      </c>
      <c r="D6886" s="1" t="s">
        <v>16612</v>
      </c>
      <c r="CI6886" s="1" t="s">
        <v>83</v>
      </c>
      <c r="GD6886" s="1" t="s">
        <v>202</v>
      </c>
      <c r="GE6886" s="1" t="s">
        <v>190</v>
      </c>
    </row>
    <row r="6887" spans="1:187" ht="11.25" customHeight="1">
      <c r="A6887" s="1" t="s">
        <v>9718</v>
      </c>
      <c r="B6887" s="1" t="str">
        <f ca="1">IFERROR(__xludf.DUMMYFUNCTION("GOOGLETRANSLATE(A6887, ""en"", ""fr"")"),"Nécessaire n ° 1")</f>
        <v>Nécessaire n ° 1</v>
      </c>
      <c r="C6887" s="1" t="s">
        <v>185</v>
      </c>
      <c r="J6887" s="1" t="s">
        <v>6</v>
      </c>
      <c r="W6887" s="1" t="s">
        <v>19</v>
      </c>
      <c r="BQ6887" s="1" t="s">
        <v>65</v>
      </c>
      <c r="CN6887" s="1" t="s">
        <v>88</v>
      </c>
      <c r="FY6887" s="1" t="s">
        <v>177</v>
      </c>
      <c r="GD6887" s="1" t="s">
        <v>202</v>
      </c>
      <c r="GE6887" s="1" t="s">
        <v>9719</v>
      </c>
    </row>
    <row r="6888" spans="1:187" ht="11.25" customHeight="1">
      <c r="A6888" s="1" t="s">
        <v>9720</v>
      </c>
      <c r="B6888" s="1" t="str">
        <f ca="1">IFERROR(__xludf.DUMMYFUNCTION("GOOGLETRANSLATE(A6888, ""en"", ""fr"")"),"Nécessaire n ° 2")</f>
        <v>Nécessaire n ° 2</v>
      </c>
      <c r="C6888" s="1" t="s">
        <v>185</v>
      </c>
      <c r="J6888" s="1" t="s">
        <v>6</v>
      </c>
      <c r="W6888" s="1" t="s">
        <v>19</v>
      </c>
      <c r="BQ6888" s="1" t="s">
        <v>65</v>
      </c>
      <c r="FY6888" s="1" t="s">
        <v>177</v>
      </c>
      <c r="GD6888" s="1" t="s">
        <v>236</v>
      </c>
      <c r="GE6888" s="1" t="s">
        <v>9721</v>
      </c>
    </row>
    <row r="6889" spans="1:187" ht="11.25" customHeight="1">
      <c r="A6889" s="1" t="s">
        <v>9722</v>
      </c>
      <c r="B6889" s="1" t="str">
        <f ca="1">IFERROR(__xludf.DUMMYFUNCTION("GOOGLETRANSLATE(A6889, ""en"", ""fr"")"),"Nécessaire # 3")</f>
        <v>Nécessaire # 3</v>
      </c>
      <c r="C6889" s="1" t="s">
        <v>185</v>
      </c>
      <c r="J6889" s="1" t="s">
        <v>6</v>
      </c>
      <c r="W6889" s="1" t="s">
        <v>19</v>
      </c>
      <c r="BQ6889" s="1" t="s">
        <v>65</v>
      </c>
      <c r="FR6889" s="1" t="s">
        <v>170</v>
      </c>
      <c r="GD6889" s="1" t="s">
        <v>193</v>
      </c>
      <c r="GE6889" s="1" t="s">
        <v>9723</v>
      </c>
    </row>
    <row r="6890" spans="1:187" ht="11.25" customHeight="1">
      <c r="A6890" s="1" t="s">
        <v>9724</v>
      </c>
      <c r="B6890" s="1" t="str">
        <f ca="1">IFERROR(__xludf.DUMMYFUNCTION("GOOGLETRANSLATE(A6890, ""en"", ""fr"")"),"NÉCESSITER")</f>
        <v>NÉCESSITER</v>
      </c>
      <c r="C6890" s="1" t="s">
        <v>185</v>
      </c>
      <c r="J6890" s="1" t="s">
        <v>6</v>
      </c>
      <c r="W6890" s="1" t="s">
        <v>19</v>
      </c>
      <c r="CI6890" s="1" t="s">
        <v>83</v>
      </c>
      <c r="DN6890" s="1" t="s">
        <v>114</v>
      </c>
      <c r="FR6890" s="1" t="s">
        <v>170</v>
      </c>
      <c r="GD6890" s="1" t="s">
        <v>189</v>
      </c>
      <c r="GE6890" s="1" t="s">
        <v>190</v>
      </c>
    </row>
    <row r="6891" spans="1:187" ht="11.25" customHeight="1">
      <c r="A6891" s="1" t="s">
        <v>9725</v>
      </c>
      <c r="B6891" s="1" t="str">
        <f ca="1">IFERROR(__xludf.DUMMYFUNCTION("GOOGLETRANSLATE(A6891, ""en"", ""fr"")"),"NÉCESSITÉ")</f>
        <v>NÉCESSITÉ</v>
      </c>
      <c r="C6891" s="1" t="s">
        <v>185</v>
      </c>
      <c r="J6891" s="1" t="s">
        <v>6</v>
      </c>
      <c r="W6891" s="1" t="s">
        <v>19</v>
      </c>
      <c r="BQ6891" s="1" t="s">
        <v>65</v>
      </c>
      <c r="CP6891" s="1" t="s">
        <v>90</v>
      </c>
      <c r="CQ6891" s="1" t="s">
        <v>91</v>
      </c>
      <c r="FR6891" s="1" t="s">
        <v>170</v>
      </c>
      <c r="GD6891" s="1" t="s">
        <v>193</v>
      </c>
      <c r="GE6891" s="1" t="s">
        <v>9726</v>
      </c>
    </row>
    <row r="6892" spans="1:187" ht="11.25" customHeight="1">
      <c r="A6892" s="1" t="s">
        <v>9727</v>
      </c>
      <c r="B6892" s="1" t="str">
        <f ca="1">IFERROR(__xludf.DUMMYFUNCTION("GOOGLETRANSLATE(A6892, ""en"", ""fr"")"),"COU")</f>
        <v>COU</v>
      </c>
      <c r="C6892" s="1" t="s">
        <v>185</v>
      </c>
      <c r="BJ6892" s="1" t="s">
        <v>58</v>
      </c>
      <c r="GD6892" s="1" t="s">
        <v>193</v>
      </c>
      <c r="GE6892" s="1" t="s">
        <v>9728</v>
      </c>
    </row>
    <row r="6893" spans="1:187" ht="11.25" customHeight="1">
      <c r="A6893" s="1" t="s">
        <v>9729</v>
      </c>
      <c r="B6893" s="1" t="str">
        <f ca="1">IFERROR(__xludf.DUMMYFUNCTION("GOOGLETRANSLATE(A6893, ""en"", ""fr"")"),"Besoin de n ° 1")</f>
        <v>Besoin de n ° 1</v>
      </c>
      <c r="C6893" s="1" t="s">
        <v>185</v>
      </c>
      <c r="E6893" s="1" t="s">
        <v>16613</v>
      </c>
      <c r="H6893" s="1" t="s">
        <v>4</v>
      </c>
      <c r="L6893" s="1" t="s">
        <v>8</v>
      </c>
      <c r="O6893" s="1" t="s">
        <v>11</v>
      </c>
      <c r="BN6893" s="1" t="s">
        <v>62</v>
      </c>
      <c r="DP6893" s="1" t="s">
        <v>116</v>
      </c>
      <c r="FR6893" s="1" t="s">
        <v>170</v>
      </c>
      <c r="GD6893" s="1" t="s">
        <v>189</v>
      </c>
      <c r="GE6893" s="1" t="s">
        <v>9730</v>
      </c>
    </row>
    <row r="6894" spans="1:187" ht="11.25" customHeight="1">
      <c r="A6894" s="1" t="s">
        <v>9731</v>
      </c>
      <c r="B6894" s="1" t="str">
        <f ca="1">IFERROR(__xludf.DUMMYFUNCTION("GOOGLETRANSLATE(A6894, ""en"", ""fr"")"),"Besoin # 2")</f>
        <v>Besoin # 2</v>
      </c>
      <c r="C6894" s="1" t="s">
        <v>185</v>
      </c>
      <c r="E6894" s="1" t="s">
        <v>16613</v>
      </c>
      <c r="H6894" s="1" t="s">
        <v>4</v>
      </c>
      <c r="L6894" s="1" t="s">
        <v>8</v>
      </c>
      <c r="O6894" s="1" t="s">
        <v>11</v>
      </c>
      <c r="BN6894" s="1" t="s">
        <v>62</v>
      </c>
      <c r="CP6894" s="1" t="s">
        <v>90</v>
      </c>
      <c r="CQ6894" s="1" t="s">
        <v>91</v>
      </c>
      <c r="FR6894" s="1" t="s">
        <v>170</v>
      </c>
      <c r="GD6894" s="1" t="s">
        <v>193</v>
      </c>
      <c r="GE6894" s="1" t="s">
        <v>9732</v>
      </c>
    </row>
    <row r="6895" spans="1:187" ht="11.25" customHeight="1">
      <c r="A6895" s="1" t="s">
        <v>9733</v>
      </c>
      <c r="B6895" s="1" t="str">
        <f ca="1">IFERROR(__xludf.DUMMYFUNCTION("GOOGLETRANSLATE(A6895, ""en"", ""fr"")"),"Besoin # 3")</f>
        <v>Besoin # 3</v>
      </c>
      <c r="C6895" s="1" t="s">
        <v>185</v>
      </c>
      <c r="E6895" s="1" t="s">
        <v>16613</v>
      </c>
      <c r="H6895" s="1" t="s">
        <v>4</v>
      </c>
      <c r="O6895" s="1" t="s">
        <v>11</v>
      </c>
      <c r="BN6895" s="1" t="s">
        <v>62</v>
      </c>
      <c r="FR6895" s="1" t="s">
        <v>170</v>
      </c>
      <c r="GD6895" s="1" t="s">
        <v>202</v>
      </c>
      <c r="GE6895" s="1" t="s">
        <v>9734</v>
      </c>
    </row>
    <row r="6896" spans="1:187" ht="11.25" customHeight="1">
      <c r="A6896" s="1" t="s">
        <v>9735</v>
      </c>
      <c r="B6896" s="1" t="str">
        <f ca="1">IFERROR(__xludf.DUMMYFUNCTION("GOOGLETRANSLATE(A6896, ""en"", ""fr"")"),"Aiguille n ° 1")</f>
        <v>Aiguille n ° 1</v>
      </c>
      <c r="C6896" s="1" t="s">
        <v>185</v>
      </c>
      <c r="BC6896" s="1" t="s">
        <v>51</v>
      </c>
      <c r="BD6896" s="1" t="s">
        <v>52</v>
      </c>
      <c r="GD6896" s="1" t="s">
        <v>193</v>
      </c>
      <c r="GE6896" s="1" t="s">
        <v>190</v>
      </c>
    </row>
    <row r="6897" spans="1:187" ht="11.25" customHeight="1">
      <c r="A6897" s="1" t="s">
        <v>9736</v>
      </c>
      <c r="B6897" s="1" t="str">
        <f ca="1">IFERROR(__xludf.DUMMYFUNCTION("GOOGLETRANSLATE(A6897, ""en"", ""fr"")"),"Aiguille n ° 2")</f>
        <v>Aiguille n ° 2</v>
      </c>
      <c r="C6897" s="1" t="s">
        <v>185</v>
      </c>
      <c r="E6897" s="1" t="s">
        <v>16613</v>
      </c>
      <c r="H6897" s="1" t="s">
        <v>4</v>
      </c>
      <c r="I6897" s="1" t="s">
        <v>5</v>
      </c>
      <c r="N6897" s="1" t="s">
        <v>10</v>
      </c>
      <c r="BK6897" s="1" t="s">
        <v>59</v>
      </c>
      <c r="DN6897" s="1" t="s">
        <v>114</v>
      </c>
      <c r="GD6897" s="1" t="s">
        <v>189</v>
      </c>
      <c r="GE6897" s="1" t="s">
        <v>190</v>
      </c>
    </row>
    <row r="6898" spans="1:187" ht="11.25" customHeight="1">
      <c r="A6898" s="1" t="s">
        <v>9737</v>
      </c>
      <c r="B6898" s="1" t="str">
        <f ca="1">IFERROR(__xludf.DUMMYFUNCTION("GOOGLETRANSLATE(A6898, ""en"", ""fr"")"),"NÉCESSITEUX")</f>
        <v>NÉCESSITEUX</v>
      </c>
      <c r="C6898" s="1" t="s">
        <v>185</v>
      </c>
      <c r="E6898" s="1" t="s">
        <v>16613</v>
      </c>
      <c r="L6898" s="1" t="s">
        <v>8</v>
      </c>
      <c r="BN6898" s="1" t="s">
        <v>62</v>
      </c>
      <c r="DR6898" s="1" t="s">
        <v>118</v>
      </c>
      <c r="FR6898" s="1" t="s">
        <v>170</v>
      </c>
      <c r="GD6898" s="1" t="s">
        <v>202</v>
      </c>
      <c r="GE6898" s="1" t="s">
        <v>190</v>
      </c>
    </row>
    <row r="6899" spans="1:187" ht="11.25" customHeight="1">
      <c r="A6899" s="1" t="s">
        <v>9738</v>
      </c>
      <c r="B6899" s="1" t="str">
        <f ca="1">IFERROR(__xludf.DUMMYFUNCTION("GOOGLETRANSLATE(A6899, ""en"", ""fr"")"),"NIER")</f>
        <v>NIER</v>
      </c>
      <c r="C6899" s="1" t="s">
        <v>185</v>
      </c>
      <c r="E6899" s="1" t="s">
        <v>16613</v>
      </c>
      <c r="H6899" s="1" t="s">
        <v>4</v>
      </c>
      <c r="I6899" s="1" t="s">
        <v>5</v>
      </c>
      <c r="AN6899" s="1" t="s">
        <v>36</v>
      </c>
      <c r="DL6899" s="1" t="s">
        <v>112</v>
      </c>
      <c r="DN6899" s="1" t="s">
        <v>114</v>
      </c>
      <c r="GA6899" s="1" t="s">
        <v>179</v>
      </c>
      <c r="GD6899" s="1" t="s">
        <v>189</v>
      </c>
      <c r="GE6899" s="1" t="s">
        <v>190</v>
      </c>
    </row>
    <row r="6900" spans="1:187" ht="11.25" customHeight="1">
      <c r="A6900" s="1" t="s">
        <v>9739</v>
      </c>
      <c r="B6900" s="1" t="str">
        <f ca="1">IFERROR(__xludf.DUMMYFUNCTION("GOOGLETRANSLATE(A6900, ""en"", ""fr"")"),"NÉGATION")</f>
        <v>NÉGATION</v>
      </c>
      <c r="C6900" s="1" t="s">
        <v>185</v>
      </c>
      <c r="E6900" s="1" t="s">
        <v>16613</v>
      </c>
      <c r="H6900" s="1" t="s">
        <v>4</v>
      </c>
      <c r="V6900" s="1" t="s">
        <v>18</v>
      </c>
      <c r="DL6900" s="1" t="s">
        <v>112</v>
      </c>
      <c r="GA6900" s="1" t="s">
        <v>179</v>
      </c>
      <c r="GD6900" s="1" t="s">
        <v>193</v>
      </c>
      <c r="GE6900" s="1" t="s">
        <v>190</v>
      </c>
    </row>
    <row r="6901" spans="1:187" ht="11.25" customHeight="1">
      <c r="A6901" s="1" t="s">
        <v>9740</v>
      </c>
      <c r="B6901" s="1" t="str">
        <f ca="1">IFERROR(__xludf.DUMMYFUNCTION("GOOGLETRANSLATE(A6901, ""en"", ""fr"")"),"NÉGATIF")</f>
        <v>NÉGATIF</v>
      </c>
      <c r="C6901" s="1" t="s">
        <v>185</v>
      </c>
      <c r="E6901" s="1" t="s">
        <v>16613</v>
      </c>
      <c r="H6901" s="1" t="s">
        <v>4</v>
      </c>
      <c r="V6901" s="1" t="s">
        <v>18</v>
      </c>
      <c r="GA6901" s="1" t="s">
        <v>179</v>
      </c>
      <c r="GD6901" s="1" t="s">
        <v>202</v>
      </c>
      <c r="GE6901" s="1" t="s">
        <v>190</v>
      </c>
    </row>
    <row r="6902" spans="1:187" ht="11.25" customHeight="1">
      <c r="A6902" s="1" t="s">
        <v>9741</v>
      </c>
      <c r="B6902" s="1" t="str">
        <f ca="1">IFERROR(__xludf.DUMMYFUNCTION("GOOGLETRANSLATE(A6902, ""en"", ""fr"")"),"Négligence n ° 1")</f>
        <v>Négligence n ° 1</v>
      </c>
      <c r="C6902" s="1" t="s">
        <v>185</v>
      </c>
      <c r="E6902" s="1" t="s">
        <v>16613</v>
      </c>
      <c r="H6902" s="1" t="s">
        <v>4</v>
      </c>
      <c r="I6902" s="1" t="s">
        <v>5</v>
      </c>
      <c r="BQ6902" s="1" t="s">
        <v>65</v>
      </c>
      <c r="FW6902" s="1" t="s">
        <v>175</v>
      </c>
      <c r="GD6902" s="1" t="s">
        <v>193</v>
      </c>
      <c r="GE6902" s="1" t="s">
        <v>190</v>
      </c>
    </row>
    <row r="6903" spans="1:187" ht="11.25" customHeight="1">
      <c r="A6903" s="1" t="s">
        <v>9742</v>
      </c>
      <c r="B6903" s="1" t="str">
        <f ca="1">IFERROR(__xludf.DUMMYFUNCTION("GOOGLETRANSLATE(A6903, ""en"", ""fr"")"),"Négligence n ° 2")</f>
        <v>Négligence n ° 2</v>
      </c>
      <c r="C6903" s="1" t="s">
        <v>185</v>
      </c>
      <c r="E6903" s="1" t="s">
        <v>16613</v>
      </c>
      <c r="H6903" s="1" t="s">
        <v>4</v>
      </c>
      <c r="I6903" s="1" t="s">
        <v>5</v>
      </c>
      <c r="BT6903" s="1" t="s">
        <v>68</v>
      </c>
      <c r="DN6903" s="1" t="s">
        <v>114</v>
      </c>
      <c r="FW6903" s="1" t="s">
        <v>175</v>
      </c>
      <c r="GD6903" s="1" t="s">
        <v>189</v>
      </c>
      <c r="GE6903" s="1" t="s">
        <v>190</v>
      </c>
    </row>
    <row r="6904" spans="1:187" ht="11.25" customHeight="1">
      <c r="A6904" s="1" t="s">
        <v>9743</v>
      </c>
      <c r="B6904" s="1" t="str">
        <f ca="1">IFERROR(__xludf.DUMMYFUNCTION("GOOGLETRANSLATE(A6904, ""en"", ""fr"")"),"NÉGLIGENCE")</f>
        <v>NÉGLIGENCE</v>
      </c>
      <c r="C6904" s="1" t="s">
        <v>192</v>
      </c>
      <c r="E6904" s="1" t="s">
        <v>16613</v>
      </c>
      <c r="V6904" s="1" t="s">
        <v>18</v>
      </c>
      <c r="AE6904" s="1" t="s">
        <v>27</v>
      </c>
      <c r="CI6904" s="1" t="s">
        <v>83</v>
      </c>
      <c r="CM6904" s="1" t="s">
        <v>87</v>
      </c>
      <c r="GD6904" s="1" t="s">
        <v>193</v>
      </c>
      <c r="GE6904" s="1" t="s">
        <v>190</v>
      </c>
    </row>
    <row r="6905" spans="1:187" ht="11.25" customHeight="1">
      <c r="A6905" s="1" t="s">
        <v>9744</v>
      </c>
      <c r="B6905" s="1" t="str">
        <f ca="1">IFERROR(__xludf.DUMMYFUNCTION("GOOGLETRANSLATE(A6905, ""en"", ""fr"")"),"NÉGLIGENT")</f>
        <v>NÉGLIGENT</v>
      </c>
      <c r="C6905" s="1" t="s">
        <v>192</v>
      </c>
      <c r="E6905" s="1" t="s">
        <v>16613</v>
      </c>
      <c r="V6905" s="1" t="s">
        <v>18</v>
      </c>
      <c r="AE6905" s="1" t="s">
        <v>27</v>
      </c>
      <c r="CI6905" s="1" t="s">
        <v>83</v>
      </c>
      <c r="CM6905" s="1" t="s">
        <v>87</v>
      </c>
      <c r="DR6905" s="1" t="s">
        <v>118</v>
      </c>
      <c r="GD6905" s="1" t="s">
        <v>202</v>
      </c>
      <c r="GE6905" s="1" t="s">
        <v>190</v>
      </c>
    </row>
    <row r="6906" spans="1:187" ht="11.25" customHeight="1">
      <c r="A6906" s="1" t="s">
        <v>9745</v>
      </c>
      <c r="B6906" s="1" t="str">
        <f ca="1">IFERROR(__xludf.DUMMYFUNCTION("GOOGLETRANSLATE(A6906, ""en"", ""fr"")"),"NÉGLIGEABLE")</f>
        <v>NÉGLIGEABLE</v>
      </c>
      <c r="C6906" s="1" t="s">
        <v>185</v>
      </c>
      <c r="L6906" s="1" t="s">
        <v>8</v>
      </c>
      <c r="X6906" s="1" t="s">
        <v>20</v>
      </c>
      <c r="CS6906" s="1" t="s">
        <v>93</v>
      </c>
      <c r="GD6906" s="1" t="s">
        <v>202</v>
      </c>
      <c r="GE6906" s="1" t="s">
        <v>190</v>
      </c>
    </row>
    <row r="6907" spans="1:187" ht="11.25" customHeight="1">
      <c r="A6907" s="1" t="s">
        <v>9746</v>
      </c>
      <c r="B6907" s="1" t="str">
        <f ca="1">IFERROR(__xludf.DUMMYFUNCTION("GOOGLETRANSLATE(A6907, ""en"", ""fr"")"),"NÉGOCIER")</f>
        <v>NÉGOCIER</v>
      </c>
      <c r="C6907" s="1" t="s">
        <v>185</v>
      </c>
      <c r="D6907" s="1" t="s">
        <v>16612</v>
      </c>
      <c r="N6907" s="1" t="s">
        <v>10</v>
      </c>
      <c r="AB6907" s="1" t="s">
        <v>24</v>
      </c>
      <c r="AN6907" s="1" t="s">
        <v>36</v>
      </c>
      <c r="BK6907" s="1" t="s">
        <v>59</v>
      </c>
      <c r="CO6907" s="1" t="s">
        <v>89</v>
      </c>
      <c r="DN6907" s="1" t="s">
        <v>114</v>
      </c>
      <c r="DX6907" s="1" t="s">
        <v>124</v>
      </c>
      <c r="ED6907" s="1" t="s">
        <v>130</v>
      </c>
      <c r="GD6907" s="1" t="s">
        <v>189</v>
      </c>
      <c r="GE6907" s="1" t="s">
        <v>190</v>
      </c>
    </row>
    <row r="6908" spans="1:187" ht="11.25" customHeight="1">
      <c r="A6908" s="1" t="s">
        <v>9747</v>
      </c>
      <c r="B6908" s="1" t="str">
        <f ca="1">IFERROR(__xludf.DUMMYFUNCTION("GOOGLETRANSLATE(A6908, ""en"", ""fr"")"),"NÉGOCIATION")</f>
        <v>NÉGOCIATION</v>
      </c>
      <c r="C6908" s="1" t="s">
        <v>196</v>
      </c>
      <c r="DX6908" s="1" t="s">
        <v>124</v>
      </c>
      <c r="ED6908" s="1" t="s">
        <v>130</v>
      </c>
      <c r="GD6908" s="1" t="s">
        <v>470</v>
      </c>
    </row>
    <row r="6909" spans="1:187" ht="11.25" customHeight="1">
      <c r="A6909" s="1" t="s">
        <v>9748</v>
      </c>
      <c r="B6909" s="1" t="str">
        <f ca="1">IFERROR(__xludf.DUMMYFUNCTION("GOOGLETRANSLATE(A6909, ""en"", ""fr"")"),"NÉGOCIATEUR")</f>
        <v>NÉGOCIATEUR</v>
      </c>
      <c r="C6909" s="1" t="s">
        <v>196</v>
      </c>
      <c r="DZ6909" s="1" t="s">
        <v>126</v>
      </c>
      <c r="ED6909" s="1" t="s">
        <v>130</v>
      </c>
      <c r="GD6909" s="1" t="s">
        <v>448</v>
      </c>
    </row>
    <row r="6910" spans="1:187" ht="11.25" customHeight="1">
      <c r="A6910" s="1" t="s">
        <v>9749</v>
      </c>
      <c r="B6910" s="1" t="str">
        <f ca="1">IFERROR(__xludf.DUMMYFUNCTION("GOOGLETRANSLATE(A6910, ""en"", ""fr"")"),"NÈGRE")</f>
        <v>NÈGRE</v>
      </c>
      <c r="C6910" s="1" t="s">
        <v>185</v>
      </c>
      <c r="AH6910" s="1" t="s">
        <v>30</v>
      </c>
      <c r="AJ6910" s="1" t="s">
        <v>32</v>
      </c>
      <c r="AO6910" s="1" t="s">
        <v>37</v>
      </c>
      <c r="AT6910" s="1" t="s">
        <v>42</v>
      </c>
      <c r="GD6910" s="1" t="s">
        <v>193</v>
      </c>
      <c r="GE6910" s="1" t="s">
        <v>190</v>
      </c>
    </row>
    <row r="6911" spans="1:187" ht="11.25" customHeight="1">
      <c r="A6911" s="1" t="s">
        <v>9750</v>
      </c>
      <c r="B6911" s="1" t="str">
        <f ca="1">IFERROR(__xludf.DUMMYFUNCTION("GOOGLETRANSLATE(A6911, ""en"", ""fr"")"),"Voisin n ° 1")</f>
        <v>Voisin n ° 1</v>
      </c>
      <c r="C6911" s="1" t="s">
        <v>185</v>
      </c>
      <c r="G6911" s="1" t="s">
        <v>3</v>
      </c>
      <c r="AJ6911" s="1" t="s">
        <v>32</v>
      </c>
      <c r="AT6911" s="1" t="s">
        <v>42</v>
      </c>
      <c r="EQ6911" s="1" t="s">
        <v>143</v>
      </c>
      <c r="ES6911" s="1" t="s">
        <v>145</v>
      </c>
      <c r="GD6911" s="1" t="s">
        <v>849</v>
      </c>
      <c r="GE6911" s="1" t="s">
        <v>9751</v>
      </c>
    </row>
    <row r="6912" spans="1:187" ht="11.25" customHeight="1">
      <c r="A6912" s="1" t="s">
        <v>9752</v>
      </c>
      <c r="B6912" s="1" t="str">
        <f ca="1">IFERROR(__xludf.DUMMYFUNCTION("GOOGLETRANSLATE(A6912, ""en"", ""fr"")"),"Voisin n ° 2")</f>
        <v>Voisin n ° 2</v>
      </c>
      <c r="C6912" s="1" t="s">
        <v>185</v>
      </c>
      <c r="DA6912" s="1" t="s">
        <v>101</v>
      </c>
      <c r="GB6912" s="1" t="s">
        <v>180</v>
      </c>
      <c r="GD6912" s="1" t="s">
        <v>202</v>
      </c>
      <c r="GE6912" s="1" t="s">
        <v>9753</v>
      </c>
    </row>
    <row r="6913" spans="1:187" ht="11.25" customHeight="1">
      <c r="A6913" s="1" t="s">
        <v>9754</v>
      </c>
      <c r="B6913" s="1" t="str">
        <f ca="1">IFERROR(__xludf.DUMMYFUNCTION("GOOGLETRANSLATE(A6913, ""en"", ""fr"")"),"QUARTIER")</f>
        <v>QUARTIER</v>
      </c>
      <c r="C6913" s="1" t="s">
        <v>185</v>
      </c>
      <c r="AH6913" s="1" t="s">
        <v>30</v>
      </c>
      <c r="AV6913" s="1" t="s">
        <v>44</v>
      </c>
      <c r="AX6913" s="1" t="s">
        <v>46</v>
      </c>
      <c r="FS6913" s="1" t="s">
        <v>171</v>
      </c>
      <c r="GD6913" s="1" t="s">
        <v>193</v>
      </c>
      <c r="GE6913" s="1" t="s">
        <v>9755</v>
      </c>
    </row>
    <row r="6914" spans="1:187" ht="11.25" customHeight="1">
      <c r="A6914" s="1" t="s">
        <v>9756</v>
      </c>
      <c r="B6914" s="1" t="str">
        <f ca="1">IFERROR(__xludf.DUMMYFUNCTION("GOOGLETRANSLATE(A6914, ""en"", ""fr"")"),"Voisin n ° 1")</f>
        <v>Voisin n ° 1</v>
      </c>
      <c r="C6914" s="1" t="s">
        <v>192</v>
      </c>
      <c r="GE6914" s="1" t="s">
        <v>190</v>
      </c>
    </row>
    <row r="6915" spans="1:187" ht="11.25" customHeight="1">
      <c r="A6915" s="1" t="s">
        <v>9757</v>
      </c>
      <c r="B6915" s="1" t="str">
        <f ca="1">IFERROR(__xludf.DUMMYFUNCTION("GOOGLETRANSLATE(A6915, ""en"", ""fr"")"),"Quartier n ° 1")</f>
        <v>Quartier n ° 1</v>
      </c>
      <c r="C6915" s="1" t="s">
        <v>192</v>
      </c>
      <c r="GE6915" s="1" t="s">
        <v>190</v>
      </c>
    </row>
    <row r="6916" spans="1:187" ht="11.25" customHeight="1">
      <c r="A6916" s="1" t="s">
        <v>9758</v>
      </c>
      <c r="B6916" s="1" t="str">
        <f ca="1">IFERROR(__xludf.DUMMYFUNCTION("GOOGLETRANSLATE(A6916, ""en"", ""fr"")"),"NI L'UN NI L'AUTRE")</f>
        <v>NI L'UN NI L'AUTRE</v>
      </c>
      <c r="C6916" s="1" t="s">
        <v>185</v>
      </c>
      <c r="DL6916" s="1" t="s">
        <v>112</v>
      </c>
      <c r="GA6916" s="1" t="s">
        <v>179</v>
      </c>
      <c r="GD6916" s="1" t="s">
        <v>9759</v>
      </c>
      <c r="GE6916" s="1" t="s">
        <v>9760</v>
      </c>
    </row>
    <row r="6917" spans="1:187" ht="11.25" customHeight="1">
      <c r="A6917" s="1" t="s">
        <v>9761</v>
      </c>
      <c r="B6917" s="1" t="str">
        <f ca="1">IFERROR(__xludf.DUMMYFUNCTION("GOOGLETRANSLATE(A6917, ""en"", ""fr"")"),"NÉPAL")</f>
        <v>NÉPAL</v>
      </c>
      <c r="C6917" s="1" t="s">
        <v>196</v>
      </c>
      <c r="FU6917" s="1" t="s">
        <v>173</v>
      </c>
      <c r="GD6917" s="1" t="s">
        <v>545</v>
      </c>
    </row>
    <row r="6918" spans="1:187" ht="11.25" customHeight="1">
      <c r="A6918" s="1" t="s">
        <v>9762</v>
      </c>
      <c r="B6918" s="1" t="str">
        <f ca="1">IFERROR(__xludf.DUMMYFUNCTION("GOOGLETRANSLATE(A6918, ""en"", ""fr"")"),"NEVEU")</f>
        <v>NEVEU</v>
      </c>
      <c r="C6918" s="1" t="s">
        <v>185</v>
      </c>
      <c r="AJ6918" s="1" t="s">
        <v>32</v>
      </c>
      <c r="AP6918" s="1" t="s">
        <v>38</v>
      </c>
      <c r="AQ6918" s="1" t="s">
        <v>39</v>
      </c>
      <c r="AT6918" s="1" t="s">
        <v>42</v>
      </c>
      <c r="EQ6918" s="1" t="s">
        <v>143</v>
      </c>
      <c r="ES6918" s="1" t="s">
        <v>145</v>
      </c>
      <c r="GD6918" s="1" t="s">
        <v>193</v>
      </c>
      <c r="GE6918" s="1" t="s">
        <v>190</v>
      </c>
    </row>
    <row r="6919" spans="1:187" ht="11.25" customHeight="1">
      <c r="A6919" s="1" t="s">
        <v>9763</v>
      </c>
      <c r="B6919" s="1" t="str">
        <f ca="1">IFERROR(__xludf.DUMMYFUNCTION("GOOGLETRANSLATE(A6919, ""en"", ""fr"")"),"NERF")</f>
        <v>NERF</v>
      </c>
      <c r="C6919" s="1" t="s">
        <v>185</v>
      </c>
      <c r="J6919" s="1" t="s">
        <v>6</v>
      </c>
      <c r="BJ6919" s="1" t="s">
        <v>58</v>
      </c>
      <c r="GD6919" s="1" t="s">
        <v>193</v>
      </c>
      <c r="GE6919" s="1" t="s">
        <v>190</v>
      </c>
    </row>
    <row r="6920" spans="1:187" ht="11.25" customHeight="1">
      <c r="A6920" s="1" t="s">
        <v>9764</v>
      </c>
      <c r="B6920" s="1" t="str">
        <f ca="1">IFERROR(__xludf.DUMMYFUNCTION("GOOGLETRANSLATE(A6920, ""en"", ""fr"")"),"NERVEUX")</f>
        <v>NERVEUX</v>
      </c>
      <c r="C6920" s="1" t="s">
        <v>185</v>
      </c>
      <c r="E6920" s="1" t="s">
        <v>16613</v>
      </c>
      <c r="H6920" s="1" t="s">
        <v>4</v>
      </c>
      <c r="L6920" s="1" t="s">
        <v>8</v>
      </c>
      <c r="O6920" s="1" t="s">
        <v>11</v>
      </c>
      <c r="Q6920" s="1" t="s">
        <v>13</v>
      </c>
      <c r="T6920" s="1" t="s">
        <v>16</v>
      </c>
      <c r="FA6920" s="1" t="s">
        <v>153</v>
      </c>
      <c r="FC6920" s="1" t="s">
        <v>155</v>
      </c>
      <c r="GD6920" s="1" t="s">
        <v>202</v>
      </c>
      <c r="GE6920" s="1" t="s">
        <v>9765</v>
      </c>
    </row>
    <row r="6921" spans="1:187" ht="11.25" customHeight="1">
      <c r="A6921" s="1" t="s">
        <v>9766</v>
      </c>
      <c r="B6921" s="1" t="str">
        <f ca="1">IFERROR(__xludf.DUMMYFUNCTION("GOOGLETRANSLATE(A6921, ""en"", ""fr"")"),"NERVOSITÉ")</f>
        <v>NERVOSITÉ</v>
      </c>
      <c r="C6921" s="1" t="s">
        <v>192</v>
      </c>
      <c r="E6921" s="1" t="s">
        <v>16613</v>
      </c>
      <c r="L6921" s="1" t="s">
        <v>8</v>
      </c>
      <c r="Q6921" s="1" t="s">
        <v>13</v>
      </c>
      <c r="T6921" s="1" t="s">
        <v>16</v>
      </c>
      <c r="GD6921" s="1" t="s">
        <v>193</v>
      </c>
      <c r="GE6921" s="1" t="s">
        <v>190</v>
      </c>
    </row>
    <row r="6922" spans="1:187" ht="11.25" customHeight="1">
      <c r="A6922" s="1" t="s">
        <v>9767</v>
      </c>
      <c r="B6922" s="1" t="str">
        <f ca="1">IFERROR(__xludf.DUMMYFUNCTION("GOOGLETRANSLATE(A6922, ""en"", ""fr"")"),"NID")</f>
        <v>NID</v>
      </c>
      <c r="C6922" s="1" t="s">
        <v>185</v>
      </c>
      <c r="BC6922" s="1" t="s">
        <v>51</v>
      </c>
      <c r="BI6922" s="1" t="s">
        <v>57</v>
      </c>
      <c r="ER6922" s="1" t="s">
        <v>144</v>
      </c>
      <c r="ES6922" s="1" t="s">
        <v>145</v>
      </c>
      <c r="GD6922" s="1" t="s">
        <v>193</v>
      </c>
      <c r="GE6922" s="1" t="s">
        <v>190</v>
      </c>
    </row>
    <row r="6923" spans="1:187" ht="11.25" customHeight="1">
      <c r="A6923" s="1" t="s">
        <v>9768</v>
      </c>
      <c r="B6923" s="1" t="str">
        <f ca="1">IFERROR(__xludf.DUMMYFUNCTION("GOOGLETRANSLATE(A6923, ""en"", ""fr"")"),"PAYS-BAS")</f>
        <v>PAYS-BAS</v>
      </c>
      <c r="C6923" s="1" t="s">
        <v>196</v>
      </c>
      <c r="FU6923" s="1" t="s">
        <v>173</v>
      </c>
      <c r="GD6923" s="1" t="s">
        <v>545</v>
      </c>
    </row>
    <row r="6924" spans="1:187" ht="11.25" customHeight="1">
      <c r="A6924" s="1" t="s">
        <v>9769</v>
      </c>
      <c r="B6924" s="1" t="str">
        <f ca="1">IFERROR(__xludf.DUMMYFUNCTION("GOOGLETRANSLATE(A6924, ""en"", ""fr"")"),"RÉSEAU")</f>
        <v>RÉSEAU</v>
      </c>
      <c r="C6924" s="1" t="s">
        <v>185</v>
      </c>
      <c r="J6924" s="1" t="s">
        <v>6</v>
      </c>
      <c r="AC6924" s="1" t="s">
        <v>25</v>
      </c>
      <c r="BQ6924" s="1" t="s">
        <v>65</v>
      </c>
      <c r="GD6924" s="1" t="s">
        <v>193</v>
      </c>
      <c r="GE6924" s="1" t="s">
        <v>190</v>
      </c>
    </row>
    <row r="6925" spans="1:187" ht="11.25" customHeight="1">
      <c r="A6925" s="1" t="s">
        <v>9770</v>
      </c>
      <c r="B6925" s="1" t="str">
        <f ca="1">IFERROR(__xludf.DUMMYFUNCTION("GOOGLETRANSLATE(A6925, ""en"", ""fr"")"),"NÉVROSE")</f>
        <v>NÉVROSE</v>
      </c>
      <c r="C6925" s="1" t="s">
        <v>196</v>
      </c>
      <c r="FA6925" s="1" t="s">
        <v>153</v>
      </c>
      <c r="FC6925" s="1" t="s">
        <v>155</v>
      </c>
      <c r="GD6925" s="1" t="s">
        <v>193</v>
      </c>
    </row>
    <row r="6926" spans="1:187" ht="11.25" customHeight="1">
      <c r="A6926" s="1" t="s">
        <v>9771</v>
      </c>
      <c r="B6926" s="1" t="str">
        <f ca="1">IFERROR(__xludf.DUMMYFUNCTION("GOOGLETRANSLATE(A6926, ""en"", ""fr"")"),"NÉVROSÉ")</f>
        <v>NÉVROSÉ</v>
      </c>
      <c r="C6926" s="1" t="s">
        <v>192</v>
      </c>
      <c r="E6926" s="1" t="s">
        <v>16613</v>
      </c>
      <c r="Q6926" s="1" t="s">
        <v>13</v>
      </c>
      <c r="T6926" s="1" t="s">
        <v>16</v>
      </c>
      <c r="DR6926" s="1" t="s">
        <v>118</v>
      </c>
      <c r="GD6926" s="1" t="s">
        <v>202</v>
      </c>
      <c r="GE6926" s="1" t="s">
        <v>190</v>
      </c>
    </row>
    <row r="6927" spans="1:187" ht="11.25" customHeight="1">
      <c r="A6927" s="1" t="s">
        <v>9772</v>
      </c>
      <c r="B6927" s="1" t="str">
        <f ca="1">IFERROR(__xludf.DUMMYFUNCTION("GOOGLETRANSLATE(A6927, ""en"", ""fr"")"),"NEUTRE")</f>
        <v>NEUTRE</v>
      </c>
      <c r="C6927" s="1" t="s">
        <v>185</v>
      </c>
      <c r="O6927" s="1" t="s">
        <v>11</v>
      </c>
      <c r="AH6927" s="1" t="s">
        <v>30</v>
      </c>
      <c r="CH6927" s="1" t="s">
        <v>82</v>
      </c>
      <c r="EA6927" s="1" t="s">
        <v>127</v>
      </c>
      <c r="ED6927" s="1" t="s">
        <v>130</v>
      </c>
      <c r="GD6927" s="1" t="s">
        <v>202</v>
      </c>
      <c r="GE6927" s="1" t="s">
        <v>190</v>
      </c>
    </row>
    <row r="6928" spans="1:187" ht="11.25" customHeight="1">
      <c r="A6928" s="1" t="s">
        <v>9773</v>
      </c>
      <c r="B6928" s="1" t="str">
        <f ca="1">IFERROR(__xludf.DUMMYFUNCTION("GOOGLETRANSLATE(A6928, ""en"", ""fr"")"),"NEUTRALISME")</f>
        <v>NEUTRALISME</v>
      </c>
      <c r="C6928" s="1" t="s">
        <v>196</v>
      </c>
      <c r="EA6928" s="1" t="s">
        <v>127</v>
      </c>
      <c r="ED6928" s="1" t="s">
        <v>130</v>
      </c>
      <c r="GD6928" s="1" t="s">
        <v>193</v>
      </c>
    </row>
    <row r="6929" spans="1:187" ht="11.25" customHeight="1">
      <c r="A6929" s="1" t="s">
        <v>9774</v>
      </c>
      <c r="B6929" s="1" t="str">
        <f ca="1">IFERROR(__xludf.DUMMYFUNCTION("GOOGLETRANSLATE(A6929, ""en"", ""fr"")"),"NEUTRALITÉ")</f>
        <v>NEUTRALITÉ</v>
      </c>
      <c r="C6929" s="1" t="s">
        <v>196</v>
      </c>
      <c r="EA6929" s="1" t="s">
        <v>127</v>
      </c>
      <c r="ED6929" s="1" t="s">
        <v>130</v>
      </c>
      <c r="GD6929" s="1" t="s">
        <v>470</v>
      </c>
    </row>
    <row r="6930" spans="1:187" ht="11.25" customHeight="1">
      <c r="A6930" s="1" t="s">
        <v>9775</v>
      </c>
      <c r="B6930" s="1" t="str">
        <f ca="1">IFERROR(__xludf.DUMMYFUNCTION("GOOGLETRANSLATE(A6930, ""en"", ""fr"")"),"NEUTRALISER")</f>
        <v>NEUTRALISER</v>
      </c>
      <c r="C6930" s="1" t="s">
        <v>192</v>
      </c>
      <c r="E6930" s="1" t="s">
        <v>16613</v>
      </c>
      <c r="J6930" s="1" t="s">
        <v>6</v>
      </c>
      <c r="K6930" s="1" t="s">
        <v>7</v>
      </c>
      <c r="N6930" s="1" t="s">
        <v>10</v>
      </c>
      <c r="DN6930" s="1" t="s">
        <v>114</v>
      </c>
      <c r="GD6930" s="1" t="s">
        <v>670</v>
      </c>
      <c r="GE6930" s="1" t="s">
        <v>190</v>
      </c>
    </row>
    <row r="6931" spans="1:187" ht="11.25" customHeight="1">
      <c r="A6931" s="1" t="s">
        <v>9776</v>
      </c>
      <c r="B6931" s="1" t="str">
        <f ca="1">IFERROR(__xludf.DUMMYFUNCTION("GOOGLETRANSLATE(A6931, ""en"", ""fr"")"),"NEVADA")</f>
        <v>NEVADA</v>
      </c>
      <c r="C6931" s="1" t="s">
        <v>196</v>
      </c>
      <c r="GD6931" s="1" t="s">
        <v>653</v>
      </c>
    </row>
    <row r="6932" spans="1:187" ht="11.25" customHeight="1">
      <c r="A6932" s="1" t="s">
        <v>9777</v>
      </c>
      <c r="B6932" s="1" t="str">
        <f ca="1">IFERROR(__xludf.DUMMYFUNCTION("GOOGLETRANSLATE(A6932, ""en"", ""fr"")"),"JAMAIS")</f>
        <v>JAMAIS</v>
      </c>
      <c r="C6932" s="1" t="s">
        <v>185</v>
      </c>
      <c r="X6932" s="1" t="s">
        <v>20</v>
      </c>
      <c r="CW6932" s="1" t="s">
        <v>97</v>
      </c>
      <c r="DL6932" s="1" t="s">
        <v>112</v>
      </c>
      <c r="GA6932" s="1" t="s">
        <v>179</v>
      </c>
      <c r="GD6932" s="1" t="s">
        <v>236</v>
      </c>
      <c r="GE6932" s="1" t="s">
        <v>9778</v>
      </c>
    </row>
    <row r="6933" spans="1:187" ht="11.25" customHeight="1">
      <c r="A6933" s="1" t="s">
        <v>9779</v>
      </c>
      <c r="B6933" s="1" t="str">
        <f ca="1">IFERROR(__xludf.DUMMYFUNCTION("GOOGLETRANSLATE(A6933, ""en"", ""fr"")"),"NÉANMOINS")</f>
        <v>NÉANMOINS</v>
      </c>
      <c r="C6933" s="1" t="s">
        <v>185</v>
      </c>
      <c r="CH6933" s="1" t="s">
        <v>82</v>
      </c>
      <c r="GD6933" s="1" t="s">
        <v>236</v>
      </c>
      <c r="GE6933" s="1" t="s">
        <v>9780</v>
      </c>
    </row>
    <row r="6934" spans="1:187" ht="11.25" customHeight="1">
      <c r="A6934" s="1" t="s">
        <v>9781</v>
      </c>
      <c r="B6934" s="1" t="str">
        <f ca="1">IFERROR(__xludf.DUMMYFUNCTION("GOOGLETRANSLATE(A6934, ""en"", ""fr"")"),"Nouveau # 1")</f>
        <v>Nouveau # 1</v>
      </c>
      <c r="C6934" s="1" t="s">
        <v>185</v>
      </c>
      <c r="J6934" s="1" t="s">
        <v>6</v>
      </c>
      <c r="CQ6934" s="1" t="s">
        <v>91</v>
      </c>
      <c r="CY6934" s="1" t="s">
        <v>99</v>
      </c>
      <c r="CZ6934" s="1" t="s">
        <v>100</v>
      </c>
      <c r="GD6934" s="1" t="s">
        <v>421</v>
      </c>
      <c r="GE6934" s="1" t="s">
        <v>9782</v>
      </c>
    </row>
    <row r="6935" spans="1:187" ht="11.25" customHeight="1">
      <c r="A6935" s="1" t="s">
        <v>9783</v>
      </c>
      <c r="B6935" s="1" t="str">
        <f ca="1">IFERROR(__xludf.DUMMYFUNCTION("GOOGLETRANSLATE(A6935, ""en"", ""fr"")"),"Nouveau # 2")</f>
        <v>Nouveau # 2</v>
      </c>
      <c r="C6935" s="1" t="s">
        <v>185</v>
      </c>
      <c r="BK6935" s="1" t="s">
        <v>59</v>
      </c>
      <c r="BL6935" s="1" t="s">
        <v>60</v>
      </c>
      <c r="FD6935" s="1" t="s">
        <v>156</v>
      </c>
      <c r="FI6935" s="1" t="s">
        <v>161</v>
      </c>
      <c r="GC6935" s="1" t="s">
        <v>181</v>
      </c>
      <c r="GD6935" s="1" t="s">
        <v>193</v>
      </c>
      <c r="GE6935" s="1" t="s">
        <v>9784</v>
      </c>
    </row>
    <row r="6936" spans="1:187" ht="11.25" customHeight="1">
      <c r="A6936" s="1" t="s">
        <v>9785</v>
      </c>
      <c r="B6936" s="1" t="str">
        <f ca="1">IFERROR(__xludf.DUMMYFUNCTION("GOOGLETRANSLATE(A6936, ""en"", ""fr"")"),"Nouveau # 3")</f>
        <v>Nouveau # 3</v>
      </c>
      <c r="C6936" s="1" t="s">
        <v>185</v>
      </c>
      <c r="J6936" s="1" t="s">
        <v>6</v>
      </c>
      <c r="CQ6936" s="1" t="s">
        <v>91</v>
      </c>
      <c r="CY6936" s="1" t="s">
        <v>99</v>
      </c>
      <c r="CZ6936" s="1" t="s">
        <v>100</v>
      </c>
      <c r="GD6936" s="1" t="s">
        <v>202</v>
      </c>
      <c r="GE6936" s="1" t="s">
        <v>9786</v>
      </c>
    </row>
    <row r="6937" spans="1:187" ht="11.25" customHeight="1">
      <c r="A6937" s="1" t="s">
        <v>9787</v>
      </c>
      <c r="B6937" s="1" t="str">
        <f ca="1">IFERROR(__xludf.DUMMYFUNCTION("GOOGLETRANSLATE(A6937, ""en"", ""fr"")"),"Nouveau # 4")</f>
        <v>Nouveau # 4</v>
      </c>
      <c r="C6937" s="1" t="s">
        <v>185</v>
      </c>
      <c r="J6937" s="1" t="s">
        <v>6</v>
      </c>
      <c r="CQ6937" s="1" t="s">
        <v>91</v>
      </c>
      <c r="CY6937" s="1" t="s">
        <v>99</v>
      </c>
      <c r="CZ6937" s="1" t="s">
        <v>100</v>
      </c>
      <c r="GD6937" s="1" t="s">
        <v>202</v>
      </c>
      <c r="GE6937" s="1" t="s">
        <v>9788</v>
      </c>
    </row>
    <row r="6938" spans="1:187" ht="11.25" customHeight="1">
      <c r="A6938" s="1" t="s">
        <v>9789</v>
      </c>
      <c r="B6938" s="1" t="str">
        <f ca="1">IFERROR(__xludf.DUMMYFUNCTION("GOOGLETRANSLATE(A6938, ""en"", ""fr"")"),"Nouveau # 5")</f>
        <v>Nouveau # 5</v>
      </c>
      <c r="C6938" s="1" t="s">
        <v>185</v>
      </c>
      <c r="J6938" s="1" t="s">
        <v>6</v>
      </c>
      <c r="CY6938" s="1" t="s">
        <v>99</v>
      </c>
      <c r="GD6938" s="1" t="s">
        <v>236</v>
      </c>
      <c r="GE6938" s="1" t="s">
        <v>9790</v>
      </c>
    </row>
    <row r="6939" spans="1:187" ht="11.25" customHeight="1">
      <c r="A6939" s="1" t="s">
        <v>9791</v>
      </c>
      <c r="B6939" s="1" t="str">
        <f ca="1">IFERROR(__xludf.DUMMYFUNCTION("GOOGLETRANSLATE(A6939, ""en"", ""fr"")"),"Nouveau # 6")</f>
        <v>Nouveau # 6</v>
      </c>
      <c r="C6939" s="1" t="s">
        <v>185</v>
      </c>
      <c r="AC6939" s="1" t="s">
        <v>25</v>
      </c>
      <c r="AH6939" s="1" t="s">
        <v>30</v>
      </c>
      <c r="DI6939" s="1" t="s">
        <v>109</v>
      </c>
      <c r="GD6939" s="1" t="s">
        <v>193</v>
      </c>
      <c r="GE6939" s="1" t="s">
        <v>9792</v>
      </c>
    </row>
    <row r="6940" spans="1:187" ht="11.25" customHeight="1">
      <c r="A6940" s="1" t="s">
        <v>9793</v>
      </c>
      <c r="B6940" s="1" t="str">
        <f ca="1">IFERROR(__xludf.DUMMYFUNCTION("GOOGLETRANSLATE(A6940, ""en"", ""fr"")"),"Nouveau # 7")</f>
        <v>Nouveau # 7</v>
      </c>
      <c r="C6940" s="1" t="s">
        <v>185</v>
      </c>
      <c r="AC6940" s="1" t="s">
        <v>25</v>
      </c>
      <c r="AH6940" s="1" t="s">
        <v>30</v>
      </c>
      <c r="DI6940" s="1" t="s">
        <v>109</v>
      </c>
      <c r="GD6940" s="1" t="s">
        <v>193</v>
      </c>
      <c r="GE6940" s="1" t="s">
        <v>9794</v>
      </c>
    </row>
    <row r="6941" spans="1:187" ht="11.25" customHeight="1">
      <c r="A6941" s="1" t="s">
        <v>9795</v>
      </c>
      <c r="B6941" s="1" t="str">
        <f ca="1">IFERROR(__xludf.DUMMYFUNCTION("GOOGLETRANSLATE(A6941, ""en"", ""fr"")"),"Nouveau # 8")</f>
        <v>Nouveau # 8</v>
      </c>
      <c r="C6941" s="1" t="s">
        <v>185</v>
      </c>
      <c r="GD6941" s="1" t="s">
        <v>225</v>
      </c>
      <c r="GE6941" s="1" t="s">
        <v>9796</v>
      </c>
    </row>
    <row r="6942" spans="1:187" ht="11.25" customHeight="1">
      <c r="A6942" s="1" t="s">
        <v>9797</v>
      </c>
      <c r="B6942" s="1" t="str">
        <f ca="1">IFERROR(__xludf.DUMMYFUNCTION("GOOGLETRANSLATE(A6942, ""en"", ""fr"")"),"Nouveau # 9")</f>
        <v>Nouveau # 9</v>
      </c>
      <c r="C6942" s="1" t="s">
        <v>185</v>
      </c>
      <c r="GD6942" s="1" t="s">
        <v>225</v>
      </c>
      <c r="GE6942" s="1" t="s">
        <v>9798</v>
      </c>
    </row>
    <row r="6943" spans="1:187" ht="11.25" customHeight="1">
      <c r="A6943" s="1" t="s">
        <v>9799</v>
      </c>
      <c r="B6943" s="1" t="str">
        <f ca="1">IFERROR(__xludf.DUMMYFUNCTION("GOOGLETRANSLATE(A6943, ""en"", ""fr"")"),"Nouveau-mexica")</f>
        <v>Nouveau-mexica</v>
      </c>
      <c r="C6943" s="1" t="s">
        <v>196</v>
      </c>
      <c r="GD6943" s="1" t="s">
        <v>653</v>
      </c>
    </row>
    <row r="6944" spans="1:187" ht="11.25" customHeight="1">
      <c r="A6944" s="1" t="s">
        <v>9800</v>
      </c>
      <c r="B6944" s="1" t="str">
        <f ca="1">IFERROR(__xludf.DUMMYFUNCTION("GOOGLETRANSLATE(A6944, ""en"", ""fr"")"),"NOUVEAU NÉE")</f>
        <v>NOUVEAU NÉE</v>
      </c>
      <c r="C6944" s="1" t="s">
        <v>185</v>
      </c>
      <c r="L6944" s="1" t="s">
        <v>8</v>
      </c>
      <c r="AS6944" s="1" t="s">
        <v>41</v>
      </c>
      <c r="CY6944" s="1" t="s">
        <v>99</v>
      </c>
      <c r="EZ6944" s="1" t="s">
        <v>152</v>
      </c>
      <c r="FC6944" s="1" t="s">
        <v>155</v>
      </c>
      <c r="GD6944" s="1" t="s">
        <v>202</v>
      </c>
      <c r="GE6944" s="1" t="s">
        <v>190</v>
      </c>
    </row>
    <row r="6945" spans="1:187" ht="11.25" customHeight="1">
      <c r="A6945" s="1" t="s">
        <v>9801</v>
      </c>
      <c r="B6945" s="1" t="str">
        <f ca="1">IFERROR(__xludf.DUMMYFUNCTION("GOOGLETRANSLATE(A6945, ""en"", ""fr"")"),"NOUVEAU VENU")</f>
        <v>NOUVEAU VENU</v>
      </c>
      <c r="C6945" s="1" t="s">
        <v>196</v>
      </c>
      <c r="FT6945" s="1" t="s">
        <v>172</v>
      </c>
      <c r="GD6945" s="1" t="s">
        <v>448</v>
      </c>
    </row>
    <row r="6946" spans="1:187" ht="11.25" customHeight="1">
      <c r="A6946" s="1" t="s">
        <v>9802</v>
      </c>
      <c r="B6946" s="1" t="str">
        <f ca="1">IFERROR(__xludf.DUMMYFUNCTION("GOOGLETRANSLATE(A6946, ""en"", ""fr"")"),"Journalistes")</f>
        <v>Journalistes</v>
      </c>
      <c r="C6946" s="1" t="s">
        <v>185</v>
      </c>
      <c r="AA6946" s="1" t="s">
        <v>23</v>
      </c>
      <c r="AJ6946" s="1" t="s">
        <v>32</v>
      </c>
      <c r="AT6946" s="1" t="s">
        <v>42</v>
      </c>
      <c r="FG6946" s="1" t="s">
        <v>159</v>
      </c>
      <c r="FI6946" s="1" t="s">
        <v>161</v>
      </c>
      <c r="GD6946" s="1" t="s">
        <v>576</v>
      </c>
      <c r="GE6946" s="1" t="s">
        <v>190</v>
      </c>
    </row>
    <row r="6947" spans="1:187" ht="11.25" customHeight="1">
      <c r="A6947" s="1" t="s">
        <v>9803</v>
      </c>
      <c r="B6947" s="1" t="str">
        <f ca="1">IFERROR(__xludf.DUMMYFUNCTION("GOOGLETRANSLATE(A6947, ""en"", ""fr"")"),"JOURNAL")</f>
        <v>JOURNAL</v>
      </c>
      <c r="C6947" s="1" t="s">
        <v>185</v>
      </c>
      <c r="BC6947" s="1" t="s">
        <v>51</v>
      </c>
      <c r="BH6947" s="1" t="s">
        <v>56</v>
      </c>
      <c r="BL6947" s="1" t="s">
        <v>60</v>
      </c>
      <c r="FG6947" s="1" t="s">
        <v>159</v>
      </c>
      <c r="FI6947" s="1" t="s">
        <v>161</v>
      </c>
      <c r="GD6947" s="1" t="s">
        <v>193</v>
      </c>
      <c r="GE6947" s="1" t="s">
        <v>9804</v>
      </c>
    </row>
    <row r="6948" spans="1:187" ht="11.25" customHeight="1">
      <c r="A6948" s="1" t="s">
        <v>9805</v>
      </c>
      <c r="B6948" s="1" t="str">
        <f ca="1">IFERROR(__xludf.DUMMYFUNCTION("GOOGLETRANSLATE(A6948, ""en"", ""fr"")"),"JOURNALISTE")</f>
        <v>JOURNALISTE</v>
      </c>
      <c r="C6948" s="1" t="s">
        <v>185</v>
      </c>
      <c r="AA6948" s="1" t="s">
        <v>23</v>
      </c>
      <c r="AJ6948" s="1" t="s">
        <v>32</v>
      </c>
      <c r="AT6948" s="1" t="s">
        <v>42</v>
      </c>
      <c r="FG6948" s="1" t="s">
        <v>159</v>
      </c>
      <c r="FI6948" s="1" t="s">
        <v>161</v>
      </c>
      <c r="GD6948" s="1" t="s">
        <v>193</v>
      </c>
      <c r="GE6948" s="1" t="s">
        <v>190</v>
      </c>
    </row>
    <row r="6949" spans="1:187" ht="11.25" customHeight="1">
      <c r="A6949" s="1" t="s">
        <v>9806</v>
      </c>
      <c r="B6949" s="1" t="str">
        <f ca="1">IFERROR(__xludf.DUMMYFUNCTION("GOOGLETRANSLATE(A6949, ""en"", ""fr"")"),"Suivant # 1")</f>
        <v>Suivant # 1</v>
      </c>
      <c r="C6949" s="1" t="s">
        <v>185</v>
      </c>
      <c r="CT6949" s="1" t="s">
        <v>94</v>
      </c>
      <c r="CU6949" s="1" t="s">
        <v>95</v>
      </c>
      <c r="CY6949" s="1" t="s">
        <v>99</v>
      </c>
      <c r="DB6949" s="1" t="s">
        <v>102</v>
      </c>
      <c r="GB6949" s="1" t="s">
        <v>180</v>
      </c>
      <c r="GD6949" s="1" t="s">
        <v>5766</v>
      </c>
      <c r="GE6949" s="1" t="s">
        <v>9807</v>
      </c>
    </row>
    <row r="6950" spans="1:187" ht="11.25" customHeight="1">
      <c r="A6950" s="1" t="s">
        <v>9808</v>
      </c>
      <c r="B6950" s="1" t="str">
        <f ca="1">IFERROR(__xludf.DUMMYFUNCTION("GOOGLETRANSLATE(A6950, ""en"", ""fr"")"),"Suivant # 2")</f>
        <v>Suivant # 2</v>
      </c>
      <c r="C6950" s="1" t="s">
        <v>185</v>
      </c>
      <c r="DA6950" s="1" t="s">
        <v>101</v>
      </c>
      <c r="GB6950" s="1" t="s">
        <v>180</v>
      </c>
      <c r="GD6950" s="1" t="s">
        <v>215</v>
      </c>
      <c r="GE6950" s="1" t="s">
        <v>9809</v>
      </c>
    </row>
    <row r="6951" spans="1:187" ht="11.25" customHeight="1">
      <c r="A6951" s="1" t="s">
        <v>9810</v>
      </c>
      <c r="B6951" s="1" t="str">
        <f ca="1">IFERROR(__xludf.DUMMYFUNCTION("GOOGLETRANSLATE(A6951, ""en"", ""fr"")"),"Suivant # 3")</f>
        <v>Suivant # 3</v>
      </c>
      <c r="C6951" s="1" t="s">
        <v>185</v>
      </c>
      <c r="GD6951" s="1" t="s">
        <v>225</v>
      </c>
      <c r="GE6951" s="1" t="s">
        <v>9811</v>
      </c>
    </row>
    <row r="6952" spans="1:187" ht="11.25" customHeight="1">
      <c r="A6952" s="1" t="s">
        <v>9812</v>
      </c>
      <c r="B6952" s="1" t="str">
        <f ca="1">IFERROR(__xludf.DUMMYFUNCTION("GOOGLETRANSLATE(A6952, ""en"", ""fr"")"),"NICARAGUA")</f>
        <v>NICARAGUA</v>
      </c>
      <c r="C6952" s="1" t="s">
        <v>196</v>
      </c>
      <c r="FU6952" s="1" t="s">
        <v>173</v>
      </c>
      <c r="GD6952" s="1" t="s">
        <v>545</v>
      </c>
    </row>
    <row r="6953" spans="1:187" ht="11.25" customHeight="1">
      <c r="A6953" s="1" t="s">
        <v>9813</v>
      </c>
      <c r="B6953" s="1" t="str">
        <f ca="1">IFERROR(__xludf.DUMMYFUNCTION("GOOGLETRANSLATE(A6953, ""en"", ""fr"")"),"Nice # 1")</f>
        <v>Nice # 1</v>
      </c>
      <c r="C6953" s="1" t="s">
        <v>185</v>
      </c>
      <c r="D6953" s="1" t="s">
        <v>16612</v>
      </c>
      <c r="F6953" s="1" t="s">
        <v>2</v>
      </c>
      <c r="U6953" s="1" t="s">
        <v>17</v>
      </c>
      <c r="CN6953" s="1" t="s">
        <v>88</v>
      </c>
      <c r="FX6953" s="1" t="s">
        <v>176</v>
      </c>
      <c r="GD6953" s="1" t="s">
        <v>202</v>
      </c>
      <c r="GE6953" s="1" t="s">
        <v>9814</v>
      </c>
    </row>
    <row r="6954" spans="1:187" ht="11.25" customHeight="1">
      <c r="A6954" s="1" t="s">
        <v>9815</v>
      </c>
      <c r="B6954" s="1" t="str">
        <f ca="1">IFERROR(__xludf.DUMMYFUNCTION("GOOGLETRANSLATE(A6954, ""en"", ""fr"")"),"Nice # 2")</f>
        <v>Nice # 2</v>
      </c>
      <c r="C6954" s="1" t="s">
        <v>185</v>
      </c>
      <c r="D6954" s="1" t="s">
        <v>16612</v>
      </c>
      <c r="F6954" s="1" t="s">
        <v>2</v>
      </c>
      <c r="U6954" s="1" t="s">
        <v>17</v>
      </c>
      <c r="CN6954" s="1" t="s">
        <v>88</v>
      </c>
      <c r="FX6954" s="1" t="s">
        <v>176</v>
      </c>
      <c r="GD6954" s="1" t="s">
        <v>202</v>
      </c>
      <c r="GE6954" s="1" t="s">
        <v>9816</v>
      </c>
    </row>
    <row r="6955" spans="1:187" ht="11.25" customHeight="1">
      <c r="A6955" s="1" t="s">
        <v>9817</v>
      </c>
      <c r="B6955" s="1" t="str">
        <f ca="1">IFERROR(__xludf.DUMMYFUNCTION("GOOGLETRANSLATE(A6955, ""en"", ""fr"")"),"Nice # 3")</f>
        <v>Nice # 3</v>
      </c>
      <c r="C6955" s="1" t="s">
        <v>185</v>
      </c>
      <c r="D6955" s="1" t="s">
        <v>16612</v>
      </c>
      <c r="F6955" s="1" t="s">
        <v>2</v>
      </c>
      <c r="U6955" s="1" t="s">
        <v>17</v>
      </c>
      <c r="CN6955" s="1" t="s">
        <v>88</v>
      </c>
      <c r="FX6955" s="1" t="s">
        <v>176</v>
      </c>
      <c r="GD6955" s="1" t="s">
        <v>202</v>
      </c>
      <c r="GE6955" s="1" t="s">
        <v>9818</v>
      </c>
    </row>
    <row r="6956" spans="1:187" ht="11.25" customHeight="1">
      <c r="A6956" s="1" t="s">
        <v>9819</v>
      </c>
      <c r="B6956" s="1" t="str">
        <f ca="1">IFERROR(__xludf.DUMMYFUNCTION("GOOGLETRANSLATE(A6956, ""en"", ""fr"")"),"Nice # 4")</f>
        <v>Nice # 4</v>
      </c>
      <c r="C6956" s="1" t="s">
        <v>185</v>
      </c>
      <c r="D6956" s="1" t="s">
        <v>16612</v>
      </c>
      <c r="F6956" s="1" t="s">
        <v>2</v>
      </c>
      <c r="U6956" s="1" t="s">
        <v>17</v>
      </c>
      <c r="FX6956" s="1" t="s">
        <v>176</v>
      </c>
      <c r="GD6956" s="1" t="s">
        <v>236</v>
      </c>
      <c r="GE6956" s="1" t="s">
        <v>9820</v>
      </c>
    </row>
    <row r="6957" spans="1:187" ht="11.25" customHeight="1">
      <c r="A6957" s="1" t="s">
        <v>9821</v>
      </c>
      <c r="B6957" s="1" t="str">
        <f ca="1">IFERROR(__xludf.DUMMYFUNCTION("GOOGLETRANSLATE(A6957, ""en"", ""fr"")"),"NICHE")</f>
        <v>NICHE</v>
      </c>
      <c r="C6957" s="1" t="s">
        <v>192</v>
      </c>
      <c r="D6957" s="1" t="s">
        <v>16612</v>
      </c>
      <c r="AV6957" s="1" t="s">
        <v>44</v>
      </c>
      <c r="GD6957" s="1" t="s">
        <v>193</v>
      </c>
      <c r="GE6957" s="1" t="s">
        <v>190</v>
      </c>
    </row>
    <row r="6958" spans="1:187" ht="11.25" customHeight="1">
      <c r="A6958" s="1" t="s">
        <v>9822</v>
      </c>
      <c r="B6958" s="1" t="str">
        <f ca="1">IFERROR(__xludf.DUMMYFUNCTION("GOOGLETRANSLATE(A6958, ""en"", ""fr"")"),"NICKEL")</f>
        <v>NICKEL</v>
      </c>
      <c r="C6958" s="1" t="s">
        <v>185</v>
      </c>
      <c r="AA6958" s="1" t="s">
        <v>23</v>
      </c>
      <c r="BC6958" s="1" t="s">
        <v>51</v>
      </c>
      <c r="BI6958" s="1" t="s">
        <v>57</v>
      </c>
      <c r="GD6958" s="1" t="s">
        <v>193</v>
      </c>
      <c r="GE6958" s="1" t="s">
        <v>190</v>
      </c>
    </row>
    <row r="6959" spans="1:187" ht="11.25" customHeight="1">
      <c r="A6959" s="1" t="s">
        <v>9823</v>
      </c>
      <c r="B6959" s="1" t="str">
        <f ca="1">IFERROR(__xludf.DUMMYFUNCTION("GOOGLETRANSLATE(A6959, ""en"", ""fr"")"),"SURNOM")</f>
        <v>SURNOM</v>
      </c>
      <c r="C6959" s="1" t="s">
        <v>185</v>
      </c>
      <c r="BK6959" s="1" t="s">
        <v>59</v>
      </c>
      <c r="BL6959" s="1" t="s">
        <v>60</v>
      </c>
      <c r="GC6959" s="1" t="s">
        <v>181</v>
      </c>
      <c r="GD6959" s="1" t="s">
        <v>193</v>
      </c>
      <c r="GE6959" s="1" t="s">
        <v>190</v>
      </c>
    </row>
    <row r="6960" spans="1:187" ht="11.25" customHeight="1">
      <c r="A6960" s="1" t="s">
        <v>9824</v>
      </c>
      <c r="B6960" s="1" t="str">
        <f ca="1">IFERROR(__xludf.DUMMYFUNCTION("GOOGLETRANSLATE(A6960, ""en"", ""fr"")"),"NIGERIA")</f>
        <v>NIGERIA</v>
      </c>
      <c r="C6960" s="1" t="s">
        <v>196</v>
      </c>
      <c r="FU6960" s="1" t="s">
        <v>173</v>
      </c>
      <c r="GD6960" s="1" t="s">
        <v>545</v>
      </c>
    </row>
    <row r="6961" spans="1:187" ht="11.25" customHeight="1">
      <c r="A6961" s="1" t="s">
        <v>9825</v>
      </c>
      <c r="B6961" s="1" t="str">
        <f ca="1">IFERROR(__xludf.DUMMYFUNCTION("GOOGLETRANSLATE(A6961, ""en"", ""fr"")"),"Nigers")</f>
        <v>Nigers</v>
      </c>
      <c r="C6961" s="1" t="s">
        <v>196</v>
      </c>
      <c r="FU6961" s="1" t="s">
        <v>173</v>
      </c>
      <c r="GD6961" s="1" t="s">
        <v>545</v>
      </c>
    </row>
    <row r="6962" spans="1:187" ht="11.25" customHeight="1">
      <c r="A6962" s="1" t="s">
        <v>9826</v>
      </c>
      <c r="B6962" s="1" t="str">
        <f ca="1">IFERROR(__xludf.DUMMYFUNCTION("GOOGLETRANSLATE(A6962, ""en"", ""fr"")"),"NÈGRE")</f>
        <v>NÈGRE</v>
      </c>
      <c r="C6962" s="1" t="s">
        <v>185</v>
      </c>
      <c r="I6962" s="1" t="s">
        <v>5</v>
      </c>
      <c r="AH6962" s="1" t="s">
        <v>30</v>
      </c>
      <c r="AJ6962" s="1" t="s">
        <v>32</v>
      </c>
      <c r="AO6962" s="1" t="s">
        <v>37</v>
      </c>
      <c r="AT6962" s="1" t="s">
        <v>42</v>
      </c>
      <c r="GD6962" s="1" t="s">
        <v>193</v>
      </c>
      <c r="GE6962" s="1" t="s">
        <v>9827</v>
      </c>
    </row>
    <row r="6963" spans="1:187" ht="11.25" customHeight="1">
      <c r="A6963" s="1" t="s">
        <v>9828</v>
      </c>
      <c r="B6963" s="1" t="str">
        <f ca="1">IFERROR(__xludf.DUMMYFUNCTION("GOOGLETRANSLATE(A6963, ""en"", ""fr"")"),"Nuit n ° 1")</f>
        <v>Nuit n ° 1</v>
      </c>
      <c r="C6963" s="1" t="s">
        <v>185</v>
      </c>
      <c r="CQ6963" s="1" t="s">
        <v>91</v>
      </c>
      <c r="CY6963" s="1" t="s">
        <v>99</v>
      </c>
      <c r="CZ6963" s="1" t="s">
        <v>100</v>
      </c>
      <c r="GB6963" s="1" t="s">
        <v>180</v>
      </c>
      <c r="GD6963" s="1" t="s">
        <v>849</v>
      </c>
      <c r="GE6963" s="1" t="s">
        <v>9829</v>
      </c>
    </row>
    <row r="6964" spans="1:187" ht="11.25" customHeight="1">
      <c r="A6964" s="1" t="s">
        <v>9830</v>
      </c>
      <c r="B6964" s="1" t="str">
        <f ca="1">IFERROR(__xludf.DUMMYFUNCTION("GOOGLETRANSLATE(A6964, ""en"", ""fr"")"),"Nuit n ° 2")</f>
        <v>Nuit n ° 2</v>
      </c>
      <c r="C6964" s="1" t="s">
        <v>185</v>
      </c>
      <c r="CW6964" s="1" t="s">
        <v>97</v>
      </c>
      <c r="GB6964" s="1" t="s">
        <v>180</v>
      </c>
      <c r="GD6964" s="1" t="s">
        <v>236</v>
      </c>
      <c r="GE6964" s="1" t="s">
        <v>9831</v>
      </c>
    </row>
    <row r="6965" spans="1:187" ht="11.25" customHeight="1">
      <c r="A6965" s="1" t="s">
        <v>9832</v>
      </c>
      <c r="B6965" s="1" t="str">
        <f ca="1">IFERROR(__xludf.DUMMYFUNCTION("GOOGLETRANSLATE(A6965, ""en"", ""fr"")"),"CAUCHEMAR")</f>
        <v>CAUCHEMAR</v>
      </c>
      <c r="C6965" s="1" t="s">
        <v>192</v>
      </c>
      <c r="E6965" s="1" t="s">
        <v>16613</v>
      </c>
      <c r="I6965" s="1" t="s">
        <v>5</v>
      </c>
      <c r="BT6965" s="1" t="s">
        <v>68</v>
      </c>
      <c r="GD6965" s="1" t="s">
        <v>193</v>
      </c>
      <c r="GE6965" s="1" t="s">
        <v>190</v>
      </c>
    </row>
    <row r="6966" spans="1:187" ht="11.25" customHeight="1">
      <c r="A6966" s="1" t="s">
        <v>9833</v>
      </c>
      <c r="B6966" s="1" t="str">
        <f ca="1">IFERROR(__xludf.DUMMYFUNCTION("GOOGLETRANSLATE(A6966, ""en"", ""fr"")"),"NIHILISME")</f>
        <v>NIHILISME</v>
      </c>
      <c r="C6966" s="1" t="s">
        <v>196</v>
      </c>
      <c r="EA6966" s="1" t="s">
        <v>127</v>
      </c>
      <c r="ED6966" s="1" t="s">
        <v>130</v>
      </c>
      <c r="FV6966" s="1" t="s">
        <v>174</v>
      </c>
      <c r="GD6966" s="1" t="s">
        <v>193</v>
      </c>
    </row>
    <row r="6967" spans="1:187" ht="11.25" customHeight="1">
      <c r="A6967" s="1" t="s">
        <v>9834</v>
      </c>
      <c r="B6967" s="1" t="str">
        <f ca="1">IFERROR(__xludf.DUMMYFUNCTION("GOOGLETRANSLATE(A6967, ""en"", ""fr"")"),"NIHILISTE")</f>
        <v>NIHILISTE</v>
      </c>
      <c r="C6967" s="1" t="s">
        <v>196</v>
      </c>
      <c r="EA6967" s="1" t="s">
        <v>127</v>
      </c>
      <c r="ED6967" s="1" t="s">
        <v>130</v>
      </c>
      <c r="FV6967" s="1" t="s">
        <v>174</v>
      </c>
      <c r="GD6967" s="1" t="s">
        <v>202</v>
      </c>
    </row>
    <row r="6968" spans="1:187" ht="11.25" customHeight="1">
      <c r="A6968" s="1" t="s">
        <v>9835</v>
      </c>
      <c r="B6968" s="1" t="str">
        <f ca="1">IFERROR(__xludf.DUMMYFUNCTION("GOOGLETRANSLATE(A6968, ""en"", ""fr"")"),"AGILE")</f>
        <v>AGILE</v>
      </c>
      <c r="C6968" s="1" t="s">
        <v>192</v>
      </c>
      <c r="D6968" s="1" t="s">
        <v>16612</v>
      </c>
      <c r="J6968" s="1" t="s">
        <v>6</v>
      </c>
      <c r="DR6968" s="1" t="s">
        <v>118</v>
      </c>
      <c r="GD6968" s="1" t="s">
        <v>202</v>
      </c>
      <c r="GE6968" s="1" t="s">
        <v>190</v>
      </c>
    </row>
    <row r="6969" spans="1:187" ht="11.25" customHeight="1">
      <c r="A6969" s="1" t="s">
        <v>9836</v>
      </c>
      <c r="B6969" s="1" t="str">
        <f ca="1">IFERROR(__xludf.DUMMYFUNCTION("GOOGLETRANSLATE(A6969, ""en"", ""fr"")"),"NEUF")</f>
        <v>NEUF</v>
      </c>
      <c r="C6969" s="1" t="s">
        <v>185</v>
      </c>
      <c r="CS6969" s="1" t="s">
        <v>93</v>
      </c>
      <c r="CT6969" s="1" t="s">
        <v>94</v>
      </c>
      <c r="CV6969" s="1" t="s">
        <v>96</v>
      </c>
      <c r="GD6969" s="1" t="s">
        <v>1756</v>
      </c>
      <c r="GE6969" s="1" t="s">
        <v>9837</v>
      </c>
    </row>
    <row r="6970" spans="1:187" ht="11.25" customHeight="1">
      <c r="A6970" s="1" t="s">
        <v>9838</v>
      </c>
      <c r="B6970" s="1" t="str">
        <f ca="1">IFERROR(__xludf.DUMMYFUNCTION("GOOGLETRANSLATE(A6970, ""en"", ""fr"")"),"DIX-NEUF")</f>
        <v>DIX-NEUF</v>
      </c>
      <c r="C6970" s="1" t="s">
        <v>185</v>
      </c>
      <c r="CS6970" s="1" t="s">
        <v>93</v>
      </c>
      <c r="CT6970" s="1" t="s">
        <v>94</v>
      </c>
      <c r="CV6970" s="1" t="s">
        <v>96</v>
      </c>
      <c r="GD6970" s="1" t="s">
        <v>1756</v>
      </c>
      <c r="GE6970" s="1" t="s">
        <v>9837</v>
      </c>
    </row>
    <row r="6971" spans="1:187" ht="11.25" customHeight="1">
      <c r="A6971" s="1" t="s">
        <v>9839</v>
      </c>
      <c r="B6971" s="1" t="str">
        <f ca="1">IFERROR(__xludf.DUMMYFUNCTION("GOOGLETRANSLATE(A6971, ""en"", ""fr"")"),"Dix-neuvième # 1")</f>
        <v>Dix-neuvième # 1</v>
      </c>
      <c r="C6971" s="1" t="s">
        <v>192</v>
      </c>
      <c r="GE6971" s="1" t="s">
        <v>190</v>
      </c>
    </row>
    <row r="6972" spans="1:187" ht="11.25" customHeight="1">
      <c r="A6972" s="1" t="s">
        <v>9840</v>
      </c>
      <c r="B6972" s="1" t="str">
        <f ca="1">IFERROR(__xludf.DUMMYFUNCTION("GOOGLETRANSLATE(A6972, ""en"", ""fr"")"),"Neuvième # 1")</f>
        <v>Neuvième # 1</v>
      </c>
      <c r="C6972" s="1" t="s">
        <v>192</v>
      </c>
      <c r="GE6972" s="1" t="s">
        <v>190</v>
      </c>
    </row>
    <row r="6973" spans="1:187" ht="11.25" customHeight="1">
      <c r="A6973" s="1" t="s">
        <v>9841</v>
      </c>
      <c r="B6973" s="1" t="str">
        <f ca="1">IFERROR(__xludf.DUMMYFUNCTION("GOOGLETRANSLATE(A6973, ""en"", ""fr"")"),"QUATRE-VINGT-DIX")</f>
        <v>QUATRE-VINGT-DIX</v>
      </c>
      <c r="C6973" s="1" t="s">
        <v>185</v>
      </c>
      <c r="CS6973" s="1" t="s">
        <v>93</v>
      </c>
      <c r="CT6973" s="1" t="s">
        <v>94</v>
      </c>
      <c r="CV6973" s="1" t="s">
        <v>96</v>
      </c>
      <c r="GD6973" s="1" t="s">
        <v>1756</v>
      </c>
      <c r="GE6973" s="1" t="s">
        <v>190</v>
      </c>
    </row>
    <row r="6974" spans="1:187" ht="11.25" customHeight="1">
      <c r="A6974" s="1" t="s">
        <v>9842</v>
      </c>
      <c r="B6974" s="1" t="str">
        <f ca="1">IFERROR(__xludf.DUMMYFUNCTION("GOOGLETRANSLATE(A6974, ""en"", ""fr"")"),"Neuvième n ° 1")</f>
        <v>Neuvième n ° 1</v>
      </c>
      <c r="C6974" s="1" t="s">
        <v>192</v>
      </c>
      <c r="GE6974" s="1" t="s">
        <v>190</v>
      </c>
    </row>
    <row r="6975" spans="1:187" ht="11.25" customHeight="1">
      <c r="A6975" s="1" t="s">
        <v>9843</v>
      </c>
      <c r="B6975" s="1" t="str">
        <f ca="1">IFERROR(__xludf.DUMMYFUNCTION("GOOGLETRANSLATE(A6975, ""en"", ""fr"")"),"RIEN")</f>
        <v>RIEN</v>
      </c>
      <c r="C6975" s="1" t="s">
        <v>192</v>
      </c>
      <c r="E6975" s="1" t="s">
        <v>16613</v>
      </c>
      <c r="K6975" s="1" t="s">
        <v>7</v>
      </c>
      <c r="BZ6975" s="1" t="s">
        <v>74</v>
      </c>
      <c r="DN6975" s="1" t="s">
        <v>114</v>
      </c>
      <c r="GD6975" s="1" t="s">
        <v>189</v>
      </c>
      <c r="GE6975" s="1" t="s">
        <v>190</v>
      </c>
    </row>
    <row r="6976" spans="1:187" ht="11.25" customHeight="1">
      <c r="A6976" s="1" t="s">
        <v>9844</v>
      </c>
      <c r="B6976" s="1" t="str">
        <f ca="1">IFERROR(__xludf.DUMMYFUNCTION("GOOGLETRANSLATE(A6976, ""en"", ""fr"")"),"Nixon")</f>
        <v>Nixon</v>
      </c>
      <c r="C6976" s="1" t="s">
        <v>185</v>
      </c>
      <c r="AH6976" s="1" t="s">
        <v>30</v>
      </c>
      <c r="DI6976" s="1" t="s">
        <v>109</v>
      </c>
      <c r="DY6976" s="1" t="s">
        <v>125</v>
      </c>
      <c r="ED6976" s="1" t="s">
        <v>130</v>
      </c>
      <c r="GD6976" s="1" t="s">
        <v>193</v>
      </c>
      <c r="GE6976" s="1" t="s">
        <v>190</v>
      </c>
    </row>
    <row r="6977" spans="1:187" ht="11.25" customHeight="1">
      <c r="A6977" s="1" t="s">
        <v>9845</v>
      </c>
      <c r="B6977" s="1" t="str">
        <f ca="1">IFERROR(__xludf.DUMMYFUNCTION("GOOGLETRANSLATE(A6977, ""en"", ""fr"")"),"Non n ° 1")</f>
        <v>Non n ° 1</v>
      </c>
      <c r="C6977" s="1" t="s">
        <v>185</v>
      </c>
      <c r="X6977" s="1" t="s">
        <v>20</v>
      </c>
      <c r="CS6977" s="1" t="s">
        <v>93</v>
      </c>
      <c r="DL6977" s="1" t="s">
        <v>112</v>
      </c>
      <c r="GA6977" s="1" t="s">
        <v>179</v>
      </c>
      <c r="GD6977" s="1" t="s">
        <v>6809</v>
      </c>
      <c r="GE6977" s="1" t="s">
        <v>9846</v>
      </c>
    </row>
    <row r="6978" spans="1:187" ht="11.25" customHeight="1">
      <c r="A6978" s="1" t="s">
        <v>9847</v>
      </c>
      <c r="B6978" s="1" t="str">
        <f ca="1">IFERROR(__xludf.DUMMYFUNCTION("GOOGLETRANSLATE(A6978, ""en"", ""fr"")"),"Non # 2")</f>
        <v>Non # 2</v>
      </c>
      <c r="C6978" s="1" t="s">
        <v>185</v>
      </c>
      <c r="I6978" s="1" t="s">
        <v>5</v>
      </c>
      <c r="DK6978" s="1" t="s">
        <v>111</v>
      </c>
      <c r="DL6978" s="1" t="s">
        <v>112</v>
      </c>
      <c r="DM6978" s="1" t="s">
        <v>113</v>
      </c>
      <c r="GA6978" s="1" t="s">
        <v>179</v>
      </c>
      <c r="GD6978" s="1" t="s">
        <v>3750</v>
      </c>
      <c r="GE6978" s="1" t="s">
        <v>9848</v>
      </c>
    </row>
    <row r="6979" spans="1:187" ht="11.25" customHeight="1">
      <c r="A6979" s="1" t="s">
        <v>9849</v>
      </c>
      <c r="B6979" s="1" t="str">
        <f ca="1">IFERROR(__xludf.DUMMYFUNCTION("GOOGLETRANSLATE(A6979, ""en"", ""fr"")"),"N ° 3")</f>
        <v>N ° 3</v>
      </c>
      <c r="C6979" s="1" t="s">
        <v>185</v>
      </c>
      <c r="I6979" s="1" t="s">
        <v>5</v>
      </c>
      <c r="BK6979" s="1" t="s">
        <v>59</v>
      </c>
      <c r="BL6979" s="1" t="s">
        <v>60</v>
      </c>
      <c r="GA6979" s="1" t="s">
        <v>179</v>
      </c>
      <c r="GC6979" s="1" t="s">
        <v>181</v>
      </c>
      <c r="GD6979" s="1" t="s">
        <v>193</v>
      </c>
      <c r="GE6979" s="1" t="s">
        <v>9850</v>
      </c>
    </row>
    <row r="6980" spans="1:187" ht="11.25" customHeight="1">
      <c r="A6980" s="1" t="s">
        <v>9851</v>
      </c>
      <c r="B6980" s="1" t="str">
        <f ca="1">IFERROR(__xludf.DUMMYFUNCTION("GOOGLETRANSLATE(A6980, ""en"", ""fr"")"),"NUMÉRO 4")</f>
        <v>NUMÉRO 4</v>
      </c>
      <c r="C6980" s="1" t="s">
        <v>185</v>
      </c>
      <c r="CS6980" s="1" t="s">
        <v>93</v>
      </c>
      <c r="GA6980" s="1" t="s">
        <v>179</v>
      </c>
      <c r="GD6980" s="1" t="s">
        <v>202</v>
      </c>
      <c r="GE6980" s="1" t="s">
        <v>9852</v>
      </c>
    </row>
    <row r="6981" spans="1:187" ht="11.25" customHeight="1">
      <c r="A6981" s="1" t="s">
        <v>9853</v>
      </c>
      <c r="B6981" s="1" t="str">
        <f ca="1">IFERROR(__xludf.DUMMYFUNCTION("GOOGLETRANSLATE(A6981, ""en"", ""fr"")"),"N ° 5")</f>
        <v>N ° 5</v>
      </c>
      <c r="C6981" s="1" t="s">
        <v>185</v>
      </c>
      <c r="DL6981" s="1" t="s">
        <v>112</v>
      </c>
      <c r="GA6981" s="1" t="s">
        <v>179</v>
      </c>
      <c r="GD6981" s="1" t="s">
        <v>929</v>
      </c>
      <c r="GE6981" s="1" t="s">
        <v>9854</v>
      </c>
    </row>
    <row r="6982" spans="1:187" ht="11.25" customHeight="1">
      <c r="A6982" s="1" t="s">
        <v>9855</v>
      </c>
      <c r="B6982" s="1" t="str">
        <f ca="1">IFERROR(__xludf.DUMMYFUNCTION("GOOGLETRANSLATE(A6982, ""en"", ""fr"")"),"NUMÉRO 6")</f>
        <v>NUMÉRO 6</v>
      </c>
      <c r="C6982" s="1" t="s">
        <v>185</v>
      </c>
      <c r="DL6982" s="1" t="s">
        <v>112</v>
      </c>
      <c r="GD6982" s="1" t="s">
        <v>225</v>
      </c>
      <c r="GE6982" s="1" t="s">
        <v>9856</v>
      </c>
    </row>
    <row r="6983" spans="1:187" ht="11.25" customHeight="1">
      <c r="A6983" s="1" t="s">
        <v>9857</v>
      </c>
      <c r="B6983" s="1" t="str">
        <f ca="1">IFERROR(__xludf.DUMMYFUNCTION("GOOGLETRANSLATE(A6983, ""en"", ""fr"")"),"Non # 7")</f>
        <v>Non # 7</v>
      </c>
      <c r="C6983" s="1" t="s">
        <v>185</v>
      </c>
      <c r="GD6983" s="1" t="s">
        <v>225</v>
      </c>
      <c r="GE6983" s="1" t="s">
        <v>9858</v>
      </c>
    </row>
    <row r="6984" spans="1:187" ht="11.25" customHeight="1">
      <c r="A6984" s="1" t="s">
        <v>9859</v>
      </c>
      <c r="B6984" s="1" t="str">
        <f ca="1">IFERROR(__xludf.DUMMYFUNCTION("GOOGLETRANSLATE(A6984, ""en"", ""fr"")"),"LA NOBLESSE")</f>
        <v>LA NOBLESSE</v>
      </c>
      <c r="C6984" s="1" t="s">
        <v>192</v>
      </c>
      <c r="D6984" s="1" t="s">
        <v>16612</v>
      </c>
      <c r="K6984" s="1" t="s">
        <v>7</v>
      </c>
      <c r="AA6984" s="1" t="s">
        <v>23</v>
      </c>
      <c r="AJ6984" s="1" t="s">
        <v>32</v>
      </c>
      <c r="AK6984" s="1" t="s">
        <v>33</v>
      </c>
      <c r="AT6984" s="1" t="s">
        <v>42</v>
      </c>
      <c r="GD6984" s="1" t="s">
        <v>193</v>
      </c>
      <c r="GE6984" s="1" t="s">
        <v>190</v>
      </c>
    </row>
    <row r="6985" spans="1:187" ht="11.25" customHeight="1">
      <c r="A6985" s="1" t="s">
        <v>9860</v>
      </c>
      <c r="B6985" s="1" t="str">
        <f ca="1">IFERROR(__xludf.DUMMYFUNCTION("GOOGLETRANSLATE(A6985, ""en"", ""fr"")"),"NOBLE")</f>
        <v>NOBLE</v>
      </c>
      <c r="C6985" s="1" t="s">
        <v>185</v>
      </c>
      <c r="D6985" s="1" t="s">
        <v>16612</v>
      </c>
      <c r="F6985" s="1" t="s">
        <v>2</v>
      </c>
      <c r="J6985" s="1" t="s">
        <v>6</v>
      </c>
      <c r="U6985" s="1" t="s">
        <v>17</v>
      </c>
      <c r="CN6985" s="1" t="s">
        <v>88</v>
      </c>
      <c r="EM6985" s="1" t="s">
        <v>139</v>
      </c>
      <c r="EN6985" s="1" t="s">
        <v>140</v>
      </c>
      <c r="GD6985" s="1" t="s">
        <v>202</v>
      </c>
      <c r="GE6985" s="1" t="s">
        <v>190</v>
      </c>
    </row>
    <row r="6986" spans="1:187" ht="11.25" customHeight="1">
      <c r="A6986" s="1" t="s">
        <v>9861</v>
      </c>
      <c r="B6986" s="1" t="str">
        <f ca="1">IFERROR(__xludf.DUMMYFUNCTION("GOOGLETRANSLATE(A6986, ""en"", ""fr"")"),"NOBLE")</f>
        <v>NOBLE</v>
      </c>
      <c r="C6986" s="1" t="s">
        <v>192</v>
      </c>
      <c r="D6986" s="1" t="s">
        <v>16612</v>
      </c>
      <c r="K6986" s="1" t="s">
        <v>7</v>
      </c>
      <c r="AA6986" s="1" t="s">
        <v>23</v>
      </c>
      <c r="AJ6986" s="1" t="s">
        <v>32</v>
      </c>
      <c r="AT6986" s="1" t="s">
        <v>42</v>
      </c>
      <c r="GD6986" s="1" t="s">
        <v>193</v>
      </c>
      <c r="GE6986" s="1" t="s">
        <v>190</v>
      </c>
    </row>
    <row r="6987" spans="1:187" ht="11.25" customHeight="1">
      <c r="A6987" s="1" t="s">
        <v>9862</v>
      </c>
      <c r="B6987" s="1" t="str">
        <f ca="1">IFERROR(__xludf.DUMMYFUNCTION("GOOGLETRANSLATE(A6987, ""en"", ""fr"")"),"PERSONNE")</f>
        <v>PERSONNE</v>
      </c>
      <c r="C6987" s="1" t="s">
        <v>185</v>
      </c>
      <c r="X6987" s="1" t="s">
        <v>20</v>
      </c>
      <c r="DL6987" s="1" t="s">
        <v>112</v>
      </c>
      <c r="FT6987" s="1" t="s">
        <v>172</v>
      </c>
      <c r="GD6987" s="1" t="s">
        <v>9863</v>
      </c>
      <c r="GE6987" s="1" t="s">
        <v>9864</v>
      </c>
    </row>
    <row r="6988" spans="1:187" ht="11.25" customHeight="1">
      <c r="A6988" s="1" t="s">
        <v>9865</v>
      </c>
      <c r="B6988" s="1" t="str">
        <f ca="1">IFERROR(__xludf.DUMMYFUNCTION("GOOGLETRANSLATE(A6988, ""en"", ""fr"")"),"NOD # 1")</f>
        <v>NOD # 1</v>
      </c>
      <c r="C6988" s="1" t="s">
        <v>185</v>
      </c>
      <c r="BK6988" s="1" t="s">
        <v>59</v>
      </c>
      <c r="BL6988" s="1" t="s">
        <v>60</v>
      </c>
      <c r="GC6988" s="1" t="s">
        <v>181</v>
      </c>
      <c r="GD6988" s="1" t="s">
        <v>193</v>
      </c>
      <c r="GE6988" s="1" t="s">
        <v>190</v>
      </c>
    </row>
    <row r="6989" spans="1:187" ht="11.25" customHeight="1">
      <c r="A6989" s="1" t="s">
        <v>9866</v>
      </c>
      <c r="B6989" s="1" t="str">
        <f ca="1">IFERROR(__xludf.DUMMYFUNCTION("GOOGLETRANSLATE(A6989, ""en"", ""fr"")"),"NOD # 2")</f>
        <v>NOD # 2</v>
      </c>
      <c r="C6989" s="1" t="s">
        <v>185</v>
      </c>
      <c r="BK6989" s="1" t="s">
        <v>59</v>
      </c>
      <c r="DO6989" s="1" t="s">
        <v>115</v>
      </c>
      <c r="FP6989" s="1" t="s">
        <v>168</v>
      </c>
      <c r="GD6989" s="1" t="s">
        <v>189</v>
      </c>
      <c r="GE6989" s="1" t="s">
        <v>190</v>
      </c>
    </row>
    <row r="6990" spans="1:187" ht="11.25" customHeight="1">
      <c r="A6990" s="1" t="s">
        <v>9867</v>
      </c>
      <c r="B6990" s="1" t="str">
        <f ca="1">IFERROR(__xludf.DUMMYFUNCTION("GOOGLETRANSLATE(A6990, ""en"", ""fr"")"),"BRUIT")</f>
        <v>BRUIT</v>
      </c>
      <c r="C6990" s="1" t="s">
        <v>185</v>
      </c>
      <c r="E6990" s="1" t="s">
        <v>16613</v>
      </c>
      <c r="H6990" s="1" t="s">
        <v>4</v>
      </c>
      <c r="CR6990" s="1" t="s">
        <v>92</v>
      </c>
      <c r="FH6990" s="1" t="s">
        <v>160</v>
      </c>
      <c r="FI6990" s="1" t="s">
        <v>161</v>
      </c>
      <c r="GD6990" s="1" t="s">
        <v>193</v>
      </c>
      <c r="GE6990" s="1" t="s">
        <v>9868</v>
      </c>
    </row>
    <row r="6991" spans="1:187" ht="11.25" customHeight="1">
      <c r="A6991" s="1" t="s">
        <v>9869</v>
      </c>
      <c r="B6991" s="1" t="str">
        <f ca="1">IFERROR(__xludf.DUMMYFUNCTION("GOOGLETRANSLATE(A6991, ""en"", ""fr"")"),"SANS BRUIT")</f>
        <v>SANS BRUIT</v>
      </c>
      <c r="C6991" s="1" t="s">
        <v>192</v>
      </c>
      <c r="D6991" s="1" t="s">
        <v>16612</v>
      </c>
      <c r="BK6991" s="1" t="s">
        <v>59</v>
      </c>
      <c r="DL6991" s="1" t="s">
        <v>112</v>
      </c>
      <c r="DR6991" s="1" t="s">
        <v>118</v>
      </c>
      <c r="GD6991" s="1" t="s">
        <v>202</v>
      </c>
      <c r="GE6991" s="1" t="s">
        <v>190</v>
      </c>
    </row>
    <row r="6992" spans="1:187" ht="11.25" customHeight="1">
      <c r="A6992" s="1" t="s">
        <v>9870</v>
      </c>
      <c r="B6992" s="1" t="str">
        <f ca="1">IFERROR(__xludf.DUMMYFUNCTION("GOOGLETRANSLATE(A6992, ""en"", ""fr"")"),"NOMINAL")</f>
        <v>NOMINAL</v>
      </c>
      <c r="C6992" s="1" t="s">
        <v>185</v>
      </c>
      <c r="L6992" s="1" t="s">
        <v>8</v>
      </c>
      <c r="O6992" s="1" t="s">
        <v>11</v>
      </c>
      <c r="X6992" s="1" t="s">
        <v>20</v>
      </c>
      <c r="CH6992" s="1" t="s">
        <v>82</v>
      </c>
      <c r="GD6992" s="1" t="s">
        <v>202</v>
      </c>
      <c r="GE6992" s="1" t="s">
        <v>190</v>
      </c>
    </row>
    <row r="6993" spans="1:187" ht="11.25" customHeight="1">
      <c r="A6993" s="1" t="s">
        <v>9871</v>
      </c>
      <c r="B6993" s="1" t="str">
        <f ca="1">IFERROR(__xludf.DUMMYFUNCTION("GOOGLETRANSLATE(A6993, ""en"", ""fr"")"),"DÉSIGNER")</f>
        <v>DÉSIGNER</v>
      </c>
      <c r="C6993" s="1" t="s">
        <v>185</v>
      </c>
      <c r="D6993" s="1" t="s">
        <v>16612</v>
      </c>
      <c r="G6993" s="1" t="s">
        <v>3</v>
      </c>
      <c r="N6993" s="1" t="s">
        <v>10</v>
      </c>
      <c r="AG6993" s="1" t="s">
        <v>29</v>
      </c>
      <c r="BK6993" s="1" t="s">
        <v>59</v>
      </c>
      <c r="DO6993" s="1" t="s">
        <v>115</v>
      </c>
      <c r="DS6993" s="1" t="s">
        <v>119</v>
      </c>
      <c r="ED6993" s="1" t="s">
        <v>130</v>
      </c>
      <c r="GD6993" s="1" t="s">
        <v>670</v>
      </c>
      <c r="GE6993" s="1" t="s">
        <v>190</v>
      </c>
    </row>
    <row r="6994" spans="1:187" ht="11.25" customHeight="1">
      <c r="A6994" s="1" t="s">
        <v>9872</v>
      </c>
      <c r="B6994" s="1" t="str">
        <f ca="1">IFERROR(__xludf.DUMMYFUNCTION("GOOGLETRANSLATE(A6994, ""en"", ""fr"")"),"NOMINATION")</f>
        <v>NOMINATION</v>
      </c>
      <c r="C6994" s="1" t="s">
        <v>185</v>
      </c>
      <c r="K6994" s="1" t="s">
        <v>7</v>
      </c>
      <c r="AG6994" s="1" t="s">
        <v>29</v>
      </c>
      <c r="AH6994" s="1" t="s">
        <v>30</v>
      </c>
      <c r="AM6994" s="1" t="s">
        <v>35</v>
      </c>
      <c r="EC6994" s="1" t="s">
        <v>129</v>
      </c>
      <c r="ED6994" s="1" t="s">
        <v>130</v>
      </c>
      <c r="GD6994" s="1" t="s">
        <v>193</v>
      </c>
      <c r="GE6994" s="1" t="s">
        <v>190</v>
      </c>
    </row>
    <row r="6995" spans="1:187" ht="11.25" customHeight="1">
      <c r="A6995" s="1" t="s">
        <v>9873</v>
      </c>
      <c r="B6995" s="1" t="str">
        <f ca="1">IFERROR(__xludf.DUMMYFUNCTION("GOOGLETRANSLATE(A6995, ""en"", ""fr"")"),"NON")</f>
        <v>NON</v>
      </c>
      <c r="C6995" s="1" t="s">
        <v>185</v>
      </c>
      <c r="DL6995" s="1" t="s">
        <v>112</v>
      </c>
      <c r="GA6995" s="1" t="s">
        <v>179</v>
      </c>
      <c r="GD6995" s="1" t="s">
        <v>236</v>
      </c>
      <c r="GE6995" s="1" t="s">
        <v>190</v>
      </c>
    </row>
    <row r="6996" spans="1:187" ht="11.25" customHeight="1">
      <c r="A6996" s="1" t="s">
        <v>9874</v>
      </c>
      <c r="B6996" s="1" t="str">
        <f ca="1">IFERROR(__xludf.DUMMYFUNCTION("GOOGLETRANSLATE(A6996, ""en"", ""fr"")"),"Non-fiction")</f>
        <v>Non-fiction</v>
      </c>
      <c r="C6996" s="1" t="s">
        <v>185</v>
      </c>
      <c r="BK6996" s="1" t="s">
        <v>59</v>
      </c>
      <c r="FH6996" s="1" t="s">
        <v>160</v>
      </c>
      <c r="FI6996" s="1" t="s">
        <v>161</v>
      </c>
      <c r="GC6996" s="1" t="s">
        <v>181</v>
      </c>
      <c r="GD6996" s="1" t="s">
        <v>202</v>
      </c>
      <c r="GE6996" s="1" t="s">
        <v>190</v>
      </c>
    </row>
    <row r="6997" spans="1:187" ht="11.25" customHeight="1">
      <c r="A6997" s="1" t="s">
        <v>9875</v>
      </c>
      <c r="B6997" s="1" t="str">
        <f ca="1">IFERROR(__xludf.DUMMYFUNCTION("GOOGLETRANSLATE(A6997, ""en"", ""fr"")"),"Non-intervention")</f>
        <v>Non-intervention</v>
      </c>
      <c r="C6997" s="1" t="s">
        <v>196</v>
      </c>
      <c r="EA6997" s="1" t="s">
        <v>127</v>
      </c>
      <c r="ED6997" s="1" t="s">
        <v>130</v>
      </c>
      <c r="GD6997" s="1" t="s">
        <v>470</v>
      </c>
    </row>
    <row r="6998" spans="1:187" ht="11.25" customHeight="1">
      <c r="A6998" s="1" t="s">
        <v>9876</v>
      </c>
      <c r="B6998" s="1" t="str">
        <f ca="1">IFERROR(__xludf.DUMMYFUNCTION("GOOGLETRANSLATE(A6998, ""en"", ""fr"")"),"Non-prolifération")</f>
        <v>Non-prolifération</v>
      </c>
      <c r="C6998" s="1" t="s">
        <v>196</v>
      </c>
      <c r="EC6998" s="1" t="s">
        <v>129</v>
      </c>
      <c r="ED6998" s="1" t="s">
        <v>130</v>
      </c>
      <c r="GD6998" s="1" t="s">
        <v>470</v>
      </c>
    </row>
    <row r="6999" spans="1:187" ht="11.25" customHeight="1">
      <c r="A6999" s="1" t="s">
        <v>9877</v>
      </c>
      <c r="B6999" s="1" t="str">
        <f ca="1">IFERROR(__xludf.DUMMYFUNCTION("GOOGLETRANSLATE(A6999, ""en"", ""fr"")"),"LA NON-VIOLENCE")</f>
        <v>LA NON-VIOLENCE</v>
      </c>
      <c r="C6999" s="1" t="s">
        <v>185</v>
      </c>
      <c r="D6999" s="1" t="s">
        <v>16612</v>
      </c>
      <c r="F6999" s="1" t="s">
        <v>2</v>
      </c>
      <c r="G6999" s="1" t="s">
        <v>3</v>
      </c>
      <c r="U6999" s="1" t="s">
        <v>17</v>
      </c>
      <c r="EA6999" s="1" t="s">
        <v>127</v>
      </c>
      <c r="ED6999" s="1" t="s">
        <v>130</v>
      </c>
      <c r="GD6999" s="1" t="s">
        <v>193</v>
      </c>
      <c r="GE6999" s="1" t="s">
        <v>190</v>
      </c>
    </row>
    <row r="7000" spans="1:187" ht="11.25" customHeight="1">
      <c r="A7000" s="1" t="s">
        <v>9878</v>
      </c>
      <c r="B7000" s="1" t="str">
        <f ca="1">IFERROR(__xludf.DUMMYFUNCTION("GOOGLETRANSLATE(A7000, ""en"", ""fr"")"),"NON VIOLENT")</f>
        <v>NON VIOLENT</v>
      </c>
      <c r="C7000" s="1" t="s">
        <v>185</v>
      </c>
      <c r="D7000" s="1" t="s">
        <v>16612</v>
      </c>
      <c r="F7000" s="1" t="s">
        <v>2</v>
      </c>
      <c r="G7000" s="1" t="s">
        <v>3</v>
      </c>
      <c r="U7000" s="1" t="s">
        <v>17</v>
      </c>
      <c r="EC7000" s="1" t="s">
        <v>129</v>
      </c>
      <c r="ED7000" s="1" t="s">
        <v>130</v>
      </c>
      <c r="GD7000" s="1" t="s">
        <v>202</v>
      </c>
      <c r="GE7000" s="1" t="s">
        <v>190</v>
      </c>
    </row>
    <row r="7001" spans="1:187" ht="11.25" customHeight="1">
      <c r="A7001" s="1" t="s">
        <v>9879</v>
      </c>
      <c r="B7001" s="1" t="str">
        <f ca="1">IFERROR(__xludf.DUMMYFUNCTION("GOOGLETRANSLATE(A7001, ""en"", ""fr"")"),"NON ALIGNÉ")</f>
        <v>NON ALIGNÉ</v>
      </c>
      <c r="C7001" s="1" t="s">
        <v>196</v>
      </c>
      <c r="DV7001" s="1" t="s">
        <v>122</v>
      </c>
      <c r="ED7001" s="1" t="s">
        <v>130</v>
      </c>
      <c r="GD7001" s="1" t="s">
        <v>202</v>
      </c>
    </row>
    <row r="7002" spans="1:187" ht="11.25" customHeight="1">
      <c r="A7002" s="1" t="s">
        <v>9880</v>
      </c>
      <c r="B7002" s="1" t="str">
        <f ca="1">IFERROR(__xludf.DUMMYFUNCTION("GOOGLETRANSLATE(A7002, ""en"", ""fr"")"),"NONCHALANT")</f>
        <v>NONCHALANT</v>
      </c>
      <c r="C7002" s="1" t="s">
        <v>192</v>
      </c>
      <c r="E7002" s="1" t="s">
        <v>16613</v>
      </c>
      <c r="J7002" s="1" t="s">
        <v>6</v>
      </c>
      <c r="DR7002" s="1" t="s">
        <v>118</v>
      </c>
      <c r="GD7002" s="1" t="s">
        <v>202</v>
      </c>
      <c r="GE7002" s="1" t="s">
        <v>190</v>
      </c>
    </row>
    <row r="7003" spans="1:187" ht="11.25" customHeight="1">
      <c r="A7003" s="1" t="s">
        <v>9881</v>
      </c>
      <c r="B7003" s="1" t="str">
        <f ca="1">IFERROR(__xludf.DUMMYFUNCTION("GOOGLETRANSLATE(A7003, ""en"", ""fr"")"),"AUCUN")</f>
        <v>AUCUN</v>
      </c>
      <c r="C7003" s="1" t="s">
        <v>185</v>
      </c>
      <c r="DL7003" s="1" t="s">
        <v>112</v>
      </c>
      <c r="GA7003" s="1" t="s">
        <v>179</v>
      </c>
      <c r="GD7003" s="1" t="s">
        <v>9882</v>
      </c>
      <c r="GE7003" s="1" t="s">
        <v>9883</v>
      </c>
    </row>
    <row r="7004" spans="1:187" ht="11.25" customHeight="1">
      <c r="A7004" s="1" t="s">
        <v>9884</v>
      </c>
      <c r="B7004" s="1" t="str">
        <f ca="1">IFERROR(__xludf.DUMMYFUNCTION("GOOGLETRANSLATE(A7004, ""en"", ""fr"")"),"NÉANMOINS")</f>
        <v>NÉANMOINS</v>
      </c>
      <c r="C7004" s="1" t="s">
        <v>185</v>
      </c>
      <c r="CH7004" s="1" t="s">
        <v>82</v>
      </c>
      <c r="GD7004" s="1" t="s">
        <v>236</v>
      </c>
      <c r="GE7004" s="1" t="s">
        <v>190</v>
      </c>
    </row>
    <row r="7005" spans="1:187" ht="11.25" customHeight="1">
      <c r="A7005" s="1" t="s">
        <v>9885</v>
      </c>
      <c r="B7005" s="1" t="str">
        <f ca="1">IFERROR(__xludf.DUMMYFUNCTION("GOOGLETRANSLATE(A7005, ""en"", ""fr"")"),"ABSURDITÉ")</f>
        <v>ABSURDITÉ</v>
      </c>
      <c r="C7005" s="1" t="s">
        <v>185</v>
      </c>
      <c r="E7005" s="1" t="s">
        <v>16613</v>
      </c>
      <c r="H7005" s="1" t="s">
        <v>4</v>
      </c>
      <c r="V7005" s="1" t="s">
        <v>18</v>
      </c>
      <c r="FH7005" s="1" t="s">
        <v>160</v>
      </c>
      <c r="FI7005" s="1" t="s">
        <v>161</v>
      </c>
      <c r="GD7005" s="1" t="s">
        <v>193</v>
      </c>
      <c r="GE7005" s="1" t="s">
        <v>190</v>
      </c>
    </row>
    <row r="7006" spans="1:187" ht="11.25" customHeight="1">
      <c r="A7006" s="1" t="s">
        <v>9886</v>
      </c>
      <c r="B7006" s="1" t="str">
        <f ca="1">IFERROR(__xludf.DUMMYFUNCTION("GOOGLETRANSLATE(A7006, ""en"", ""fr"")"),"Non spécifique")</f>
        <v>Non spécifique</v>
      </c>
      <c r="C7006" s="1" t="s">
        <v>185</v>
      </c>
      <c r="CH7006" s="1" t="s">
        <v>82</v>
      </c>
      <c r="DL7006" s="1" t="s">
        <v>112</v>
      </c>
      <c r="GD7006" s="1" t="s">
        <v>202</v>
      </c>
      <c r="GE7006" s="1" t="s">
        <v>190</v>
      </c>
    </row>
    <row r="7007" spans="1:187" ht="11.25" customHeight="1">
      <c r="A7007" s="1" t="s">
        <v>9887</v>
      </c>
      <c r="B7007" s="1" t="str">
        <f ca="1">IFERROR(__xludf.DUMMYFUNCTION("GOOGLETRANSLATE(A7007, ""en"", ""fr"")"),"NON VERBAL")</f>
        <v>NON VERBAL</v>
      </c>
      <c r="C7007" s="1" t="s">
        <v>185</v>
      </c>
      <c r="AD7007" s="1" t="s">
        <v>26</v>
      </c>
      <c r="BK7007" s="1" t="s">
        <v>59</v>
      </c>
      <c r="GC7007" s="1" t="s">
        <v>181</v>
      </c>
      <c r="GD7007" s="1" t="s">
        <v>202</v>
      </c>
      <c r="GE7007" s="1" t="s">
        <v>190</v>
      </c>
    </row>
    <row r="7008" spans="1:187" ht="11.25" customHeight="1">
      <c r="A7008" s="1" t="s">
        <v>9888</v>
      </c>
      <c r="B7008" s="1" t="str">
        <f ca="1">IFERROR(__xludf.DUMMYFUNCTION("GOOGLETRANSLATE(A7008, ""en"", ""fr"")"),"MIDI")</f>
        <v>MIDI</v>
      </c>
      <c r="C7008" s="1" t="s">
        <v>185</v>
      </c>
      <c r="CQ7008" s="1" t="s">
        <v>91</v>
      </c>
      <c r="CY7008" s="1" t="s">
        <v>99</v>
      </c>
      <c r="CZ7008" s="1" t="s">
        <v>100</v>
      </c>
      <c r="GB7008" s="1" t="s">
        <v>180</v>
      </c>
      <c r="GD7008" s="1" t="s">
        <v>193</v>
      </c>
      <c r="GE7008" s="1" t="s">
        <v>190</v>
      </c>
    </row>
    <row r="7009" spans="1:187" ht="11.25" customHeight="1">
      <c r="A7009" s="1" t="s">
        <v>9889</v>
      </c>
      <c r="B7009" s="1" t="str">
        <f ca="1">IFERROR(__xludf.DUMMYFUNCTION("GOOGLETRANSLATE(A7009, ""en"", ""fr"")"),"NON")</f>
        <v>NON</v>
      </c>
      <c r="C7009" s="1" t="s">
        <v>192</v>
      </c>
      <c r="DK7009" s="1" t="s">
        <v>111</v>
      </c>
      <c r="DM7009" s="1" t="s">
        <v>113</v>
      </c>
      <c r="GE7009" s="1" t="s">
        <v>190</v>
      </c>
    </row>
    <row r="7010" spans="1:187" ht="11.25" customHeight="1">
      <c r="A7010" s="1" t="s">
        <v>9890</v>
      </c>
      <c r="B7010" s="1" t="str">
        <f ca="1">IFERROR(__xludf.DUMMYFUNCTION("GOOGLETRANSLATE(A7010, ""en"", ""fr"")"),"NI")</f>
        <v>NI</v>
      </c>
      <c r="C7010" s="1" t="s">
        <v>185</v>
      </c>
      <c r="CH7010" s="1" t="s">
        <v>82</v>
      </c>
      <c r="DL7010" s="1" t="s">
        <v>112</v>
      </c>
      <c r="GA7010" s="1" t="s">
        <v>179</v>
      </c>
      <c r="GD7010" s="1" t="s">
        <v>842</v>
      </c>
      <c r="GE7010" s="1" t="s">
        <v>9891</v>
      </c>
    </row>
    <row r="7011" spans="1:187" ht="11.25" customHeight="1">
      <c r="A7011" s="1" t="s">
        <v>9892</v>
      </c>
      <c r="B7011" s="1" t="str">
        <f ca="1">IFERROR(__xludf.DUMMYFUNCTION("GOOGLETRANSLATE(A7011, ""en"", ""fr"")"),"NORME")</f>
        <v>NORME</v>
      </c>
      <c r="C7011" s="1" t="s">
        <v>185</v>
      </c>
      <c r="J7011" s="1" t="s">
        <v>6</v>
      </c>
      <c r="BQ7011" s="1" t="s">
        <v>65</v>
      </c>
      <c r="EI7011" s="1" t="s">
        <v>135</v>
      </c>
      <c r="EJ7011" s="1" t="s">
        <v>136</v>
      </c>
      <c r="GD7011" s="1" t="s">
        <v>193</v>
      </c>
      <c r="GE7011" s="1" t="s">
        <v>190</v>
      </c>
    </row>
    <row r="7012" spans="1:187" ht="11.25" customHeight="1">
      <c r="A7012" s="1" t="s">
        <v>9893</v>
      </c>
      <c r="B7012" s="1" t="str">
        <f ca="1">IFERROR(__xludf.DUMMYFUNCTION("GOOGLETRANSLATE(A7012, ""en"", ""fr"")"),"NORMALE")</f>
        <v>NORMALE</v>
      </c>
      <c r="C7012" s="1" t="s">
        <v>185</v>
      </c>
      <c r="D7012" s="1" t="s">
        <v>16612</v>
      </c>
      <c r="F7012" s="1" t="s">
        <v>2</v>
      </c>
      <c r="U7012" s="1" t="s">
        <v>17</v>
      </c>
      <c r="W7012" s="1" t="s">
        <v>19</v>
      </c>
      <c r="CN7012" s="1" t="s">
        <v>88</v>
      </c>
      <c r="GD7012" s="1" t="s">
        <v>202</v>
      </c>
      <c r="GE7012" s="1" t="s">
        <v>9894</v>
      </c>
    </row>
    <row r="7013" spans="1:187" ht="11.25" customHeight="1">
      <c r="A7013" s="1" t="s">
        <v>9895</v>
      </c>
      <c r="B7013" s="1" t="str">
        <f ca="1">IFERROR(__xludf.DUMMYFUNCTION("GOOGLETRANSLATE(A7013, ""en"", ""fr"")"),"Nord # 1")</f>
        <v>Nord # 1</v>
      </c>
      <c r="C7013" s="1" t="s">
        <v>185</v>
      </c>
      <c r="DA7013" s="1" t="s">
        <v>101</v>
      </c>
      <c r="GB7013" s="1" t="s">
        <v>180</v>
      </c>
      <c r="GD7013" s="1" t="s">
        <v>849</v>
      </c>
      <c r="GE7013" s="1" t="s">
        <v>9896</v>
      </c>
    </row>
    <row r="7014" spans="1:187" ht="11.25" customHeight="1">
      <c r="A7014" s="1" t="s">
        <v>9897</v>
      </c>
      <c r="B7014" s="1" t="str">
        <f ca="1">IFERROR(__xludf.DUMMYFUNCTION("GOOGLETRANSLATE(A7014, ""en"", ""fr"")"),"Nord # 2")</f>
        <v>Nord # 2</v>
      </c>
      <c r="C7014" s="1" t="s">
        <v>185</v>
      </c>
      <c r="AC7014" s="1" t="s">
        <v>25</v>
      </c>
      <c r="AH7014" s="1" t="s">
        <v>30</v>
      </c>
      <c r="DI7014" s="1" t="s">
        <v>109</v>
      </c>
      <c r="FS7014" s="1" t="s">
        <v>171</v>
      </c>
      <c r="GD7014" s="1" t="s">
        <v>193</v>
      </c>
      <c r="GE7014" s="1" t="s">
        <v>9898</v>
      </c>
    </row>
    <row r="7015" spans="1:187" ht="11.25" customHeight="1">
      <c r="A7015" s="1" t="s">
        <v>9899</v>
      </c>
      <c r="B7015" s="1" t="str">
        <f ca="1">IFERROR(__xludf.DUMMYFUNCTION("GOOGLETRANSLATE(A7015, ""en"", ""fr"")"),"Nord-est")</f>
        <v>Nord-est</v>
      </c>
      <c r="C7015" s="1" t="s">
        <v>185</v>
      </c>
      <c r="DA7015" s="1" t="s">
        <v>101</v>
      </c>
      <c r="GB7015" s="1" t="s">
        <v>180</v>
      </c>
      <c r="GD7015" s="1" t="s">
        <v>193</v>
      </c>
      <c r="GE7015" s="1" t="s">
        <v>190</v>
      </c>
    </row>
    <row r="7016" spans="1:187" ht="11.25" customHeight="1">
      <c r="A7016" s="1" t="s">
        <v>9900</v>
      </c>
      <c r="B7016" s="1" t="str">
        <f ca="1">IFERROR(__xludf.DUMMYFUNCTION("GOOGLETRANSLATE(A7016, ""en"", ""fr"")"),"DU NORD")</f>
        <v>DU NORD</v>
      </c>
      <c r="C7016" s="1" t="s">
        <v>185</v>
      </c>
      <c r="DA7016" s="1" t="s">
        <v>101</v>
      </c>
      <c r="GB7016" s="1" t="s">
        <v>180</v>
      </c>
      <c r="GD7016" s="1" t="s">
        <v>236</v>
      </c>
      <c r="GE7016" s="1" t="s">
        <v>190</v>
      </c>
    </row>
    <row r="7017" spans="1:187" ht="11.25" customHeight="1">
      <c r="A7017" s="1" t="s">
        <v>9901</v>
      </c>
      <c r="B7017" s="1" t="str">
        <f ca="1">IFERROR(__xludf.DUMMYFUNCTION("GOOGLETRANSLATE(A7017, ""en"", ""fr"")"),"NORD")</f>
        <v>NORD</v>
      </c>
      <c r="C7017" s="1" t="s">
        <v>185</v>
      </c>
      <c r="AV7017" s="1" t="s">
        <v>44</v>
      </c>
      <c r="AX7017" s="1" t="s">
        <v>46</v>
      </c>
      <c r="DA7017" s="1" t="s">
        <v>101</v>
      </c>
      <c r="FU7017" s="1" t="s">
        <v>173</v>
      </c>
      <c r="GB7017" s="1" t="s">
        <v>180</v>
      </c>
      <c r="GD7017" s="1" t="s">
        <v>202</v>
      </c>
      <c r="GE7017" s="1" t="s">
        <v>190</v>
      </c>
    </row>
    <row r="7018" spans="1:187" ht="11.25" customHeight="1">
      <c r="A7018" s="1" t="s">
        <v>9902</v>
      </c>
      <c r="B7018" s="1" t="str">
        <f ca="1">IFERROR(__xludf.DUMMYFUNCTION("GOOGLETRANSLATE(A7018, ""en"", ""fr"")"),"Roodésie du Nord")</f>
        <v>Roodésie du Nord</v>
      </c>
      <c r="C7018" s="1" t="s">
        <v>196</v>
      </c>
      <c r="FU7018" s="1" t="s">
        <v>173</v>
      </c>
      <c r="GD7018" s="1" t="s">
        <v>545</v>
      </c>
    </row>
    <row r="7019" spans="1:187" ht="11.25" customHeight="1">
      <c r="A7019" s="1" t="s">
        <v>9903</v>
      </c>
      <c r="B7019" s="1" t="str">
        <f ca="1">IFERROR(__xludf.DUMMYFUNCTION("GOOGLETRANSLATE(A7019, ""en"", ""fr"")"),"NORD OUEST")</f>
        <v>NORD OUEST</v>
      </c>
      <c r="C7019" s="1" t="s">
        <v>185</v>
      </c>
      <c r="DA7019" s="1" t="s">
        <v>101</v>
      </c>
      <c r="GB7019" s="1" t="s">
        <v>180</v>
      </c>
      <c r="GD7019" s="1" t="s">
        <v>193</v>
      </c>
      <c r="GE7019" s="1" t="s">
        <v>190</v>
      </c>
    </row>
    <row r="7020" spans="1:187" ht="11.25" customHeight="1">
      <c r="A7020" s="1" t="s">
        <v>9904</v>
      </c>
      <c r="B7020" s="1" t="str">
        <f ca="1">IFERROR(__xludf.DUMMYFUNCTION("GOOGLETRANSLATE(A7020, ""en"", ""fr"")"),"NORVÈGE")</f>
        <v>NORVÈGE</v>
      </c>
      <c r="C7020" s="1" t="s">
        <v>196</v>
      </c>
      <c r="FU7020" s="1" t="s">
        <v>173</v>
      </c>
      <c r="GD7020" s="1" t="s">
        <v>269</v>
      </c>
    </row>
    <row r="7021" spans="1:187" ht="11.25" customHeight="1">
      <c r="A7021" s="1" t="s">
        <v>9905</v>
      </c>
      <c r="B7021" s="1" t="str">
        <f ca="1">IFERROR(__xludf.DUMMYFUNCTION("GOOGLETRANSLATE(A7021, ""en"", ""fr"")"),"NEZ")</f>
        <v>NEZ</v>
      </c>
      <c r="C7021" s="1" t="s">
        <v>185</v>
      </c>
      <c r="BJ7021" s="1" t="s">
        <v>58</v>
      </c>
      <c r="GD7021" s="1" t="s">
        <v>193</v>
      </c>
      <c r="GE7021" s="1" t="s">
        <v>9906</v>
      </c>
    </row>
    <row r="7022" spans="1:187" ht="11.25" customHeight="1">
      <c r="A7022" s="1" t="s">
        <v>9907</v>
      </c>
      <c r="B7022" s="1" t="str">
        <f ca="1">IFERROR(__xludf.DUMMYFUNCTION("GOOGLETRANSLATE(A7022, ""en"", ""fr"")"),"CURIEUX")</f>
        <v>CURIEUX</v>
      </c>
      <c r="C7022" s="1" t="s">
        <v>192</v>
      </c>
      <c r="E7022" s="1" t="s">
        <v>16613</v>
      </c>
      <c r="AN7022" s="1" t="s">
        <v>36</v>
      </c>
      <c r="BK7022" s="1" t="s">
        <v>59</v>
      </c>
      <c r="DQ7022" s="1" t="s">
        <v>117</v>
      </c>
      <c r="GD7022" s="1" t="s">
        <v>202</v>
      </c>
      <c r="GE7022" s="1" t="s">
        <v>190</v>
      </c>
    </row>
    <row r="7023" spans="1:187" ht="11.25" customHeight="1">
      <c r="A7023" s="1" t="s">
        <v>9908</v>
      </c>
      <c r="B7023" s="1" t="str">
        <f ca="1">IFERROR(__xludf.DUMMYFUNCTION("GOOGLETRANSLATE(A7023, ""en"", ""fr"")"),"PAS")</f>
        <v>PAS</v>
      </c>
      <c r="C7023" s="1" t="s">
        <v>185</v>
      </c>
      <c r="DL7023" s="1" t="s">
        <v>112</v>
      </c>
      <c r="GA7023" s="1" t="s">
        <v>179</v>
      </c>
      <c r="GD7023" s="1" t="s">
        <v>236</v>
      </c>
      <c r="GE7023" s="1" t="s">
        <v>9909</v>
      </c>
    </row>
    <row r="7024" spans="1:187" ht="11.25" customHeight="1">
      <c r="A7024" s="1" t="s">
        <v>9910</v>
      </c>
      <c r="B7024" s="1" t="str">
        <f ca="1">IFERROR(__xludf.DUMMYFUNCTION("GOOGLETRANSLATE(A7024, ""en"", ""fr"")"),"NOTABLE")</f>
        <v>NOTABLE</v>
      </c>
      <c r="C7024" s="1" t="s">
        <v>185</v>
      </c>
      <c r="D7024" s="1" t="s">
        <v>16612</v>
      </c>
      <c r="F7024" s="1" t="s">
        <v>2</v>
      </c>
      <c r="J7024" s="1" t="s">
        <v>6</v>
      </c>
      <c r="W7024" s="1" t="s">
        <v>19</v>
      </c>
      <c r="CK7024" s="1" t="s">
        <v>85</v>
      </c>
      <c r="DR7024" s="1" t="s">
        <v>118</v>
      </c>
      <c r="EM7024" s="1" t="s">
        <v>139</v>
      </c>
      <c r="EN7024" s="1" t="s">
        <v>140</v>
      </c>
      <c r="GD7024" s="1" t="s">
        <v>202</v>
      </c>
      <c r="GE7024" s="1" t="s">
        <v>190</v>
      </c>
    </row>
    <row r="7025" spans="1:187" ht="11.25" customHeight="1">
      <c r="A7025" s="1" t="s">
        <v>9911</v>
      </c>
      <c r="B7025" s="1" t="str">
        <f ca="1">IFERROR(__xludf.DUMMYFUNCTION("GOOGLETRANSLATE(A7025, ""en"", ""fr"")"),"NOTE 1")</f>
        <v>NOTE 1</v>
      </c>
      <c r="C7025" s="1" t="s">
        <v>185</v>
      </c>
      <c r="BC7025" s="1" t="s">
        <v>51</v>
      </c>
      <c r="BH7025" s="1" t="s">
        <v>56</v>
      </c>
      <c r="BL7025" s="1" t="s">
        <v>60</v>
      </c>
      <c r="FH7025" s="1" t="s">
        <v>160</v>
      </c>
      <c r="FI7025" s="1" t="s">
        <v>161</v>
      </c>
      <c r="GD7025" s="1" t="s">
        <v>193</v>
      </c>
      <c r="GE7025" s="1" t="s">
        <v>9912</v>
      </c>
    </row>
    <row r="7026" spans="1:187" ht="11.25" customHeight="1">
      <c r="A7026" s="1" t="s">
        <v>9913</v>
      </c>
      <c r="B7026" s="1" t="str">
        <f ca="1">IFERROR(__xludf.DUMMYFUNCTION("GOOGLETRANSLATE(A7026, ""en"", ""fr"")"),"NOTE 2")</f>
        <v>NOTE 2</v>
      </c>
      <c r="C7026" s="1" t="s">
        <v>185</v>
      </c>
      <c r="O7026" s="1" t="s">
        <v>11</v>
      </c>
      <c r="CK7026" s="1" t="s">
        <v>85</v>
      </c>
      <c r="DN7026" s="1" t="s">
        <v>114</v>
      </c>
      <c r="FH7026" s="1" t="s">
        <v>160</v>
      </c>
      <c r="FI7026" s="1" t="s">
        <v>161</v>
      </c>
      <c r="GD7026" s="1" t="s">
        <v>189</v>
      </c>
      <c r="GE7026" s="1" t="s">
        <v>9914</v>
      </c>
    </row>
    <row r="7027" spans="1:187" ht="11.25" customHeight="1">
      <c r="A7027" s="1" t="s">
        <v>9915</v>
      </c>
      <c r="B7027" s="1" t="str">
        <f ca="1">IFERROR(__xludf.DUMMYFUNCTION("GOOGLETRANSLATE(A7027, ""en"", ""fr"")"),"NOTE 3")</f>
        <v>NOTE 3</v>
      </c>
      <c r="C7027" s="1" t="s">
        <v>185</v>
      </c>
      <c r="U7027" s="1" t="s">
        <v>17</v>
      </c>
      <c r="EM7027" s="1" t="s">
        <v>139</v>
      </c>
      <c r="EN7027" s="1" t="s">
        <v>140</v>
      </c>
      <c r="GD7027" s="1" t="s">
        <v>202</v>
      </c>
      <c r="GE7027" s="1" t="s">
        <v>9916</v>
      </c>
    </row>
    <row r="7028" spans="1:187" ht="11.25" customHeight="1">
      <c r="A7028" s="1" t="s">
        <v>9917</v>
      </c>
      <c r="B7028" s="1" t="str">
        <f ca="1">IFERROR(__xludf.DUMMYFUNCTION("GOOGLETRANSLATE(A7028, ""en"", ""fr"")"),"REMARQUABLE")</f>
        <v>REMARQUABLE</v>
      </c>
      <c r="C7028" s="1" t="s">
        <v>185</v>
      </c>
      <c r="U7028" s="1" t="s">
        <v>17</v>
      </c>
      <c r="EM7028" s="1" t="s">
        <v>139</v>
      </c>
      <c r="EN7028" s="1" t="s">
        <v>140</v>
      </c>
      <c r="GD7028" s="1" t="s">
        <v>202</v>
      </c>
      <c r="GE7028" s="1" t="s">
        <v>190</v>
      </c>
    </row>
    <row r="7029" spans="1:187" ht="11.25" customHeight="1">
      <c r="A7029" s="1" t="s">
        <v>9918</v>
      </c>
      <c r="B7029" s="1" t="str">
        <f ca="1">IFERROR(__xludf.DUMMYFUNCTION("GOOGLETRANSLATE(A7029, ""en"", ""fr"")"),"RIEN")</f>
        <v>RIEN</v>
      </c>
      <c r="C7029" s="1" t="s">
        <v>185</v>
      </c>
      <c r="L7029" s="1" t="s">
        <v>8</v>
      </c>
      <c r="X7029" s="1" t="s">
        <v>20</v>
      </c>
      <c r="DL7029" s="1" t="s">
        <v>112</v>
      </c>
      <c r="GA7029" s="1" t="s">
        <v>179</v>
      </c>
      <c r="GD7029" s="1" t="s">
        <v>9919</v>
      </c>
      <c r="GE7029" s="1" t="s">
        <v>9920</v>
      </c>
    </row>
    <row r="7030" spans="1:187" ht="11.25" customHeight="1">
      <c r="A7030" s="1" t="s">
        <v>9921</v>
      </c>
      <c r="B7030" s="1" t="str">
        <f ca="1">IFERROR(__xludf.DUMMYFUNCTION("GOOGLETRANSLATE(A7030, ""en"", ""fr"")"),"Avis n ° 1")</f>
        <v>Avis n ° 1</v>
      </c>
      <c r="C7030" s="1" t="s">
        <v>185</v>
      </c>
      <c r="O7030" s="1" t="s">
        <v>11</v>
      </c>
      <c r="CK7030" s="1" t="s">
        <v>85</v>
      </c>
      <c r="DN7030" s="1" t="s">
        <v>114</v>
      </c>
      <c r="FH7030" s="1" t="s">
        <v>160</v>
      </c>
      <c r="FI7030" s="1" t="s">
        <v>161</v>
      </c>
      <c r="GD7030" s="1" t="s">
        <v>400</v>
      </c>
      <c r="GE7030" s="1" t="s">
        <v>9922</v>
      </c>
    </row>
    <row r="7031" spans="1:187" ht="11.25" customHeight="1">
      <c r="A7031" s="1" t="s">
        <v>9923</v>
      </c>
      <c r="B7031" s="1" t="str">
        <f ca="1">IFERROR(__xludf.DUMMYFUNCTION("GOOGLETRANSLATE(A7031, ""en"", ""fr"")"),"Avis n ° 2")</f>
        <v>Avis n ° 2</v>
      </c>
      <c r="C7031" s="1" t="s">
        <v>185</v>
      </c>
      <c r="BC7031" s="1" t="s">
        <v>51</v>
      </c>
      <c r="BH7031" s="1" t="s">
        <v>56</v>
      </c>
      <c r="BL7031" s="1" t="s">
        <v>60</v>
      </c>
      <c r="FH7031" s="1" t="s">
        <v>160</v>
      </c>
      <c r="FI7031" s="1" t="s">
        <v>161</v>
      </c>
      <c r="GD7031" s="1" t="s">
        <v>193</v>
      </c>
      <c r="GE7031" s="1" t="s">
        <v>9924</v>
      </c>
    </row>
    <row r="7032" spans="1:187" ht="11.25" customHeight="1">
      <c r="A7032" s="1" t="s">
        <v>9925</v>
      </c>
      <c r="B7032" s="1" t="str">
        <f ca="1">IFERROR(__xludf.DUMMYFUNCTION("GOOGLETRANSLATE(A7032, ""en"", ""fr"")"),"PERCEPTIBLE")</f>
        <v>PERCEPTIBLE</v>
      </c>
      <c r="C7032" s="1" t="s">
        <v>185</v>
      </c>
      <c r="CK7032" s="1" t="s">
        <v>85</v>
      </c>
      <c r="FH7032" s="1" t="s">
        <v>160</v>
      </c>
      <c r="FI7032" s="1" t="s">
        <v>161</v>
      </c>
      <c r="GD7032" s="1" t="s">
        <v>202</v>
      </c>
      <c r="GE7032" s="1" t="s">
        <v>190</v>
      </c>
    </row>
    <row r="7033" spans="1:187" ht="11.25" customHeight="1">
      <c r="A7033" s="1" t="s">
        <v>9926</v>
      </c>
      <c r="B7033" s="1" t="str">
        <f ca="1">IFERROR(__xludf.DUMMYFUNCTION("GOOGLETRANSLATE(A7033, ""en"", ""fr"")"),"NOTION")</f>
        <v>NOTION</v>
      </c>
      <c r="C7033" s="1" t="s">
        <v>185</v>
      </c>
      <c r="CH7033" s="1" t="s">
        <v>82</v>
      </c>
      <c r="CP7033" s="1" t="s">
        <v>90</v>
      </c>
      <c r="CQ7033" s="1" t="s">
        <v>91</v>
      </c>
      <c r="FH7033" s="1" t="s">
        <v>160</v>
      </c>
      <c r="FI7033" s="1" t="s">
        <v>161</v>
      </c>
      <c r="GD7033" s="1" t="s">
        <v>193</v>
      </c>
      <c r="GE7033" s="1" t="s">
        <v>190</v>
      </c>
    </row>
    <row r="7034" spans="1:187" ht="11.25" customHeight="1">
      <c r="A7034" s="1" t="s">
        <v>9927</v>
      </c>
      <c r="B7034" s="1" t="str">
        <f ca="1">IFERROR(__xludf.DUMMYFUNCTION("GOOGLETRANSLATE(A7034, ""en"", ""fr"")"),"NOTORIÉTÉ")</f>
        <v>NOTORIÉTÉ</v>
      </c>
      <c r="C7034" s="1" t="s">
        <v>192</v>
      </c>
      <c r="D7034" s="1" t="s">
        <v>16612</v>
      </c>
      <c r="G7034" s="1" t="s">
        <v>3</v>
      </c>
      <c r="S7034" s="1" t="s">
        <v>15</v>
      </c>
      <c r="W7034" s="1" t="s">
        <v>19</v>
      </c>
      <c r="GD7034" s="1" t="s">
        <v>193</v>
      </c>
      <c r="GE7034" s="1" t="s">
        <v>190</v>
      </c>
    </row>
    <row r="7035" spans="1:187" ht="11.25" customHeight="1">
      <c r="A7035" s="1" t="s">
        <v>9928</v>
      </c>
      <c r="B7035" s="1" t="str">
        <f ca="1">IFERROR(__xludf.DUMMYFUNCTION("GOOGLETRANSLATE(A7035, ""en"", ""fr"")"),"CÉLÈBRE")</f>
        <v>CÉLÈBRE</v>
      </c>
      <c r="C7035" s="1" t="s">
        <v>185</v>
      </c>
      <c r="E7035" s="1" t="s">
        <v>16613</v>
      </c>
      <c r="V7035" s="1" t="s">
        <v>18</v>
      </c>
      <c r="W7035" s="1" t="s">
        <v>19</v>
      </c>
      <c r="CM7035" s="1" t="s">
        <v>87</v>
      </c>
      <c r="CR7035" s="1" t="s">
        <v>92</v>
      </c>
      <c r="DR7035" s="1" t="s">
        <v>118</v>
      </c>
      <c r="EE7035" s="1" t="s">
        <v>131</v>
      </c>
      <c r="EJ7035" s="1" t="s">
        <v>136</v>
      </c>
      <c r="GD7035" s="1" t="s">
        <v>202</v>
      </c>
      <c r="GE7035" s="1" t="s">
        <v>190</v>
      </c>
    </row>
    <row r="7036" spans="1:187" ht="11.25" customHeight="1">
      <c r="A7036" s="1" t="s">
        <v>9929</v>
      </c>
      <c r="B7036" s="1" t="str">
        <f ca="1">IFERROR(__xludf.DUMMYFUNCTION("GOOGLETRANSLATE(A7036, ""en"", ""fr"")"),"Malgré tout")</f>
        <v>Malgré tout</v>
      </c>
      <c r="C7036" s="1" t="s">
        <v>185</v>
      </c>
      <c r="CH7036" s="1" t="s">
        <v>82</v>
      </c>
      <c r="GD7036" s="1" t="s">
        <v>763</v>
      </c>
      <c r="GE7036" s="1" t="s">
        <v>190</v>
      </c>
    </row>
    <row r="7037" spans="1:187" ht="11.25" customHeight="1">
      <c r="A7037" s="1" t="s">
        <v>9578</v>
      </c>
      <c r="B7037" s="1" t="str">
        <f ca="1">IFERROR(__xludf.DUMMYFUNCTION("GOOGLETRANSLATE(A7037, ""en"", ""fr"")"),"NOM")</f>
        <v>NOM</v>
      </c>
      <c r="C7037" s="1" t="s">
        <v>192</v>
      </c>
      <c r="BK7037" s="1" t="s">
        <v>59</v>
      </c>
      <c r="BL7037" s="1" t="s">
        <v>60</v>
      </c>
      <c r="GD7037" s="1" t="s">
        <v>193</v>
      </c>
      <c r="GE7037" s="1" t="s">
        <v>190</v>
      </c>
    </row>
    <row r="7038" spans="1:187" ht="11.25" customHeight="1">
      <c r="A7038" s="1" t="s">
        <v>9930</v>
      </c>
      <c r="B7038" s="1" t="str">
        <f ca="1">IFERROR(__xludf.DUMMYFUNCTION("GOOGLETRANSLATE(A7038, ""en"", ""fr"")"),"NOURRIR")</f>
        <v>NOURRIR</v>
      </c>
      <c r="C7038" s="1" t="s">
        <v>185</v>
      </c>
      <c r="D7038" s="1" t="s">
        <v>16612</v>
      </c>
      <c r="G7038" s="1" t="s">
        <v>3</v>
      </c>
      <c r="N7038" s="1" t="s">
        <v>10</v>
      </c>
      <c r="BE7038" s="1" t="s">
        <v>53</v>
      </c>
      <c r="BX7038" s="1" t="s">
        <v>72</v>
      </c>
      <c r="DN7038" s="1" t="s">
        <v>114</v>
      </c>
      <c r="FN7038" s="1" t="s">
        <v>166</v>
      </c>
      <c r="GD7038" s="1" t="s">
        <v>189</v>
      </c>
      <c r="GE7038" s="1" t="s">
        <v>190</v>
      </c>
    </row>
    <row r="7039" spans="1:187" ht="11.25" customHeight="1">
      <c r="A7039" s="1" t="s">
        <v>9931</v>
      </c>
      <c r="B7039" s="1" t="str">
        <f ca="1">IFERROR(__xludf.DUMMYFUNCTION("GOOGLETRANSLATE(A7039, ""en"", ""fr"")"),"NOURRITURE")</f>
        <v>NOURRITURE</v>
      </c>
      <c r="C7039" s="1" t="s">
        <v>192</v>
      </c>
      <c r="D7039" s="1" t="s">
        <v>16612</v>
      </c>
      <c r="BE7039" s="1" t="s">
        <v>53</v>
      </c>
      <c r="GD7039" s="1" t="s">
        <v>193</v>
      </c>
      <c r="GE7039" s="1" t="s">
        <v>190</v>
      </c>
    </row>
    <row r="7040" spans="1:187" ht="11.25" customHeight="1">
      <c r="A7040" s="1" t="s">
        <v>9932</v>
      </c>
      <c r="B7040" s="1" t="str">
        <f ca="1">IFERROR(__xludf.DUMMYFUNCTION("GOOGLETRANSLATE(A7040, ""en"", ""fr"")"),"ROMAN")</f>
        <v>ROMAN</v>
      </c>
      <c r="C7040" s="1" t="s">
        <v>185</v>
      </c>
      <c r="AD7040" s="1" t="s">
        <v>26</v>
      </c>
      <c r="BC7040" s="1" t="s">
        <v>51</v>
      </c>
      <c r="BH7040" s="1" t="s">
        <v>56</v>
      </c>
      <c r="BL7040" s="1" t="s">
        <v>60</v>
      </c>
      <c r="FJ7040" s="1" t="s">
        <v>162</v>
      </c>
      <c r="FM7040" s="1" t="s">
        <v>418</v>
      </c>
      <c r="GD7040" s="1" t="s">
        <v>193</v>
      </c>
      <c r="GE7040" s="1" t="s">
        <v>190</v>
      </c>
    </row>
    <row r="7041" spans="1:187" ht="11.25" customHeight="1">
      <c r="A7041" s="1" t="s">
        <v>9933</v>
      </c>
      <c r="B7041" s="1" t="str">
        <f ca="1">IFERROR(__xludf.DUMMYFUNCTION("GOOGLETRANSLATE(A7041, ""en"", ""fr"")"),"ROMANCIER")</f>
        <v>ROMANCIER</v>
      </c>
      <c r="C7041" s="1" t="s">
        <v>185</v>
      </c>
      <c r="AD7041" s="1" t="s">
        <v>26</v>
      </c>
      <c r="AJ7041" s="1" t="s">
        <v>32</v>
      </c>
      <c r="AT7041" s="1" t="s">
        <v>42</v>
      </c>
      <c r="FK7041" s="1" t="s">
        <v>163</v>
      </c>
      <c r="FM7041" s="1" t="s">
        <v>418</v>
      </c>
      <c r="GD7041" s="1" t="s">
        <v>193</v>
      </c>
      <c r="GE7041" s="1" t="s">
        <v>190</v>
      </c>
    </row>
    <row r="7042" spans="1:187" ht="11.25" customHeight="1">
      <c r="A7042" s="1" t="s">
        <v>9934</v>
      </c>
      <c r="B7042" s="1" t="str">
        <f ca="1">IFERROR(__xludf.DUMMYFUNCTION("GOOGLETRANSLATE(A7042, ""en"", ""fr"")"),"NOUVEAUTÉ")</f>
        <v>NOUVEAUTÉ</v>
      </c>
      <c r="C7042" s="1" t="s">
        <v>192</v>
      </c>
      <c r="D7042" s="1" t="s">
        <v>16612</v>
      </c>
      <c r="W7042" s="1" t="s">
        <v>19</v>
      </c>
      <c r="GD7042" s="1" t="s">
        <v>193</v>
      </c>
      <c r="GE7042" s="1" t="s">
        <v>190</v>
      </c>
    </row>
    <row r="7043" spans="1:187" ht="11.25" customHeight="1">
      <c r="A7043" s="1" t="s">
        <v>9935</v>
      </c>
      <c r="B7043" s="1" t="str">
        <f ca="1">IFERROR(__xludf.DUMMYFUNCTION("GOOGLETRANSLATE(A7043, ""en"", ""fr"")"),"NOVEMBRE")</f>
        <v>NOVEMBRE</v>
      </c>
      <c r="C7043" s="1" t="s">
        <v>185</v>
      </c>
      <c r="CQ7043" s="1" t="s">
        <v>91</v>
      </c>
      <c r="CY7043" s="1" t="s">
        <v>99</v>
      </c>
      <c r="CZ7043" s="1" t="s">
        <v>100</v>
      </c>
      <c r="GB7043" s="1" t="s">
        <v>180</v>
      </c>
      <c r="GD7043" s="1" t="s">
        <v>193</v>
      </c>
      <c r="GE7043" s="1" t="s">
        <v>190</v>
      </c>
    </row>
    <row r="7044" spans="1:187" ht="11.25" customHeight="1">
      <c r="A7044" s="1" t="s">
        <v>9936</v>
      </c>
      <c r="B7044" s="1" t="str">
        <f ca="1">IFERROR(__xludf.DUMMYFUNCTION("GOOGLETRANSLATE(A7044, ""en"", ""fr"")"),"NOVICE")</f>
        <v>NOVICE</v>
      </c>
      <c r="C7044" s="1" t="s">
        <v>192</v>
      </c>
      <c r="E7044" s="1" t="s">
        <v>16613</v>
      </c>
      <c r="L7044" s="1" t="s">
        <v>8</v>
      </c>
      <c r="DR7044" s="1" t="s">
        <v>118</v>
      </c>
      <c r="GD7044" s="1" t="s">
        <v>202</v>
      </c>
      <c r="GE7044" s="1" t="s">
        <v>190</v>
      </c>
    </row>
    <row r="7045" spans="1:187" ht="11.25" customHeight="1">
      <c r="A7045" s="1" t="s">
        <v>9937</v>
      </c>
      <c r="B7045" s="1" t="str">
        <f ca="1">IFERROR(__xludf.DUMMYFUNCTION("GOOGLETRANSLATE(A7045, ""en"", ""fr"")"),"MAINTENANT")</f>
        <v>MAINTENANT</v>
      </c>
      <c r="C7045" s="1" t="s">
        <v>185</v>
      </c>
      <c r="CY7045" s="1" t="s">
        <v>99</v>
      </c>
      <c r="GB7045" s="1" t="s">
        <v>180</v>
      </c>
      <c r="GD7045" s="1" t="s">
        <v>236</v>
      </c>
      <c r="GE7045" s="1" t="s">
        <v>9938</v>
      </c>
    </row>
    <row r="7046" spans="1:187" ht="11.25" customHeight="1">
      <c r="A7046" s="1" t="s">
        <v>9939</v>
      </c>
      <c r="B7046" s="1" t="str">
        <f ca="1">IFERROR(__xludf.DUMMYFUNCTION("GOOGLETRANSLATE(A7046, ""en"", ""fr"")"),"NULLE PART")</f>
        <v>NULLE PART</v>
      </c>
      <c r="C7046" s="1" t="s">
        <v>185</v>
      </c>
      <c r="X7046" s="1" t="s">
        <v>20</v>
      </c>
      <c r="AV7046" s="1" t="s">
        <v>44</v>
      </c>
      <c r="AX7046" s="1" t="s">
        <v>46</v>
      </c>
      <c r="GD7046" s="1" t="s">
        <v>9940</v>
      </c>
      <c r="GE7046" s="1" t="s">
        <v>190</v>
      </c>
    </row>
    <row r="7047" spans="1:187" ht="11.25" customHeight="1">
      <c r="A7047" s="1" t="s">
        <v>9941</v>
      </c>
      <c r="B7047" s="1" t="str">
        <f ca="1">IFERROR(__xludf.DUMMYFUNCTION("GOOGLETRANSLATE(A7047, ""en"", ""fr"")"),"NUCLÉAIRE")</f>
        <v>NUCLÉAIRE</v>
      </c>
      <c r="C7047" s="1" t="s">
        <v>185</v>
      </c>
      <c r="J7047" s="1" t="s">
        <v>6</v>
      </c>
      <c r="AC7047" s="1" t="s">
        <v>25</v>
      </c>
      <c r="AH7047" s="1" t="s">
        <v>30</v>
      </c>
      <c r="BU7047" s="1" t="s">
        <v>69</v>
      </c>
      <c r="GD7047" s="1" t="s">
        <v>202</v>
      </c>
      <c r="GE7047" s="1" t="s">
        <v>9942</v>
      </c>
    </row>
    <row r="7048" spans="1:187" ht="11.25" customHeight="1">
      <c r="A7048" s="1" t="s">
        <v>9943</v>
      </c>
      <c r="B7048" s="1" t="str">
        <f ca="1">IFERROR(__xludf.DUMMYFUNCTION("GOOGLETRANSLATE(A7048, ""en"", ""fr"")"),"Noyaux")</f>
        <v>Noyaux</v>
      </c>
      <c r="C7048" s="1" t="s">
        <v>185</v>
      </c>
      <c r="J7048" s="1" t="s">
        <v>6</v>
      </c>
      <c r="DA7048" s="1" t="s">
        <v>101</v>
      </c>
      <c r="GD7048" s="1" t="s">
        <v>193</v>
      </c>
      <c r="GE7048" s="1" t="s">
        <v>190</v>
      </c>
    </row>
    <row r="7049" spans="1:187" ht="11.25" customHeight="1">
      <c r="A7049" s="1" t="s">
        <v>9944</v>
      </c>
      <c r="B7049" s="1" t="str">
        <f ca="1">IFERROR(__xludf.DUMMYFUNCTION("GOOGLETRANSLATE(A7049, ""en"", ""fr"")"),"NOYAU")</f>
        <v>NOYAU</v>
      </c>
      <c r="C7049" s="1" t="s">
        <v>185</v>
      </c>
      <c r="J7049" s="1" t="s">
        <v>6</v>
      </c>
      <c r="DA7049" s="1" t="s">
        <v>101</v>
      </c>
      <c r="GD7049" s="1" t="s">
        <v>193</v>
      </c>
      <c r="GE7049" s="1" t="s">
        <v>190</v>
      </c>
    </row>
    <row r="7050" spans="1:187" ht="11.25" customHeight="1">
      <c r="A7050" s="1" t="s">
        <v>9945</v>
      </c>
      <c r="B7050" s="1" t="str">
        <f ca="1">IFERROR(__xludf.DUMMYFUNCTION("GOOGLETRANSLATE(A7050, ""en"", ""fr"")"),"NU")</f>
        <v>NU</v>
      </c>
      <c r="C7050" s="1" t="s">
        <v>185</v>
      </c>
      <c r="CR7050" s="1" t="s">
        <v>92</v>
      </c>
      <c r="GD7050" s="1" t="s">
        <v>202</v>
      </c>
      <c r="GE7050" s="1" t="s">
        <v>190</v>
      </c>
    </row>
    <row r="7051" spans="1:187" ht="11.25" customHeight="1">
      <c r="A7051" s="1" t="s">
        <v>9946</v>
      </c>
      <c r="B7051" s="1" t="str">
        <f ca="1">IFERROR(__xludf.DUMMYFUNCTION("GOOGLETRANSLATE(A7051, ""en"", ""fr"")"),"NUISANCE")</f>
        <v>NUISANCE</v>
      </c>
      <c r="C7051" s="1" t="s">
        <v>192</v>
      </c>
      <c r="E7051" s="1" t="s">
        <v>16613</v>
      </c>
      <c r="V7051" s="1" t="s">
        <v>18</v>
      </c>
      <c r="GD7051" s="1" t="s">
        <v>193</v>
      </c>
      <c r="GE7051" s="1" t="s">
        <v>190</v>
      </c>
    </row>
    <row r="7052" spans="1:187" ht="11.25" customHeight="1">
      <c r="A7052" s="1" t="s">
        <v>9947</v>
      </c>
      <c r="B7052" s="1" t="str">
        <f ca="1">IFERROR(__xludf.DUMMYFUNCTION("GOOGLETRANSLATE(A7052, ""en"", ""fr"")"),"Annulation")</f>
        <v>Annulation</v>
      </c>
      <c r="C7052" s="1" t="s">
        <v>192</v>
      </c>
      <c r="E7052" s="1" t="s">
        <v>16613</v>
      </c>
      <c r="BZ7052" s="1" t="s">
        <v>74</v>
      </c>
      <c r="DL7052" s="1" t="s">
        <v>112</v>
      </c>
      <c r="GD7052" s="1" t="s">
        <v>193</v>
      </c>
      <c r="GE7052" s="1" t="s">
        <v>190</v>
      </c>
    </row>
    <row r="7053" spans="1:187" ht="11.25" customHeight="1">
      <c r="A7053" s="1" t="s">
        <v>9948</v>
      </c>
      <c r="B7053" s="1" t="str">
        <f ca="1">IFERROR(__xludf.DUMMYFUNCTION("GOOGLETRANSLATE(A7053, ""en"", ""fr"")"),"ANNULER")</f>
        <v>ANNULER</v>
      </c>
      <c r="C7053" s="1" t="s">
        <v>192</v>
      </c>
      <c r="E7053" s="1" t="s">
        <v>16613</v>
      </c>
      <c r="BZ7053" s="1" t="s">
        <v>74</v>
      </c>
      <c r="DL7053" s="1" t="s">
        <v>112</v>
      </c>
      <c r="DN7053" s="1" t="s">
        <v>114</v>
      </c>
      <c r="GD7053" s="1" t="s">
        <v>189</v>
      </c>
      <c r="GE7053" s="1" t="s">
        <v>190</v>
      </c>
    </row>
    <row r="7054" spans="1:187" ht="11.25" customHeight="1">
      <c r="A7054" s="1" t="s">
        <v>94</v>
      </c>
      <c r="B7054" s="1" t="str">
        <f ca="1">IFERROR(__xludf.DUMMYFUNCTION("GOOGLETRANSLATE(A7054, ""en"", ""fr"")"),"ENGOURDI")</f>
        <v>ENGOURDI</v>
      </c>
      <c r="C7054" s="1" t="s">
        <v>192</v>
      </c>
      <c r="E7054" s="1" t="s">
        <v>16613</v>
      </c>
      <c r="Q7054" s="1" t="s">
        <v>13</v>
      </c>
      <c r="T7054" s="1" t="s">
        <v>16</v>
      </c>
      <c r="DR7054" s="1" t="s">
        <v>118</v>
      </c>
      <c r="GD7054" s="1" t="s">
        <v>202</v>
      </c>
      <c r="GE7054" s="1" t="s">
        <v>190</v>
      </c>
    </row>
    <row r="7055" spans="1:187" ht="11.25" customHeight="1">
      <c r="A7055" s="1" t="s">
        <v>9949</v>
      </c>
      <c r="B7055" s="1" t="str">
        <f ca="1">IFERROR(__xludf.DUMMYFUNCTION("GOOGLETRANSLATE(A7055, ""en"", ""fr"")"),"NUMÉRO 1")</f>
        <v>NUMÉRO 1</v>
      </c>
      <c r="C7055" s="1" t="s">
        <v>185</v>
      </c>
      <c r="J7055" s="1" t="s">
        <v>6</v>
      </c>
      <c r="X7055" s="1" t="s">
        <v>20</v>
      </c>
      <c r="CS7055" s="1" t="s">
        <v>93</v>
      </c>
      <c r="GD7055" s="1" t="s">
        <v>2464</v>
      </c>
      <c r="GE7055" s="1" t="s">
        <v>9950</v>
      </c>
    </row>
    <row r="7056" spans="1:187" ht="11.25" customHeight="1">
      <c r="A7056" s="1" t="s">
        <v>9951</v>
      </c>
      <c r="B7056" s="1" t="str">
        <f ca="1">IFERROR(__xludf.DUMMYFUNCTION("GOOGLETRANSLATE(A7056, ""en"", ""fr"")"),"NUMÉRO 2")</f>
        <v>NUMÉRO 2</v>
      </c>
      <c r="C7056" s="1" t="s">
        <v>185</v>
      </c>
      <c r="CS7056" s="1" t="s">
        <v>93</v>
      </c>
      <c r="GD7056" s="1" t="s">
        <v>193</v>
      </c>
      <c r="GE7056" s="1" t="s">
        <v>9952</v>
      </c>
    </row>
    <row r="7057" spans="1:187" ht="11.25" customHeight="1">
      <c r="A7057" s="1" t="s">
        <v>9953</v>
      </c>
      <c r="B7057" s="1" t="str">
        <f ca="1">IFERROR(__xludf.DUMMYFUNCTION("GOOGLETRANSLATE(A7057, ""en"", ""fr"")"),"NUMÉRO 3")</f>
        <v>NUMÉRO 3</v>
      </c>
      <c r="C7057" s="1" t="s">
        <v>185</v>
      </c>
      <c r="CS7057" s="1" t="s">
        <v>93</v>
      </c>
      <c r="GD7057" s="1" t="s">
        <v>193</v>
      </c>
      <c r="GE7057" s="1" t="s">
        <v>9954</v>
      </c>
    </row>
    <row r="7058" spans="1:187" ht="11.25" customHeight="1">
      <c r="A7058" s="1" t="s">
        <v>9955</v>
      </c>
      <c r="B7058" s="1" t="str">
        <f ca="1">IFERROR(__xludf.DUMMYFUNCTION("GOOGLETRANSLATE(A7058, ""en"", ""fr"")"),"NUMÉRO 4")</f>
        <v>NUMÉRO 4</v>
      </c>
      <c r="C7058" s="1" t="s">
        <v>185</v>
      </c>
      <c r="CO7058" s="1" t="s">
        <v>89</v>
      </c>
      <c r="DO7058" s="1" t="s">
        <v>115</v>
      </c>
      <c r="FP7058" s="1" t="s">
        <v>168</v>
      </c>
      <c r="GD7058" s="1" t="s">
        <v>189</v>
      </c>
      <c r="GE7058" s="1" t="s">
        <v>9956</v>
      </c>
    </row>
    <row r="7059" spans="1:187" ht="11.25" customHeight="1">
      <c r="A7059" s="1" t="s">
        <v>9957</v>
      </c>
      <c r="B7059" s="1" t="str">
        <f ca="1">IFERROR(__xludf.DUMMYFUNCTION("GOOGLETRANSLATE(A7059, ""en"", ""fr"")"),"NUMÉRIQUE")</f>
        <v>NUMÉRIQUE</v>
      </c>
      <c r="C7059" s="1" t="s">
        <v>185</v>
      </c>
      <c r="CS7059" s="1" t="s">
        <v>93</v>
      </c>
      <c r="GD7059" s="1" t="s">
        <v>202</v>
      </c>
      <c r="GE7059" s="1" t="s">
        <v>190</v>
      </c>
    </row>
    <row r="7060" spans="1:187" ht="11.25" customHeight="1">
      <c r="A7060" s="1" t="s">
        <v>9958</v>
      </c>
      <c r="B7060" s="1" t="str">
        <f ca="1">IFERROR(__xludf.DUMMYFUNCTION("GOOGLETRANSLATE(A7060, ""en"", ""fr"")"),"NOMBREUX")</f>
        <v>NOMBREUX</v>
      </c>
      <c r="C7060" s="1" t="s">
        <v>185</v>
      </c>
      <c r="J7060" s="1" t="s">
        <v>6</v>
      </c>
      <c r="W7060" s="1" t="s">
        <v>19</v>
      </c>
      <c r="CS7060" s="1" t="s">
        <v>93</v>
      </c>
      <c r="GD7060" s="1" t="s">
        <v>2464</v>
      </c>
      <c r="GE7060" s="1" t="s">
        <v>190</v>
      </c>
    </row>
    <row r="7061" spans="1:187" ht="11.25" customHeight="1">
      <c r="A7061" s="1" t="s">
        <v>9959</v>
      </c>
      <c r="B7061" s="1" t="str">
        <f ca="1">IFERROR(__xludf.DUMMYFUNCTION("GOOGLETRANSLATE(A7061, ""en"", ""fr"")"),"Infirmière n ° 1")</f>
        <v>Infirmière n ° 1</v>
      </c>
      <c r="C7061" s="1" t="s">
        <v>185</v>
      </c>
      <c r="AA7061" s="1" t="s">
        <v>23</v>
      </c>
      <c r="AJ7061" s="1" t="s">
        <v>32</v>
      </c>
      <c r="AT7061" s="1" t="s">
        <v>42</v>
      </c>
      <c r="FB7061" s="1" t="s">
        <v>154</v>
      </c>
      <c r="FC7061" s="1" t="s">
        <v>155</v>
      </c>
      <c r="GD7061" s="1" t="s">
        <v>193</v>
      </c>
      <c r="GE7061" s="1" t="s">
        <v>9960</v>
      </c>
    </row>
    <row r="7062" spans="1:187" ht="11.25" customHeight="1">
      <c r="A7062" s="1" t="s">
        <v>9961</v>
      </c>
      <c r="B7062" s="1" t="str">
        <f ca="1">IFERROR(__xludf.DUMMYFUNCTION("GOOGLETRANSLATE(A7062, ""en"", ""fr"")"),"Infirmière # 2")</f>
        <v>Infirmière # 2</v>
      </c>
      <c r="C7062" s="1" t="s">
        <v>185</v>
      </c>
      <c r="D7062" s="1" t="s">
        <v>16612</v>
      </c>
      <c r="F7062" s="1" t="s">
        <v>2</v>
      </c>
      <c r="G7062" s="1" t="s">
        <v>3</v>
      </c>
      <c r="N7062" s="1" t="s">
        <v>10</v>
      </c>
      <c r="AN7062" s="1" t="s">
        <v>36</v>
      </c>
      <c r="DN7062" s="1" t="s">
        <v>114</v>
      </c>
      <c r="EX7062" s="1" t="s">
        <v>150</v>
      </c>
      <c r="FC7062" s="1" t="s">
        <v>155</v>
      </c>
      <c r="GD7062" s="1" t="s">
        <v>189</v>
      </c>
      <c r="GE7062" s="1" t="s">
        <v>9962</v>
      </c>
    </row>
    <row r="7063" spans="1:187" ht="11.25" customHeight="1">
      <c r="A7063" s="1" t="s">
        <v>9963</v>
      </c>
      <c r="B7063" s="1" t="str">
        <f ca="1">IFERROR(__xludf.DUMMYFUNCTION("GOOGLETRANSLATE(A7063, ""en"", ""fr"")"),"Infirmière # 3")</f>
        <v>Infirmière # 3</v>
      </c>
      <c r="C7063" s="1" t="s">
        <v>185</v>
      </c>
      <c r="Z7063" s="1" t="s">
        <v>22</v>
      </c>
      <c r="AC7063" s="1" t="s">
        <v>25</v>
      </c>
      <c r="FL7063" s="1" t="s">
        <v>164</v>
      </c>
      <c r="FM7063" s="1" t="s">
        <v>418</v>
      </c>
      <c r="GD7063" s="1" t="s">
        <v>193</v>
      </c>
      <c r="GE7063" s="1" t="s">
        <v>9964</v>
      </c>
    </row>
    <row r="7064" spans="1:187" ht="11.25" customHeight="1">
      <c r="A7064" s="1" t="s">
        <v>9965</v>
      </c>
      <c r="B7064" s="1" t="str">
        <f ca="1">IFERROR(__xludf.DUMMYFUNCTION("GOOGLETRANSLATE(A7064, ""en"", ""fr"")"),"Infirmière # 4")</f>
        <v>Infirmière # 4</v>
      </c>
      <c r="C7064" s="1" t="s">
        <v>185</v>
      </c>
      <c r="AV7064" s="1" t="s">
        <v>44</v>
      </c>
      <c r="AW7064" s="1" t="s">
        <v>45</v>
      </c>
      <c r="EZ7064" s="1" t="s">
        <v>152</v>
      </c>
      <c r="FC7064" s="1" t="s">
        <v>155</v>
      </c>
      <c r="GD7064" s="1" t="s">
        <v>193</v>
      </c>
      <c r="GE7064" s="1" t="s">
        <v>9966</v>
      </c>
    </row>
    <row r="7065" spans="1:187" ht="11.25" customHeight="1">
      <c r="A7065" s="1" t="s">
        <v>9967</v>
      </c>
      <c r="B7065" s="1" t="str">
        <f ca="1">IFERROR(__xludf.DUMMYFUNCTION("GOOGLETRANSLATE(A7065, ""en"", ""fr"")"),"NOURRIR")</f>
        <v>NOURRIR</v>
      </c>
      <c r="C7065" s="1" t="s">
        <v>192</v>
      </c>
      <c r="D7065" s="1" t="s">
        <v>16612</v>
      </c>
      <c r="G7065" s="1" t="s">
        <v>3</v>
      </c>
      <c r="N7065" s="1" t="s">
        <v>10</v>
      </c>
      <c r="DN7065" s="1" t="s">
        <v>114</v>
      </c>
      <c r="GD7065" s="1" t="s">
        <v>670</v>
      </c>
      <c r="GE7065" s="1" t="s">
        <v>190</v>
      </c>
    </row>
    <row r="7066" spans="1:187" ht="11.25" customHeight="1">
      <c r="A7066" s="1" t="s">
        <v>9968</v>
      </c>
      <c r="B7066" s="1" t="str">
        <f ca="1">IFERROR(__xludf.DUMMYFUNCTION("GOOGLETRANSLATE(A7066, ""en"", ""fr"")"),"NOIX")</f>
        <v>NOIX</v>
      </c>
      <c r="C7066" s="1" t="s">
        <v>185</v>
      </c>
      <c r="BC7066" s="1" t="s">
        <v>51</v>
      </c>
      <c r="BE7066" s="1" t="s">
        <v>53</v>
      </c>
      <c r="GD7066" s="1" t="s">
        <v>193</v>
      </c>
      <c r="GE7066" s="1" t="s">
        <v>190</v>
      </c>
    </row>
    <row r="7067" spans="1:187" ht="11.25" customHeight="1">
      <c r="A7067" s="1" t="s">
        <v>9969</v>
      </c>
      <c r="B7067" s="1" t="str">
        <f ca="1">IFERROR(__xludf.DUMMYFUNCTION("GOOGLETRANSLATE(A7067, ""en"", ""fr"")"),"NUTRITIF")</f>
        <v>NUTRITIF</v>
      </c>
      <c r="C7067" s="1" t="s">
        <v>192</v>
      </c>
      <c r="D7067" s="1" t="s">
        <v>16612</v>
      </c>
      <c r="BE7067" s="1" t="s">
        <v>53</v>
      </c>
      <c r="GD7067" s="1" t="s">
        <v>193</v>
      </c>
      <c r="GE7067" s="1" t="s">
        <v>190</v>
      </c>
    </row>
    <row r="7068" spans="1:187" ht="11.25" customHeight="1">
      <c r="A7068" s="1" t="s">
        <v>9970</v>
      </c>
      <c r="B7068" s="1" t="str">
        <f ca="1">IFERROR(__xludf.DUMMYFUNCTION("GOOGLETRANSLATE(A7068, ""en"", ""fr"")"),"NUTRITION")</f>
        <v>NUTRITION</v>
      </c>
      <c r="C7068" s="1" t="s">
        <v>185</v>
      </c>
      <c r="Y7068" s="1" t="s">
        <v>21</v>
      </c>
      <c r="Z7068" s="1" t="s">
        <v>22</v>
      </c>
      <c r="EZ7068" s="1" t="s">
        <v>152</v>
      </c>
      <c r="FC7068" s="1" t="s">
        <v>155</v>
      </c>
      <c r="GD7068" s="1" t="s">
        <v>193</v>
      </c>
      <c r="GE7068" s="1" t="s">
        <v>190</v>
      </c>
    </row>
    <row r="7069" spans="1:187" ht="11.25" customHeight="1">
      <c r="A7069" s="1" t="s">
        <v>9971</v>
      </c>
      <c r="B7069" s="1" t="str">
        <f ca="1">IFERROR(__xludf.DUMMYFUNCTION("GOOGLETRANSLATE(A7069, ""en"", ""fr"")"),"DES NOISETTES")</f>
        <v>DES NOISETTES</v>
      </c>
      <c r="C7069" s="1" t="s">
        <v>192</v>
      </c>
      <c r="E7069" s="1" t="s">
        <v>16613</v>
      </c>
      <c r="DM7069" s="1" t="s">
        <v>113</v>
      </c>
      <c r="GE7069" s="1" t="s">
        <v>190</v>
      </c>
    </row>
    <row r="7070" spans="1:187" ht="11.25" customHeight="1">
      <c r="A7070" s="1" t="s">
        <v>9972</v>
      </c>
      <c r="B7070" s="1" t="str">
        <f ca="1">IFERROR(__xludf.DUMMYFUNCTION("GOOGLETRANSLATE(A7070, ""en"", ""fr"")"),"Nyasaland")</f>
        <v>Nyasaland</v>
      </c>
      <c r="C7070" s="1" t="s">
        <v>196</v>
      </c>
      <c r="FU7070" s="1" t="s">
        <v>173</v>
      </c>
      <c r="GD7070" s="1" t="s">
        <v>545</v>
      </c>
    </row>
    <row r="7071" spans="1:187" ht="11.25" customHeight="1">
      <c r="A7071" s="1" t="s">
        <v>193</v>
      </c>
      <c r="B7071" s="1" t="str">
        <f ca="1">IFERROR(__xludf.DUMMYFUNCTION("GOOGLETRANSLATE(A7071, ""en"", ""fr"")"),"Nom")</f>
        <v>Nom</v>
      </c>
      <c r="C7071" s="1" t="s">
        <v>196</v>
      </c>
      <c r="GC7071" s="1" t="s">
        <v>181</v>
      </c>
      <c r="GD7071" s="1" t="s">
        <v>3376</v>
      </c>
    </row>
    <row r="7072" spans="1:187" ht="11.25" customHeight="1">
      <c r="A7072" s="1" t="s">
        <v>9973</v>
      </c>
      <c r="B7072" s="1" t="str">
        <f ca="1">IFERROR(__xludf.DUMMYFUNCTION("GOOGLETRANSLATE(A7072, ""en"", ""fr"")"),"Heure")</f>
        <v>Heure</v>
      </c>
      <c r="C7072" s="1" t="s">
        <v>185</v>
      </c>
      <c r="CQ7072" s="1" t="s">
        <v>91</v>
      </c>
      <c r="CY7072" s="1" t="s">
        <v>99</v>
      </c>
      <c r="CZ7072" s="1" t="s">
        <v>100</v>
      </c>
      <c r="GB7072" s="1" t="s">
        <v>180</v>
      </c>
      <c r="GD7072" s="1" t="s">
        <v>193</v>
      </c>
      <c r="GE7072" s="1" t="s">
        <v>190</v>
      </c>
    </row>
    <row r="7073" spans="1:187" ht="11.25" customHeight="1">
      <c r="A7073" s="1" t="s">
        <v>9974</v>
      </c>
      <c r="B7073" s="1" t="str">
        <f ca="1">IFERROR(__xludf.DUMMYFUNCTION("GOOGLETRANSLATE(A7073, ""en"", ""fr"")"),"CHÊNE")</f>
        <v>CHÊNE</v>
      </c>
      <c r="C7073" s="1" t="s">
        <v>185</v>
      </c>
      <c r="BC7073" s="1" t="s">
        <v>51</v>
      </c>
      <c r="BI7073" s="1" t="s">
        <v>57</v>
      </c>
      <c r="GD7073" s="1" t="s">
        <v>193</v>
      </c>
      <c r="GE7073" s="1" t="s">
        <v>190</v>
      </c>
    </row>
    <row r="7074" spans="1:187" ht="11.25" customHeight="1">
      <c r="A7074" s="1" t="s">
        <v>9975</v>
      </c>
      <c r="B7074" s="1" t="str">
        <f ca="1">IFERROR(__xludf.DUMMYFUNCTION("GOOGLETRANSLATE(A7074, ""en"", ""fr"")"),"OET")</f>
        <v>OET</v>
      </c>
      <c r="C7074" s="1" t="s">
        <v>196</v>
      </c>
      <c r="GD7074" s="1" t="s">
        <v>2981</v>
      </c>
    </row>
    <row r="7075" spans="1:187" ht="11.25" customHeight="1">
      <c r="A7075" s="1" t="s">
        <v>9976</v>
      </c>
      <c r="B7075" s="1" t="str">
        <f ca="1">IFERROR(__xludf.DUMMYFUNCTION("GOOGLETRANSLATE(A7075, ""en"", ""fr"")"),"OASIS")</f>
        <v>OASIS</v>
      </c>
      <c r="C7075" s="1" t="s">
        <v>192</v>
      </c>
      <c r="D7075" s="1" t="s">
        <v>16612</v>
      </c>
      <c r="AI7075" s="1" t="s">
        <v>31</v>
      </c>
      <c r="AV7075" s="1" t="s">
        <v>44</v>
      </c>
      <c r="GD7075" s="1" t="s">
        <v>193</v>
      </c>
      <c r="GE7075" s="1" t="s">
        <v>190</v>
      </c>
    </row>
    <row r="7076" spans="1:187" ht="11.25" customHeight="1">
      <c r="A7076" s="1" t="s">
        <v>9977</v>
      </c>
      <c r="B7076" s="1" t="str">
        <f ca="1">IFERROR(__xludf.DUMMYFUNCTION("GOOGLETRANSLATE(A7076, ""en"", ""fr"")"),"AVOINE")</f>
        <v>AVOINE</v>
      </c>
      <c r="C7076" s="1" t="s">
        <v>185</v>
      </c>
      <c r="BC7076" s="1" t="s">
        <v>51</v>
      </c>
      <c r="BE7076" s="1" t="s">
        <v>53</v>
      </c>
      <c r="GD7076" s="1" t="s">
        <v>193</v>
      </c>
      <c r="GE7076" s="1" t="s">
        <v>190</v>
      </c>
    </row>
    <row r="7077" spans="1:187" ht="11.25" customHeight="1">
      <c r="A7077" s="1" t="s">
        <v>9978</v>
      </c>
      <c r="B7077" s="1" t="str">
        <f ca="1">IFERROR(__xludf.DUMMYFUNCTION("GOOGLETRANSLATE(A7077, ""en"", ""fr"")"),"SERMENT")</f>
        <v>SERMENT</v>
      </c>
      <c r="C7077" s="1" t="s">
        <v>185</v>
      </c>
      <c r="AE7077" s="1" t="s">
        <v>27</v>
      </c>
      <c r="BK7077" s="1" t="s">
        <v>59</v>
      </c>
      <c r="BL7077" s="1" t="s">
        <v>60</v>
      </c>
      <c r="EE7077" s="1" t="s">
        <v>131</v>
      </c>
      <c r="EJ7077" s="1" t="s">
        <v>136</v>
      </c>
      <c r="GC7077" s="1" t="s">
        <v>181</v>
      </c>
      <c r="GD7077" s="1" t="s">
        <v>193</v>
      </c>
      <c r="GE7077" s="1" t="s">
        <v>190</v>
      </c>
    </row>
    <row r="7078" spans="1:187" ht="11.25" customHeight="1">
      <c r="A7078" s="1" t="s">
        <v>9979</v>
      </c>
      <c r="B7078" s="1" t="str">
        <f ca="1">IFERROR(__xludf.DUMMYFUNCTION("GOOGLETRANSLATE(A7078, ""en"", ""fr"")"),"OBÉISSANCE")</f>
        <v>OBÉISSANCE</v>
      </c>
      <c r="C7078" s="1" t="s">
        <v>192</v>
      </c>
      <c r="D7078" s="1" t="s">
        <v>16612</v>
      </c>
      <c r="G7078" s="1" t="s">
        <v>3</v>
      </c>
      <c r="M7078" s="1" t="s">
        <v>9</v>
      </c>
      <c r="N7078" s="1" t="s">
        <v>10</v>
      </c>
      <c r="GD7078" s="1" t="s">
        <v>193</v>
      </c>
      <c r="GE7078" s="1" t="s">
        <v>190</v>
      </c>
    </row>
    <row r="7079" spans="1:187" ht="11.25" customHeight="1">
      <c r="A7079" s="1" t="s">
        <v>9980</v>
      </c>
      <c r="B7079" s="1" t="str">
        <f ca="1">IFERROR(__xludf.DUMMYFUNCTION("GOOGLETRANSLATE(A7079, ""en"", ""fr"")"),"OBÉISSANT")</f>
        <v>OBÉISSANT</v>
      </c>
      <c r="C7079" s="1" t="s">
        <v>192</v>
      </c>
      <c r="D7079" s="1" t="s">
        <v>16612</v>
      </c>
      <c r="G7079" s="1" t="s">
        <v>3</v>
      </c>
      <c r="M7079" s="1" t="s">
        <v>9</v>
      </c>
      <c r="N7079" s="1" t="s">
        <v>10</v>
      </c>
      <c r="DQ7079" s="1" t="s">
        <v>117</v>
      </c>
      <c r="GD7079" s="1" t="s">
        <v>202</v>
      </c>
      <c r="GE7079" s="1" t="s">
        <v>190</v>
      </c>
    </row>
    <row r="7080" spans="1:187" ht="11.25" customHeight="1">
      <c r="A7080" s="1" t="s">
        <v>9981</v>
      </c>
      <c r="B7080" s="1" t="str">
        <f ca="1">IFERROR(__xludf.DUMMYFUNCTION("GOOGLETRANSLATE(A7080, ""en"", ""fr"")"),"OBÉIR")</f>
        <v>OBÉIR</v>
      </c>
      <c r="C7080" s="1" t="s">
        <v>185</v>
      </c>
      <c r="D7080" s="1" t="s">
        <v>16612</v>
      </c>
      <c r="F7080" s="1" t="s">
        <v>2</v>
      </c>
      <c r="K7080" s="1" t="s">
        <v>7</v>
      </c>
      <c r="L7080" s="1" t="s">
        <v>8</v>
      </c>
      <c r="M7080" s="1" t="s">
        <v>9</v>
      </c>
      <c r="O7080" s="1" t="s">
        <v>11</v>
      </c>
      <c r="AN7080" s="1" t="s">
        <v>36</v>
      </c>
      <c r="DN7080" s="1" t="s">
        <v>114</v>
      </c>
      <c r="DS7080" s="1" t="s">
        <v>119</v>
      </c>
      <c r="ED7080" s="1" t="s">
        <v>130</v>
      </c>
      <c r="GD7080" s="1" t="s">
        <v>189</v>
      </c>
      <c r="GE7080" s="1" t="s">
        <v>9982</v>
      </c>
    </row>
    <row r="7081" spans="1:187" ht="11.25" customHeight="1">
      <c r="A7081" s="1" t="s">
        <v>9983</v>
      </c>
      <c r="B7081" s="1" t="str">
        <f ca="1">IFERROR(__xludf.DUMMYFUNCTION("GOOGLETRANSLATE(A7081, ""en"", ""fr"")"),"Objet n ° 1")</f>
        <v>Objet n ° 1</v>
      </c>
      <c r="C7081" s="1" t="s">
        <v>185</v>
      </c>
      <c r="BC7081" s="1" t="s">
        <v>51</v>
      </c>
      <c r="BD7081" s="1" t="s">
        <v>52</v>
      </c>
      <c r="GD7081" s="1" t="s">
        <v>193</v>
      </c>
      <c r="GE7081" s="1" t="s">
        <v>9984</v>
      </c>
    </row>
    <row r="7082" spans="1:187" ht="11.25" customHeight="1">
      <c r="A7082" s="1" t="s">
        <v>9985</v>
      </c>
      <c r="B7082" s="1" t="str">
        <f ca="1">IFERROR(__xludf.DUMMYFUNCTION("GOOGLETRANSLATE(A7082, ""en"", ""fr"")"),"Objet n ° 2")</f>
        <v>Objet n ° 2</v>
      </c>
      <c r="C7082" s="1" t="s">
        <v>185</v>
      </c>
      <c r="BO7082" s="1" t="s">
        <v>63</v>
      </c>
      <c r="CP7082" s="1" t="s">
        <v>90</v>
      </c>
      <c r="CQ7082" s="1" t="s">
        <v>91</v>
      </c>
      <c r="FR7082" s="1" t="s">
        <v>170</v>
      </c>
      <c r="GD7082" s="1" t="s">
        <v>193</v>
      </c>
      <c r="GE7082" s="1" t="s">
        <v>9986</v>
      </c>
    </row>
    <row r="7083" spans="1:187" ht="11.25" customHeight="1">
      <c r="A7083" s="1" t="s">
        <v>9987</v>
      </c>
      <c r="B7083" s="1" t="str">
        <f ca="1">IFERROR(__xludf.DUMMYFUNCTION("GOOGLETRANSLATE(A7083, ""en"", ""fr"")"),"Objet n ° 3")</f>
        <v>Objet n ° 3</v>
      </c>
      <c r="C7083" s="1" t="s">
        <v>185</v>
      </c>
      <c r="E7083" s="1" t="s">
        <v>16613</v>
      </c>
      <c r="H7083" s="1" t="s">
        <v>4</v>
      </c>
      <c r="I7083" s="1" t="s">
        <v>5</v>
      </c>
      <c r="N7083" s="1" t="s">
        <v>10</v>
      </c>
      <c r="BK7083" s="1" t="s">
        <v>59</v>
      </c>
      <c r="DN7083" s="1" t="s">
        <v>114</v>
      </c>
      <c r="DW7083" s="1" t="s">
        <v>123</v>
      </c>
      <c r="ED7083" s="1" t="s">
        <v>130</v>
      </c>
      <c r="GD7083" s="1" t="s">
        <v>189</v>
      </c>
      <c r="GE7083" s="1" t="s">
        <v>9988</v>
      </c>
    </row>
    <row r="7084" spans="1:187" ht="11.25" customHeight="1">
      <c r="A7084" s="1" t="s">
        <v>9989</v>
      </c>
      <c r="B7084" s="1" t="str">
        <f ca="1">IFERROR(__xludf.DUMMYFUNCTION("GOOGLETRANSLATE(A7084, ""en"", ""fr"")"),"OBJECTION")</f>
        <v>OBJECTION</v>
      </c>
      <c r="C7084" s="1" t="s">
        <v>192</v>
      </c>
      <c r="E7084" s="1" t="s">
        <v>16613</v>
      </c>
      <c r="R7084" s="1" t="s">
        <v>14</v>
      </c>
      <c r="BK7084" s="1" t="s">
        <v>59</v>
      </c>
      <c r="GD7084" s="1" t="s">
        <v>193</v>
      </c>
      <c r="GE7084" s="1" t="s">
        <v>190</v>
      </c>
    </row>
    <row r="7085" spans="1:187" ht="11.25" customHeight="1">
      <c r="A7085" s="1" t="s">
        <v>9990</v>
      </c>
      <c r="B7085" s="1" t="str">
        <f ca="1">IFERROR(__xludf.DUMMYFUNCTION("GOOGLETRANSLATE(A7085, ""en"", ""fr"")"),"Objectif # 1")</f>
        <v>Objectif # 1</v>
      </c>
      <c r="C7085" s="1" t="s">
        <v>185</v>
      </c>
      <c r="J7085" s="1" t="s">
        <v>6</v>
      </c>
      <c r="BO7085" s="1" t="s">
        <v>63</v>
      </c>
      <c r="CP7085" s="1" t="s">
        <v>90</v>
      </c>
      <c r="CQ7085" s="1" t="s">
        <v>91</v>
      </c>
      <c r="FR7085" s="1" t="s">
        <v>170</v>
      </c>
      <c r="GD7085" s="1" t="s">
        <v>193</v>
      </c>
      <c r="GE7085" s="1" t="s">
        <v>9991</v>
      </c>
    </row>
    <row r="7086" spans="1:187" ht="11.25" customHeight="1">
      <c r="A7086" s="1" t="s">
        <v>9992</v>
      </c>
      <c r="B7086" s="1" t="str">
        <f ca="1">IFERROR(__xludf.DUMMYFUNCTION("GOOGLETRANSLATE(A7086, ""en"", ""fr"")"),"Objectif # 2")</f>
        <v>Objectif # 2</v>
      </c>
      <c r="C7086" s="1" t="s">
        <v>185</v>
      </c>
      <c r="D7086" s="1" t="s">
        <v>16612</v>
      </c>
      <c r="F7086" s="1" t="s">
        <v>2</v>
      </c>
      <c r="U7086" s="1" t="s">
        <v>17</v>
      </c>
      <c r="CN7086" s="1" t="s">
        <v>88</v>
      </c>
      <c r="FH7086" s="1" t="s">
        <v>160</v>
      </c>
      <c r="FI7086" s="1" t="s">
        <v>161</v>
      </c>
      <c r="GD7086" s="1" t="s">
        <v>202</v>
      </c>
      <c r="GE7086" s="1" t="s">
        <v>9993</v>
      </c>
    </row>
    <row r="7087" spans="1:187" ht="11.25" customHeight="1">
      <c r="A7087" s="1" t="s">
        <v>9994</v>
      </c>
      <c r="B7087" s="1" t="str">
        <f ca="1">IFERROR(__xludf.DUMMYFUNCTION("GOOGLETRANSLATE(A7087, ""en"", ""fr"")"),"Objectif # 3")</f>
        <v>Objectif # 3</v>
      </c>
      <c r="C7087" s="1" t="s">
        <v>185</v>
      </c>
      <c r="D7087" s="1" t="s">
        <v>16612</v>
      </c>
      <c r="F7087" s="1" t="s">
        <v>2</v>
      </c>
      <c r="U7087" s="1" t="s">
        <v>17</v>
      </c>
      <c r="FH7087" s="1" t="s">
        <v>160</v>
      </c>
      <c r="FI7087" s="1" t="s">
        <v>161</v>
      </c>
      <c r="GD7087" s="1" t="s">
        <v>236</v>
      </c>
      <c r="GE7087" s="1" t="s">
        <v>9995</v>
      </c>
    </row>
    <row r="7088" spans="1:187" ht="11.25" customHeight="1">
      <c r="A7088" s="1" t="s">
        <v>9996</v>
      </c>
      <c r="B7088" s="1" t="str">
        <f ca="1">IFERROR(__xludf.DUMMYFUNCTION("GOOGLETRANSLATE(A7088, ""en"", ""fr"")"),"OBLIGATION")</f>
        <v>OBLIGATION</v>
      </c>
      <c r="C7088" s="1" t="s">
        <v>185</v>
      </c>
      <c r="M7088" s="1" t="s">
        <v>9</v>
      </c>
      <c r="U7088" s="1" t="s">
        <v>17</v>
      </c>
      <c r="EE7088" s="1" t="s">
        <v>131</v>
      </c>
      <c r="EJ7088" s="1" t="s">
        <v>136</v>
      </c>
      <c r="GD7088" s="1" t="s">
        <v>193</v>
      </c>
      <c r="GE7088" s="1" t="s">
        <v>190</v>
      </c>
    </row>
    <row r="7089" spans="1:187" ht="11.25" customHeight="1">
      <c r="A7089" s="1" t="s">
        <v>9997</v>
      </c>
      <c r="B7089" s="1" t="str">
        <f ca="1">IFERROR(__xludf.DUMMYFUNCTION("GOOGLETRANSLATE(A7089, ""en"", ""fr"")"),"OBLIGER")</f>
        <v>OBLIGER</v>
      </c>
      <c r="C7089" s="1" t="s">
        <v>185</v>
      </c>
      <c r="D7089" s="1" t="s">
        <v>16612</v>
      </c>
      <c r="F7089" s="1" t="s">
        <v>2</v>
      </c>
      <c r="L7089" s="1" t="s">
        <v>8</v>
      </c>
      <c r="M7089" s="1" t="s">
        <v>9</v>
      </c>
      <c r="AN7089" s="1" t="s">
        <v>36</v>
      </c>
      <c r="DN7089" s="1" t="s">
        <v>114</v>
      </c>
      <c r="EE7089" s="1" t="s">
        <v>131</v>
      </c>
      <c r="EJ7089" s="1" t="s">
        <v>136</v>
      </c>
      <c r="GD7089" s="1" t="s">
        <v>189</v>
      </c>
      <c r="GE7089" s="1" t="s">
        <v>190</v>
      </c>
    </row>
    <row r="7090" spans="1:187" ht="11.25" customHeight="1">
      <c r="A7090" s="1" t="s">
        <v>9998</v>
      </c>
      <c r="B7090" s="1" t="str">
        <f ca="1">IFERROR(__xludf.DUMMYFUNCTION("GOOGLETRANSLATE(A7090, ""en"", ""fr"")"),"OBLIQUE")</f>
        <v>OBLIQUE</v>
      </c>
      <c r="C7090" s="1" t="s">
        <v>192</v>
      </c>
      <c r="E7090" s="1" t="s">
        <v>16613</v>
      </c>
      <c r="X7090" s="1" t="s">
        <v>20</v>
      </c>
      <c r="CK7090" s="1" t="s">
        <v>85</v>
      </c>
      <c r="DR7090" s="1" t="s">
        <v>118</v>
      </c>
      <c r="GD7090" s="1" t="s">
        <v>202</v>
      </c>
      <c r="GE7090" s="1" t="s">
        <v>190</v>
      </c>
    </row>
    <row r="7091" spans="1:187" ht="11.25" customHeight="1">
      <c r="A7091" s="1" t="s">
        <v>9999</v>
      </c>
      <c r="B7091" s="1" t="str">
        <f ca="1">IFERROR(__xludf.DUMMYFUNCTION("GOOGLETRANSLATE(A7091, ""en"", ""fr"")"),"EFFACER")</f>
        <v>EFFACER</v>
      </c>
      <c r="C7091" s="1" t="s">
        <v>192</v>
      </c>
      <c r="E7091" s="1" t="s">
        <v>16613</v>
      </c>
      <c r="I7091" s="1" t="s">
        <v>5</v>
      </c>
      <c r="K7091" s="1" t="s">
        <v>7</v>
      </c>
      <c r="BZ7091" s="1" t="s">
        <v>74</v>
      </c>
      <c r="DN7091" s="1" t="s">
        <v>114</v>
      </c>
      <c r="GD7091" s="1" t="s">
        <v>189</v>
      </c>
      <c r="GE7091" s="1" t="s">
        <v>190</v>
      </c>
    </row>
    <row r="7092" spans="1:187" ht="11.25" customHeight="1">
      <c r="A7092" s="1" t="s">
        <v>10000</v>
      </c>
      <c r="B7092" s="1" t="str">
        <f ca="1">IFERROR(__xludf.DUMMYFUNCTION("GOOGLETRANSLATE(A7092, ""en"", ""fr"")"),"ODIEUX")</f>
        <v>ODIEUX</v>
      </c>
      <c r="C7092" s="1" t="s">
        <v>185</v>
      </c>
      <c r="E7092" s="1" t="s">
        <v>16613</v>
      </c>
      <c r="H7092" s="1" t="s">
        <v>4</v>
      </c>
      <c r="I7092" s="1" t="s">
        <v>5</v>
      </c>
      <c r="V7092" s="1" t="s">
        <v>18</v>
      </c>
      <c r="CN7092" s="1" t="s">
        <v>88</v>
      </c>
      <c r="FW7092" s="1" t="s">
        <v>175</v>
      </c>
      <c r="GD7092" s="1" t="s">
        <v>202</v>
      </c>
      <c r="GE7092" s="1" t="s">
        <v>190</v>
      </c>
    </row>
    <row r="7093" spans="1:187" ht="11.25" customHeight="1">
      <c r="A7093" s="1" t="s">
        <v>10001</v>
      </c>
      <c r="B7093" s="1" t="str">
        <f ca="1">IFERROR(__xludf.DUMMYFUNCTION("GOOGLETRANSLATE(A7093, ""en"", ""fr"")"),"OBSCUR")</f>
        <v>OBSCUR</v>
      </c>
      <c r="C7093" s="1" t="s">
        <v>185</v>
      </c>
      <c r="E7093" s="1" t="s">
        <v>16613</v>
      </c>
      <c r="H7093" s="1" t="s">
        <v>4</v>
      </c>
      <c r="X7093" s="1" t="s">
        <v>20</v>
      </c>
      <c r="CK7093" s="1" t="s">
        <v>85</v>
      </c>
      <c r="FH7093" s="1" t="s">
        <v>160</v>
      </c>
      <c r="FI7093" s="1" t="s">
        <v>161</v>
      </c>
      <c r="GD7093" s="1" t="s">
        <v>202</v>
      </c>
      <c r="GE7093" s="1" t="s">
        <v>190</v>
      </c>
    </row>
    <row r="7094" spans="1:187" ht="11.25" customHeight="1">
      <c r="A7094" s="1" t="s">
        <v>10002</v>
      </c>
      <c r="B7094" s="1" t="str">
        <f ca="1">IFERROR(__xludf.DUMMYFUNCTION("GOOGLETRANSLATE(A7094, ""en"", ""fr"")"),"OBSCURITÉ")</f>
        <v>OBSCURITÉ</v>
      </c>
      <c r="C7094" s="1" t="s">
        <v>196</v>
      </c>
      <c r="FH7094" s="1" t="s">
        <v>160</v>
      </c>
      <c r="FI7094" s="1" t="s">
        <v>161</v>
      </c>
      <c r="GD7094" s="1" t="s">
        <v>193</v>
      </c>
    </row>
    <row r="7095" spans="1:187" ht="11.25" customHeight="1">
      <c r="A7095" s="1" t="s">
        <v>10003</v>
      </c>
      <c r="B7095" s="1" t="str">
        <f ca="1">IFERROR(__xludf.DUMMYFUNCTION("GOOGLETRANSLATE(A7095, ""en"", ""fr"")"),"OBSERVANCE")</f>
        <v>OBSERVANCE</v>
      </c>
      <c r="C7095" s="1" t="s">
        <v>196</v>
      </c>
      <c r="EC7095" s="1" t="s">
        <v>129</v>
      </c>
      <c r="ED7095" s="1" t="s">
        <v>130</v>
      </c>
      <c r="GD7095" s="1" t="s">
        <v>193</v>
      </c>
    </row>
    <row r="7096" spans="1:187" ht="11.25" customHeight="1">
      <c r="A7096" s="1" t="s">
        <v>10004</v>
      </c>
      <c r="B7096" s="1" t="str">
        <f ca="1">IFERROR(__xludf.DUMMYFUNCTION("GOOGLETRANSLATE(A7096, ""en"", ""fr"")"),"OBSERVATION")</f>
        <v>OBSERVATION</v>
      </c>
      <c r="C7096" s="1" t="s">
        <v>185</v>
      </c>
      <c r="O7096" s="1" t="s">
        <v>11</v>
      </c>
      <c r="CK7096" s="1" t="s">
        <v>85</v>
      </c>
      <c r="FH7096" s="1" t="s">
        <v>160</v>
      </c>
      <c r="FI7096" s="1" t="s">
        <v>161</v>
      </c>
      <c r="GD7096" s="1" t="s">
        <v>193</v>
      </c>
      <c r="GE7096" s="1" t="s">
        <v>190</v>
      </c>
    </row>
    <row r="7097" spans="1:187" ht="11.25" customHeight="1">
      <c r="A7097" s="1" t="s">
        <v>10005</v>
      </c>
      <c r="B7097" s="1" t="str">
        <f ca="1">IFERROR(__xludf.DUMMYFUNCTION("GOOGLETRANSLATE(A7097, ""en"", ""fr"")"),"OBSERVER")</f>
        <v>OBSERVER</v>
      </c>
      <c r="C7097" s="1" t="s">
        <v>185</v>
      </c>
      <c r="O7097" s="1" t="s">
        <v>11</v>
      </c>
      <c r="CK7097" s="1" t="s">
        <v>85</v>
      </c>
      <c r="DN7097" s="1" t="s">
        <v>114</v>
      </c>
      <c r="FF7097" s="1" t="s">
        <v>158</v>
      </c>
      <c r="FI7097" s="1" t="s">
        <v>161</v>
      </c>
      <c r="GD7097" s="1" t="s">
        <v>189</v>
      </c>
      <c r="GE7097" s="1" t="s">
        <v>10006</v>
      </c>
    </row>
    <row r="7098" spans="1:187" ht="11.25" customHeight="1">
      <c r="A7098" s="1" t="s">
        <v>10007</v>
      </c>
      <c r="B7098" s="1" t="str">
        <f ca="1">IFERROR(__xludf.DUMMYFUNCTION("GOOGLETRANSLATE(A7098, ""en"", ""fr"")"),"OBSERVATEUR")</f>
        <v>OBSERVATEUR</v>
      </c>
      <c r="C7098" s="1" t="s">
        <v>185</v>
      </c>
      <c r="O7098" s="1" t="s">
        <v>11</v>
      </c>
      <c r="AJ7098" s="1" t="s">
        <v>32</v>
      </c>
      <c r="AT7098" s="1" t="s">
        <v>42</v>
      </c>
      <c r="FG7098" s="1" t="s">
        <v>159</v>
      </c>
      <c r="FI7098" s="1" t="s">
        <v>161</v>
      </c>
      <c r="GD7098" s="1" t="s">
        <v>193</v>
      </c>
      <c r="GE7098" s="1" t="s">
        <v>190</v>
      </c>
    </row>
    <row r="7099" spans="1:187" ht="11.25" customHeight="1">
      <c r="A7099" s="1" t="s">
        <v>10008</v>
      </c>
      <c r="B7099" s="1" t="str">
        <f ca="1">IFERROR(__xludf.DUMMYFUNCTION("GOOGLETRANSLATE(A7099, ""en"", ""fr"")"),"OBSOLÈTE")</f>
        <v>OBSOLÈTE</v>
      </c>
      <c r="C7099" s="1" t="s">
        <v>192</v>
      </c>
      <c r="E7099" s="1" t="s">
        <v>16613</v>
      </c>
      <c r="L7099" s="1" t="s">
        <v>8</v>
      </c>
      <c r="DR7099" s="1" t="s">
        <v>118</v>
      </c>
      <c r="GD7099" s="1" t="s">
        <v>202</v>
      </c>
      <c r="GE7099" s="1" t="s">
        <v>190</v>
      </c>
    </row>
    <row r="7100" spans="1:187" ht="11.25" customHeight="1">
      <c r="A7100" s="1" t="s">
        <v>10009</v>
      </c>
      <c r="B7100" s="1" t="str">
        <f ca="1">IFERROR(__xludf.DUMMYFUNCTION("GOOGLETRANSLATE(A7100, ""en"", ""fr"")"),"OBSTACLE")</f>
        <v>OBSTACLE</v>
      </c>
      <c r="C7100" s="1" t="s">
        <v>185</v>
      </c>
      <c r="E7100" s="1" t="s">
        <v>16613</v>
      </c>
      <c r="H7100" s="1" t="s">
        <v>4</v>
      </c>
      <c r="J7100" s="1" t="s">
        <v>6</v>
      </c>
      <c r="BC7100" s="1" t="s">
        <v>51</v>
      </c>
      <c r="BI7100" s="1" t="s">
        <v>57</v>
      </c>
      <c r="FR7100" s="1" t="s">
        <v>170</v>
      </c>
      <c r="GD7100" s="1" t="s">
        <v>193</v>
      </c>
      <c r="GE7100" s="1" t="s">
        <v>190</v>
      </c>
    </row>
    <row r="7101" spans="1:187" ht="11.25" customHeight="1">
      <c r="A7101" s="1" t="s">
        <v>10010</v>
      </c>
      <c r="B7101" s="1" t="str">
        <f ca="1">IFERROR(__xludf.DUMMYFUNCTION("GOOGLETRANSLATE(A7101, ""en"", ""fr"")"),"OBSTINÉ")</f>
        <v>OBSTINÉ</v>
      </c>
      <c r="C7101" s="1" t="s">
        <v>185</v>
      </c>
      <c r="E7101" s="1" t="s">
        <v>16613</v>
      </c>
      <c r="I7101" s="1" t="s">
        <v>5</v>
      </c>
      <c r="R7101" s="1" t="s">
        <v>14</v>
      </c>
      <c r="CA7101" s="1" t="s">
        <v>75</v>
      </c>
      <c r="DR7101" s="1" t="s">
        <v>118</v>
      </c>
      <c r="GD7101" s="1" t="s">
        <v>202</v>
      </c>
      <c r="GE7101" s="1" t="s">
        <v>190</v>
      </c>
    </row>
    <row r="7102" spans="1:187" ht="11.25" customHeight="1">
      <c r="A7102" s="1" t="s">
        <v>10011</v>
      </c>
      <c r="B7102" s="1" t="str">
        <f ca="1">IFERROR(__xludf.DUMMYFUNCTION("GOOGLETRANSLATE(A7102, ""en"", ""fr"")"),"OBSTRUER")</f>
        <v>OBSTRUER</v>
      </c>
      <c r="C7102" s="1" t="s">
        <v>185</v>
      </c>
      <c r="E7102" s="1" t="s">
        <v>16613</v>
      </c>
      <c r="H7102" s="1" t="s">
        <v>4</v>
      </c>
      <c r="I7102" s="1" t="s">
        <v>5</v>
      </c>
      <c r="J7102" s="1" t="s">
        <v>6</v>
      </c>
      <c r="N7102" s="1" t="s">
        <v>10</v>
      </c>
      <c r="AN7102" s="1" t="s">
        <v>36</v>
      </c>
      <c r="DN7102" s="1" t="s">
        <v>114</v>
      </c>
      <c r="FR7102" s="1" t="s">
        <v>170</v>
      </c>
      <c r="GD7102" s="1" t="s">
        <v>189</v>
      </c>
      <c r="GE7102" s="1" t="s">
        <v>190</v>
      </c>
    </row>
    <row r="7103" spans="1:187" ht="11.25" customHeight="1">
      <c r="A7103" s="1" t="s">
        <v>10012</v>
      </c>
      <c r="B7103" s="1" t="str">
        <f ca="1">IFERROR(__xludf.DUMMYFUNCTION("GOOGLETRANSLATE(A7103, ""en"", ""fr"")"),"OBSTRUCTION")</f>
        <v>OBSTRUCTION</v>
      </c>
      <c r="C7103" s="1" t="s">
        <v>192</v>
      </c>
      <c r="E7103" s="1" t="s">
        <v>16613</v>
      </c>
      <c r="BC7103" s="1" t="s">
        <v>51</v>
      </c>
      <c r="CA7103" s="1" t="s">
        <v>75</v>
      </c>
      <c r="GD7103" s="1" t="s">
        <v>193</v>
      </c>
      <c r="GE7103" s="1" t="s">
        <v>190</v>
      </c>
    </row>
    <row r="7104" spans="1:187" ht="11.25" customHeight="1">
      <c r="A7104" s="1" t="s">
        <v>10013</v>
      </c>
      <c r="B7104" s="1" t="str">
        <f ca="1">IFERROR(__xludf.DUMMYFUNCTION("GOOGLETRANSLATE(A7104, ""en"", ""fr"")"),"OBTENIR")</f>
        <v>OBTENIR</v>
      </c>
      <c r="C7104" s="1" t="s">
        <v>185</v>
      </c>
      <c r="D7104" s="1" t="s">
        <v>16612</v>
      </c>
      <c r="F7104" s="1" t="s">
        <v>2</v>
      </c>
      <c r="J7104" s="1" t="s">
        <v>6</v>
      </c>
      <c r="N7104" s="1" t="s">
        <v>10</v>
      </c>
      <c r="BS7104" s="1" t="s">
        <v>67</v>
      </c>
      <c r="DN7104" s="1" t="s">
        <v>114</v>
      </c>
      <c r="FR7104" s="1" t="s">
        <v>170</v>
      </c>
      <c r="GD7104" s="1" t="s">
        <v>189</v>
      </c>
      <c r="GE7104" s="1" t="s">
        <v>10014</v>
      </c>
    </row>
    <row r="7105" spans="1:187" ht="11.25" customHeight="1">
      <c r="A7105" s="1" t="s">
        <v>10015</v>
      </c>
      <c r="B7105" s="1" t="str">
        <f ca="1">IFERROR(__xludf.DUMMYFUNCTION("GOOGLETRANSLATE(A7105, ""en"", ""fr"")"),"Obtenu")</f>
        <v>Obtenu</v>
      </c>
      <c r="C7105" s="1" t="s">
        <v>192</v>
      </c>
      <c r="D7105" s="1" t="s">
        <v>16612</v>
      </c>
      <c r="CD7105" s="1" t="s">
        <v>78</v>
      </c>
      <c r="CI7105" s="1" t="s">
        <v>83</v>
      </c>
      <c r="DD7105" s="1" t="s">
        <v>104</v>
      </c>
      <c r="DR7105" s="1" t="s">
        <v>118</v>
      </c>
      <c r="GD7105" s="1" t="s">
        <v>202</v>
      </c>
      <c r="GE7105" s="1" t="s">
        <v>190</v>
      </c>
    </row>
    <row r="7106" spans="1:187" ht="11.25" customHeight="1">
      <c r="A7106" s="1" t="s">
        <v>10016</v>
      </c>
      <c r="B7106" s="1" t="str">
        <f ca="1">IFERROR(__xludf.DUMMYFUNCTION("GOOGLETRANSLATE(A7106, ""en"", ""fr"")"),"ÉVIDENT")</f>
        <v>ÉVIDENT</v>
      </c>
      <c r="C7106" s="1" t="s">
        <v>185</v>
      </c>
      <c r="W7106" s="1" t="s">
        <v>19</v>
      </c>
      <c r="CK7106" s="1" t="s">
        <v>85</v>
      </c>
      <c r="FY7106" s="1" t="s">
        <v>177</v>
      </c>
      <c r="GD7106" s="1" t="s">
        <v>202</v>
      </c>
      <c r="GE7106" s="1" t="s">
        <v>10017</v>
      </c>
    </row>
    <row r="7107" spans="1:187" ht="11.25" customHeight="1">
      <c r="A7107" s="1" t="s">
        <v>10018</v>
      </c>
      <c r="B7107" s="1" t="str">
        <f ca="1">IFERROR(__xludf.DUMMYFUNCTION("GOOGLETRANSLATE(A7107, ""en"", ""fr"")"),"Occasion n ° 1")</f>
        <v>Occasion n ° 1</v>
      </c>
      <c r="C7107" s="1" t="s">
        <v>185</v>
      </c>
      <c r="AM7107" s="1" t="s">
        <v>35</v>
      </c>
      <c r="FS7107" s="1" t="s">
        <v>171</v>
      </c>
      <c r="GD7107" s="1" t="s">
        <v>193</v>
      </c>
      <c r="GE7107" s="1" t="s">
        <v>10019</v>
      </c>
    </row>
    <row r="7108" spans="1:187" ht="11.25" customHeight="1">
      <c r="A7108" s="1" t="s">
        <v>10020</v>
      </c>
      <c r="B7108" s="1" t="str">
        <f ca="1">IFERROR(__xludf.DUMMYFUNCTION("GOOGLETRANSLATE(A7108, ""en"", ""fr"")"),"Occasion n ° 2")</f>
        <v>Occasion n ° 2</v>
      </c>
      <c r="C7108" s="1" t="s">
        <v>185</v>
      </c>
      <c r="J7108" s="1" t="s">
        <v>6</v>
      </c>
      <c r="N7108" s="1" t="s">
        <v>10</v>
      </c>
      <c r="CI7108" s="1" t="s">
        <v>83</v>
      </c>
      <c r="DN7108" s="1" t="s">
        <v>114</v>
      </c>
      <c r="GD7108" s="1" t="s">
        <v>189</v>
      </c>
      <c r="GE7108" s="1" t="s">
        <v>10021</v>
      </c>
    </row>
    <row r="7109" spans="1:187" ht="11.25" customHeight="1">
      <c r="A7109" s="1" t="s">
        <v>10022</v>
      </c>
      <c r="B7109" s="1" t="str">
        <f ca="1">IFERROR(__xludf.DUMMYFUNCTION("GOOGLETRANSLATE(A7109, ""en"", ""fr"")"),"Occasion n ° 3")</f>
        <v>Occasion n ° 3</v>
      </c>
      <c r="C7109" s="1" t="s">
        <v>185</v>
      </c>
      <c r="L7109" s="1" t="s">
        <v>8</v>
      </c>
      <c r="X7109" s="1" t="s">
        <v>20</v>
      </c>
      <c r="CW7109" s="1" t="s">
        <v>97</v>
      </c>
      <c r="GB7109" s="1" t="s">
        <v>180</v>
      </c>
      <c r="GD7109" s="1" t="s">
        <v>236</v>
      </c>
      <c r="GE7109" s="1" t="s">
        <v>10023</v>
      </c>
    </row>
    <row r="7110" spans="1:187" ht="11.25" customHeight="1">
      <c r="A7110" s="1" t="s">
        <v>10024</v>
      </c>
      <c r="B7110" s="1" t="str">
        <f ca="1">IFERROR(__xludf.DUMMYFUNCTION("GOOGLETRANSLATE(A7110, ""en"", ""fr"")"),"OCCASIONNEL")</f>
        <v>OCCASIONNEL</v>
      </c>
      <c r="C7110" s="1" t="s">
        <v>185</v>
      </c>
      <c r="L7110" s="1" t="s">
        <v>8</v>
      </c>
      <c r="X7110" s="1" t="s">
        <v>20</v>
      </c>
      <c r="CW7110" s="1" t="s">
        <v>97</v>
      </c>
      <c r="GB7110" s="1" t="s">
        <v>180</v>
      </c>
      <c r="GD7110" s="1" t="s">
        <v>202</v>
      </c>
      <c r="GE7110" s="1" t="s">
        <v>10025</v>
      </c>
    </row>
    <row r="7111" spans="1:187" ht="11.25" customHeight="1">
      <c r="A7111" s="1" t="s">
        <v>10026</v>
      </c>
      <c r="B7111" s="1" t="str">
        <f ca="1">IFERROR(__xludf.DUMMYFUNCTION("GOOGLETRANSLATE(A7111, ""en"", ""fr"")"),"PROFESSION")</f>
        <v>PROFESSION</v>
      </c>
      <c r="C7111" s="1" t="s">
        <v>185</v>
      </c>
      <c r="Z7111" s="1" t="s">
        <v>22</v>
      </c>
      <c r="AA7111" s="1" t="s">
        <v>23</v>
      </c>
      <c r="AC7111" s="1" t="s">
        <v>25</v>
      </c>
      <c r="FL7111" s="1" t="s">
        <v>164</v>
      </c>
      <c r="FM7111" s="1" t="s">
        <v>418</v>
      </c>
      <c r="GD7111" s="1" t="s">
        <v>193</v>
      </c>
      <c r="GE7111" s="1" t="s">
        <v>190</v>
      </c>
    </row>
    <row r="7112" spans="1:187" ht="11.25" customHeight="1">
      <c r="A7112" s="1" t="s">
        <v>10027</v>
      </c>
      <c r="B7112" s="1" t="str">
        <f ca="1">IFERROR(__xludf.DUMMYFUNCTION("GOOGLETRANSLATE(A7112, ""en"", ""fr"")"),"PROFESSIONNEL")</f>
        <v>PROFESSIONNEL</v>
      </c>
      <c r="C7112" s="1" t="s">
        <v>185</v>
      </c>
      <c r="Z7112" s="1" t="s">
        <v>22</v>
      </c>
      <c r="AA7112" s="1" t="s">
        <v>23</v>
      </c>
      <c r="AC7112" s="1" t="s">
        <v>25</v>
      </c>
      <c r="FL7112" s="1" t="s">
        <v>164</v>
      </c>
      <c r="FM7112" s="1" t="s">
        <v>418</v>
      </c>
      <c r="GD7112" s="1" t="s">
        <v>202</v>
      </c>
      <c r="GE7112" s="1" t="s">
        <v>190</v>
      </c>
    </row>
    <row r="7113" spans="1:187" ht="11.25" customHeight="1">
      <c r="A7113" s="1" t="s">
        <v>10028</v>
      </c>
      <c r="B7113" s="1" t="str">
        <f ca="1">IFERROR(__xludf.DUMMYFUNCTION("GOOGLETRANSLATE(A7113, ""en"", ""fr"")"),"OCCUPER")</f>
        <v>OCCUPER</v>
      </c>
      <c r="C7113" s="1" t="s">
        <v>185</v>
      </c>
      <c r="J7113" s="1" t="s">
        <v>6</v>
      </c>
      <c r="CA7113" s="1" t="s">
        <v>75</v>
      </c>
      <c r="DN7113" s="1" t="s">
        <v>114</v>
      </c>
      <c r="EC7113" s="1" t="s">
        <v>129</v>
      </c>
      <c r="ED7113" s="1" t="s">
        <v>130</v>
      </c>
      <c r="GD7113" s="1" t="s">
        <v>189</v>
      </c>
      <c r="GE7113" s="1" t="s">
        <v>190</v>
      </c>
    </row>
    <row r="7114" spans="1:187" ht="11.25" customHeight="1">
      <c r="A7114" s="1" t="s">
        <v>10029</v>
      </c>
      <c r="B7114" s="1" t="str">
        <f ca="1">IFERROR(__xludf.DUMMYFUNCTION("GOOGLETRANSLATE(A7114, ""en"", ""fr"")"),"Se produire n ° 1")</f>
        <v>Se produire n ° 1</v>
      </c>
      <c r="C7114" s="1" t="s">
        <v>185</v>
      </c>
      <c r="O7114" s="1" t="s">
        <v>11</v>
      </c>
      <c r="BW7114" s="1" t="s">
        <v>71</v>
      </c>
      <c r="DN7114" s="1" t="s">
        <v>114</v>
      </c>
      <c r="FP7114" s="1" t="s">
        <v>168</v>
      </c>
      <c r="GD7114" s="1" t="s">
        <v>400</v>
      </c>
      <c r="GE7114" s="1" t="s">
        <v>10030</v>
      </c>
    </row>
    <row r="7115" spans="1:187" ht="11.25" customHeight="1">
      <c r="A7115" s="1" t="s">
        <v>10031</v>
      </c>
      <c r="B7115" s="1" t="str">
        <f ca="1">IFERROR(__xludf.DUMMYFUNCTION("GOOGLETRANSLATE(A7115, ""en"", ""fr"")"),"Se produire n ° 2")</f>
        <v>Se produire n ° 2</v>
      </c>
      <c r="C7115" s="1" t="s">
        <v>185</v>
      </c>
      <c r="O7115" s="1" t="s">
        <v>11</v>
      </c>
      <c r="CO7115" s="1" t="s">
        <v>89</v>
      </c>
      <c r="DN7115" s="1" t="s">
        <v>114</v>
      </c>
      <c r="FH7115" s="1" t="s">
        <v>160</v>
      </c>
      <c r="FI7115" s="1" t="s">
        <v>161</v>
      </c>
      <c r="GD7115" s="1" t="s">
        <v>189</v>
      </c>
      <c r="GE7115" s="1" t="s">
        <v>10032</v>
      </c>
    </row>
    <row r="7116" spans="1:187" ht="11.25" customHeight="1">
      <c r="A7116" s="1" t="s">
        <v>10033</v>
      </c>
      <c r="B7116" s="1" t="str">
        <f ca="1">IFERROR(__xludf.DUMMYFUNCTION("GOOGLETRANSLATE(A7116, ""en"", ""fr"")"),"OCCURRENCE")</f>
        <v>OCCURRENCE</v>
      </c>
      <c r="C7116" s="1" t="s">
        <v>185</v>
      </c>
      <c r="O7116" s="1" t="s">
        <v>11</v>
      </c>
      <c r="BW7116" s="1" t="s">
        <v>71</v>
      </c>
      <c r="GD7116" s="1" t="s">
        <v>193</v>
      </c>
      <c r="GE7116" s="1" t="s">
        <v>190</v>
      </c>
    </row>
    <row r="7117" spans="1:187" ht="11.25" customHeight="1">
      <c r="A7117" s="1" t="s">
        <v>10034</v>
      </c>
      <c r="B7117" s="1" t="str">
        <f ca="1">IFERROR(__xludf.DUMMYFUNCTION("GOOGLETRANSLATE(A7117, ""en"", ""fr"")"),"OCÉAN")</f>
        <v>OCÉAN</v>
      </c>
      <c r="C7117" s="1" t="s">
        <v>185</v>
      </c>
      <c r="AV7117" s="1" t="s">
        <v>44</v>
      </c>
      <c r="AZ7117" s="1" t="s">
        <v>48</v>
      </c>
      <c r="GD7117" s="1" t="s">
        <v>193</v>
      </c>
      <c r="GE7117" s="1" t="s">
        <v>190</v>
      </c>
    </row>
    <row r="7118" spans="1:187" ht="11.25" customHeight="1">
      <c r="A7118" s="1" t="s">
        <v>10035</v>
      </c>
      <c r="B7118" s="1" t="str">
        <f ca="1">IFERROR(__xludf.DUMMYFUNCTION("GOOGLETRANSLATE(A7118, ""en"", ""fr"")"),"OCTOBRE")</f>
        <v>OCTOBRE</v>
      </c>
      <c r="C7118" s="1" t="s">
        <v>185</v>
      </c>
      <c r="CQ7118" s="1" t="s">
        <v>91</v>
      </c>
      <c r="CY7118" s="1" t="s">
        <v>99</v>
      </c>
      <c r="CZ7118" s="1" t="s">
        <v>100</v>
      </c>
      <c r="GB7118" s="1" t="s">
        <v>180</v>
      </c>
      <c r="GD7118" s="1" t="s">
        <v>193</v>
      </c>
      <c r="GE7118" s="1" t="s">
        <v>190</v>
      </c>
    </row>
    <row r="7119" spans="1:187" ht="11.25" customHeight="1">
      <c r="A7119" s="1" t="s">
        <v>10036</v>
      </c>
      <c r="B7119" s="1" t="str">
        <f ca="1">IFERROR(__xludf.DUMMYFUNCTION("GOOGLETRANSLATE(A7119, ""en"", ""fr"")"),"IMPAIR")</f>
        <v>IMPAIR</v>
      </c>
      <c r="C7119" s="1" t="s">
        <v>185</v>
      </c>
      <c r="E7119" s="1" t="s">
        <v>16613</v>
      </c>
      <c r="H7119" s="1" t="s">
        <v>4</v>
      </c>
      <c r="V7119" s="1" t="s">
        <v>18</v>
      </c>
      <c r="CN7119" s="1" t="s">
        <v>88</v>
      </c>
      <c r="GD7119" s="1" t="s">
        <v>202</v>
      </c>
      <c r="GE7119" s="1" t="s">
        <v>190</v>
      </c>
    </row>
    <row r="7120" spans="1:187" ht="11.25" customHeight="1">
      <c r="A7120" s="1" t="s">
        <v>10037</v>
      </c>
      <c r="B7120" s="1" t="str">
        <f ca="1">IFERROR(__xludf.DUMMYFUNCTION("GOOGLETRANSLATE(A7120, ""en"", ""fr"")"),"SINGULARITÉ")</f>
        <v>SINGULARITÉ</v>
      </c>
      <c r="C7120" s="1" t="s">
        <v>192</v>
      </c>
      <c r="E7120" s="1" t="s">
        <v>16613</v>
      </c>
      <c r="CM7120" s="1" t="s">
        <v>87</v>
      </c>
      <c r="CR7120" s="1" t="s">
        <v>92</v>
      </c>
      <c r="GD7120" s="1" t="s">
        <v>193</v>
      </c>
      <c r="GE7120" s="1" t="s">
        <v>190</v>
      </c>
    </row>
    <row r="7121" spans="1:187" ht="11.25" customHeight="1">
      <c r="A7121" s="1" t="s">
        <v>10038</v>
      </c>
      <c r="B7121" s="1" t="str">
        <f ca="1">IFERROR(__xludf.DUMMYFUNCTION("GOOGLETRANSLATE(A7121, ""en"", ""fr"")"),"CHANCES")</f>
        <v>CHANCES</v>
      </c>
      <c r="C7121" s="1" t="s">
        <v>185</v>
      </c>
      <c r="CI7121" s="1" t="s">
        <v>83</v>
      </c>
      <c r="FR7121" s="1" t="s">
        <v>170</v>
      </c>
      <c r="GD7121" s="1" t="s">
        <v>193</v>
      </c>
      <c r="GE7121" s="1" t="s">
        <v>190</v>
      </c>
    </row>
    <row r="7122" spans="1:187" ht="11.25" customHeight="1">
      <c r="A7122" s="1" t="s">
        <v>10039</v>
      </c>
      <c r="B7122" s="1" t="str">
        <f ca="1">IFERROR(__xludf.DUMMYFUNCTION("GOOGLETRANSLATE(A7122, ""en"", ""fr"")"),"ODEUR")</f>
        <v>ODEUR</v>
      </c>
      <c r="C7122" s="1" t="s">
        <v>185</v>
      </c>
      <c r="CR7122" s="1" t="s">
        <v>92</v>
      </c>
      <c r="GD7122" s="1" t="s">
        <v>193</v>
      </c>
      <c r="GE7122" s="1" t="s">
        <v>190</v>
      </c>
    </row>
    <row r="7123" spans="1:187" ht="11.25" customHeight="1">
      <c r="A7123" s="1" t="s">
        <v>10040</v>
      </c>
      <c r="B7123" s="1" t="str">
        <f ca="1">IFERROR(__xludf.DUMMYFUNCTION("GOOGLETRANSLATE(A7123, ""en"", ""fr"")"),"Odeur n ° 1")</f>
        <v>Odeur n ° 1</v>
      </c>
      <c r="C7123" s="1" t="s">
        <v>192</v>
      </c>
      <c r="GE7123" s="1" t="s">
        <v>190</v>
      </c>
    </row>
    <row r="7124" spans="1:187" ht="11.25" customHeight="1">
      <c r="A7124" s="1" t="s">
        <v>10041</v>
      </c>
      <c r="B7124" s="1" t="str">
        <f ca="1">IFERROR(__xludf.DUMMYFUNCTION("GOOGLETRANSLATE(A7124, ""en"", ""fr"")"),"DE")</f>
        <v>DE</v>
      </c>
      <c r="C7124" s="1" t="s">
        <v>185</v>
      </c>
      <c r="GD7124" s="1" t="s">
        <v>215</v>
      </c>
      <c r="GE7124" s="1" t="s">
        <v>10042</v>
      </c>
    </row>
    <row r="7125" spans="1:187" ht="11.25" customHeight="1">
      <c r="A7125" s="1" t="s">
        <v>10043</v>
      </c>
      <c r="B7125" s="1" t="str">
        <f ca="1">IFERROR(__xludf.DUMMYFUNCTION("GOOGLETRANSLATE(A7125, ""en"", ""fr"")"),"DÉSACTIVÉ")</f>
        <v>DÉSACTIVÉ</v>
      </c>
      <c r="C7125" s="1" t="s">
        <v>185</v>
      </c>
      <c r="DA7125" s="1" t="s">
        <v>101</v>
      </c>
      <c r="GD7125" s="1" t="s">
        <v>207</v>
      </c>
      <c r="GE7125" s="1" t="s">
        <v>10044</v>
      </c>
    </row>
    <row r="7126" spans="1:187" ht="11.25" customHeight="1">
      <c r="A7126" s="1" t="s">
        <v>10045</v>
      </c>
      <c r="B7126" s="1" t="str">
        <f ca="1">IFERROR(__xludf.DUMMYFUNCTION("GOOGLETRANSLATE(A7126, ""en"", ""fr"")"),"INFRACTION")</f>
        <v>INFRACTION</v>
      </c>
      <c r="C7126" s="1" t="s">
        <v>196</v>
      </c>
      <c r="EE7126" s="1" t="s">
        <v>131</v>
      </c>
      <c r="EJ7126" s="1" t="s">
        <v>136</v>
      </c>
      <c r="GD7126" s="1" t="s">
        <v>193</v>
      </c>
    </row>
    <row r="7127" spans="1:187" ht="11.25" customHeight="1">
      <c r="A7127" s="1" t="s">
        <v>10046</v>
      </c>
      <c r="B7127" s="1" t="str">
        <f ca="1">IFERROR(__xludf.DUMMYFUNCTION("GOOGLETRANSLATE(A7127, ""en"", ""fr"")"),"OFFENSER")</f>
        <v>OFFENSER</v>
      </c>
      <c r="C7127" s="1" t="s">
        <v>185</v>
      </c>
      <c r="E7127" s="1" t="s">
        <v>16613</v>
      </c>
      <c r="I7127" s="1" t="s">
        <v>5</v>
      </c>
      <c r="N7127" s="1" t="s">
        <v>10</v>
      </c>
      <c r="CM7127" s="1" t="s">
        <v>87</v>
      </c>
      <c r="DN7127" s="1" t="s">
        <v>114</v>
      </c>
      <c r="EM7127" s="1" t="s">
        <v>139</v>
      </c>
      <c r="EN7127" s="1" t="s">
        <v>140</v>
      </c>
      <c r="GD7127" s="1" t="s">
        <v>670</v>
      </c>
      <c r="GE7127" s="1" t="s">
        <v>190</v>
      </c>
    </row>
    <row r="7128" spans="1:187" ht="11.25" customHeight="1">
      <c r="A7128" s="1" t="s">
        <v>10047</v>
      </c>
      <c r="B7128" s="1" t="str">
        <f ca="1">IFERROR(__xludf.DUMMYFUNCTION("GOOGLETRANSLATE(A7128, ""en"", ""fr"")"),"DÉLINQUANT")</f>
        <v>DÉLINQUANT</v>
      </c>
      <c r="C7128" s="1" t="s">
        <v>185</v>
      </c>
      <c r="E7128" s="1" t="s">
        <v>16613</v>
      </c>
      <c r="I7128" s="1" t="s">
        <v>5</v>
      </c>
      <c r="AT7128" s="1" t="s">
        <v>42</v>
      </c>
      <c r="CI7128" s="1" t="s">
        <v>83</v>
      </c>
      <c r="EH7128" s="1" t="s">
        <v>134</v>
      </c>
      <c r="EJ7128" s="1" t="s">
        <v>136</v>
      </c>
      <c r="GD7128" s="1" t="s">
        <v>193</v>
      </c>
      <c r="GE7128" s="1" t="s">
        <v>190</v>
      </c>
    </row>
    <row r="7129" spans="1:187" ht="11.25" customHeight="1">
      <c r="A7129" s="1" t="s">
        <v>10048</v>
      </c>
      <c r="B7129" s="1" t="str">
        <f ca="1">IFERROR(__xludf.DUMMYFUNCTION("GOOGLETRANSLATE(A7129, ""en"", ""fr"")"),"OFFENSANT")</f>
        <v>OFFENSANT</v>
      </c>
      <c r="C7129" s="1" t="s">
        <v>185</v>
      </c>
      <c r="E7129" s="1" t="s">
        <v>16613</v>
      </c>
      <c r="H7129" s="1" t="s">
        <v>4</v>
      </c>
      <c r="I7129" s="1" t="s">
        <v>5</v>
      </c>
      <c r="J7129" s="1" t="s">
        <v>6</v>
      </c>
      <c r="N7129" s="1" t="s">
        <v>10</v>
      </c>
      <c r="V7129" s="1" t="s">
        <v>18</v>
      </c>
      <c r="CM7129" s="1" t="s">
        <v>87</v>
      </c>
      <c r="DR7129" s="1" t="s">
        <v>118</v>
      </c>
      <c r="GD7129" s="1" t="s">
        <v>202</v>
      </c>
      <c r="GE7129" s="1" t="s">
        <v>10049</v>
      </c>
    </row>
    <row r="7130" spans="1:187" ht="11.25" customHeight="1">
      <c r="A7130" s="1" t="s">
        <v>10050</v>
      </c>
      <c r="B7130" s="1" t="str">
        <f ca="1">IFERROR(__xludf.DUMMYFUNCTION("GOOGLETRANSLATE(A7130, ""en"", ""fr"")"),"Offre n ° 1")</f>
        <v>Offre n ° 1</v>
      </c>
      <c r="C7130" s="1" t="s">
        <v>185</v>
      </c>
      <c r="D7130" s="1" t="s">
        <v>16612</v>
      </c>
      <c r="F7130" s="1" t="s">
        <v>2</v>
      </c>
      <c r="G7130" s="1" t="s">
        <v>3</v>
      </c>
      <c r="N7130" s="1" t="s">
        <v>10</v>
      </c>
      <c r="AN7130" s="1" t="s">
        <v>36</v>
      </c>
      <c r="DN7130" s="1" t="s">
        <v>114</v>
      </c>
      <c r="FR7130" s="1" t="s">
        <v>170</v>
      </c>
      <c r="GD7130" s="1" t="s">
        <v>400</v>
      </c>
      <c r="GE7130" s="1" t="s">
        <v>10051</v>
      </c>
    </row>
    <row r="7131" spans="1:187" ht="11.25" customHeight="1">
      <c r="A7131" s="1" t="s">
        <v>10052</v>
      </c>
      <c r="B7131" s="1" t="str">
        <f ca="1">IFERROR(__xludf.DUMMYFUNCTION("GOOGLETRANSLATE(A7131, ""en"", ""fr"")"),"Offre n ° 2")</f>
        <v>Offre n ° 2</v>
      </c>
      <c r="C7131" s="1" t="s">
        <v>185</v>
      </c>
      <c r="D7131" s="1" t="s">
        <v>16612</v>
      </c>
      <c r="F7131" s="1" t="s">
        <v>2</v>
      </c>
      <c r="G7131" s="1" t="s">
        <v>3</v>
      </c>
      <c r="N7131" s="1" t="s">
        <v>10</v>
      </c>
      <c r="BK7131" s="1" t="s">
        <v>59</v>
      </c>
      <c r="BL7131" s="1" t="s">
        <v>60</v>
      </c>
      <c r="FN7131" s="1" t="s">
        <v>166</v>
      </c>
      <c r="GC7131" s="1" t="s">
        <v>181</v>
      </c>
      <c r="GD7131" s="1" t="s">
        <v>193</v>
      </c>
      <c r="GE7131" s="1" t="s">
        <v>10053</v>
      </c>
    </row>
    <row r="7132" spans="1:187" ht="11.25" customHeight="1">
      <c r="A7132" s="1" t="s">
        <v>10054</v>
      </c>
      <c r="B7132" s="1" t="str">
        <f ca="1">IFERROR(__xludf.DUMMYFUNCTION("GOOGLETRANSLATE(A7132, ""en"", ""fr"")"),"Offre n ° 3")</f>
        <v>Offre n ° 3</v>
      </c>
      <c r="C7132" s="1" t="s">
        <v>185</v>
      </c>
      <c r="D7132" s="1" t="s">
        <v>16612</v>
      </c>
      <c r="F7132" s="1" t="s">
        <v>2</v>
      </c>
      <c r="G7132" s="1" t="s">
        <v>3</v>
      </c>
      <c r="J7132" s="1" t="s">
        <v>6</v>
      </c>
      <c r="O7132" s="1" t="s">
        <v>11</v>
      </c>
      <c r="BC7132" s="1" t="s">
        <v>51</v>
      </c>
      <c r="BH7132" s="1" t="s">
        <v>56</v>
      </c>
      <c r="BL7132" s="1" t="s">
        <v>60</v>
      </c>
      <c r="FR7132" s="1" t="s">
        <v>170</v>
      </c>
      <c r="GD7132" s="1" t="s">
        <v>193</v>
      </c>
      <c r="GE7132" s="1" t="s">
        <v>10055</v>
      </c>
    </row>
    <row r="7133" spans="1:187" ht="11.25" customHeight="1">
      <c r="A7133" s="1" t="s">
        <v>10056</v>
      </c>
      <c r="B7133" s="1" t="str">
        <f ca="1">IFERROR(__xludf.DUMMYFUNCTION("GOOGLETRANSLATE(A7133, ""en"", ""fr"")"),"Bureau n ° 1")</f>
        <v>Bureau n ° 1</v>
      </c>
      <c r="C7133" s="1" t="s">
        <v>185</v>
      </c>
      <c r="AA7133" s="1" t="s">
        <v>23</v>
      </c>
      <c r="AV7133" s="1" t="s">
        <v>44</v>
      </c>
      <c r="AW7133" s="1" t="s">
        <v>45</v>
      </c>
      <c r="GD7133" s="1" t="s">
        <v>193</v>
      </c>
      <c r="GE7133" s="1" t="s">
        <v>10057</v>
      </c>
    </row>
    <row r="7134" spans="1:187" ht="11.25" customHeight="1">
      <c r="A7134" s="1" t="s">
        <v>10058</v>
      </c>
      <c r="B7134" s="1" t="str">
        <f ca="1">IFERROR(__xludf.DUMMYFUNCTION("GOOGLETRANSLATE(A7134, ""en"", ""fr"")"),"Bureau n ° 2")</f>
        <v>Bureau n ° 2</v>
      </c>
      <c r="C7134" s="1" t="s">
        <v>185</v>
      </c>
      <c r="Z7134" s="1" t="s">
        <v>22</v>
      </c>
      <c r="AH7134" s="1" t="s">
        <v>30</v>
      </c>
      <c r="EB7134" s="1" t="s">
        <v>128</v>
      </c>
      <c r="ED7134" s="1" t="s">
        <v>130</v>
      </c>
      <c r="GD7134" s="1" t="s">
        <v>193</v>
      </c>
      <c r="GE7134" s="1" t="s">
        <v>10059</v>
      </c>
    </row>
    <row r="7135" spans="1:187" ht="11.25" customHeight="1">
      <c r="A7135" s="1" t="s">
        <v>10060</v>
      </c>
      <c r="B7135" s="1" t="str">
        <f ca="1">IFERROR(__xludf.DUMMYFUNCTION("GOOGLETRANSLATE(A7135, ""en"", ""fr"")"),"Bureau n ° 3")</f>
        <v>Bureau n ° 3</v>
      </c>
      <c r="C7135" s="1" t="s">
        <v>185</v>
      </c>
      <c r="GD7135" s="1" t="s">
        <v>225</v>
      </c>
      <c r="GE7135" s="1" t="s">
        <v>10061</v>
      </c>
    </row>
    <row r="7136" spans="1:187" ht="11.25" customHeight="1">
      <c r="A7136" s="1" t="s">
        <v>10062</v>
      </c>
      <c r="B7136" s="1" t="str">
        <f ca="1">IFERROR(__xludf.DUMMYFUNCTION("GOOGLETRANSLATE(A7136, ""en"", ""fr"")"),"OFFICIER")</f>
        <v>OFFICIER</v>
      </c>
      <c r="C7136" s="1" t="s">
        <v>185</v>
      </c>
      <c r="J7136" s="1" t="s">
        <v>6</v>
      </c>
      <c r="K7136" s="1" t="s">
        <v>7</v>
      </c>
      <c r="AH7136" s="1" t="s">
        <v>30</v>
      </c>
      <c r="AJ7136" s="1" t="s">
        <v>32</v>
      </c>
      <c r="AT7136" s="1" t="s">
        <v>42</v>
      </c>
      <c r="DY7136" s="1" t="s">
        <v>125</v>
      </c>
      <c r="ED7136" s="1" t="s">
        <v>130</v>
      </c>
      <c r="GD7136" s="1" t="s">
        <v>193</v>
      </c>
      <c r="GE7136" s="1" t="s">
        <v>10063</v>
      </c>
    </row>
    <row r="7137" spans="1:187" ht="11.25" customHeight="1">
      <c r="A7137" s="1" t="s">
        <v>10064</v>
      </c>
      <c r="B7137" s="1" t="str">
        <f ca="1">IFERROR(__xludf.DUMMYFUNCTION("GOOGLETRANSLATE(A7137, ""en"", ""fr"")"),"OFFICIEL # 1")</f>
        <v>OFFICIEL # 1</v>
      </c>
      <c r="C7137" s="1" t="s">
        <v>185</v>
      </c>
      <c r="J7137" s="1" t="s">
        <v>6</v>
      </c>
      <c r="K7137" s="1" t="s">
        <v>7</v>
      </c>
      <c r="AE7137" s="1" t="s">
        <v>27</v>
      </c>
      <c r="AH7137" s="1" t="s">
        <v>30</v>
      </c>
      <c r="AJ7137" s="1" t="s">
        <v>32</v>
      </c>
      <c r="AT7137" s="1" t="s">
        <v>42</v>
      </c>
      <c r="DY7137" s="1" t="s">
        <v>125</v>
      </c>
      <c r="ED7137" s="1" t="s">
        <v>130</v>
      </c>
      <c r="GD7137" s="1" t="s">
        <v>193</v>
      </c>
      <c r="GE7137" s="1" t="s">
        <v>10065</v>
      </c>
    </row>
    <row r="7138" spans="1:187" ht="11.25" customHeight="1">
      <c r="A7138" s="1" t="s">
        <v>10066</v>
      </c>
      <c r="B7138" s="1" t="str">
        <f ca="1">IFERROR(__xludf.DUMMYFUNCTION("GOOGLETRANSLATE(A7138, ""en"", ""fr"")"),"OFFICIEL # 2")</f>
        <v>OFFICIEL # 2</v>
      </c>
      <c r="C7138" s="1" t="s">
        <v>185</v>
      </c>
      <c r="J7138" s="1" t="s">
        <v>6</v>
      </c>
      <c r="Z7138" s="1" t="s">
        <v>22</v>
      </c>
      <c r="AE7138" s="1" t="s">
        <v>27</v>
      </c>
      <c r="EB7138" s="1" t="s">
        <v>128</v>
      </c>
      <c r="ED7138" s="1" t="s">
        <v>130</v>
      </c>
      <c r="GD7138" s="1" t="s">
        <v>236</v>
      </c>
      <c r="GE7138" s="1" t="s">
        <v>10067</v>
      </c>
    </row>
    <row r="7139" spans="1:187" ht="11.25" customHeight="1">
      <c r="A7139" s="1" t="s">
        <v>10068</v>
      </c>
      <c r="B7139" s="1" t="str">
        <f ca="1">IFERROR(__xludf.DUMMYFUNCTION("GOOGLETRANSLATE(A7139, ""en"", ""fr"")"),"OFFICIEL # 3")</f>
        <v>OFFICIEL # 3</v>
      </c>
      <c r="C7139" s="1" t="s">
        <v>185</v>
      </c>
      <c r="J7139" s="1" t="s">
        <v>6</v>
      </c>
      <c r="Z7139" s="1" t="s">
        <v>22</v>
      </c>
      <c r="AE7139" s="1" t="s">
        <v>27</v>
      </c>
      <c r="EB7139" s="1" t="s">
        <v>128</v>
      </c>
      <c r="ED7139" s="1" t="s">
        <v>130</v>
      </c>
      <c r="GD7139" s="1" t="s">
        <v>202</v>
      </c>
      <c r="GE7139" s="1" t="s">
        <v>10069</v>
      </c>
    </row>
    <row r="7140" spans="1:187" ht="11.25" customHeight="1">
      <c r="A7140" s="1" t="s">
        <v>10070</v>
      </c>
      <c r="B7140" s="1" t="str">
        <f ca="1">IFERROR(__xludf.DUMMYFUNCTION("GOOGLETRANSLATE(A7140, ""en"", ""fr"")"),"OFFICIER")</f>
        <v>OFFICIER</v>
      </c>
      <c r="C7140" s="1" t="s">
        <v>185</v>
      </c>
      <c r="J7140" s="1" t="s">
        <v>6</v>
      </c>
      <c r="K7140" s="1" t="s">
        <v>7</v>
      </c>
      <c r="AE7140" s="1" t="s">
        <v>27</v>
      </c>
      <c r="AN7140" s="1" t="s">
        <v>36</v>
      </c>
      <c r="DN7140" s="1" t="s">
        <v>114</v>
      </c>
      <c r="EB7140" s="1" t="s">
        <v>128</v>
      </c>
      <c r="ED7140" s="1" t="s">
        <v>130</v>
      </c>
      <c r="GD7140" s="1" t="s">
        <v>189</v>
      </c>
      <c r="GE7140" s="1" t="s">
        <v>190</v>
      </c>
    </row>
    <row r="7141" spans="1:187" ht="11.25" customHeight="1">
      <c r="A7141" s="1" t="s">
        <v>10071</v>
      </c>
      <c r="B7141" s="1" t="str">
        <f ca="1">IFERROR(__xludf.DUMMYFUNCTION("GOOGLETRANSLATE(A7141, ""en"", ""fr"")"),"COMPENSER")</f>
        <v>COMPENSER</v>
      </c>
      <c r="C7141" s="1" t="s">
        <v>192</v>
      </c>
      <c r="D7141" s="1" t="s">
        <v>16612</v>
      </c>
      <c r="O7141" s="1" t="s">
        <v>11</v>
      </c>
      <c r="DD7141" s="1" t="s">
        <v>104</v>
      </c>
      <c r="DN7141" s="1" t="s">
        <v>114</v>
      </c>
      <c r="GD7141" s="1" t="s">
        <v>670</v>
      </c>
      <c r="GE7141" s="1" t="s">
        <v>190</v>
      </c>
    </row>
    <row r="7142" spans="1:187" ht="11.25" customHeight="1">
      <c r="A7142" s="1" t="s">
        <v>10072</v>
      </c>
      <c r="B7142" s="1" t="str">
        <f ca="1">IFERROR(__xludf.DUMMYFUNCTION("GOOGLETRANSLATE(A7142, ""en"", ""fr"")"),"Offshore")</f>
        <v>Offshore</v>
      </c>
      <c r="C7142" s="1" t="s">
        <v>196</v>
      </c>
      <c r="GB7142" s="1" t="s">
        <v>180</v>
      </c>
      <c r="GD7142" s="1" t="s">
        <v>193</v>
      </c>
    </row>
    <row r="7143" spans="1:187" ht="11.25" customHeight="1">
      <c r="A7143" s="1" t="s">
        <v>10073</v>
      </c>
      <c r="B7143" s="1" t="str">
        <f ca="1">IFERROR(__xludf.DUMMYFUNCTION("GOOGLETRANSLATE(A7143, ""en"", ""fr"")"),"PROGÉNITURE")</f>
        <v>PROGÉNITURE</v>
      </c>
      <c r="C7143" s="1" t="s">
        <v>196</v>
      </c>
      <c r="EQ7143" s="1" t="s">
        <v>143</v>
      </c>
      <c r="ES7143" s="1" t="s">
        <v>145</v>
      </c>
      <c r="GD7143" s="1" t="s">
        <v>193</v>
      </c>
    </row>
    <row r="7144" spans="1:187" ht="11.25" customHeight="1">
      <c r="A7144" s="1" t="s">
        <v>10074</v>
      </c>
      <c r="B7144" s="1" t="str">
        <f ca="1">IFERROR(__xludf.DUMMYFUNCTION("GOOGLETRANSLATE(A7144, ""en"", ""fr"")"),"SOUVENT")</f>
        <v>SOUVENT</v>
      </c>
      <c r="C7144" s="1" t="s">
        <v>185</v>
      </c>
      <c r="J7144" s="1" t="s">
        <v>6</v>
      </c>
      <c r="W7144" s="1" t="s">
        <v>19</v>
      </c>
      <c r="CW7144" s="1" t="s">
        <v>97</v>
      </c>
      <c r="GB7144" s="1" t="s">
        <v>180</v>
      </c>
      <c r="GD7144" s="1" t="s">
        <v>236</v>
      </c>
      <c r="GE7144" s="1" t="s">
        <v>10075</v>
      </c>
    </row>
    <row r="7145" spans="1:187" ht="11.25" customHeight="1">
      <c r="A7145" s="1" t="s">
        <v>10076</v>
      </c>
      <c r="B7145" s="1" t="str">
        <f ca="1">IFERROR(__xludf.DUMMYFUNCTION("GOOGLETRANSLATE(A7145, ""en"", ""fr"")"),"OHIO")</f>
        <v>OHIO</v>
      </c>
      <c r="C7145" s="1" t="s">
        <v>185</v>
      </c>
      <c r="AC7145" s="1" t="s">
        <v>25</v>
      </c>
      <c r="AH7145" s="1" t="s">
        <v>30</v>
      </c>
      <c r="DI7145" s="1" t="s">
        <v>109</v>
      </c>
      <c r="GD7145" s="1" t="s">
        <v>193</v>
      </c>
      <c r="GE7145" s="1" t="s">
        <v>190</v>
      </c>
    </row>
    <row r="7146" spans="1:187" ht="11.25" customHeight="1">
      <c r="A7146" s="1" t="s">
        <v>10077</v>
      </c>
      <c r="B7146" s="1" t="str">
        <f ca="1">IFERROR(__xludf.DUMMYFUNCTION("GOOGLETRANSLATE(A7146, ""en"", ""fr"")"),"HUILE")</f>
        <v>HUILE</v>
      </c>
      <c r="C7146" s="1" t="s">
        <v>185</v>
      </c>
      <c r="AA7146" s="1" t="s">
        <v>23</v>
      </c>
      <c r="AC7146" s="1" t="s">
        <v>25</v>
      </c>
      <c r="BC7146" s="1" t="s">
        <v>51</v>
      </c>
      <c r="BI7146" s="1" t="s">
        <v>57</v>
      </c>
      <c r="EV7146" s="1" t="s">
        <v>148</v>
      </c>
      <c r="EW7146" s="1" t="s">
        <v>149</v>
      </c>
      <c r="GD7146" s="1" t="s">
        <v>193</v>
      </c>
      <c r="GE7146" s="1" t="s">
        <v>190</v>
      </c>
    </row>
    <row r="7147" spans="1:187" ht="11.25" customHeight="1">
      <c r="A7147" s="1" t="s">
        <v>10078</v>
      </c>
      <c r="B7147" s="1" t="str">
        <f ca="1">IFERROR(__xludf.DUMMYFUNCTION("GOOGLETRANSLATE(A7147, ""en"", ""fr"")"),"D'ACCORD")</f>
        <v>D'ACCORD</v>
      </c>
      <c r="C7147" s="1" t="s">
        <v>185</v>
      </c>
      <c r="DJ7147" s="1" t="s">
        <v>110</v>
      </c>
      <c r="DM7147" s="1" t="s">
        <v>113</v>
      </c>
      <c r="FX7147" s="1" t="s">
        <v>176</v>
      </c>
      <c r="GD7147" s="1" t="s">
        <v>202</v>
      </c>
      <c r="GE7147" s="1" t="s">
        <v>10079</v>
      </c>
    </row>
    <row r="7148" spans="1:187" ht="11.25" customHeight="1">
      <c r="A7148" s="1" t="s">
        <v>10080</v>
      </c>
      <c r="B7148" s="1" t="str">
        <f ca="1">IFERROR(__xludf.DUMMYFUNCTION("GOOGLETRANSLATE(A7148, ""en"", ""fr"")"),"OKLAHOMA")</f>
        <v>OKLAHOMA</v>
      </c>
      <c r="C7148" s="1" t="s">
        <v>196</v>
      </c>
      <c r="GD7148" s="1" t="s">
        <v>653</v>
      </c>
    </row>
    <row r="7149" spans="1:187" ht="11.25" customHeight="1">
      <c r="A7149" s="1" t="s">
        <v>10081</v>
      </c>
      <c r="B7149" s="1" t="str">
        <f ca="1">IFERROR(__xludf.DUMMYFUNCTION("GOOGLETRANSLATE(A7149, ""en"", ""fr"")"),"Old # 1")</f>
        <v>Old # 1</v>
      </c>
      <c r="C7149" s="1" t="s">
        <v>185</v>
      </c>
      <c r="L7149" s="1" t="s">
        <v>8</v>
      </c>
      <c r="CY7149" s="1" t="s">
        <v>99</v>
      </c>
      <c r="GB7149" s="1" t="s">
        <v>180</v>
      </c>
      <c r="GD7149" s="1" t="s">
        <v>202</v>
      </c>
      <c r="GE7149" s="1" t="s">
        <v>10082</v>
      </c>
    </row>
    <row r="7150" spans="1:187" ht="11.25" customHeight="1">
      <c r="A7150" s="1" t="s">
        <v>10083</v>
      </c>
      <c r="B7150" s="1" t="str">
        <f ca="1">IFERROR(__xludf.DUMMYFUNCTION("GOOGLETRANSLATE(A7150, ""en"", ""fr"")"),"Old # 2")</f>
        <v>Old # 2</v>
      </c>
      <c r="C7150" s="1" t="s">
        <v>185</v>
      </c>
      <c r="CY7150" s="1" t="s">
        <v>99</v>
      </c>
      <c r="GB7150" s="1" t="s">
        <v>180</v>
      </c>
      <c r="GD7150" s="1" t="s">
        <v>202</v>
      </c>
      <c r="GE7150" s="1" t="s">
        <v>10084</v>
      </c>
    </row>
    <row r="7151" spans="1:187" ht="11.25" customHeight="1">
      <c r="A7151" s="1" t="s">
        <v>10085</v>
      </c>
      <c r="B7151" s="1" t="str">
        <f ca="1">IFERROR(__xludf.DUMMYFUNCTION("GOOGLETRANSLATE(A7151, ""en"", ""fr"")"),"Old # 3")</f>
        <v>Old # 3</v>
      </c>
      <c r="C7151" s="1" t="s">
        <v>185</v>
      </c>
      <c r="L7151" s="1" t="s">
        <v>8</v>
      </c>
      <c r="CY7151" s="1" t="s">
        <v>99</v>
      </c>
      <c r="GB7151" s="1" t="s">
        <v>180</v>
      </c>
      <c r="GD7151" s="1" t="s">
        <v>202</v>
      </c>
      <c r="GE7151" s="1" t="s">
        <v>10086</v>
      </c>
    </row>
    <row r="7152" spans="1:187" ht="11.25" customHeight="1">
      <c r="A7152" s="1" t="s">
        <v>10087</v>
      </c>
      <c r="B7152" s="1" t="str">
        <f ca="1">IFERROR(__xludf.DUMMYFUNCTION("GOOGLETRANSLATE(A7152, ""en"", ""fr"")"),"Old # 4")</f>
        <v>Old # 4</v>
      </c>
      <c r="C7152" s="1" t="s">
        <v>185</v>
      </c>
      <c r="L7152" s="1" t="s">
        <v>8</v>
      </c>
      <c r="CY7152" s="1" t="s">
        <v>99</v>
      </c>
      <c r="GB7152" s="1" t="s">
        <v>180</v>
      </c>
      <c r="GD7152" s="1" t="s">
        <v>202</v>
      </c>
      <c r="GE7152" s="1" t="s">
        <v>10088</v>
      </c>
    </row>
    <row r="7153" spans="1:187" ht="11.25" customHeight="1">
      <c r="A7153" s="1" t="s">
        <v>10089</v>
      </c>
      <c r="B7153" s="1" t="str">
        <f ca="1">IFERROR(__xludf.DUMMYFUNCTION("GOOGLETRANSLATE(A7153, ""en"", ""fr"")"),"SINISTRE")</f>
        <v>SINISTRE</v>
      </c>
      <c r="C7153" s="1" t="s">
        <v>185</v>
      </c>
      <c r="E7153" s="1" t="s">
        <v>16613</v>
      </c>
      <c r="H7153" s="1" t="s">
        <v>4</v>
      </c>
      <c r="I7153" s="1" t="s">
        <v>5</v>
      </c>
      <c r="J7153" s="1" t="s">
        <v>6</v>
      </c>
      <c r="V7153" s="1" t="s">
        <v>18</v>
      </c>
      <c r="FR7153" s="1" t="s">
        <v>170</v>
      </c>
      <c r="GD7153" s="1" t="s">
        <v>202</v>
      </c>
      <c r="GE7153" s="1" t="s">
        <v>190</v>
      </c>
    </row>
    <row r="7154" spans="1:187" ht="11.25" customHeight="1">
      <c r="A7154" s="1" t="s">
        <v>10090</v>
      </c>
      <c r="B7154" s="1" t="str">
        <f ca="1">IFERROR(__xludf.DUMMYFUNCTION("GOOGLETRANSLATE(A7154, ""en"", ""fr"")"),"OMISSION")</f>
        <v>OMISSION</v>
      </c>
      <c r="C7154" s="1" t="s">
        <v>185</v>
      </c>
      <c r="E7154" s="1" t="s">
        <v>16613</v>
      </c>
      <c r="H7154" s="1" t="s">
        <v>4</v>
      </c>
      <c r="L7154" s="1" t="s">
        <v>8</v>
      </c>
      <c r="O7154" s="1" t="s">
        <v>11</v>
      </c>
      <c r="BQ7154" s="1" t="s">
        <v>65</v>
      </c>
      <c r="GD7154" s="1" t="s">
        <v>193</v>
      </c>
      <c r="GE7154" s="1" t="s">
        <v>190</v>
      </c>
    </row>
    <row r="7155" spans="1:187" ht="11.25" customHeight="1">
      <c r="A7155" s="1" t="s">
        <v>10091</v>
      </c>
      <c r="B7155" s="1" t="str">
        <f ca="1">IFERROR(__xludf.DUMMYFUNCTION("GOOGLETRANSLATE(A7155, ""en"", ""fr"")"),"OMETTRE")</f>
        <v>OMETTRE</v>
      </c>
      <c r="C7155" s="1" t="s">
        <v>185</v>
      </c>
      <c r="E7155" s="1" t="s">
        <v>16613</v>
      </c>
      <c r="H7155" s="1" t="s">
        <v>4</v>
      </c>
      <c r="L7155" s="1" t="s">
        <v>8</v>
      </c>
      <c r="O7155" s="1" t="s">
        <v>11</v>
      </c>
      <c r="BT7155" s="1" t="s">
        <v>68</v>
      </c>
      <c r="DN7155" s="1" t="s">
        <v>114</v>
      </c>
      <c r="FP7155" s="1" t="s">
        <v>168</v>
      </c>
      <c r="GD7155" s="1" t="s">
        <v>189</v>
      </c>
      <c r="GE7155" s="1" t="s">
        <v>190</v>
      </c>
    </row>
    <row r="7156" spans="1:187" ht="11.25" customHeight="1">
      <c r="A7156" s="1" t="s">
        <v>10092</v>
      </c>
      <c r="B7156" s="1" t="str">
        <f ca="1">IFERROR(__xludf.DUMMYFUNCTION("GOOGLETRANSLATE(A7156, ""en"", ""fr"")"),"SUR")</f>
        <v>SUR</v>
      </c>
      <c r="C7156" s="1" t="s">
        <v>185</v>
      </c>
      <c r="DA7156" s="1" t="s">
        <v>101</v>
      </c>
      <c r="GD7156" s="1" t="s">
        <v>215</v>
      </c>
      <c r="GE7156" s="1" t="s">
        <v>10093</v>
      </c>
    </row>
    <row r="7157" spans="1:187" ht="11.25" customHeight="1">
      <c r="A7157" s="1" t="s">
        <v>10094</v>
      </c>
      <c r="B7157" s="1" t="str">
        <f ca="1">IFERROR(__xludf.DUMMYFUNCTION("GOOGLETRANSLATE(A7157, ""en"", ""fr"")"),"Une fois n ° 1")</f>
        <v>Une fois n ° 1</v>
      </c>
      <c r="C7157" s="1" t="s">
        <v>185</v>
      </c>
      <c r="CW7157" s="1" t="s">
        <v>97</v>
      </c>
      <c r="GB7157" s="1" t="s">
        <v>180</v>
      </c>
      <c r="GD7157" s="1" t="s">
        <v>236</v>
      </c>
      <c r="GE7157" s="1" t="s">
        <v>10095</v>
      </c>
    </row>
    <row r="7158" spans="1:187" ht="11.25" customHeight="1">
      <c r="A7158" s="1" t="s">
        <v>10096</v>
      </c>
      <c r="B7158" s="1" t="str">
        <f ca="1">IFERROR(__xludf.DUMMYFUNCTION("GOOGLETRANSLATE(A7158, ""en"", ""fr"")"),"Une fois n ° 2")</f>
        <v>Une fois n ° 2</v>
      </c>
      <c r="C7158" s="1" t="s">
        <v>185</v>
      </c>
      <c r="W7158" s="1" t="s">
        <v>19</v>
      </c>
      <c r="CY7158" s="1" t="s">
        <v>99</v>
      </c>
      <c r="GB7158" s="1" t="s">
        <v>180</v>
      </c>
      <c r="GD7158" s="1" t="s">
        <v>236</v>
      </c>
      <c r="GE7158" s="1" t="s">
        <v>10097</v>
      </c>
    </row>
    <row r="7159" spans="1:187" ht="11.25" customHeight="1">
      <c r="A7159" s="1" t="s">
        <v>10098</v>
      </c>
      <c r="B7159" s="1" t="str">
        <f ca="1">IFERROR(__xludf.DUMMYFUNCTION("GOOGLETRANSLATE(A7159, ""en"", ""fr"")"),"Une fois n ° 3")</f>
        <v>Une fois n ° 3</v>
      </c>
      <c r="C7159" s="1" t="s">
        <v>185</v>
      </c>
      <c r="CY7159" s="1" t="s">
        <v>99</v>
      </c>
      <c r="GB7159" s="1" t="s">
        <v>180</v>
      </c>
      <c r="GD7159" s="1" t="s">
        <v>236</v>
      </c>
      <c r="GE7159" s="1" t="s">
        <v>10099</v>
      </c>
    </row>
    <row r="7160" spans="1:187" ht="11.25" customHeight="1">
      <c r="A7160" s="1" t="s">
        <v>10100</v>
      </c>
      <c r="B7160" s="1" t="str">
        <f ca="1">IFERROR(__xludf.DUMMYFUNCTION("GOOGLETRANSLATE(A7160, ""en"", ""fr"")"),"Une fois n ° 4")</f>
        <v>Une fois n ° 4</v>
      </c>
      <c r="C7160" s="1" t="s">
        <v>185</v>
      </c>
      <c r="J7160" s="1" t="s">
        <v>6</v>
      </c>
      <c r="W7160" s="1" t="s">
        <v>19</v>
      </c>
      <c r="CY7160" s="1" t="s">
        <v>99</v>
      </c>
      <c r="DM7160" s="1" t="s">
        <v>113</v>
      </c>
      <c r="FY7160" s="1" t="s">
        <v>177</v>
      </c>
      <c r="GD7160" s="1" t="s">
        <v>3750</v>
      </c>
      <c r="GE7160" s="1" t="s">
        <v>10101</v>
      </c>
    </row>
    <row r="7161" spans="1:187" ht="11.25" customHeight="1">
      <c r="A7161" s="1" t="s">
        <v>10102</v>
      </c>
      <c r="B7161" s="1" t="str">
        <f ca="1">IFERROR(__xludf.DUMMYFUNCTION("GOOGLETRANSLATE(A7161, ""en"", ""fr"")"),"UN 1")</f>
        <v>UN 1</v>
      </c>
      <c r="C7161" s="1" t="s">
        <v>185</v>
      </c>
      <c r="CS7161" s="1" t="s">
        <v>93</v>
      </c>
      <c r="CT7161" s="1" t="s">
        <v>94</v>
      </c>
      <c r="CV7161" s="1" t="s">
        <v>96</v>
      </c>
      <c r="GD7161" s="1" t="s">
        <v>2464</v>
      </c>
      <c r="GE7161" s="1" t="s">
        <v>10103</v>
      </c>
    </row>
    <row r="7162" spans="1:187" ht="11.25" customHeight="1">
      <c r="A7162" s="1" t="s">
        <v>10104</v>
      </c>
      <c r="B7162" s="1" t="str">
        <f ca="1">IFERROR(__xludf.DUMMYFUNCTION("GOOGLETRANSLATE(A7162, ""en"", ""fr"")"),"Un # 2")</f>
        <v>Un # 2</v>
      </c>
      <c r="C7162" s="1" t="s">
        <v>185</v>
      </c>
      <c r="GD7162" s="1" t="s">
        <v>10105</v>
      </c>
      <c r="GE7162" s="1" t="s">
        <v>10106</v>
      </c>
    </row>
    <row r="7163" spans="1:187" ht="11.25" customHeight="1">
      <c r="A7163" s="1" t="s">
        <v>10107</v>
      </c>
      <c r="B7163" s="1" t="str">
        <f ca="1">IFERROR(__xludf.DUMMYFUNCTION("GOOGLETRANSLATE(A7163, ""en"", ""fr"")"),"Un # 3")</f>
        <v>Un # 3</v>
      </c>
      <c r="C7163" s="1" t="s">
        <v>185</v>
      </c>
      <c r="GD7163" s="1" t="s">
        <v>225</v>
      </c>
      <c r="GE7163" s="1" t="s">
        <v>10108</v>
      </c>
    </row>
    <row r="7164" spans="1:187" ht="11.25" customHeight="1">
      <c r="A7164" s="1" t="s">
        <v>10109</v>
      </c>
      <c r="B7164" s="1" t="str">
        <f ca="1">IFERROR(__xludf.DUMMYFUNCTION("GOOGLETRANSLATE(A7164, ""en"", ""fr"")"),"Un # 4")</f>
        <v>Un # 4</v>
      </c>
      <c r="C7164" s="1" t="s">
        <v>185</v>
      </c>
      <c r="GD7164" s="1" t="s">
        <v>225</v>
      </c>
      <c r="GE7164" s="1" t="s">
        <v>10110</v>
      </c>
    </row>
    <row r="7165" spans="1:187" ht="11.25" customHeight="1">
      <c r="A7165" s="1" t="s">
        <v>10111</v>
      </c>
      <c r="B7165" s="1" t="str">
        <f ca="1">IFERROR(__xludf.DUMMYFUNCTION("GOOGLETRANSLATE(A7165, ""en"", ""fr"")"),"Un # 5")</f>
        <v>Un # 5</v>
      </c>
      <c r="C7165" s="1" t="s">
        <v>185</v>
      </c>
      <c r="GD7165" s="1" t="s">
        <v>225</v>
      </c>
      <c r="GE7165" s="1" t="s">
        <v>10112</v>
      </c>
    </row>
    <row r="7166" spans="1:187" ht="11.25" customHeight="1">
      <c r="A7166" s="1" t="s">
        <v>10113</v>
      </c>
      <c r="B7166" s="1" t="str">
        <f ca="1">IFERROR(__xludf.DUMMYFUNCTION("GOOGLETRANSLATE(A7166, ""en"", ""fr"")"),"Soi-même # 1")</f>
        <v>Soi-même # 1</v>
      </c>
      <c r="C7166" s="1" t="s">
        <v>185</v>
      </c>
      <c r="DF7166" s="1" t="s">
        <v>106</v>
      </c>
      <c r="GD7166" s="1" t="s">
        <v>10114</v>
      </c>
      <c r="GE7166" s="1" t="s">
        <v>190</v>
      </c>
    </row>
    <row r="7167" spans="1:187" ht="11.25" customHeight="1">
      <c r="A7167" s="1" t="s">
        <v>10115</v>
      </c>
      <c r="B7167" s="1" t="str">
        <f ca="1">IFERROR(__xludf.DUMMYFUNCTION("GOOGLETRANSLATE(A7167, ""en"", ""fr"")"),"OIGNON")</f>
        <v>OIGNON</v>
      </c>
      <c r="C7167" s="1" t="s">
        <v>185</v>
      </c>
      <c r="BC7167" s="1" t="s">
        <v>51</v>
      </c>
      <c r="BE7167" s="1" t="s">
        <v>53</v>
      </c>
      <c r="GD7167" s="1" t="s">
        <v>193</v>
      </c>
      <c r="GE7167" s="1" t="s">
        <v>190</v>
      </c>
    </row>
    <row r="7168" spans="1:187" ht="11.25" customHeight="1">
      <c r="A7168" s="1" t="s">
        <v>10116</v>
      </c>
      <c r="B7168" s="1" t="str">
        <f ca="1">IFERROR(__xludf.DUMMYFUNCTION("GOOGLETRANSLATE(A7168, ""en"", ""fr"")"),"SEULEMENT 1")</f>
        <v>SEULEMENT 1</v>
      </c>
      <c r="C7168" s="1" t="s">
        <v>185</v>
      </c>
      <c r="L7168" s="1" t="s">
        <v>8</v>
      </c>
      <c r="X7168" s="1" t="s">
        <v>20</v>
      </c>
      <c r="CS7168" s="1" t="s">
        <v>93</v>
      </c>
      <c r="GD7168" s="1" t="s">
        <v>1962</v>
      </c>
      <c r="GE7168" s="1" t="s">
        <v>10117</v>
      </c>
    </row>
    <row r="7169" spans="1:187" ht="11.25" customHeight="1">
      <c r="A7169" s="1" t="s">
        <v>10118</v>
      </c>
      <c r="B7169" s="1" t="str">
        <f ca="1">IFERROR(__xludf.DUMMYFUNCTION("GOOGLETRANSLATE(A7169, ""en"", ""fr"")"),"SEULEMENT 2")</f>
        <v>SEULEMENT 2</v>
      </c>
      <c r="C7169" s="1" t="s">
        <v>185</v>
      </c>
      <c r="X7169" s="1" t="s">
        <v>20</v>
      </c>
      <c r="CS7169" s="1" t="s">
        <v>93</v>
      </c>
      <c r="GD7169" s="1" t="s">
        <v>236</v>
      </c>
      <c r="GE7169" s="1" t="s">
        <v>10119</v>
      </c>
    </row>
    <row r="7170" spans="1:187" ht="11.25" customHeight="1">
      <c r="A7170" s="1" t="s">
        <v>10120</v>
      </c>
      <c r="B7170" s="1" t="str">
        <f ca="1">IFERROR(__xludf.DUMMYFUNCTION("GOOGLETRANSLATE(A7170, ""en"", ""fr"")"),"SEULEMENT 3")</f>
        <v>SEULEMENT 3</v>
      </c>
      <c r="C7170" s="1" t="s">
        <v>185</v>
      </c>
      <c r="X7170" s="1" t="s">
        <v>20</v>
      </c>
      <c r="GD7170" s="1" t="s">
        <v>763</v>
      </c>
      <c r="GE7170" s="1" t="s">
        <v>10121</v>
      </c>
    </row>
    <row r="7171" spans="1:187" ht="11.25" customHeight="1">
      <c r="A7171" s="1" t="s">
        <v>10122</v>
      </c>
      <c r="B7171" s="1" t="str">
        <f ca="1">IFERROR(__xludf.DUMMYFUNCTION("GOOGLETRANSLATE(A7171, ""en"", ""fr"")"),"DÉBUT")</f>
        <v>DÉBUT</v>
      </c>
      <c r="C7171" s="1" t="s">
        <v>192</v>
      </c>
      <c r="D7171" s="1" t="s">
        <v>16612</v>
      </c>
      <c r="BV7171" s="1" t="s">
        <v>70</v>
      </c>
      <c r="GD7171" s="1" t="s">
        <v>193</v>
      </c>
      <c r="GE7171" s="1" t="s">
        <v>190</v>
      </c>
    </row>
    <row r="7172" spans="1:187" ht="11.25" customHeight="1">
      <c r="A7172" s="1" t="s">
        <v>10123</v>
      </c>
      <c r="B7172" s="1" t="str">
        <f ca="1">IFERROR(__xludf.DUMMYFUNCTION("GOOGLETRANSLATE(A7172, ""en"", ""fr"")"),"SUR")</f>
        <v>SUR</v>
      </c>
      <c r="C7172" s="1" t="s">
        <v>185</v>
      </c>
      <c r="DA7172" s="1" t="s">
        <v>101</v>
      </c>
      <c r="GD7172" s="1" t="s">
        <v>215</v>
      </c>
      <c r="GE7172" s="1" t="s">
        <v>190</v>
      </c>
    </row>
    <row r="7173" spans="1:187" ht="11.25" customHeight="1">
      <c r="A7173" s="1" t="s">
        <v>10124</v>
      </c>
      <c r="B7173" s="1" t="str">
        <f ca="1">IFERROR(__xludf.DUMMYFUNCTION("GOOGLETRANSLATE(A7173, ""en"", ""fr"")"),"EN AVANT")</f>
        <v>EN AVANT</v>
      </c>
      <c r="C7173" s="1" t="s">
        <v>192</v>
      </c>
      <c r="D7173" s="1" t="s">
        <v>16612</v>
      </c>
      <c r="CE7173" s="1" t="s">
        <v>79</v>
      </c>
      <c r="GE7173" s="1" t="s">
        <v>190</v>
      </c>
    </row>
    <row r="7174" spans="1:187" ht="11.25" customHeight="1">
      <c r="A7174" s="1" t="s">
        <v>10125</v>
      </c>
      <c r="B7174" s="1" t="str">
        <f ca="1">IFERROR(__xludf.DUMMYFUNCTION("GOOGLETRANSLATE(A7174, ""en"", ""fr"")"),"Ouvert # 1")</f>
        <v>Ouvert # 1</v>
      </c>
      <c r="C7174" s="1" t="s">
        <v>185</v>
      </c>
      <c r="D7174" s="1" t="s">
        <v>16612</v>
      </c>
      <c r="F7174" s="1" t="s">
        <v>2</v>
      </c>
      <c r="CR7174" s="1" t="s">
        <v>92</v>
      </c>
      <c r="GD7174" s="1" t="s">
        <v>202</v>
      </c>
      <c r="GE7174" s="1" t="s">
        <v>10126</v>
      </c>
    </row>
    <row r="7175" spans="1:187" ht="11.25" customHeight="1">
      <c r="A7175" s="1" t="s">
        <v>10127</v>
      </c>
      <c r="B7175" s="1" t="str">
        <f ca="1">IFERROR(__xludf.DUMMYFUNCTION("GOOGLETRANSLATE(A7175, ""en"", ""fr"")"),"Ouvert # 2")</f>
        <v>Ouvert # 2</v>
      </c>
      <c r="C7175" s="1" t="s">
        <v>185</v>
      </c>
      <c r="D7175" s="1" t="s">
        <v>16612</v>
      </c>
      <c r="F7175" s="1" t="s">
        <v>2</v>
      </c>
      <c r="U7175" s="1" t="s">
        <v>17</v>
      </c>
      <c r="GD7175" s="1" t="s">
        <v>236</v>
      </c>
      <c r="GE7175" s="1" t="s">
        <v>10128</v>
      </c>
    </row>
    <row r="7176" spans="1:187" ht="11.25" customHeight="1">
      <c r="A7176" s="1" t="s">
        <v>10129</v>
      </c>
      <c r="B7176" s="1" t="str">
        <f ca="1">IFERROR(__xludf.DUMMYFUNCTION("GOOGLETRANSLATE(A7176, ""en"", ""fr"")"),"Ouvert # 3")</f>
        <v>Ouvert # 3</v>
      </c>
      <c r="C7176" s="1" t="s">
        <v>185</v>
      </c>
      <c r="AL7176" s="1" t="s">
        <v>34</v>
      </c>
      <c r="DO7176" s="1" t="s">
        <v>115</v>
      </c>
      <c r="FP7176" s="1" t="s">
        <v>168</v>
      </c>
      <c r="GD7176" s="1" t="s">
        <v>189</v>
      </c>
      <c r="GE7176" s="1" t="s">
        <v>10130</v>
      </c>
    </row>
    <row r="7177" spans="1:187" ht="11.25" customHeight="1">
      <c r="A7177" s="1" t="s">
        <v>10131</v>
      </c>
      <c r="B7177" s="1" t="str">
        <f ca="1">IFERROR(__xludf.DUMMYFUNCTION("GOOGLETRANSLATE(A7177, ""en"", ""fr"")"),"Ouvert # 4")</f>
        <v>Ouvert # 4</v>
      </c>
      <c r="C7177" s="1" t="s">
        <v>185</v>
      </c>
      <c r="N7177" s="1" t="s">
        <v>10</v>
      </c>
      <c r="AL7177" s="1" t="s">
        <v>34</v>
      </c>
      <c r="DO7177" s="1" t="s">
        <v>115</v>
      </c>
      <c r="FP7177" s="1" t="s">
        <v>168</v>
      </c>
      <c r="GD7177" s="1" t="s">
        <v>189</v>
      </c>
      <c r="GE7177" s="1" t="s">
        <v>10132</v>
      </c>
    </row>
    <row r="7178" spans="1:187" ht="11.25" customHeight="1">
      <c r="A7178" s="1" t="s">
        <v>10133</v>
      </c>
      <c r="B7178" s="1" t="str">
        <f ca="1">IFERROR(__xludf.DUMMYFUNCTION("GOOGLETRANSLATE(A7178, ""en"", ""fr"")"),"Ouvert # 5")</f>
        <v>Ouvert # 5</v>
      </c>
      <c r="C7178" s="1" t="s">
        <v>185</v>
      </c>
      <c r="N7178" s="1" t="s">
        <v>10</v>
      </c>
      <c r="BV7178" s="1" t="s">
        <v>70</v>
      </c>
      <c r="DN7178" s="1" t="s">
        <v>114</v>
      </c>
      <c r="FP7178" s="1" t="s">
        <v>168</v>
      </c>
      <c r="GD7178" s="1" t="s">
        <v>189</v>
      </c>
      <c r="GE7178" s="1" t="s">
        <v>10134</v>
      </c>
    </row>
    <row r="7179" spans="1:187" ht="11.25" customHeight="1">
      <c r="A7179" s="1" t="s">
        <v>10135</v>
      </c>
      <c r="B7179" s="1" t="str">
        <f ca="1">IFERROR(__xludf.DUMMYFUNCTION("GOOGLETRANSLATE(A7179, ""en"", ""fr"")"),"Ouvert # 6")</f>
        <v>Ouvert # 6</v>
      </c>
      <c r="C7179" s="1" t="s">
        <v>185</v>
      </c>
      <c r="DA7179" s="1" t="s">
        <v>101</v>
      </c>
      <c r="GD7179" s="1" t="s">
        <v>193</v>
      </c>
      <c r="GE7179" s="1" t="s">
        <v>10136</v>
      </c>
    </row>
    <row r="7180" spans="1:187" ht="11.25" customHeight="1">
      <c r="A7180" s="1" t="s">
        <v>10137</v>
      </c>
      <c r="B7180" s="1" t="str">
        <f ca="1">IFERROR(__xludf.DUMMYFUNCTION("GOOGLETRANSLATE(A7180, ""en"", ""fr"")"),"Ouvert # 7")</f>
        <v>Ouvert # 7</v>
      </c>
      <c r="C7180" s="1" t="s">
        <v>185</v>
      </c>
      <c r="AM7180" s="1" t="s">
        <v>35</v>
      </c>
      <c r="GD7180" s="1" t="s">
        <v>193</v>
      </c>
      <c r="GE7180" s="1" t="s">
        <v>10138</v>
      </c>
    </row>
    <row r="7181" spans="1:187" ht="11.25" customHeight="1">
      <c r="A7181" s="1" t="s">
        <v>10139</v>
      </c>
      <c r="B7181" s="1" t="str">
        <f ca="1">IFERROR(__xludf.DUMMYFUNCTION("GOOGLETRANSLATE(A7181, ""en"", ""fr"")"),"OPÉRA")</f>
        <v>OPÉRA</v>
      </c>
      <c r="C7181" s="1" t="s">
        <v>185</v>
      </c>
      <c r="AD7181" s="1" t="s">
        <v>26</v>
      </c>
      <c r="BK7181" s="1" t="s">
        <v>59</v>
      </c>
      <c r="BL7181" s="1" t="s">
        <v>60</v>
      </c>
      <c r="FJ7181" s="1" t="s">
        <v>162</v>
      </c>
      <c r="FM7181" s="1" t="s">
        <v>418</v>
      </c>
      <c r="GC7181" s="1" t="s">
        <v>181</v>
      </c>
      <c r="GD7181" s="1" t="s">
        <v>193</v>
      </c>
      <c r="GE7181" s="1" t="s">
        <v>190</v>
      </c>
    </row>
    <row r="7182" spans="1:187" ht="11.25" customHeight="1">
      <c r="A7182" s="1" t="s">
        <v>10140</v>
      </c>
      <c r="B7182" s="1" t="str">
        <f ca="1">IFERROR(__xludf.DUMMYFUNCTION("GOOGLETRANSLATE(A7182, ""en"", ""fr"")"),"Opérer n ° 1")</f>
        <v>Opérer n ° 1</v>
      </c>
      <c r="C7182" s="1" t="s">
        <v>185</v>
      </c>
      <c r="J7182" s="1" t="s">
        <v>6</v>
      </c>
      <c r="N7182" s="1" t="s">
        <v>10</v>
      </c>
      <c r="AL7182" s="1" t="s">
        <v>34</v>
      </c>
      <c r="DN7182" s="1" t="s">
        <v>114</v>
      </c>
      <c r="FP7182" s="1" t="s">
        <v>168</v>
      </c>
      <c r="GD7182" s="1" t="s">
        <v>400</v>
      </c>
      <c r="GE7182" s="1" t="s">
        <v>10141</v>
      </c>
    </row>
    <row r="7183" spans="1:187" ht="11.25" customHeight="1">
      <c r="A7183" s="1" t="s">
        <v>10142</v>
      </c>
      <c r="B7183" s="1" t="str">
        <f ca="1">IFERROR(__xludf.DUMMYFUNCTION("GOOGLETRANSLATE(A7183, ""en"", ""fr"")"),"Opérer n ° 2")</f>
        <v>Opérer n ° 2</v>
      </c>
      <c r="C7183" s="1" t="s">
        <v>185</v>
      </c>
      <c r="N7183" s="1" t="s">
        <v>10</v>
      </c>
      <c r="AL7183" s="1" t="s">
        <v>34</v>
      </c>
      <c r="DO7183" s="1" t="s">
        <v>115</v>
      </c>
      <c r="EZ7183" s="1" t="s">
        <v>152</v>
      </c>
      <c r="FC7183" s="1" t="s">
        <v>155</v>
      </c>
      <c r="GD7183" s="1" t="s">
        <v>189</v>
      </c>
      <c r="GE7183" s="1" t="s">
        <v>10143</v>
      </c>
    </row>
    <row r="7184" spans="1:187" ht="11.25" customHeight="1">
      <c r="A7184" s="1" t="s">
        <v>10144</v>
      </c>
      <c r="B7184" s="1" t="str">
        <f ca="1">IFERROR(__xludf.DUMMYFUNCTION("GOOGLETRANSLATE(A7184, ""en"", ""fr"")"),"Opérer n ° 3")</f>
        <v>Opérer n ° 3</v>
      </c>
      <c r="C7184" s="1" t="s">
        <v>185</v>
      </c>
      <c r="J7184" s="1" t="s">
        <v>6</v>
      </c>
      <c r="N7184" s="1" t="s">
        <v>10</v>
      </c>
      <c r="AL7184" s="1" t="s">
        <v>34</v>
      </c>
      <c r="EZ7184" s="1" t="s">
        <v>152</v>
      </c>
      <c r="FC7184" s="1" t="s">
        <v>155</v>
      </c>
      <c r="GD7184" s="1" t="s">
        <v>202</v>
      </c>
      <c r="GE7184" s="1" t="s">
        <v>10145</v>
      </c>
    </row>
    <row r="7185" spans="1:187" ht="11.25" customHeight="1">
      <c r="A7185" s="1" t="s">
        <v>10146</v>
      </c>
      <c r="B7185" s="1" t="str">
        <f ca="1">IFERROR(__xludf.DUMMYFUNCTION("GOOGLETRANSLATE(A7185, ""en"", ""fr"")"),"Opération n ° 1")</f>
        <v>Opération n ° 1</v>
      </c>
      <c r="C7185" s="1" t="s">
        <v>185</v>
      </c>
      <c r="AM7185" s="1" t="s">
        <v>35</v>
      </c>
      <c r="EZ7185" s="1" t="s">
        <v>152</v>
      </c>
      <c r="FC7185" s="1" t="s">
        <v>155</v>
      </c>
      <c r="GD7185" s="1" t="s">
        <v>193</v>
      </c>
      <c r="GE7185" s="1" t="s">
        <v>10147</v>
      </c>
    </row>
    <row r="7186" spans="1:187" ht="11.25" customHeight="1">
      <c r="A7186" s="1" t="s">
        <v>10148</v>
      </c>
      <c r="B7186" s="1" t="str">
        <f ca="1">IFERROR(__xludf.DUMMYFUNCTION("GOOGLETRANSLATE(A7186, ""en"", ""fr"")"),"Opération n ° 2")</f>
        <v>Opération n ° 2</v>
      </c>
      <c r="C7186" s="1" t="s">
        <v>185</v>
      </c>
      <c r="J7186" s="1" t="s">
        <v>6</v>
      </c>
      <c r="AL7186" s="1" t="s">
        <v>34</v>
      </c>
      <c r="GD7186" s="1" t="s">
        <v>193</v>
      </c>
      <c r="GE7186" s="1" t="s">
        <v>10149</v>
      </c>
    </row>
    <row r="7187" spans="1:187" ht="11.25" customHeight="1">
      <c r="A7187" s="1" t="s">
        <v>10150</v>
      </c>
      <c r="B7187" s="1" t="str">
        <f ca="1">IFERROR(__xludf.DUMMYFUNCTION("GOOGLETRANSLATE(A7187, ""en"", ""fr"")"),"OPÉRATIONNEL")</f>
        <v>OPÉRATIONNEL</v>
      </c>
      <c r="C7187" s="1" t="s">
        <v>185</v>
      </c>
      <c r="J7187" s="1" t="s">
        <v>6</v>
      </c>
      <c r="BQ7187" s="1" t="s">
        <v>65</v>
      </c>
      <c r="GD7187" s="1" t="s">
        <v>202</v>
      </c>
      <c r="GE7187" s="1" t="s">
        <v>190</v>
      </c>
    </row>
    <row r="7188" spans="1:187" ht="11.25" customHeight="1">
      <c r="A7188" s="1" t="s">
        <v>10151</v>
      </c>
      <c r="B7188" s="1" t="str">
        <f ca="1">IFERROR(__xludf.DUMMYFUNCTION("GOOGLETRANSLATE(A7188, ""en"", ""fr"")"),"OPÉRATOIRE")</f>
        <v>OPÉRATOIRE</v>
      </c>
      <c r="C7188" s="1" t="s">
        <v>185</v>
      </c>
      <c r="J7188" s="1" t="s">
        <v>6</v>
      </c>
      <c r="BQ7188" s="1" t="s">
        <v>65</v>
      </c>
      <c r="GD7188" s="1" t="s">
        <v>202</v>
      </c>
      <c r="GE7188" s="1" t="s">
        <v>190</v>
      </c>
    </row>
    <row r="7189" spans="1:187" ht="11.25" customHeight="1">
      <c r="A7189" s="1" t="s">
        <v>10152</v>
      </c>
      <c r="B7189" s="1" t="str">
        <f ca="1">IFERROR(__xludf.DUMMYFUNCTION("GOOGLETRANSLATE(A7189, ""en"", ""fr"")"),"OPÉRATEUR")</f>
        <v>OPÉRATEUR</v>
      </c>
      <c r="C7189" s="1" t="s">
        <v>185</v>
      </c>
      <c r="N7189" s="1" t="s">
        <v>10</v>
      </c>
      <c r="AA7189" s="1" t="s">
        <v>23</v>
      </c>
      <c r="AJ7189" s="1" t="s">
        <v>32</v>
      </c>
      <c r="AT7189" s="1" t="s">
        <v>42</v>
      </c>
      <c r="FG7189" s="1" t="s">
        <v>159</v>
      </c>
      <c r="FI7189" s="1" t="s">
        <v>161</v>
      </c>
      <c r="GD7189" s="1" t="s">
        <v>193</v>
      </c>
      <c r="GE7189" s="1" t="s">
        <v>190</v>
      </c>
    </row>
    <row r="7190" spans="1:187" ht="11.25" customHeight="1">
      <c r="A7190" s="1" t="s">
        <v>10153</v>
      </c>
      <c r="B7190" s="1" t="str">
        <f ca="1">IFERROR(__xludf.DUMMYFUNCTION("GOOGLETRANSLATE(A7190, ""en"", ""fr"")"),"AVIS")</f>
        <v>AVIS</v>
      </c>
      <c r="C7190" s="1" t="s">
        <v>185</v>
      </c>
      <c r="X7190" s="1" t="s">
        <v>20</v>
      </c>
      <c r="BK7190" s="1" t="s">
        <v>59</v>
      </c>
      <c r="BL7190" s="1" t="s">
        <v>60</v>
      </c>
      <c r="FH7190" s="1" t="s">
        <v>160</v>
      </c>
      <c r="FI7190" s="1" t="s">
        <v>161</v>
      </c>
      <c r="GC7190" s="1" t="s">
        <v>181</v>
      </c>
      <c r="GD7190" s="1" t="s">
        <v>193</v>
      </c>
      <c r="GE7190" s="1" t="s">
        <v>10154</v>
      </c>
    </row>
    <row r="7191" spans="1:187" ht="11.25" customHeight="1">
      <c r="A7191" s="1" t="s">
        <v>10155</v>
      </c>
      <c r="B7191" s="1" t="str">
        <f ca="1">IFERROR(__xludf.DUMMYFUNCTION("GOOGLETRANSLATE(A7191, ""en"", ""fr"")"),"DOGMATIQUE")</f>
        <v>DOGMATIQUE</v>
      </c>
      <c r="C7191" s="1" t="s">
        <v>192</v>
      </c>
      <c r="E7191" s="1" t="s">
        <v>16613</v>
      </c>
      <c r="R7191" s="1" t="s">
        <v>14</v>
      </c>
      <c r="CG7191" s="1" t="s">
        <v>81</v>
      </c>
      <c r="DR7191" s="1" t="s">
        <v>118</v>
      </c>
      <c r="GD7191" s="1" t="s">
        <v>202</v>
      </c>
      <c r="GE7191" s="1" t="s">
        <v>190</v>
      </c>
    </row>
    <row r="7192" spans="1:187" ht="11.25" customHeight="1">
      <c r="A7192" s="1" t="s">
        <v>10156</v>
      </c>
      <c r="B7192" s="1" t="str">
        <f ca="1">IFERROR(__xludf.DUMMYFUNCTION("GOOGLETRANSLATE(A7192, ""en"", ""fr"")"),"ADVERSAIRE")</f>
        <v>ADVERSAIRE</v>
      </c>
      <c r="C7192" s="1" t="s">
        <v>185</v>
      </c>
      <c r="E7192" s="1" t="s">
        <v>16613</v>
      </c>
      <c r="H7192" s="1" t="s">
        <v>4</v>
      </c>
      <c r="I7192" s="1" t="s">
        <v>5</v>
      </c>
      <c r="AH7192" s="1" t="s">
        <v>30</v>
      </c>
      <c r="AJ7192" s="1" t="s">
        <v>32</v>
      </c>
      <c r="AT7192" s="1" t="s">
        <v>42</v>
      </c>
      <c r="DW7192" s="1" t="s">
        <v>123</v>
      </c>
      <c r="ED7192" s="1" t="s">
        <v>130</v>
      </c>
      <c r="GD7192" s="1" t="s">
        <v>193</v>
      </c>
      <c r="GE7192" s="1" t="s">
        <v>10157</v>
      </c>
    </row>
    <row r="7193" spans="1:187" ht="11.25" customHeight="1">
      <c r="A7193" s="1" t="s">
        <v>10158</v>
      </c>
      <c r="B7193" s="1" t="str">
        <f ca="1">IFERROR(__xludf.DUMMYFUNCTION("GOOGLETRANSLATE(A7193, ""en"", ""fr"")"),"OPPORTUN")</f>
        <v>OPPORTUN</v>
      </c>
      <c r="C7193" s="1" t="s">
        <v>192</v>
      </c>
      <c r="D7193" s="1" t="s">
        <v>16612</v>
      </c>
      <c r="O7193" s="1" t="s">
        <v>11</v>
      </c>
      <c r="U7193" s="1" t="s">
        <v>17</v>
      </c>
      <c r="DR7193" s="1" t="s">
        <v>118</v>
      </c>
      <c r="GD7193" s="1" t="s">
        <v>202</v>
      </c>
      <c r="GE7193" s="1" t="s">
        <v>190</v>
      </c>
    </row>
    <row r="7194" spans="1:187" ht="11.25" customHeight="1">
      <c r="A7194" s="1" t="s">
        <v>10159</v>
      </c>
      <c r="B7194" s="1" t="str">
        <f ca="1">IFERROR(__xludf.DUMMYFUNCTION("GOOGLETRANSLATE(A7194, ""en"", ""fr"")"),"OPPORTUNITÉ")</f>
        <v>OPPORTUNITÉ</v>
      </c>
      <c r="C7194" s="1" t="s">
        <v>185</v>
      </c>
      <c r="D7194" s="1" t="s">
        <v>16612</v>
      </c>
      <c r="F7194" s="1" t="s">
        <v>2</v>
      </c>
      <c r="U7194" s="1" t="s">
        <v>17</v>
      </c>
      <c r="CP7194" s="1" t="s">
        <v>90</v>
      </c>
      <c r="CQ7194" s="1" t="s">
        <v>91</v>
      </c>
      <c r="FR7194" s="1" t="s">
        <v>170</v>
      </c>
      <c r="GD7194" s="1" t="s">
        <v>193</v>
      </c>
      <c r="GE7194" s="1" t="s">
        <v>10160</v>
      </c>
    </row>
    <row r="7195" spans="1:187" ht="11.25" customHeight="1">
      <c r="A7195" s="1" t="s">
        <v>10161</v>
      </c>
      <c r="B7195" s="1" t="str">
        <f ca="1">IFERROR(__xludf.DUMMYFUNCTION("GOOGLETRANSLATE(A7195, ""en"", ""fr"")"),"S'opposer # 1")</f>
        <v>S'opposer # 1</v>
      </c>
      <c r="C7195" s="1" t="s">
        <v>185</v>
      </c>
      <c r="E7195" s="1" t="s">
        <v>16613</v>
      </c>
      <c r="H7195" s="1" t="s">
        <v>4</v>
      </c>
      <c r="I7195" s="1" t="s">
        <v>5</v>
      </c>
      <c r="J7195" s="1" t="s">
        <v>6</v>
      </c>
      <c r="N7195" s="1" t="s">
        <v>10</v>
      </c>
      <c r="AN7195" s="1" t="s">
        <v>36</v>
      </c>
      <c r="DN7195" s="1" t="s">
        <v>114</v>
      </c>
      <c r="DW7195" s="1" t="s">
        <v>123</v>
      </c>
      <c r="ED7195" s="1" t="s">
        <v>130</v>
      </c>
      <c r="GD7195" s="1" t="s">
        <v>189</v>
      </c>
      <c r="GE7195" s="1" t="s">
        <v>10162</v>
      </c>
    </row>
    <row r="7196" spans="1:187" ht="11.25" customHeight="1">
      <c r="A7196" s="1" t="s">
        <v>10163</v>
      </c>
      <c r="B7196" s="1" t="str">
        <f ca="1">IFERROR(__xludf.DUMMYFUNCTION("GOOGLETRANSLATE(A7196, ""en"", ""fr"")"),"S'opposer # 2")</f>
        <v>S'opposer # 2</v>
      </c>
      <c r="C7196" s="1" t="s">
        <v>185</v>
      </c>
      <c r="E7196" s="1" t="s">
        <v>16613</v>
      </c>
      <c r="H7196" s="1" t="s">
        <v>4</v>
      </c>
      <c r="J7196" s="1" t="s">
        <v>6</v>
      </c>
      <c r="Z7196" s="1" t="s">
        <v>22</v>
      </c>
      <c r="DW7196" s="1" t="s">
        <v>123</v>
      </c>
      <c r="ED7196" s="1" t="s">
        <v>130</v>
      </c>
      <c r="GD7196" s="1" t="s">
        <v>202</v>
      </c>
      <c r="GE7196" s="1" t="s">
        <v>10164</v>
      </c>
    </row>
    <row r="7197" spans="1:187" ht="11.25" customHeight="1">
      <c r="A7197" s="1" t="s">
        <v>10165</v>
      </c>
      <c r="B7197" s="1" t="str">
        <f ca="1">IFERROR(__xludf.DUMMYFUNCTION("GOOGLETRANSLATE(A7197, ""en"", ""fr"")"),"S'opposer # 3")</f>
        <v>S'opposer # 3</v>
      </c>
      <c r="C7197" s="1" t="s">
        <v>185</v>
      </c>
      <c r="E7197" s="1" t="s">
        <v>16613</v>
      </c>
      <c r="H7197" s="1" t="s">
        <v>4</v>
      </c>
      <c r="J7197" s="1" t="s">
        <v>6</v>
      </c>
      <c r="N7197" s="1" t="s">
        <v>10</v>
      </c>
      <c r="DD7197" s="1" t="s">
        <v>104</v>
      </c>
      <c r="DW7197" s="1" t="s">
        <v>123</v>
      </c>
      <c r="ED7197" s="1" t="s">
        <v>130</v>
      </c>
      <c r="GD7197" s="1" t="s">
        <v>202</v>
      </c>
      <c r="GE7197" s="1" t="s">
        <v>10166</v>
      </c>
    </row>
    <row r="7198" spans="1:187" ht="11.25" customHeight="1">
      <c r="A7198" s="1" t="s">
        <v>10167</v>
      </c>
      <c r="B7198" s="1" t="str">
        <f ca="1">IFERROR(__xludf.DUMMYFUNCTION("GOOGLETRANSLATE(A7198, ""en"", ""fr"")"),"OPPOSÉ")</f>
        <v>OPPOSÉ</v>
      </c>
      <c r="C7198" s="1" t="s">
        <v>185</v>
      </c>
      <c r="DD7198" s="1" t="s">
        <v>104</v>
      </c>
      <c r="DL7198" s="1" t="s">
        <v>112</v>
      </c>
      <c r="DW7198" s="1" t="s">
        <v>123</v>
      </c>
      <c r="ED7198" s="1" t="s">
        <v>130</v>
      </c>
      <c r="GD7198" s="1" t="s">
        <v>215</v>
      </c>
      <c r="GE7198" s="1" t="s">
        <v>10168</v>
      </c>
    </row>
    <row r="7199" spans="1:187" ht="11.25" customHeight="1">
      <c r="A7199" s="1" t="s">
        <v>10169</v>
      </c>
      <c r="B7199" s="1" t="str">
        <f ca="1">IFERROR(__xludf.DUMMYFUNCTION("GOOGLETRANSLATE(A7199, ""en"", ""fr"")"),"OPPOSITION")</f>
        <v>OPPOSITION</v>
      </c>
      <c r="C7199" s="1" t="s">
        <v>185</v>
      </c>
      <c r="E7199" s="1" t="s">
        <v>16613</v>
      </c>
      <c r="H7199" s="1" t="s">
        <v>4</v>
      </c>
      <c r="I7199" s="1" t="s">
        <v>5</v>
      </c>
      <c r="Z7199" s="1" t="s">
        <v>22</v>
      </c>
      <c r="AH7199" s="1" t="s">
        <v>30</v>
      </c>
      <c r="DW7199" s="1" t="s">
        <v>123</v>
      </c>
      <c r="ED7199" s="1" t="s">
        <v>130</v>
      </c>
      <c r="GD7199" s="1" t="s">
        <v>193</v>
      </c>
      <c r="GE7199" s="1" t="s">
        <v>10170</v>
      </c>
    </row>
    <row r="7200" spans="1:187" ht="11.25" customHeight="1">
      <c r="A7200" s="1" t="s">
        <v>10171</v>
      </c>
      <c r="B7200" s="1" t="str">
        <f ca="1">IFERROR(__xludf.DUMMYFUNCTION("GOOGLETRANSLATE(A7200, ""en"", ""fr"")"),"OPPRIMER")</f>
        <v>OPPRIMER</v>
      </c>
      <c r="C7200" s="1" t="s">
        <v>185</v>
      </c>
      <c r="E7200" s="1" t="s">
        <v>16613</v>
      </c>
      <c r="I7200" s="1" t="s">
        <v>5</v>
      </c>
      <c r="K7200" s="1" t="s">
        <v>7</v>
      </c>
      <c r="N7200" s="1" t="s">
        <v>10</v>
      </c>
      <c r="DN7200" s="1" t="s">
        <v>114</v>
      </c>
      <c r="DT7200" s="1" t="s">
        <v>120</v>
      </c>
      <c r="ED7200" s="1" t="s">
        <v>130</v>
      </c>
      <c r="GD7200" s="1" t="s">
        <v>670</v>
      </c>
      <c r="GE7200" s="1" t="s">
        <v>190</v>
      </c>
    </row>
    <row r="7201" spans="1:187" ht="11.25" customHeight="1">
      <c r="A7201" s="1" t="s">
        <v>10172</v>
      </c>
      <c r="B7201" s="1" t="str">
        <f ca="1">IFERROR(__xludf.DUMMYFUNCTION("GOOGLETRANSLATE(A7201, ""en"", ""fr"")"),"OPPRESSION")</f>
        <v>OPPRESSION</v>
      </c>
      <c r="C7201" s="1" t="s">
        <v>185</v>
      </c>
      <c r="E7201" s="1" t="s">
        <v>16613</v>
      </c>
      <c r="I7201" s="1" t="s">
        <v>5</v>
      </c>
      <c r="K7201" s="1" t="s">
        <v>7</v>
      </c>
      <c r="M7201" s="1" t="s">
        <v>9</v>
      </c>
      <c r="AN7201" s="1" t="s">
        <v>36</v>
      </c>
      <c r="DT7201" s="1" t="s">
        <v>120</v>
      </c>
      <c r="ED7201" s="1" t="s">
        <v>130</v>
      </c>
      <c r="GD7201" s="1" t="s">
        <v>193</v>
      </c>
      <c r="GE7201" s="1" t="s">
        <v>190</v>
      </c>
    </row>
    <row r="7202" spans="1:187" ht="11.25" customHeight="1">
      <c r="A7202" s="1" t="s">
        <v>10173</v>
      </c>
      <c r="B7202" s="1" t="str">
        <f ca="1">IFERROR(__xludf.DUMMYFUNCTION("GOOGLETRANSLATE(A7202, ""en"", ""fr"")"),"OPPRESSIF")</f>
        <v>OPPRESSIF</v>
      </c>
      <c r="C7202" s="1" t="s">
        <v>192</v>
      </c>
      <c r="E7202" s="1" t="s">
        <v>16613</v>
      </c>
      <c r="K7202" s="1" t="s">
        <v>7</v>
      </c>
      <c r="M7202" s="1" t="s">
        <v>9</v>
      </c>
      <c r="Q7202" s="1" t="s">
        <v>13</v>
      </c>
      <c r="T7202" s="1" t="s">
        <v>16</v>
      </c>
      <c r="DR7202" s="1" t="s">
        <v>118</v>
      </c>
      <c r="GD7202" s="1" t="s">
        <v>202</v>
      </c>
      <c r="GE7202" s="1" t="s">
        <v>190</v>
      </c>
    </row>
    <row r="7203" spans="1:187" ht="11.25" customHeight="1">
      <c r="A7203" s="1" t="s">
        <v>10174</v>
      </c>
      <c r="B7203" s="1" t="str">
        <f ca="1">IFERROR(__xludf.DUMMYFUNCTION("GOOGLETRANSLATE(A7203, ""en"", ""fr"")"),"Optimal")</f>
        <v>Optimal</v>
      </c>
      <c r="C7203" s="1" t="s">
        <v>185</v>
      </c>
      <c r="D7203" s="1" t="s">
        <v>16612</v>
      </c>
      <c r="F7203" s="1" t="s">
        <v>2</v>
      </c>
      <c r="U7203" s="1" t="s">
        <v>17</v>
      </c>
      <c r="CL7203" s="1" t="s">
        <v>86</v>
      </c>
      <c r="CN7203" s="1" t="s">
        <v>88</v>
      </c>
      <c r="GD7203" s="1" t="s">
        <v>8443</v>
      </c>
      <c r="GE7203" s="1" t="s">
        <v>190</v>
      </c>
    </row>
    <row r="7204" spans="1:187" ht="11.25" customHeight="1">
      <c r="A7204" s="1" t="s">
        <v>10175</v>
      </c>
      <c r="B7204" s="1" t="str">
        <f ca="1">IFERROR(__xludf.DUMMYFUNCTION("GOOGLETRANSLATE(A7204, ""en"", ""fr"")"),"OPTIMISME")</f>
        <v>OPTIMISME</v>
      </c>
      <c r="C7204" s="1" t="s">
        <v>185</v>
      </c>
      <c r="D7204" s="1" t="s">
        <v>16612</v>
      </c>
      <c r="R7204" s="1" t="s">
        <v>14</v>
      </c>
      <c r="S7204" s="1" t="s">
        <v>15</v>
      </c>
      <c r="Z7204" s="1" t="s">
        <v>22</v>
      </c>
      <c r="FR7204" s="1" t="s">
        <v>170</v>
      </c>
      <c r="GD7204" s="1" t="s">
        <v>193</v>
      </c>
      <c r="GE7204" s="1" t="s">
        <v>190</v>
      </c>
    </row>
    <row r="7205" spans="1:187" ht="11.25" customHeight="1">
      <c r="A7205" s="1" t="s">
        <v>10176</v>
      </c>
      <c r="B7205" s="1" t="str">
        <f ca="1">IFERROR(__xludf.DUMMYFUNCTION("GOOGLETRANSLATE(A7205, ""en"", ""fr"")"),"OPTIMISTE")</f>
        <v>OPTIMISTE</v>
      </c>
      <c r="C7205" s="1" t="s">
        <v>185</v>
      </c>
      <c r="D7205" s="1" t="s">
        <v>16612</v>
      </c>
      <c r="F7205" s="1" t="s">
        <v>2</v>
      </c>
      <c r="O7205" s="1" t="s">
        <v>11</v>
      </c>
      <c r="P7205" s="1" t="s">
        <v>12</v>
      </c>
      <c r="FR7205" s="1" t="s">
        <v>170</v>
      </c>
      <c r="GD7205" s="1" t="s">
        <v>202</v>
      </c>
      <c r="GE7205" s="1" t="s">
        <v>190</v>
      </c>
    </row>
    <row r="7206" spans="1:187" ht="11.25" customHeight="1">
      <c r="A7206" s="1" t="s">
        <v>10177</v>
      </c>
      <c r="B7206" s="1" t="str">
        <f ca="1">IFERROR(__xludf.DUMMYFUNCTION("GOOGLETRANSLATE(A7206, ""en"", ""fr"")"),"FACULTATIF")</f>
        <v>FACULTATIF</v>
      </c>
      <c r="C7206" s="1" t="s">
        <v>192</v>
      </c>
      <c r="D7206" s="1" t="s">
        <v>16612</v>
      </c>
      <c r="R7206" s="1" t="s">
        <v>14</v>
      </c>
      <c r="DR7206" s="1" t="s">
        <v>118</v>
      </c>
      <c r="GD7206" s="1" t="s">
        <v>202</v>
      </c>
      <c r="GE7206" s="1" t="s">
        <v>190</v>
      </c>
    </row>
    <row r="7207" spans="1:187" ht="11.25" customHeight="1">
      <c r="A7207" s="1" t="s">
        <v>10178</v>
      </c>
      <c r="B7207" s="1" t="str">
        <f ca="1">IFERROR(__xludf.DUMMYFUNCTION("GOOGLETRANSLATE(A7207, ""en"", ""fr"")"),"OU")</f>
        <v>OU</v>
      </c>
      <c r="C7207" s="1" t="s">
        <v>185</v>
      </c>
      <c r="CH7207" s="1" t="s">
        <v>82</v>
      </c>
      <c r="GD7207" s="1" t="s">
        <v>842</v>
      </c>
      <c r="GE7207" s="1" t="s">
        <v>10179</v>
      </c>
    </row>
    <row r="7208" spans="1:187" ht="11.25" customHeight="1">
      <c r="A7208" s="1" t="s">
        <v>10180</v>
      </c>
      <c r="B7208" s="1" t="str">
        <f ca="1">IFERROR(__xludf.DUMMYFUNCTION("GOOGLETRANSLATE(A7208, ""en"", ""fr"")"),"ORAL")</f>
        <v>ORAL</v>
      </c>
      <c r="C7208" s="1" t="s">
        <v>185</v>
      </c>
      <c r="BJ7208" s="1" t="s">
        <v>58</v>
      </c>
      <c r="GD7208" s="1" t="s">
        <v>202</v>
      </c>
      <c r="GE7208" s="1" t="s">
        <v>190</v>
      </c>
    </row>
    <row r="7209" spans="1:187" ht="11.25" customHeight="1">
      <c r="A7209" s="1" t="s">
        <v>10181</v>
      </c>
      <c r="B7209" s="1" t="str">
        <f ca="1">IFERROR(__xludf.DUMMYFUNCTION("GOOGLETRANSLATE(A7209, ""en"", ""fr"")"),"ORANGE")</f>
        <v>ORANGE</v>
      </c>
      <c r="C7209" s="1" t="s">
        <v>185</v>
      </c>
      <c r="DE7209" s="1" t="s">
        <v>105</v>
      </c>
      <c r="GD7209" s="1" t="s">
        <v>202</v>
      </c>
      <c r="GE7209" s="1" t="s">
        <v>190</v>
      </c>
    </row>
    <row r="7210" spans="1:187" ht="11.25" customHeight="1">
      <c r="A7210" s="1" t="s">
        <v>10182</v>
      </c>
      <c r="B7210" s="1" t="str">
        <f ca="1">IFERROR(__xludf.DUMMYFUNCTION("GOOGLETRANSLATE(A7210, ""en"", ""fr"")"),"ORATEUR")</f>
        <v>ORATEUR</v>
      </c>
      <c r="C7210" s="1" t="s">
        <v>185</v>
      </c>
      <c r="AD7210" s="1" t="s">
        <v>26</v>
      </c>
      <c r="AJ7210" s="1" t="s">
        <v>32</v>
      </c>
      <c r="AT7210" s="1" t="s">
        <v>42</v>
      </c>
      <c r="DZ7210" s="1" t="s">
        <v>126</v>
      </c>
      <c r="ED7210" s="1" t="s">
        <v>130</v>
      </c>
      <c r="GD7210" s="1" t="s">
        <v>193</v>
      </c>
      <c r="GE7210" s="1" t="s">
        <v>190</v>
      </c>
    </row>
    <row r="7211" spans="1:187" ht="11.25" customHeight="1">
      <c r="A7211" s="1" t="s">
        <v>10183</v>
      </c>
      <c r="B7211" s="1" t="str">
        <f ca="1">IFERROR(__xludf.DUMMYFUNCTION("GOOGLETRANSLATE(A7211, ""en"", ""fr"")"),"ORCHESTRE")</f>
        <v>ORCHESTRE</v>
      </c>
      <c r="C7211" s="1" t="s">
        <v>185</v>
      </c>
      <c r="AD7211" s="1" t="s">
        <v>26</v>
      </c>
      <c r="AK7211" s="1" t="s">
        <v>33</v>
      </c>
      <c r="AT7211" s="1" t="s">
        <v>42</v>
      </c>
      <c r="FJ7211" s="1" t="s">
        <v>162</v>
      </c>
      <c r="FM7211" s="1" t="s">
        <v>418</v>
      </c>
      <c r="GD7211" s="1" t="s">
        <v>193</v>
      </c>
      <c r="GE7211" s="1" t="s">
        <v>190</v>
      </c>
    </row>
    <row r="7212" spans="1:187" ht="11.25" customHeight="1">
      <c r="A7212" s="1" t="s">
        <v>10184</v>
      </c>
      <c r="B7212" s="1" t="str">
        <f ca="1">IFERROR(__xludf.DUMMYFUNCTION("GOOGLETRANSLATE(A7212, ""en"", ""fr"")"),"ORDONNER")</f>
        <v>ORDONNER</v>
      </c>
      <c r="C7212" s="1" t="s">
        <v>196</v>
      </c>
      <c r="EF7212" s="1" t="s">
        <v>132</v>
      </c>
      <c r="EJ7212" s="1" t="s">
        <v>136</v>
      </c>
      <c r="GD7212" s="1" t="s">
        <v>189</v>
      </c>
    </row>
    <row r="7213" spans="1:187" ht="11.25" customHeight="1">
      <c r="A7213" s="1" t="s">
        <v>10185</v>
      </c>
      <c r="B7213" s="1" t="str">
        <f ca="1">IFERROR(__xludf.DUMMYFUNCTION("GOOGLETRANSLATE(A7213, ""en"", ""fr"")"),"SUPPLICE")</f>
        <v>SUPPLICE</v>
      </c>
      <c r="C7213" s="1" t="s">
        <v>192</v>
      </c>
      <c r="E7213" s="1" t="s">
        <v>16613</v>
      </c>
      <c r="V7213" s="1" t="s">
        <v>18</v>
      </c>
      <c r="CM7213" s="1" t="s">
        <v>87</v>
      </c>
      <c r="GD7213" s="1" t="s">
        <v>193</v>
      </c>
      <c r="GE7213" s="1" t="s">
        <v>190</v>
      </c>
    </row>
    <row r="7214" spans="1:187" ht="11.25" customHeight="1">
      <c r="A7214" s="1" t="s">
        <v>10186</v>
      </c>
      <c r="B7214" s="1" t="str">
        <f ca="1">IFERROR(__xludf.DUMMYFUNCTION("GOOGLETRANSLATE(A7214, ""en"", ""fr"")"),"Commande n ° 1")</f>
        <v>Commande n ° 1</v>
      </c>
      <c r="C7214" s="1" t="s">
        <v>185</v>
      </c>
      <c r="CI7214" s="1" t="s">
        <v>83</v>
      </c>
      <c r="GD7214" s="1" t="s">
        <v>763</v>
      </c>
      <c r="GE7214" s="1" t="s">
        <v>10187</v>
      </c>
    </row>
    <row r="7215" spans="1:187" ht="11.25" customHeight="1">
      <c r="A7215" s="1" t="s">
        <v>10188</v>
      </c>
      <c r="B7215" s="1" t="str">
        <f ca="1">IFERROR(__xludf.DUMMYFUNCTION("GOOGLETRANSLATE(A7215, ""en"", ""fr"")"),"Commande n ° 2")</f>
        <v>Commande n ° 2</v>
      </c>
      <c r="C7215" s="1" t="s">
        <v>185</v>
      </c>
      <c r="D7215" s="1" t="s">
        <v>16612</v>
      </c>
      <c r="F7215" s="1" t="s">
        <v>2</v>
      </c>
      <c r="J7215" s="1" t="s">
        <v>6</v>
      </c>
      <c r="BQ7215" s="1" t="s">
        <v>65</v>
      </c>
      <c r="GD7215" s="1" t="s">
        <v>193</v>
      </c>
      <c r="GE7215" s="1" t="s">
        <v>10189</v>
      </c>
    </row>
    <row r="7216" spans="1:187" ht="11.25" customHeight="1">
      <c r="A7216" s="1" t="s">
        <v>10190</v>
      </c>
      <c r="B7216" s="1" t="str">
        <f ca="1">IFERROR(__xludf.DUMMYFUNCTION("GOOGLETRANSLATE(A7216, ""en"", ""fr"")"),"Commande n ° 3")</f>
        <v>Commande n ° 3</v>
      </c>
      <c r="C7216" s="1" t="s">
        <v>185</v>
      </c>
      <c r="J7216" s="1" t="s">
        <v>6</v>
      </c>
      <c r="K7216" s="1" t="s">
        <v>7</v>
      </c>
      <c r="N7216" s="1" t="s">
        <v>10</v>
      </c>
      <c r="BK7216" s="1" t="s">
        <v>59</v>
      </c>
      <c r="BL7216" s="1" t="s">
        <v>60</v>
      </c>
      <c r="EB7216" s="1" t="s">
        <v>128</v>
      </c>
      <c r="ED7216" s="1" t="s">
        <v>130</v>
      </c>
      <c r="GD7216" s="1" t="s">
        <v>193</v>
      </c>
      <c r="GE7216" s="1" t="s">
        <v>10191</v>
      </c>
    </row>
    <row r="7217" spans="1:187" ht="11.25" customHeight="1">
      <c r="A7217" s="1" t="s">
        <v>10192</v>
      </c>
      <c r="B7217" s="1" t="str">
        <f ca="1">IFERROR(__xludf.DUMMYFUNCTION("GOOGLETRANSLATE(A7217, ""en"", ""fr"")"),"Commande n ° 4")</f>
        <v>Commande n ° 4</v>
      </c>
      <c r="C7217" s="1" t="s">
        <v>185</v>
      </c>
      <c r="J7217" s="1" t="s">
        <v>6</v>
      </c>
      <c r="K7217" s="1" t="s">
        <v>7</v>
      </c>
      <c r="N7217" s="1" t="s">
        <v>10</v>
      </c>
      <c r="BK7217" s="1" t="s">
        <v>59</v>
      </c>
      <c r="DN7217" s="1" t="s">
        <v>114</v>
      </c>
      <c r="EC7217" s="1" t="s">
        <v>129</v>
      </c>
      <c r="ED7217" s="1" t="s">
        <v>130</v>
      </c>
      <c r="GD7217" s="1" t="s">
        <v>189</v>
      </c>
      <c r="GE7217" s="1" t="s">
        <v>10193</v>
      </c>
    </row>
    <row r="7218" spans="1:187" ht="11.25" customHeight="1">
      <c r="A7218" s="1" t="s">
        <v>10194</v>
      </c>
      <c r="B7218" s="1" t="str">
        <f ca="1">IFERROR(__xludf.DUMMYFUNCTION("GOOGLETRANSLATE(A7218, ""en"", ""fr"")"),"Commande n ° 5")</f>
        <v>Commande n ° 5</v>
      </c>
      <c r="C7218" s="1" t="s">
        <v>185</v>
      </c>
      <c r="D7218" s="1" t="s">
        <v>16612</v>
      </c>
      <c r="F7218" s="1" t="s">
        <v>2</v>
      </c>
      <c r="J7218" s="1" t="s">
        <v>6</v>
      </c>
      <c r="BQ7218" s="1" t="s">
        <v>65</v>
      </c>
      <c r="GD7218" s="1" t="s">
        <v>202</v>
      </c>
      <c r="GE7218" s="1" t="s">
        <v>10195</v>
      </c>
    </row>
    <row r="7219" spans="1:187" ht="11.25" customHeight="1">
      <c r="A7219" s="1" t="s">
        <v>10196</v>
      </c>
      <c r="B7219" s="1" t="str">
        <f ca="1">IFERROR(__xludf.DUMMYFUNCTION("GOOGLETRANSLATE(A7219, ""en"", ""fr"")"),"Commande n ° 6")</f>
        <v>Commande n ° 6</v>
      </c>
      <c r="C7219" s="1" t="s">
        <v>185</v>
      </c>
      <c r="D7219" s="1" t="s">
        <v>16612</v>
      </c>
      <c r="F7219" s="1" t="s">
        <v>2</v>
      </c>
      <c r="J7219" s="1" t="s">
        <v>6</v>
      </c>
      <c r="BQ7219" s="1" t="s">
        <v>65</v>
      </c>
      <c r="GD7219" s="1" t="s">
        <v>202</v>
      </c>
      <c r="GE7219" s="1" t="s">
        <v>10197</v>
      </c>
    </row>
    <row r="7220" spans="1:187" ht="11.25" customHeight="1">
      <c r="A7220" s="1" t="s">
        <v>10198</v>
      </c>
      <c r="B7220" s="1" t="str">
        <f ca="1">IFERROR(__xludf.DUMMYFUNCTION("GOOGLETRANSLATE(A7220, ""en"", ""fr"")"),"Commande n ° 7")</f>
        <v>Commande n ° 7</v>
      </c>
      <c r="C7220" s="1" t="s">
        <v>185</v>
      </c>
      <c r="J7220" s="1" t="s">
        <v>6</v>
      </c>
      <c r="N7220" s="1" t="s">
        <v>10</v>
      </c>
      <c r="BK7220" s="1" t="s">
        <v>59</v>
      </c>
      <c r="GC7220" s="1" t="s">
        <v>181</v>
      </c>
      <c r="GD7220" s="1" t="s">
        <v>202</v>
      </c>
      <c r="GE7220" s="1" t="s">
        <v>10199</v>
      </c>
    </row>
    <row r="7221" spans="1:187" ht="11.25" customHeight="1">
      <c r="A7221" s="1" t="s">
        <v>10200</v>
      </c>
      <c r="B7221" s="1" t="str">
        <f ca="1">IFERROR(__xludf.DUMMYFUNCTION("GOOGLETRANSLATE(A7221, ""en"", ""fr"")"),"Commande n ° 8")</f>
        <v>Commande n ° 8</v>
      </c>
      <c r="C7221" s="1" t="s">
        <v>185</v>
      </c>
      <c r="E7221" s="1" t="s">
        <v>16613</v>
      </c>
      <c r="H7221" s="1" t="s">
        <v>4</v>
      </c>
      <c r="L7221" s="1" t="s">
        <v>8</v>
      </c>
      <c r="O7221" s="1" t="s">
        <v>11</v>
      </c>
      <c r="BT7221" s="1" t="s">
        <v>68</v>
      </c>
      <c r="DN7221" s="1" t="s">
        <v>114</v>
      </c>
      <c r="FO7221" s="1" t="s">
        <v>167</v>
      </c>
      <c r="GD7221" s="1" t="s">
        <v>189</v>
      </c>
      <c r="GE7221" s="1" t="s">
        <v>10201</v>
      </c>
    </row>
    <row r="7222" spans="1:187" ht="11.25" customHeight="1">
      <c r="A7222" s="1" t="s">
        <v>10202</v>
      </c>
      <c r="B7222" s="1" t="str">
        <f ca="1">IFERROR(__xludf.DUMMYFUNCTION("GOOGLETRANSLATE(A7222, ""en"", ""fr"")"),"ORDONNANCE")</f>
        <v>ORDONNANCE</v>
      </c>
      <c r="C7222" s="1" t="s">
        <v>185</v>
      </c>
      <c r="J7222" s="1" t="s">
        <v>6</v>
      </c>
      <c r="K7222" s="1" t="s">
        <v>7</v>
      </c>
      <c r="AE7222" s="1" t="s">
        <v>27</v>
      </c>
      <c r="BK7222" s="1" t="s">
        <v>59</v>
      </c>
      <c r="BL7222" s="1" t="s">
        <v>60</v>
      </c>
      <c r="GC7222" s="1" t="s">
        <v>181</v>
      </c>
      <c r="GD7222" s="1" t="s">
        <v>193</v>
      </c>
      <c r="GE7222" s="1" t="s">
        <v>190</v>
      </c>
    </row>
    <row r="7223" spans="1:187" ht="11.25" customHeight="1">
      <c r="A7223" s="1" t="s">
        <v>10203</v>
      </c>
      <c r="B7223" s="1" t="str">
        <f ca="1">IFERROR(__xludf.DUMMYFUNCTION("GOOGLETRANSLATE(A7223, ""en"", ""fr"")"),"ORDINAIRE")</f>
        <v>ORDINAIRE</v>
      </c>
      <c r="C7223" s="1" t="s">
        <v>185</v>
      </c>
      <c r="W7223" s="1" t="s">
        <v>19</v>
      </c>
      <c r="CN7223" s="1" t="s">
        <v>88</v>
      </c>
      <c r="CR7223" s="1" t="s">
        <v>92</v>
      </c>
      <c r="GD7223" s="1" t="s">
        <v>202</v>
      </c>
      <c r="GE7223" s="1" t="s">
        <v>10204</v>
      </c>
    </row>
    <row r="7224" spans="1:187" ht="11.25" customHeight="1">
      <c r="A7224" s="1" t="s">
        <v>10205</v>
      </c>
      <c r="B7224" s="1" t="str">
        <f ca="1">IFERROR(__xludf.DUMMYFUNCTION("GOOGLETRANSLATE(A7224, ""en"", ""fr"")"),"MINERAI")</f>
        <v>MINERAI</v>
      </c>
      <c r="C7224" s="1" t="s">
        <v>185</v>
      </c>
      <c r="BC7224" s="1" t="s">
        <v>51</v>
      </c>
      <c r="BI7224" s="1" t="s">
        <v>57</v>
      </c>
      <c r="EV7224" s="1" t="s">
        <v>148</v>
      </c>
      <c r="EW7224" s="1" t="s">
        <v>149</v>
      </c>
      <c r="GD7224" s="1" t="s">
        <v>193</v>
      </c>
      <c r="GE7224" s="1" t="s">
        <v>190</v>
      </c>
    </row>
    <row r="7225" spans="1:187" ht="11.25" customHeight="1">
      <c r="A7225" s="1" t="s">
        <v>10206</v>
      </c>
      <c r="B7225" s="1" t="str">
        <f ca="1">IFERROR(__xludf.DUMMYFUNCTION("GOOGLETRANSLATE(A7225, ""en"", ""fr"")"),"OREGON")</f>
        <v>OREGON</v>
      </c>
      <c r="C7225" s="1" t="s">
        <v>196</v>
      </c>
      <c r="GD7225" s="1" t="s">
        <v>653</v>
      </c>
    </row>
    <row r="7226" spans="1:187" ht="11.25" customHeight="1">
      <c r="A7226" s="1" t="s">
        <v>10207</v>
      </c>
      <c r="B7226" s="1" t="str">
        <f ca="1">IFERROR(__xludf.DUMMYFUNCTION("GOOGLETRANSLATE(A7226, ""en"", ""fr"")"),"ORGANE")</f>
        <v>ORGANE</v>
      </c>
      <c r="C7226" s="1" t="s">
        <v>196</v>
      </c>
      <c r="GD7226" s="1" t="s">
        <v>193</v>
      </c>
    </row>
    <row r="7227" spans="1:187" ht="11.25" customHeight="1">
      <c r="A7227" s="1" t="s">
        <v>10208</v>
      </c>
      <c r="B7227" s="1" t="str">
        <f ca="1">IFERROR(__xludf.DUMMYFUNCTION("GOOGLETRANSLATE(A7227, ""en"", ""fr"")"),"ORGANIQUE")</f>
        <v>ORGANIQUE</v>
      </c>
      <c r="C7227" s="1" t="s">
        <v>185</v>
      </c>
      <c r="BU7227" s="1" t="s">
        <v>69</v>
      </c>
      <c r="GD7227" s="1" t="s">
        <v>202</v>
      </c>
      <c r="GE7227" s="1" t="s">
        <v>190</v>
      </c>
    </row>
    <row r="7228" spans="1:187" ht="11.25" customHeight="1">
      <c r="A7228" s="1" t="s">
        <v>10209</v>
      </c>
      <c r="B7228" s="1" t="str">
        <f ca="1">IFERROR(__xludf.DUMMYFUNCTION("GOOGLETRANSLATE(A7228, ""en"", ""fr"")"),"Organisez # 1")</f>
        <v>Organisez # 1</v>
      </c>
      <c r="C7228" s="1" t="s">
        <v>192</v>
      </c>
      <c r="GE7228" s="1" t="s">
        <v>190</v>
      </c>
    </row>
    <row r="7229" spans="1:187" ht="11.25" customHeight="1">
      <c r="A7229" s="1" t="s">
        <v>10210</v>
      </c>
      <c r="B7229" s="1" t="str">
        <f ca="1">IFERROR(__xludf.DUMMYFUNCTION("GOOGLETRANSLATE(A7229, ""en"", ""fr"")"),"ORGANISATION")</f>
        <v>ORGANISATION</v>
      </c>
      <c r="C7229" s="1" t="s">
        <v>185</v>
      </c>
      <c r="J7229" s="1" t="s">
        <v>6</v>
      </c>
      <c r="AK7229" s="1" t="s">
        <v>33</v>
      </c>
      <c r="AT7229" s="1" t="s">
        <v>42</v>
      </c>
      <c r="CP7229" s="1" t="s">
        <v>90</v>
      </c>
      <c r="CQ7229" s="1" t="s">
        <v>91</v>
      </c>
      <c r="DX7229" s="1" t="s">
        <v>124</v>
      </c>
      <c r="ED7229" s="1" t="s">
        <v>130</v>
      </c>
      <c r="GD7229" s="1" t="s">
        <v>193</v>
      </c>
      <c r="GE7229" s="1" t="s">
        <v>10211</v>
      </c>
    </row>
    <row r="7230" spans="1:187" ht="11.25" customHeight="1">
      <c r="A7230" s="1" t="s">
        <v>10212</v>
      </c>
      <c r="B7230" s="1" t="str">
        <f ca="1">IFERROR(__xludf.DUMMYFUNCTION("GOOGLETRANSLATE(A7230, ""en"", ""fr"")"),"Organisez # 1")</f>
        <v>Organisez # 1</v>
      </c>
      <c r="C7230" s="1" t="s">
        <v>185</v>
      </c>
      <c r="D7230" s="1" t="s">
        <v>16612</v>
      </c>
      <c r="F7230" s="1" t="s">
        <v>2</v>
      </c>
      <c r="J7230" s="1" t="s">
        <v>6</v>
      </c>
      <c r="K7230" s="1" t="s">
        <v>7</v>
      </c>
      <c r="N7230" s="1" t="s">
        <v>10</v>
      </c>
      <c r="DD7230" s="1" t="s">
        <v>104</v>
      </c>
      <c r="DN7230" s="1" t="s">
        <v>114</v>
      </c>
      <c r="DX7230" s="1" t="s">
        <v>124</v>
      </c>
      <c r="ED7230" s="1" t="s">
        <v>130</v>
      </c>
      <c r="GD7230" s="1" t="s">
        <v>189</v>
      </c>
      <c r="GE7230" s="1" t="s">
        <v>10213</v>
      </c>
    </row>
    <row r="7231" spans="1:187" ht="11.25" customHeight="1">
      <c r="A7231" s="1" t="s">
        <v>10214</v>
      </c>
      <c r="B7231" s="1" t="str">
        <f ca="1">IFERROR(__xludf.DUMMYFUNCTION("GOOGLETRANSLATE(A7231, ""en"", ""fr"")"),"Organisez # 2")</f>
        <v>Organisez # 2</v>
      </c>
      <c r="C7231" s="1" t="s">
        <v>185</v>
      </c>
      <c r="D7231" s="1" t="s">
        <v>16612</v>
      </c>
      <c r="F7231" s="1" t="s">
        <v>2</v>
      </c>
      <c r="J7231" s="1" t="s">
        <v>6</v>
      </c>
      <c r="U7231" s="1" t="s">
        <v>17</v>
      </c>
      <c r="DX7231" s="1" t="s">
        <v>124</v>
      </c>
      <c r="ED7231" s="1" t="s">
        <v>130</v>
      </c>
      <c r="GD7231" s="1" t="s">
        <v>202</v>
      </c>
      <c r="GE7231" s="1" t="s">
        <v>10215</v>
      </c>
    </row>
    <row r="7232" spans="1:187" ht="11.25" customHeight="1">
      <c r="A7232" s="1" t="s">
        <v>10216</v>
      </c>
      <c r="B7232" s="1" t="str">
        <f ca="1">IFERROR(__xludf.DUMMYFUNCTION("GOOGLETRANSLATE(A7232, ""en"", ""fr"")"),"Orient # 1")</f>
        <v>Orient # 1</v>
      </c>
      <c r="C7232" s="1" t="s">
        <v>185</v>
      </c>
      <c r="DI7232" s="1" t="s">
        <v>109</v>
      </c>
      <c r="GB7232" s="1" t="s">
        <v>180</v>
      </c>
      <c r="GD7232" s="1" t="s">
        <v>193</v>
      </c>
      <c r="GE7232" s="1" t="s">
        <v>190</v>
      </c>
    </row>
    <row r="7233" spans="1:187" ht="11.25" customHeight="1">
      <c r="A7233" s="1" t="s">
        <v>10217</v>
      </c>
      <c r="B7233" s="1" t="str">
        <f ca="1">IFERROR(__xludf.DUMMYFUNCTION("GOOGLETRANSLATE(A7233, ""en"", ""fr"")"),"Orient # 2")</f>
        <v>Orient # 2</v>
      </c>
      <c r="C7233" s="1" t="s">
        <v>185</v>
      </c>
      <c r="CA7233" s="1" t="s">
        <v>75</v>
      </c>
      <c r="DN7233" s="1" t="s">
        <v>114</v>
      </c>
      <c r="FD7233" s="1" t="s">
        <v>156</v>
      </c>
      <c r="FI7233" s="1" t="s">
        <v>161</v>
      </c>
      <c r="GD7233" s="1" t="s">
        <v>189</v>
      </c>
      <c r="GE7233" s="1" t="s">
        <v>190</v>
      </c>
    </row>
    <row r="7234" spans="1:187" ht="11.25" customHeight="1">
      <c r="A7234" s="1" t="s">
        <v>10218</v>
      </c>
      <c r="B7234" s="1" t="str">
        <f ca="1">IFERROR(__xludf.DUMMYFUNCTION("GOOGLETRANSLATE(A7234, ""en"", ""fr"")"),"ORIGINE")</f>
        <v>ORIGINE</v>
      </c>
      <c r="C7234" s="1" t="s">
        <v>185</v>
      </c>
      <c r="BV7234" s="1" t="s">
        <v>70</v>
      </c>
      <c r="GD7234" s="1" t="s">
        <v>193</v>
      </c>
      <c r="GE7234" s="1" t="s">
        <v>190</v>
      </c>
    </row>
    <row r="7235" spans="1:187" ht="11.25" customHeight="1">
      <c r="A7235" s="1" t="s">
        <v>10219</v>
      </c>
      <c r="B7235" s="1" t="str">
        <f ca="1">IFERROR(__xludf.DUMMYFUNCTION("GOOGLETRANSLATE(A7235, ""en"", ""fr"")"),"ORIGINAL")</f>
        <v>ORIGINAL</v>
      </c>
      <c r="C7235" s="1" t="s">
        <v>185</v>
      </c>
      <c r="CY7235" s="1" t="s">
        <v>99</v>
      </c>
      <c r="GB7235" s="1" t="s">
        <v>180</v>
      </c>
      <c r="GD7235" s="1" t="s">
        <v>202</v>
      </c>
      <c r="GE7235" s="1" t="s">
        <v>10220</v>
      </c>
    </row>
    <row r="7236" spans="1:187" ht="11.25" customHeight="1">
      <c r="A7236" s="1" t="s">
        <v>10221</v>
      </c>
      <c r="B7236" s="1" t="str">
        <f ca="1">IFERROR(__xludf.DUMMYFUNCTION("GOOGLETRANSLATE(A7236, ""en"", ""fr"")"),"ORIGINALITÉ")</f>
        <v>ORIGINALITÉ</v>
      </c>
      <c r="C7236" s="1" t="s">
        <v>192</v>
      </c>
      <c r="D7236" s="1" t="s">
        <v>16612</v>
      </c>
      <c r="W7236" s="1" t="s">
        <v>19</v>
      </c>
      <c r="CG7236" s="1" t="s">
        <v>81</v>
      </c>
      <c r="CR7236" s="1" t="s">
        <v>92</v>
      </c>
      <c r="GD7236" s="1" t="s">
        <v>193</v>
      </c>
      <c r="GE7236" s="1" t="s">
        <v>190</v>
      </c>
    </row>
    <row r="7237" spans="1:187" ht="11.25" customHeight="1">
      <c r="A7237" s="1" t="s">
        <v>10222</v>
      </c>
      <c r="B7237" s="1" t="str">
        <f ca="1">IFERROR(__xludf.DUMMYFUNCTION("GOOGLETRANSLATE(A7237, ""en"", ""fr"")"),"Provenir de")</f>
        <v>Provenir de</v>
      </c>
      <c r="C7237" s="1" t="s">
        <v>185</v>
      </c>
      <c r="J7237" s="1" t="s">
        <v>6</v>
      </c>
      <c r="N7237" s="1" t="s">
        <v>10</v>
      </c>
      <c r="BV7237" s="1" t="s">
        <v>70</v>
      </c>
      <c r="DN7237" s="1" t="s">
        <v>114</v>
      </c>
      <c r="GD7237" s="1" t="s">
        <v>189</v>
      </c>
      <c r="GE7237" s="1" t="s">
        <v>190</v>
      </c>
    </row>
    <row r="7238" spans="1:187" ht="11.25" customHeight="1">
      <c r="A7238" s="1" t="s">
        <v>10223</v>
      </c>
      <c r="B7238" s="1" t="str">
        <f ca="1">IFERROR(__xludf.DUMMYFUNCTION("GOOGLETRANSLATE(A7238, ""en"", ""fr"")"),"Orléans")</f>
        <v>Orléans</v>
      </c>
      <c r="C7238" s="1" t="s">
        <v>185</v>
      </c>
      <c r="AC7238" s="1" t="s">
        <v>25</v>
      </c>
      <c r="AH7238" s="1" t="s">
        <v>30</v>
      </c>
      <c r="DI7238" s="1" t="s">
        <v>109</v>
      </c>
      <c r="GD7238" s="1" t="s">
        <v>193</v>
      </c>
      <c r="GE7238" s="1" t="s">
        <v>190</v>
      </c>
    </row>
    <row r="7239" spans="1:187" ht="11.25" customHeight="1">
      <c r="A7239" s="1" t="s">
        <v>10224</v>
      </c>
      <c r="B7239" s="1" t="str">
        <f ca="1">IFERROR(__xludf.DUMMYFUNCTION("GOOGLETRANSLATE(A7239, ""en"", ""fr"")"),"Ornement # 1")</f>
        <v>Ornement # 1</v>
      </c>
      <c r="C7239" s="1" t="s">
        <v>185</v>
      </c>
      <c r="AD7239" s="1" t="s">
        <v>26</v>
      </c>
      <c r="BC7239" s="1" t="s">
        <v>51</v>
      </c>
      <c r="BD7239" s="1" t="s">
        <v>52</v>
      </c>
      <c r="FJ7239" s="1" t="s">
        <v>162</v>
      </c>
      <c r="FM7239" s="1" t="s">
        <v>418</v>
      </c>
      <c r="GD7239" s="1" t="s">
        <v>193</v>
      </c>
      <c r="GE7239" s="1" t="s">
        <v>190</v>
      </c>
    </row>
    <row r="7240" spans="1:187" ht="11.25" customHeight="1">
      <c r="A7240" s="1" t="s">
        <v>10225</v>
      </c>
      <c r="B7240" s="1" t="str">
        <f ca="1">IFERROR(__xludf.DUMMYFUNCTION("GOOGLETRANSLATE(A7240, ""en"", ""fr"")"),"Ornement # 2")</f>
        <v>Ornement # 2</v>
      </c>
      <c r="C7240" s="1" t="s">
        <v>185</v>
      </c>
      <c r="AD7240" s="1" t="s">
        <v>26</v>
      </c>
      <c r="AL7240" s="1" t="s">
        <v>34</v>
      </c>
      <c r="DN7240" s="1" t="s">
        <v>114</v>
      </c>
      <c r="FJ7240" s="1" t="s">
        <v>162</v>
      </c>
      <c r="FM7240" s="1" t="s">
        <v>418</v>
      </c>
      <c r="GD7240" s="1" t="s">
        <v>189</v>
      </c>
      <c r="GE7240" s="1" t="s">
        <v>190</v>
      </c>
    </row>
    <row r="7241" spans="1:187" ht="11.25" customHeight="1">
      <c r="A7241" s="1" t="s">
        <v>10226</v>
      </c>
      <c r="B7241" s="1" t="str">
        <f ca="1">IFERROR(__xludf.DUMMYFUNCTION("GOOGLETRANSLATE(A7241, ""en"", ""fr"")"),"ORPHELIN")</f>
        <v>ORPHELIN</v>
      </c>
      <c r="C7241" s="1" t="s">
        <v>192</v>
      </c>
      <c r="E7241" s="1" t="s">
        <v>16613</v>
      </c>
      <c r="W7241" s="1" t="s">
        <v>19</v>
      </c>
      <c r="AJ7241" s="1" t="s">
        <v>32</v>
      </c>
      <c r="AT7241" s="1" t="s">
        <v>42</v>
      </c>
      <c r="GD7241" s="1" t="s">
        <v>193</v>
      </c>
      <c r="GE7241" s="1" t="s">
        <v>190</v>
      </c>
    </row>
    <row r="7242" spans="1:187" ht="11.25" customHeight="1">
      <c r="A7242" s="1" t="s">
        <v>10227</v>
      </c>
      <c r="B7242" s="1" t="str">
        <f ca="1">IFERROR(__xludf.DUMMYFUNCTION("GOOGLETRANSLATE(A7242, ""en"", ""fr"")"),"ORTHODOXE")</f>
        <v>ORTHODOXE</v>
      </c>
      <c r="C7242" s="1" t="s">
        <v>185</v>
      </c>
      <c r="Z7242" s="1" t="s">
        <v>22</v>
      </c>
      <c r="AI7242" s="1" t="s">
        <v>31</v>
      </c>
      <c r="GD7242" s="1" t="s">
        <v>202</v>
      </c>
      <c r="GE7242" s="1" t="s">
        <v>190</v>
      </c>
    </row>
    <row r="7243" spans="1:187" ht="11.25" customHeight="1">
      <c r="A7243" s="1" t="s">
        <v>10228</v>
      </c>
      <c r="B7243" s="1" t="str">
        <f ca="1">IFERROR(__xludf.DUMMYFUNCTION("GOOGLETRANSLATE(A7243, ""en"", ""fr"")"),"EN APPARENCE")</f>
        <v>EN APPARENCE</v>
      </c>
      <c r="C7243" s="1" t="s">
        <v>196</v>
      </c>
      <c r="FH7243" s="1" t="s">
        <v>160</v>
      </c>
      <c r="FI7243" s="1" t="s">
        <v>161</v>
      </c>
      <c r="GD7243" s="1" t="s">
        <v>202</v>
      </c>
    </row>
    <row r="7244" spans="1:187" ht="11.25" customHeight="1">
      <c r="A7244" s="1" t="s">
        <v>10229</v>
      </c>
      <c r="B7244" s="1" t="str">
        <f ca="1">IFERROR(__xludf.DUMMYFUNCTION("GOOGLETRANSLATE(A7244, ""en"", ""fr"")"),"Ostraciser")</f>
        <v>Ostraciser</v>
      </c>
      <c r="C7244" s="1" t="s">
        <v>192</v>
      </c>
      <c r="E7244" s="1" t="s">
        <v>16613</v>
      </c>
      <c r="G7244" s="1" t="s">
        <v>3</v>
      </c>
      <c r="I7244" s="1" t="s">
        <v>5</v>
      </c>
      <c r="N7244" s="1" t="s">
        <v>10</v>
      </c>
      <c r="W7244" s="1" t="s">
        <v>19</v>
      </c>
      <c r="DN7244" s="1" t="s">
        <v>114</v>
      </c>
      <c r="GD7244" s="1" t="s">
        <v>670</v>
      </c>
      <c r="GE7244" s="1" t="s">
        <v>190</v>
      </c>
    </row>
    <row r="7245" spans="1:187" ht="11.25" customHeight="1">
      <c r="A7245" s="1" t="s">
        <v>10230</v>
      </c>
      <c r="B7245" s="1" t="str">
        <f ca="1">IFERROR(__xludf.DUMMYFUNCTION("GOOGLETRANSLATE(A7245, ""en"", ""fr"")"),"Autre n ° 1")</f>
        <v>Autre n ° 1</v>
      </c>
      <c r="C7245" s="1" t="s">
        <v>185</v>
      </c>
      <c r="CL7245" s="1" t="s">
        <v>86</v>
      </c>
      <c r="CS7245" s="1" t="s">
        <v>93</v>
      </c>
      <c r="GD7245" s="1" t="s">
        <v>881</v>
      </c>
      <c r="GE7245" s="1" t="s">
        <v>10231</v>
      </c>
    </row>
    <row r="7246" spans="1:187" ht="11.25" customHeight="1">
      <c r="A7246" s="1" t="s">
        <v>10232</v>
      </c>
      <c r="B7246" s="1" t="str">
        <f ca="1">IFERROR(__xludf.DUMMYFUNCTION("GOOGLETRANSLATE(A7246, ""en"", ""fr"")"),"Autre n ° 2")</f>
        <v>Autre n ° 2</v>
      </c>
      <c r="C7246" s="1" t="s">
        <v>185</v>
      </c>
      <c r="GD7246" s="1" t="s">
        <v>10233</v>
      </c>
      <c r="GE7246" s="1" t="s">
        <v>10234</v>
      </c>
    </row>
    <row r="7247" spans="1:187" ht="11.25" customHeight="1">
      <c r="A7247" s="1" t="s">
        <v>10235</v>
      </c>
      <c r="B7247" s="1" t="str">
        <f ca="1">IFERROR(__xludf.DUMMYFUNCTION("GOOGLETRANSLATE(A7247, ""en"", ""fr"")"),"Autre # 3")</f>
        <v>Autre # 3</v>
      </c>
      <c r="C7247" s="1" t="s">
        <v>185</v>
      </c>
      <c r="FT7247" s="1" t="s">
        <v>172</v>
      </c>
      <c r="GD7247" s="1" t="s">
        <v>10236</v>
      </c>
      <c r="GE7247" s="1" t="s">
        <v>10237</v>
      </c>
    </row>
    <row r="7248" spans="1:187" ht="11.25" customHeight="1">
      <c r="A7248" s="1" t="s">
        <v>10238</v>
      </c>
      <c r="B7248" s="1" t="str">
        <f ca="1">IFERROR(__xludf.DUMMYFUNCTION("GOOGLETRANSLATE(A7248, ""en"", ""fr"")"),"Autre n ° 4")</f>
        <v>Autre n ° 4</v>
      </c>
      <c r="C7248" s="1" t="s">
        <v>185</v>
      </c>
      <c r="CS7248" s="1" t="s">
        <v>93</v>
      </c>
      <c r="GD7248" s="1" t="s">
        <v>215</v>
      </c>
      <c r="GE7248" s="1" t="s">
        <v>10239</v>
      </c>
    </row>
    <row r="7249" spans="1:187" ht="11.25" customHeight="1">
      <c r="A7249" s="1" t="s">
        <v>10240</v>
      </c>
      <c r="B7249" s="1" t="str">
        <f ca="1">IFERROR(__xludf.DUMMYFUNCTION("GOOGLETRANSLATE(A7249, ""en"", ""fr"")"),"Autre n ° 5")</f>
        <v>Autre n ° 5</v>
      </c>
      <c r="C7249" s="1" t="s">
        <v>185</v>
      </c>
      <c r="CY7249" s="1" t="s">
        <v>99</v>
      </c>
      <c r="GB7249" s="1" t="s">
        <v>180</v>
      </c>
      <c r="GD7249" s="1" t="s">
        <v>236</v>
      </c>
      <c r="GE7249" s="1" t="s">
        <v>10241</v>
      </c>
    </row>
    <row r="7250" spans="1:187" ht="11.25" customHeight="1">
      <c r="A7250" s="1" t="s">
        <v>10242</v>
      </c>
      <c r="B7250" s="1" t="str">
        <f ca="1">IFERROR(__xludf.DUMMYFUNCTION("GOOGLETRANSLATE(A7250, ""en"", ""fr"")"),"Autre n ° 6")</f>
        <v>Autre n ° 6</v>
      </c>
      <c r="C7250" s="1" t="s">
        <v>185</v>
      </c>
      <c r="GD7250" s="1" t="s">
        <v>225</v>
      </c>
      <c r="GE7250" s="1" t="s">
        <v>10243</v>
      </c>
    </row>
    <row r="7251" spans="1:187" ht="11.25" customHeight="1">
      <c r="A7251" s="1" t="s">
        <v>10244</v>
      </c>
      <c r="B7251" s="1" t="str">
        <f ca="1">IFERROR(__xludf.DUMMYFUNCTION("GOOGLETRANSLATE(A7251, ""en"", ""fr"")"),"Autre n ° 7")</f>
        <v>Autre n ° 7</v>
      </c>
      <c r="C7251" s="1" t="s">
        <v>185</v>
      </c>
      <c r="GD7251" s="1" t="s">
        <v>225</v>
      </c>
      <c r="GE7251" s="1" t="s">
        <v>10245</v>
      </c>
    </row>
    <row r="7252" spans="1:187" ht="11.25" customHeight="1">
      <c r="A7252" s="1" t="s">
        <v>10246</v>
      </c>
      <c r="B7252" s="1" t="str">
        <f ca="1">IFERROR(__xludf.DUMMYFUNCTION("GOOGLETRANSLATE(A7252, ""en"", ""fr"")"),"Autre n ° 8")</f>
        <v>Autre n ° 8</v>
      </c>
      <c r="C7252" s="1" t="s">
        <v>185</v>
      </c>
      <c r="GD7252" s="1" t="s">
        <v>225</v>
      </c>
      <c r="GE7252" s="1" t="s">
        <v>10247</v>
      </c>
    </row>
    <row r="7253" spans="1:187" ht="11.25" customHeight="1">
      <c r="A7253" s="1" t="s">
        <v>10248</v>
      </c>
      <c r="B7253" s="1" t="str">
        <f ca="1">IFERROR(__xludf.DUMMYFUNCTION("GOOGLETRANSLATE(A7253, ""en"", ""fr"")"),"Autre n ° 9")</f>
        <v>Autre n ° 9</v>
      </c>
      <c r="C7253" s="1" t="s">
        <v>185</v>
      </c>
      <c r="GD7253" s="1" t="s">
        <v>225</v>
      </c>
      <c r="GE7253" s="1" t="s">
        <v>10249</v>
      </c>
    </row>
    <row r="7254" spans="1:187" ht="11.25" customHeight="1">
      <c r="A7254" s="1" t="s">
        <v>10250</v>
      </c>
      <c r="B7254" s="1" t="str">
        <f ca="1">IFERROR(__xludf.DUMMYFUNCTION("GOOGLETRANSLATE(A7254, ""en"", ""fr"")"),"SINON")</f>
        <v>SINON</v>
      </c>
      <c r="C7254" s="1" t="s">
        <v>185</v>
      </c>
      <c r="CH7254" s="1" t="s">
        <v>82</v>
      </c>
      <c r="GD7254" s="1" t="s">
        <v>236</v>
      </c>
      <c r="GE7254" s="1" t="s">
        <v>10251</v>
      </c>
    </row>
    <row r="7255" spans="1:187" ht="11.25" customHeight="1">
      <c r="A7255" s="1" t="s">
        <v>10252</v>
      </c>
      <c r="B7255" s="1" t="str">
        <f ca="1">IFERROR(__xludf.DUMMYFUNCTION("GOOGLETRANSLATE(A7255, ""en"", ""fr"")"),"LOUTRE")</f>
        <v>LOUTRE</v>
      </c>
      <c r="C7255" s="1" t="s">
        <v>185</v>
      </c>
      <c r="AU7255" s="1" t="s">
        <v>43</v>
      </c>
      <c r="GD7255" s="1" t="s">
        <v>193</v>
      </c>
      <c r="GE7255" s="1" t="s">
        <v>190</v>
      </c>
    </row>
    <row r="7256" spans="1:187" ht="11.25" customHeight="1">
      <c r="A7256" s="1" t="s">
        <v>10253</v>
      </c>
      <c r="B7256" s="1" t="str">
        <f ca="1">IFERROR(__xludf.DUMMYFUNCTION("GOOGLETRANSLATE(A7256, ""en"", ""fr"")"),"DEVRAIT")</f>
        <v>DEVRAIT</v>
      </c>
      <c r="C7256" s="1" t="s">
        <v>185</v>
      </c>
      <c r="CJ7256" s="1" t="s">
        <v>84</v>
      </c>
      <c r="DP7256" s="1" t="s">
        <v>116</v>
      </c>
      <c r="EI7256" s="1" t="s">
        <v>135</v>
      </c>
      <c r="EJ7256" s="1" t="s">
        <v>136</v>
      </c>
      <c r="GD7256" s="1" t="s">
        <v>222</v>
      </c>
      <c r="GE7256" s="1" t="s">
        <v>10254</v>
      </c>
    </row>
    <row r="7257" spans="1:187" ht="11.25" customHeight="1">
      <c r="A7257" s="1" t="s">
        <v>10255</v>
      </c>
      <c r="B7257" s="1" t="str">
        <f ca="1">IFERROR(__xludf.DUMMYFUNCTION("GOOGLETRANSLATE(A7257, ""en"", ""fr"")"),"NOTRE")</f>
        <v>NOTRE</v>
      </c>
      <c r="C7257" s="1" t="s">
        <v>185</v>
      </c>
      <c r="G7257" s="1" t="s">
        <v>3</v>
      </c>
      <c r="DG7257" s="1" t="s">
        <v>107</v>
      </c>
      <c r="GD7257" s="1" t="s">
        <v>7084</v>
      </c>
      <c r="GE7257" s="1" t="s">
        <v>10256</v>
      </c>
    </row>
    <row r="7258" spans="1:187" ht="11.25" customHeight="1">
      <c r="A7258" s="1" t="s">
        <v>10257</v>
      </c>
      <c r="B7258" s="1" t="str">
        <f ca="1">IFERROR(__xludf.DUMMYFUNCTION("GOOGLETRANSLATE(A7258, ""en"", ""fr"")"),"LES NOTRES")</f>
        <v>LES NOTRES</v>
      </c>
      <c r="C7258" s="1" t="s">
        <v>185</v>
      </c>
      <c r="G7258" s="1" t="s">
        <v>3</v>
      </c>
      <c r="DG7258" s="1" t="s">
        <v>107</v>
      </c>
      <c r="GD7258" s="1" t="s">
        <v>1957</v>
      </c>
      <c r="GE7258" s="1" t="s">
        <v>190</v>
      </c>
    </row>
    <row r="7259" spans="1:187" ht="11.25" customHeight="1">
      <c r="A7259" s="1" t="s">
        <v>10258</v>
      </c>
      <c r="B7259" s="1" t="str">
        <f ca="1">IFERROR(__xludf.DUMMYFUNCTION("GOOGLETRANSLATE(A7259, ""en"", ""fr"")"),"Nous-mêmes # 1")</f>
        <v>Nous-mêmes # 1</v>
      </c>
      <c r="C7259" s="1" t="s">
        <v>185</v>
      </c>
      <c r="DG7259" s="1" t="s">
        <v>107</v>
      </c>
      <c r="GD7259" s="1" t="s">
        <v>10259</v>
      </c>
      <c r="GE7259" s="1" t="s">
        <v>190</v>
      </c>
    </row>
    <row r="7260" spans="1:187" ht="11.25" customHeight="1">
      <c r="A7260" s="1" t="s">
        <v>10260</v>
      </c>
      <c r="B7260" s="1" t="str">
        <f ca="1">IFERROR(__xludf.DUMMYFUNCTION("GOOGLETRANSLATE(A7260, ""en"", ""fr"")"),"ÉVINCER")</f>
        <v>ÉVINCER</v>
      </c>
      <c r="C7260" s="1" t="s">
        <v>185</v>
      </c>
      <c r="E7260" s="1" t="s">
        <v>16613</v>
      </c>
      <c r="H7260" s="1" t="s">
        <v>4</v>
      </c>
      <c r="I7260" s="1" t="s">
        <v>5</v>
      </c>
      <c r="J7260" s="1" t="s">
        <v>6</v>
      </c>
      <c r="K7260" s="1" t="s">
        <v>7</v>
      </c>
      <c r="N7260" s="1" t="s">
        <v>10</v>
      </c>
      <c r="AN7260" s="1" t="s">
        <v>36</v>
      </c>
      <c r="DN7260" s="1" t="s">
        <v>114</v>
      </c>
      <c r="DT7260" s="1" t="s">
        <v>120</v>
      </c>
      <c r="ED7260" s="1" t="s">
        <v>130</v>
      </c>
      <c r="GD7260" s="1" t="s">
        <v>189</v>
      </c>
      <c r="GE7260" s="1" t="s">
        <v>190</v>
      </c>
    </row>
    <row r="7261" spans="1:187" ht="11.25" customHeight="1">
      <c r="A7261" s="1" t="s">
        <v>10261</v>
      </c>
      <c r="B7261" s="1" t="str">
        <f ca="1">IFERROR(__xludf.DUMMYFUNCTION("GOOGLETRANSLATE(A7261, ""en"", ""fr"")"),"DEHORS")</f>
        <v>DEHORS</v>
      </c>
      <c r="C7261" s="1" t="s">
        <v>185</v>
      </c>
      <c r="DA7261" s="1" t="s">
        <v>101</v>
      </c>
      <c r="GB7261" s="1" t="s">
        <v>180</v>
      </c>
      <c r="GD7261" s="1" t="s">
        <v>207</v>
      </c>
      <c r="GE7261" s="1" t="s">
        <v>10262</v>
      </c>
    </row>
    <row r="7262" spans="1:187" ht="11.25" customHeight="1">
      <c r="A7262" s="1" t="s">
        <v>10263</v>
      </c>
      <c r="B7262" s="1" t="str">
        <f ca="1">IFERROR(__xludf.DUMMYFUNCTION("GOOGLETRANSLATE(A7262, ""en"", ""fr"")"),"En arrière")</f>
        <v>En arrière</v>
      </c>
      <c r="C7262" s="1" t="s">
        <v>185</v>
      </c>
      <c r="AV7262" s="1" t="s">
        <v>44</v>
      </c>
      <c r="AX7262" s="1" t="s">
        <v>46</v>
      </c>
      <c r="GB7262" s="1" t="s">
        <v>180</v>
      </c>
      <c r="GD7262" s="1" t="s">
        <v>193</v>
      </c>
      <c r="GE7262" s="1" t="s">
        <v>190</v>
      </c>
    </row>
    <row r="7263" spans="1:187" ht="11.25" customHeight="1">
      <c r="A7263" s="1" t="s">
        <v>10264</v>
      </c>
      <c r="B7263" s="1" t="str">
        <f ca="1">IFERROR(__xludf.DUMMYFUNCTION("GOOGLETRANSLATE(A7263, ""en"", ""fr"")"),"ÉPIDÉMIE")</f>
        <v>ÉPIDÉMIE</v>
      </c>
      <c r="C7263" s="1" t="s">
        <v>192</v>
      </c>
      <c r="E7263" s="1" t="s">
        <v>16613</v>
      </c>
      <c r="CE7263" s="1" t="s">
        <v>79</v>
      </c>
      <c r="GD7263" s="1" t="s">
        <v>193</v>
      </c>
      <c r="GE7263" s="1" t="s">
        <v>190</v>
      </c>
    </row>
    <row r="7264" spans="1:187" ht="11.25" customHeight="1">
      <c r="A7264" s="1" t="s">
        <v>10265</v>
      </c>
      <c r="B7264" s="1" t="str">
        <f ca="1">IFERROR(__xludf.DUMMYFUNCTION("GOOGLETRANSLATE(A7264, ""en"", ""fr"")"),"EXPLOSION")</f>
        <v>EXPLOSION</v>
      </c>
      <c r="C7264" s="1" t="s">
        <v>192</v>
      </c>
      <c r="E7264" s="1" t="s">
        <v>16613</v>
      </c>
      <c r="BK7264" s="1" t="s">
        <v>59</v>
      </c>
      <c r="GD7264" s="1" t="s">
        <v>193</v>
      </c>
      <c r="GE7264" s="1" t="s">
        <v>190</v>
      </c>
    </row>
    <row r="7265" spans="1:187" ht="11.25" customHeight="1">
      <c r="A7265" s="1" t="s">
        <v>10266</v>
      </c>
      <c r="B7265" s="1" t="str">
        <f ca="1">IFERROR(__xludf.DUMMYFUNCTION("GOOGLETRANSLATE(A7265, ""en"", ""fr"")"),"BANNI")</f>
        <v>BANNI</v>
      </c>
      <c r="C7265" s="1" t="s">
        <v>192</v>
      </c>
      <c r="E7265" s="1" t="s">
        <v>16613</v>
      </c>
      <c r="G7265" s="1" t="s">
        <v>3</v>
      </c>
      <c r="W7265" s="1" t="s">
        <v>19</v>
      </c>
      <c r="GD7265" s="1" t="s">
        <v>1177</v>
      </c>
      <c r="GE7265" s="1" t="s">
        <v>190</v>
      </c>
    </row>
    <row r="7266" spans="1:187" ht="11.25" customHeight="1">
      <c r="A7266" s="1" t="s">
        <v>10267</v>
      </c>
      <c r="B7266" s="1" t="str">
        <f ca="1">IFERROR(__xludf.DUMMYFUNCTION("GOOGLETRANSLATE(A7266, ""en"", ""fr"")"),"RÉSULTAT")</f>
        <v>RÉSULTAT</v>
      </c>
      <c r="C7266" s="1" t="s">
        <v>185</v>
      </c>
      <c r="BO7266" s="1" t="s">
        <v>63</v>
      </c>
      <c r="FP7266" s="1" t="s">
        <v>168</v>
      </c>
      <c r="GD7266" s="1" t="s">
        <v>193</v>
      </c>
      <c r="GE7266" s="1" t="s">
        <v>190</v>
      </c>
    </row>
    <row r="7267" spans="1:187" ht="11.25" customHeight="1">
      <c r="A7267" s="1" t="s">
        <v>10268</v>
      </c>
      <c r="B7267" s="1" t="str">
        <f ca="1">IFERROR(__xludf.DUMMYFUNCTION("GOOGLETRANSLATE(A7267, ""en"", ""fr"")"),"TOLLÉ")</f>
        <v>TOLLÉ</v>
      </c>
      <c r="C7267" s="1" t="s">
        <v>192</v>
      </c>
      <c r="E7267" s="1" t="s">
        <v>16613</v>
      </c>
      <c r="R7267" s="1" t="s">
        <v>14</v>
      </c>
      <c r="BK7267" s="1" t="s">
        <v>59</v>
      </c>
      <c r="GD7267" s="1" t="s">
        <v>193</v>
      </c>
      <c r="GE7267" s="1" t="s">
        <v>190</v>
      </c>
    </row>
    <row r="7268" spans="1:187" ht="11.25" customHeight="1">
      <c r="A7268" s="1" t="s">
        <v>10269</v>
      </c>
      <c r="B7268" s="1" t="str">
        <f ca="1">IFERROR(__xludf.DUMMYFUNCTION("GOOGLETRANSLATE(A7268, ""en"", ""fr"")"),"DÉPASSÉ")</f>
        <v>DÉPASSÉ</v>
      </c>
      <c r="C7268" s="1" t="s">
        <v>196</v>
      </c>
      <c r="GD7268" s="1" t="s">
        <v>202</v>
      </c>
    </row>
    <row r="7269" spans="1:187" ht="11.25" customHeight="1">
      <c r="A7269" s="1" t="s">
        <v>10270</v>
      </c>
      <c r="B7269" s="1" t="str">
        <f ca="1">IFERROR(__xludf.DUMMYFUNCTION("GOOGLETRANSLATE(A7269, ""en"", ""fr"")"),"EXTÉRIEUR")</f>
        <v>EXTÉRIEUR</v>
      </c>
      <c r="C7269" s="1" t="s">
        <v>185</v>
      </c>
      <c r="AV7269" s="1" t="s">
        <v>44</v>
      </c>
      <c r="AX7269" s="1" t="s">
        <v>46</v>
      </c>
      <c r="GD7269" s="1" t="s">
        <v>202</v>
      </c>
      <c r="GE7269" s="1" t="s">
        <v>190</v>
      </c>
    </row>
    <row r="7270" spans="1:187" ht="11.25" customHeight="1">
      <c r="A7270" s="1" t="s">
        <v>10271</v>
      </c>
      <c r="B7270" s="1" t="str">
        <f ca="1">IFERROR(__xludf.DUMMYFUNCTION("GOOGLETRANSLATE(A7270, ""en"", ""fr"")"),"EXTÉRIEUR")</f>
        <v>EXTÉRIEUR</v>
      </c>
      <c r="C7270" s="1" t="s">
        <v>185</v>
      </c>
      <c r="DA7270" s="1" t="s">
        <v>101</v>
      </c>
      <c r="DB7270" s="1" t="s">
        <v>102</v>
      </c>
      <c r="GB7270" s="1" t="s">
        <v>180</v>
      </c>
      <c r="GD7270" s="1" t="s">
        <v>202</v>
      </c>
      <c r="GE7270" s="1" t="s">
        <v>190</v>
      </c>
    </row>
    <row r="7271" spans="1:187" ht="11.25" customHeight="1">
      <c r="A7271" s="1" t="s">
        <v>10272</v>
      </c>
      <c r="B7271" s="1" t="str">
        <f ca="1">IFERROR(__xludf.DUMMYFUNCTION("GOOGLETRANSLATE(A7271, ""en"", ""fr"")"),"Tenue n ° 1")</f>
        <v>Tenue n ° 1</v>
      </c>
      <c r="C7271" s="1" t="s">
        <v>185</v>
      </c>
      <c r="AC7271" s="1" t="s">
        <v>25</v>
      </c>
      <c r="BC7271" s="1" t="s">
        <v>51</v>
      </c>
      <c r="BD7271" s="1" t="s">
        <v>52</v>
      </c>
      <c r="GD7271" s="1" t="s">
        <v>193</v>
      </c>
      <c r="GE7271" s="1" t="s">
        <v>190</v>
      </c>
    </row>
    <row r="7272" spans="1:187" ht="11.25" customHeight="1">
      <c r="A7272" s="1" t="s">
        <v>10273</v>
      </c>
      <c r="B7272" s="1" t="str">
        <f ca="1">IFERROR(__xludf.DUMMYFUNCTION("GOOGLETRANSLATE(A7272, ""en"", ""fr"")"),"Tenue n ° 2")</f>
        <v>Tenue n ° 2</v>
      </c>
      <c r="C7272" s="1" t="s">
        <v>185</v>
      </c>
      <c r="J7272" s="1" t="s">
        <v>6</v>
      </c>
      <c r="K7272" s="1" t="s">
        <v>7</v>
      </c>
      <c r="N7272" s="1" t="s">
        <v>10</v>
      </c>
      <c r="AN7272" s="1" t="s">
        <v>36</v>
      </c>
      <c r="DN7272" s="1" t="s">
        <v>114</v>
      </c>
      <c r="FN7272" s="1" t="s">
        <v>166</v>
      </c>
      <c r="GD7272" s="1" t="s">
        <v>189</v>
      </c>
      <c r="GE7272" s="1" t="s">
        <v>190</v>
      </c>
    </row>
    <row r="7273" spans="1:187" ht="11.25" customHeight="1">
      <c r="A7273" s="1" t="s">
        <v>10274</v>
      </c>
      <c r="B7273" s="1" t="str">
        <f ca="1">IFERROR(__xludf.DUMMYFUNCTION("GOOGLETRANSLATE(A7273, ""en"", ""fr"")"),"SORTANT")</f>
        <v>SORTANT</v>
      </c>
      <c r="C7273" s="1" t="s">
        <v>185</v>
      </c>
      <c r="D7273" s="1" t="s">
        <v>16612</v>
      </c>
      <c r="CE7273" s="1" t="s">
        <v>79</v>
      </c>
      <c r="DQ7273" s="1" t="s">
        <v>117</v>
      </c>
      <c r="GD7273" s="1" t="s">
        <v>202</v>
      </c>
      <c r="GE7273" s="1" t="s">
        <v>190</v>
      </c>
    </row>
    <row r="7274" spans="1:187" ht="11.25" customHeight="1">
      <c r="A7274" s="1" t="s">
        <v>10275</v>
      </c>
      <c r="B7274" s="1" t="str">
        <f ca="1">IFERROR(__xludf.DUMMYFUNCTION("GOOGLETRANSLATE(A7274, ""en"", ""fr"")"),"HORS LA LOI")</f>
        <v>HORS LA LOI</v>
      </c>
      <c r="C7274" s="1" t="s">
        <v>185</v>
      </c>
      <c r="E7274" s="1" t="s">
        <v>16613</v>
      </c>
      <c r="I7274" s="1" t="s">
        <v>5</v>
      </c>
      <c r="AE7274" s="1" t="s">
        <v>27</v>
      </c>
      <c r="AT7274" s="1" t="s">
        <v>42</v>
      </c>
      <c r="EE7274" s="1" t="s">
        <v>131</v>
      </c>
      <c r="EJ7274" s="1" t="s">
        <v>136</v>
      </c>
      <c r="GD7274" s="1" t="s">
        <v>193</v>
      </c>
      <c r="GE7274" s="1" t="s">
        <v>190</v>
      </c>
    </row>
    <row r="7275" spans="1:187" ht="11.25" customHeight="1">
      <c r="A7275" s="1" t="s">
        <v>10276</v>
      </c>
      <c r="B7275" s="1" t="str">
        <f ca="1">IFERROR(__xludf.DUMMYFUNCTION("GOOGLETRANSLATE(A7275, ""en"", ""fr"")"),"Aperçu n ° 1")</f>
        <v>Aperçu n ° 1</v>
      </c>
      <c r="C7275" s="1" t="s">
        <v>185</v>
      </c>
      <c r="X7275" s="1" t="s">
        <v>20</v>
      </c>
      <c r="BK7275" s="1" t="s">
        <v>59</v>
      </c>
      <c r="BL7275" s="1" t="s">
        <v>60</v>
      </c>
      <c r="GC7275" s="1" t="s">
        <v>181</v>
      </c>
      <c r="GD7275" s="1" t="s">
        <v>193</v>
      </c>
      <c r="GE7275" s="1" t="s">
        <v>190</v>
      </c>
    </row>
    <row r="7276" spans="1:187" ht="11.25" customHeight="1">
      <c r="A7276" s="1" t="s">
        <v>10277</v>
      </c>
      <c r="B7276" s="1" t="str">
        <f ca="1">IFERROR(__xludf.DUMMYFUNCTION("GOOGLETRANSLATE(A7276, ""en"", ""fr"")"),"Aperçu n ° 2")</f>
        <v>Aperçu n ° 2</v>
      </c>
      <c r="C7276" s="1" t="s">
        <v>185</v>
      </c>
      <c r="N7276" s="1" t="s">
        <v>10</v>
      </c>
      <c r="BK7276" s="1" t="s">
        <v>59</v>
      </c>
      <c r="DN7276" s="1" t="s">
        <v>114</v>
      </c>
      <c r="GD7276" s="1" t="s">
        <v>189</v>
      </c>
      <c r="GE7276" s="1" t="s">
        <v>190</v>
      </c>
    </row>
    <row r="7277" spans="1:187" ht="11.25" customHeight="1">
      <c r="A7277" s="1" t="s">
        <v>10278</v>
      </c>
      <c r="B7277" s="1" t="str">
        <f ca="1">IFERROR(__xludf.DUMMYFUNCTION("GOOGLETRANSLATE(A7277, ""en"", ""fr"")"),"SURVIVRE À")</f>
        <v>SURVIVRE À</v>
      </c>
      <c r="C7277" s="1" t="s">
        <v>192</v>
      </c>
      <c r="D7277" s="1" t="s">
        <v>16612</v>
      </c>
      <c r="J7277" s="1" t="s">
        <v>6</v>
      </c>
      <c r="O7277" s="1" t="s">
        <v>11</v>
      </c>
      <c r="BU7277" s="1" t="s">
        <v>69</v>
      </c>
      <c r="DO7277" s="1" t="s">
        <v>115</v>
      </c>
      <c r="GD7277" s="1" t="s">
        <v>670</v>
      </c>
      <c r="GE7277" s="1" t="s">
        <v>190</v>
      </c>
    </row>
    <row r="7278" spans="1:187" ht="11.25" customHeight="1">
      <c r="A7278" s="1" t="s">
        <v>10279</v>
      </c>
      <c r="B7278" s="1" t="str">
        <f ca="1">IFERROR(__xludf.DUMMYFUNCTION("GOOGLETRANSLATE(A7278, ""en"", ""fr"")"),"PERSPECTIVES")</f>
        <v>PERSPECTIVES</v>
      </c>
      <c r="C7278" s="1" t="s">
        <v>185</v>
      </c>
      <c r="O7278" s="1" t="s">
        <v>11</v>
      </c>
      <c r="CH7278" s="1" t="s">
        <v>82</v>
      </c>
      <c r="FR7278" s="1" t="s">
        <v>170</v>
      </c>
      <c r="GD7278" s="1" t="s">
        <v>193</v>
      </c>
      <c r="GE7278" s="1" t="s">
        <v>190</v>
      </c>
    </row>
    <row r="7279" spans="1:187" ht="11.25" customHeight="1">
      <c r="A7279" s="1" t="s">
        <v>10280</v>
      </c>
      <c r="B7279" s="1" t="str">
        <f ca="1">IFERROR(__xludf.DUMMYFUNCTION("GOOGLETRANSLATE(A7279, ""en"", ""fr"")"),"Avant-poste")</f>
        <v>Avant-poste</v>
      </c>
      <c r="C7279" s="1" t="s">
        <v>196</v>
      </c>
      <c r="EC7279" s="1" t="s">
        <v>129</v>
      </c>
      <c r="ED7279" s="1" t="s">
        <v>130</v>
      </c>
      <c r="GD7279" s="1" t="s">
        <v>193</v>
      </c>
    </row>
    <row r="7280" spans="1:187" ht="11.25" customHeight="1">
      <c r="A7280" s="1" t="s">
        <v>10281</v>
      </c>
      <c r="B7280" s="1" t="str">
        <f ca="1">IFERROR(__xludf.DUMMYFUNCTION("GOOGLETRANSLATE(A7280, ""en"", ""fr"")"),"Sortie n ° 1")</f>
        <v>Sortie n ° 1</v>
      </c>
      <c r="C7280" s="1" t="s">
        <v>185</v>
      </c>
      <c r="J7280" s="1" t="s">
        <v>6</v>
      </c>
      <c r="N7280" s="1" t="s">
        <v>10</v>
      </c>
      <c r="AA7280" s="1" t="s">
        <v>23</v>
      </c>
      <c r="AC7280" s="1" t="s">
        <v>25</v>
      </c>
      <c r="BC7280" s="1" t="s">
        <v>51</v>
      </c>
      <c r="BD7280" s="1" t="s">
        <v>52</v>
      </c>
      <c r="EV7280" s="1" t="s">
        <v>148</v>
      </c>
      <c r="EW7280" s="1" t="s">
        <v>149</v>
      </c>
      <c r="GD7280" s="1" t="s">
        <v>193</v>
      </c>
      <c r="GE7280" s="1" t="s">
        <v>190</v>
      </c>
    </row>
    <row r="7281" spans="1:187" ht="11.25" customHeight="1">
      <c r="A7281" s="1" t="s">
        <v>10282</v>
      </c>
      <c r="B7281" s="1" t="str">
        <f ca="1">IFERROR(__xludf.DUMMYFUNCTION("GOOGLETRANSLATE(A7281, ""en"", ""fr"")"),"Sortie n ° 2")</f>
        <v>Sortie n ° 2</v>
      </c>
      <c r="C7281" s="1" t="s">
        <v>185</v>
      </c>
      <c r="J7281" s="1" t="s">
        <v>6</v>
      </c>
      <c r="N7281" s="1" t="s">
        <v>10</v>
      </c>
      <c r="AA7281" s="1" t="s">
        <v>23</v>
      </c>
      <c r="BS7281" s="1" t="s">
        <v>67</v>
      </c>
      <c r="DN7281" s="1" t="s">
        <v>114</v>
      </c>
      <c r="EU7281" s="1" t="s">
        <v>147</v>
      </c>
      <c r="EW7281" s="1" t="s">
        <v>149</v>
      </c>
      <c r="GD7281" s="1" t="s">
        <v>189</v>
      </c>
      <c r="GE7281" s="1" t="s">
        <v>190</v>
      </c>
    </row>
    <row r="7282" spans="1:187" ht="11.25" customHeight="1">
      <c r="A7282" s="1" t="s">
        <v>10283</v>
      </c>
      <c r="B7282" s="1" t="str">
        <f ca="1">IFERROR(__xludf.DUMMYFUNCTION("GOOGLETRANSLATE(A7282, ""en"", ""fr"")"),"OUTRAGE")</f>
        <v>OUTRAGE</v>
      </c>
      <c r="C7282" s="1" t="s">
        <v>185</v>
      </c>
      <c r="E7282" s="1" t="s">
        <v>16613</v>
      </c>
      <c r="I7282" s="1" t="s">
        <v>5</v>
      </c>
      <c r="Q7282" s="1" t="s">
        <v>13</v>
      </c>
      <c r="T7282" s="1" t="s">
        <v>16</v>
      </c>
      <c r="EE7282" s="1" t="s">
        <v>131</v>
      </c>
      <c r="EJ7282" s="1" t="s">
        <v>136</v>
      </c>
      <c r="GD7282" s="1" t="s">
        <v>193</v>
      </c>
      <c r="GE7282" s="1" t="s">
        <v>190</v>
      </c>
    </row>
    <row r="7283" spans="1:187" ht="11.25" customHeight="1">
      <c r="A7283" s="1" t="s">
        <v>10284</v>
      </c>
      <c r="B7283" s="1" t="str">
        <f ca="1">IFERROR(__xludf.DUMMYFUNCTION("GOOGLETRANSLATE(A7283, ""en"", ""fr"")"),"SCANDALEUX")</f>
        <v>SCANDALEUX</v>
      </c>
      <c r="C7283" s="1" t="s">
        <v>192</v>
      </c>
      <c r="E7283" s="1" t="s">
        <v>16613</v>
      </c>
      <c r="V7283" s="1" t="s">
        <v>18</v>
      </c>
      <c r="CM7283" s="1" t="s">
        <v>87</v>
      </c>
      <c r="DR7283" s="1" t="s">
        <v>118</v>
      </c>
      <c r="GD7283" s="1" t="s">
        <v>202</v>
      </c>
      <c r="GE7283" s="1" t="s">
        <v>190</v>
      </c>
    </row>
    <row r="7284" spans="1:187" ht="11.25" customHeight="1">
      <c r="A7284" s="1" t="s">
        <v>10285</v>
      </c>
      <c r="B7284" s="1" t="str">
        <f ca="1">IFERROR(__xludf.DUMMYFUNCTION("GOOGLETRANSLATE(A7284, ""en"", ""fr"")"),"Attitude")</f>
        <v>Attitude</v>
      </c>
      <c r="C7284" s="1" t="s">
        <v>185</v>
      </c>
      <c r="J7284" s="1" t="s">
        <v>6</v>
      </c>
      <c r="N7284" s="1" t="s">
        <v>10</v>
      </c>
      <c r="CB7284" s="1" t="s">
        <v>76</v>
      </c>
      <c r="DN7284" s="1" t="s">
        <v>114</v>
      </c>
      <c r="GD7284" s="1" t="s">
        <v>189</v>
      </c>
      <c r="GE7284" s="1" t="s">
        <v>190</v>
      </c>
    </row>
    <row r="7285" spans="1:187" ht="11.25" customHeight="1">
      <c r="A7285" s="1" t="s">
        <v>10286</v>
      </c>
      <c r="B7285" s="1" t="str">
        <f ca="1">IFERROR(__xludf.DUMMYFUNCTION("GOOGLETRANSLATE(A7285, ""en"", ""fr"")"),"CARRÉMENT")</f>
        <v>CARRÉMENT</v>
      </c>
      <c r="C7285" s="1" t="s">
        <v>192</v>
      </c>
      <c r="D7285" s="1" t="s">
        <v>16612</v>
      </c>
      <c r="W7285" s="1" t="s">
        <v>19</v>
      </c>
      <c r="DR7285" s="1" t="s">
        <v>118</v>
      </c>
      <c r="GD7285" s="1" t="s">
        <v>202</v>
      </c>
      <c r="GE7285" s="1" t="s">
        <v>190</v>
      </c>
    </row>
    <row r="7286" spans="1:187" ht="11.25" customHeight="1">
      <c r="A7286" s="1" t="s">
        <v>10287</v>
      </c>
      <c r="B7286" s="1" t="str">
        <f ca="1">IFERROR(__xludf.DUMMYFUNCTION("GOOGLETRANSLATE(A7286, ""en"", ""fr"")"),"DÉPASSER")</f>
        <v>DÉPASSER</v>
      </c>
      <c r="C7286" s="1" t="s">
        <v>192</v>
      </c>
      <c r="D7286" s="1" t="s">
        <v>16612</v>
      </c>
      <c r="J7286" s="1" t="s">
        <v>6</v>
      </c>
      <c r="N7286" s="1" t="s">
        <v>10</v>
      </c>
      <c r="CE7286" s="1" t="s">
        <v>79</v>
      </c>
      <c r="DN7286" s="1" t="s">
        <v>114</v>
      </c>
      <c r="GD7286" s="1" t="s">
        <v>670</v>
      </c>
      <c r="GE7286" s="1" t="s">
        <v>190</v>
      </c>
    </row>
    <row r="7287" spans="1:187" ht="11.25" customHeight="1">
      <c r="A7287" s="1" t="s">
        <v>10288</v>
      </c>
      <c r="B7287" s="1" t="str">
        <f ca="1">IFERROR(__xludf.DUMMYFUNCTION("GOOGLETRANSLATE(A7287, ""en"", ""fr"")"),"DÉBUT")</f>
        <v>DÉBUT</v>
      </c>
      <c r="C7287" s="1" t="s">
        <v>185</v>
      </c>
      <c r="D7287" s="1" t="s">
        <v>16612</v>
      </c>
      <c r="BV7287" s="1" t="s">
        <v>70</v>
      </c>
      <c r="GD7287" s="1" t="s">
        <v>193</v>
      </c>
      <c r="GE7287" s="1" t="s">
        <v>190</v>
      </c>
    </row>
    <row r="7288" spans="1:187" ht="11.25" customHeight="1">
      <c r="A7288" s="1" t="s">
        <v>10289</v>
      </c>
      <c r="B7288" s="1" t="str">
        <f ca="1">IFERROR(__xludf.DUMMYFUNCTION("GOOGLETRANSLATE(A7288, ""en"", ""fr"")"),"À l'extérieur n ° 1")</f>
        <v>À l'extérieur n ° 1</v>
      </c>
      <c r="C7288" s="1" t="s">
        <v>185</v>
      </c>
      <c r="DA7288" s="1" t="s">
        <v>101</v>
      </c>
      <c r="GB7288" s="1" t="s">
        <v>180</v>
      </c>
      <c r="GD7288" s="1" t="s">
        <v>10290</v>
      </c>
      <c r="GE7288" s="1" t="s">
        <v>10291</v>
      </c>
    </row>
    <row r="7289" spans="1:187" ht="11.25" customHeight="1">
      <c r="A7289" s="1" t="s">
        <v>10292</v>
      </c>
      <c r="B7289" s="1" t="str">
        <f ca="1">IFERROR(__xludf.DUMMYFUNCTION("GOOGLETRANSLATE(A7289, ""en"", ""fr"")"),"À l'extérieur n ° 2")</f>
        <v>À l'extérieur n ° 2</v>
      </c>
      <c r="C7289" s="1" t="s">
        <v>185</v>
      </c>
      <c r="DA7289" s="1" t="s">
        <v>101</v>
      </c>
      <c r="GB7289" s="1" t="s">
        <v>180</v>
      </c>
      <c r="GD7289" s="1" t="s">
        <v>193</v>
      </c>
      <c r="GE7289" s="1" t="s">
        <v>10293</v>
      </c>
    </row>
    <row r="7290" spans="1:187" ht="11.25" customHeight="1">
      <c r="A7290" s="1" t="s">
        <v>10294</v>
      </c>
      <c r="B7290" s="1" t="str">
        <f ca="1">IFERROR(__xludf.DUMMYFUNCTION("GOOGLETRANSLATE(A7290, ""en"", ""fr"")"),"À l'extérieur # 3")</f>
        <v>À l'extérieur # 3</v>
      </c>
      <c r="C7290" s="1" t="s">
        <v>185</v>
      </c>
      <c r="CH7290" s="1" t="s">
        <v>82</v>
      </c>
      <c r="FZ7290" s="1" t="s">
        <v>178</v>
      </c>
      <c r="GD7290" s="1" t="s">
        <v>215</v>
      </c>
      <c r="GE7290" s="1" t="s">
        <v>10295</v>
      </c>
    </row>
    <row r="7291" spans="1:187" ht="11.25" customHeight="1">
      <c r="A7291" s="1" t="s">
        <v>10296</v>
      </c>
      <c r="B7291" s="1" t="str">
        <f ca="1">IFERROR(__xludf.DUMMYFUNCTION("GOOGLETRANSLATE(A7291, ""en"", ""fr"")"),"OUTSIDER")</f>
        <v>OUTSIDER</v>
      </c>
      <c r="C7291" s="1" t="s">
        <v>185</v>
      </c>
      <c r="E7291" s="1" t="s">
        <v>16613</v>
      </c>
      <c r="H7291" s="1" t="s">
        <v>4</v>
      </c>
      <c r="AJ7291" s="1" t="s">
        <v>32</v>
      </c>
      <c r="AT7291" s="1" t="s">
        <v>42</v>
      </c>
      <c r="GD7291" s="1" t="s">
        <v>193</v>
      </c>
      <c r="GE7291" s="1" t="s">
        <v>190</v>
      </c>
    </row>
    <row r="7292" spans="1:187" ht="11.25" customHeight="1">
      <c r="A7292" s="1" t="s">
        <v>10297</v>
      </c>
      <c r="B7292" s="1" t="str">
        <f ca="1">IFERROR(__xludf.DUMMYFUNCTION("GOOGLETRANSLATE(A7292, ""en"", ""fr"")"),"FRANC")</f>
        <v>FRANC</v>
      </c>
      <c r="C7292" s="1" t="s">
        <v>196</v>
      </c>
      <c r="FH7292" s="1" t="s">
        <v>160</v>
      </c>
      <c r="FI7292" s="1" t="s">
        <v>161</v>
      </c>
      <c r="GD7292" s="1" t="s">
        <v>202</v>
      </c>
    </row>
    <row r="7293" spans="1:187" ht="11.25" customHeight="1">
      <c r="A7293" s="1" t="s">
        <v>10298</v>
      </c>
      <c r="B7293" s="1" t="str">
        <f ca="1">IFERROR(__xludf.DUMMYFUNCTION("GOOGLETRANSLATE(A7293, ""en"", ""fr"")"),"REMARQUABLE")</f>
        <v>REMARQUABLE</v>
      </c>
      <c r="C7293" s="1" t="s">
        <v>185</v>
      </c>
      <c r="D7293" s="1" t="s">
        <v>16612</v>
      </c>
      <c r="F7293" s="1" t="s">
        <v>2</v>
      </c>
      <c r="J7293" s="1" t="s">
        <v>6</v>
      </c>
      <c r="U7293" s="1" t="s">
        <v>17</v>
      </c>
      <c r="CN7293" s="1" t="s">
        <v>88</v>
      </c>
      <c r="FL7293" s="1" t="s">
        <v>164</v>
      </c>
      <c r="FM7293" s="1" t="s">
        <v>418</v>
      </c>
      <c r="GD7293" s="1" t="s">
        <v>202</v>
      </c>
      <c r="GE7293" s="1" t="s">
        <v>190</v>
      </c>
    </row>
    <row r="7294" spans="1:187" ht="11.25" customHeight="1">
      <c r="A7294" s="1" t="s">
        <v>10299</v>
      </c>
      <c r="B7294" s="1" t="str">
        <f ca="1">IFERROR(__xludf.DUMMYFUNCTION("GOOGLETRANSLATE(A7294, ""en"", ""fr"")"),"Vers l'extérieur")</f>
        <v>Vers l'extérieur</v>
      </c>
      <c r="C7294" s="1" t="s">
        <v>196</v>
      </c>
      <c r="GB7294" s="1" t="s">
        <v>180</v>
      </c>
      <c r="GD7294" s="1" t="s">
        <v>202</v>
      </c>
    </row>
    <row r="7295" spans="1:187" ht="11.25" customHeight="1">
      <c r="A7295" s="1" t="s">
        <v>10300</v>
      </c>
      <c r="B7295" s="1" t="str">
        <f ca="1">IFERROR(__xludf.DUMMYFUNCTION("GOOGLETRANSLATE(A7295, ""en"", ""fr"")"),"Se débarrasser de")</f>
        <v>Se débarrasser de</v>
      </c>
      <c r="C7295" s="1" t="s">
        <v>192</v>
      </c>
      <c r="D7295" s="1" t="s">
        <v>16612</v>
      </c>
      <c r="N7295" s="1" t="s">
        <v>10</v>
      </c>
      <c r="CG7295" s="1" t="s">
        <v>81</v>
      </c>
      <c r="CO7295" s="1" t="s">
        <v>89</v>
      </c>
      <c r="DN7295" s="1" t="s">
        <v>114</v>
      </c>
      <c r="GD7295" s="1" t="s">
        <v>670</v>
      </c>
      <c r="GE7295" s="1" t="s">
        <v>190</v>
      </c>
    </row>
    <row r="7296" spans="1:187" ht="11.25" customHeight="1">
      <c r="A7296" s="1" t="s">
        <v>10301</v>
      </c>
      <c r="B7296" s="1" t="str">
        <f ca="1">IFERROR(__xludf.DUMMYFUNCTION("GOOGLETRANSLATE(A7296, ""en"", ""fr"")"),"OVALE")</f>
        <v>OVALE</v>
      </c>
      <c r="C7296" s="1" t="s">
        <v>185</v>
      </c>
      <c r="DA7296" s="1" t="s">
        <v>101</v>
      </c>
      <c r="GB7296" s="1" t="s">
        <v>180</v>
      </c>
      <c r="GD7296" s="1" t="s">
        <v>193</v>
      </c>
      <c r="GE7296" s="1" t="s">
        <v>190</v>
      </c>
    </row>
    <row r="7297" spans="1:187" ht="11.25" customHeight="1">
      <c r="A7297" s="1" t="s">
        <v>10302</v>
      </c>
      <c r="B7297" s="1" t="str">
        <f ca="1">IFERROR(__xludf.DUMMYFUNCTION("GOOGLETRANSLATE(A7297, ""en"", ""fr"")"),"Sur # 1")</f>
        <v>Sur # 1</v>
      </c>
      <c r="C7297" s="1" t="s">
        <v>185</v>
      </c>
      <c r="DA7297" s="1" t="s">
        <v>101</v>
      </c>
      <c r="GB7297" s="1" t="s">
        <v>180</v>
      </c>
      <c r="GD7297" s="1" t="s">
        <v>207</v>
      </c>
      <c r="GE7297" s="1" t="s">
        <v>10303</v>
      </c>
    </row>
    <row r="7298" spans="1:187" ht="11.25" customHeight="1">
      <c r="A7298" s="1" t="s">
        <v>10304</v>
      </c>
      <c r="B7298" s="1" t="str">
        <f ca="1">IFERROR(__xludf.DUMMYFUNCTION("GOOGLETRANSLATE(A7298, ""en"", ""fr"")"),"Sur # 2")</f>
        <v>Sur # 2</v>
      </c>
      <c r="C7298" s="1" t="s">
        <v>185</v>
      </c>
      <c r="CI7298" s="1" t="s">
        <v>83</v>
      </c>
      <c r="GD7298" s="1" t="s">
        <v>215</v>
      </c>
      <c r="GE7298" s="1" t="s">
        <v>10305</v>
      </c>
    </row>
    <row r="7299" spans="1:187" ht="11.25" customHeight="1">
      <c r="A7299" s="1" t="s">
        <v>10306</v>
      </c>
      <c r="B7299" s="1" t="str">
        <f ca="1">IFERROR(__xludf.DUMMYFUNCTION("GOOGLETRANSLATE(A7299, ""en"", ""fr"")"),"Sur # 3")</f>
        <v>Sur # 3</v>
      </c>
      <c r="C7299" s="1" t="s">
        <v>185</v>
      </c>
      <c r="BZ7299" s="1" t="s">
        <v>74</v>
      </c>
      <c r="GB7299" s="1" t="s">
        <v>180</v>
      </c>
      <c r="GD7299" s="1" t="s">
        <v>202</v>
      </c>
      <c r="GE7299" s="1" t="s">
        <v>10307</v>
      </c>
    </row>
    <row r="7300" spans="1:187" ht="11.25" customHeight="1">
      <c r="A7300" s="1" t="s">
        <v>10308</v>
      </c>
      <c r="B7300" s="1" t="str">
        <f ca="1">IFERROR(__xludf.DUMMYFUNCTION("GOOGLETRANSLATE(A7300, ""en"", ""fr"")"),"Sur # 4")</f>
        <v>Sur # 4</v>
      </c>
      <c r="C7300" s="1" t="s">
        <v>192</v>
      </c>
      <c r="J7300" s="1" t="s">
        <v>6</v>
      </c>
      <c r="CW7300" s="1" t="s">
        <v>97</v>
      </c>
      <c r="GD7300" s="1" t="s">
        <v>236</v>
      </c>
      <c r="GE7300" s="1" t="s">
        <v>10309</v>
      </c>
    </row>
    <row r="7301" spans="1:187" ht="11.25" customHeight="1">
      <c r="A7301" s="1" t="s">
        <v>10310</v>
      </c>
      <c r="B7301" s="1" t="str">
        <f ca="1">IFERROR(__xludf.DUMMYFUNCTION("GOOGLETRANSLATE(A7301, ""en"", ""fr"")"),"Sur # 5")</f>
        <v>Sur # 5</v>
      </c>
      <c r="C7301" s="1" t="s">
        <v>192</v>
      </c>
      <c r="CS7301" s="1" t="s">
        <v>93</v>
      </c>
      <c r="GD7301" s="1" t="s">
        <v>236</v>
      </c>
      <c r="GE7301" s="1" t="s">
        <v>10311</v>
      </c>
    </row>
    <row r="7302" spans="1:187" ht="11.25" customHeight="1">
      <c r="A7302" s="1" t="s">
        <v>10312</v>
      </c>
      <c r="B7302" s="1" t="str">
        <f ca="1">IFERROR(__xludf.DUMMYFUNCTION("GOOGLETRANSLATE(A7302, ""en"", ""fr"")"),"Sur # 6")</f>
        <v>Sur # 6</v>
      </c>
      <c r="C7302" s="1" t="s">
        <v>192</v>
      </c>
      <c r="CY7302" s="1" t="s">
        <v>99</v>
      </c>
      <c r="GD7302" s="1" t="s">
        <v>215</v>
      </c>
      <c r="GE7302" s="1" t="s">
        <v>10313</v>
      </c>
    </row>
    <row r="7303" spans="1:187" ht="11.25" customHeight="1">
      <c r="A7303" s="1" t="s">
        <v>10314</v>
      </c>
      <c r="B7303" s="1" t="str">
        <f ca="1">IFERROR(__xludf.DUMMYFUNCTION("GOOGLETRANSLATE(A7303, ""en"", ""fr"")"),"Sur # 7")</f>
        <v>Sur # 7</v>
      </c>
      <c r="C7303" s="1" t="s">
        <v>192</v>
      </c>
      <c r="W7303" s="1" t="s">
        <v>19</v>
      </c>
      <c r="DA7303" s="1" t="s">
        <v>101</v>
      </c>
      <c r="GD7303" s="1" t="s">
        <v>236</v>
      </c>
      <c r="GE7303" s="1" t="s">
        <v>10315</v>
      </c>
    </row>
    <row r="7304" spans="1:187" ht="11.25" customHeight="1">
      <c r="A7304" s="1" t="s">
        <v>10316</v>
      </c>
      <c r="B7304" s="1" t="str">
        <f ca="1">IFERROR(__xludf.DUMMYFUNCTION("GOOGLETRANSLATE(A7304, ""en"", ""fr"")"),"Sur # 8")</f>
        <v>Sur # 8</v>
      </c>
      <c r="C7304" s="1" t="s">
        <v>192</v>
      </c>
      <c r="GD7304" s="1" t="s">
        <v>225</v>
      </c>
      <c r="GE7304" s="1" t="s">
        <v>10317</v>
      </c>
    </row>
    <row r="7305" spans="1:187" ht="11.25" customHeight="1">
      <c r="A7305" s="1" t="s">
        <v>10318</v>
      </c>
      <c r="B7305" s="1" t="str">
        <f ca="1">IFERROR(__xludf.DUMMYFUNCTION("GOOGLETRANSLATE(A7305, ""en"", ""fr"")"),"Sur # 9")</f>
        <v>Sur # 9</v>
      </c>
      <c r="C7305" s="1" t="s">
        <v>192</v>
      </c>
      <c r="GD7305" s="1" t="s">
        <v>225</v>
      </c>
      <c r="GE7305" s="1" t="s">
        <v>10319</v>
      </c>
    </row>
    <row r="7306" spans="1:187" ht="11.25" customHeight="1">
      <c r="A7306" s="1" t="s">
        <v>10320</v>
      </c>
      <c r="B7306" s="1" t="str">
        <f ca="1">IFERROR(__xludf.DUMMYFUNCTION("GOOGLETRANSLATE(A7306, ""en"", ""fr"")"),"Sur # _10")</f>
        <v>Sur # _10</v>
      </c>
      <c r="C7306" s="1" t="s">
        <v>192</v>
      </c>
      <c r="GD7306" s="1" t="s">
        <v>225</v>
      </c>
      <c r="GE7306" s="1" t="s">
        <v>10321</v>
      </c>
    </row>
    <row r="7307" spans="1:187" ht="11.25" customHeight="1">
      <c r="A7307" s="1" t="s">
        <v>10322</v>
      </c>
      <c r="B7307" s="1" t="str">
        <f ca="1">IFERROR(__xludf.DUMMYFUNCTION("GOOGLETRANSLATE(A7307, ""en"", ""fr"")"),"Sur # _11")</f>
        <v>Sur # _11</v>
      </c>
      <c r="C7307" s="1" t="s">
        <v>192</v>
      </c>
      <c r="GD7307" s="1" t="s">
        <v>225</v>
      </c>
      <c r="GE7307" s="1" t="s">
        <v>10323</v>
      </c>
    </row>
    <row r="7308" spans="1:187" ht="11.25" customHeight="1">
      <c r="A7308" s="1" t="s">
        <v>10324</v>
      </c>
      <c r="B7308" s="1" t="str">
        <f ca="1">IFERROR(__xludf.DUMMYFUNCTION("GOOGLETRANSLATE(A7308, ""en"", ""fr"")"),"DANS L'ENSEMBLE")</f>
        <v>DANS L'ENSEMBLE</v>
      </c>
      <c r="C7308" s="1" t="s">
        <v>185</v>
      </c>
      <c r="W7308" s="1" t="s">
        <v>19</v>
      </c>
      <c r="CH7308" s="1" t="s">
        <v>82</v>
      </c>
      <c r="GD7308" s="1" t="s">
        <v>202</v>
      </c>
      <c r="GE7308" s="1" t="s">
        <v>190</v>
      </c>
    </row>
    <row r="7309" spans="1:187" ht="11.25" customHeight="1">
      <c r="A7309" s="1" t="s">
        <v>10325</v>
      </c>
      <c r="B7309" s="1" t="str">
        <f ca="1">IFERROR(__xludf.DUMMYFUNCTION("GOOGLETRANSLATE(A7309, ""en"", ""fr"")"),"AUTORITAIRE")</f>
        <v>AUTORITAIRE</v>
      </c>
      <c r="C7309" s="1" t="s">
        <v>192</v>
      </c>
      <c r="E7309" s="1" t="s">
        <v>16613</v>
      </c>
      <c r="K7309" s="1" t="s">
        <v>7</v>
      </c>
      <c r="AN7309" s="1" t="s">
        <v>36</v>
      </c>
      <c r="DR7309" s="1" t="s">
        <v>118</v>
      </c>
      <c r="GD7309" s="1" t="s">
        <v>202</v>
      </c>
      <c r="GE7309" s="1" t="s">
        <v>190</v>
      </c>
    </row>
    <row r="7310" spans="1:187" ht="11.25" customHeight="1">
      <c r="A7310" s="1" t="s">
        <v>10326</v>
      </c>
      <c r="B7310" s="1" t="str">
        <f ca="1">IFERROR(__xludf.DUMMYFUNCTION("GOOGLETRANSLATE(A7310, ""en"", ""fr"")"),"Avoir surmonté")</f>
        <v>Avoir surmonté</v>
      </c>
      <c r="C7310" s="1" t="s">
        <v>185</v>
      </c>
      <c r="J7310" s="1" t="s">
        <v>6</v>
      </c>
      <c r="K7310" s="1" t="s">
        <v>7</v>
      </c>
      <c r="N7310" s="1" t="s">
        <v>10</v>
      </c>
      <c r="AN7310" s="1" t="s">
        <v>36</v>
      </c>
      <c r="DN7310" s="1" t="s">
        <v>114</v>
      </c>
      <c r="DS7310" s="1" t="s">
        <v>119</v>
      </c>
      <c r="ED7310" s="1" t="s">
        <v>130</v>
      </c>
      <c r="GD7310" s="1" t="s">
        <v>189</v>
      </c>
      <c r="GE7310" s="1" t="s">
        <v>190</v>
      </c>
    </row>
    <row r="7311" spans="1:187" ht="11.25" customHeight="1">
      <c r="A7311" s="1" t="s">
        <v>10327</v>
      </c>
      <c r="B7311" s="1" t="str">
        <f ca="1">IFERROR(__xludf.DUMMYFUNCTION("GOOGLETRANSLATE(A7311, ""en"", ""fr"")"),"SURMONTER")</f>
        <v>SURMONTER</v>
      </c>
      <c r="C7311" s="1" t="s">
        <v>185</v>
      </c>
      <c r="D7311" s="1" t="s">
        <v>16612</v>
      </c>
      <c r="J7311" s="1" t="s">
        <v>6</v>
      </c>
      <c r="K7311" s="1" t="s">
        <v>7</v>
      </c>
      <c r="N7311" s="1" t="s">
        <v>10</v>
      </c>
      <c r="AN7311" s="1" t="s">
        <v>36</v>
      </c>
      <c r="DN7311" s="1" t="s">
        <v>114</v>
      </c>
      <c r="DT7311" s="1" t="s">
        <v>120</v>
      </c>
      <c r="ED7311" s="1" t="s">
        <v>130</v>
      </c>
      <c r="GD7311" s="1" t="s">
        <v>189</v>
      </c>
      <c r="GE7311" s="1" t="s">
        <v>190</v>
      </c>
    </row>
    <row r="7312" spans="1:187" ht="11.25" customHeight="1">
      <c r="A7312" s="1" t="s">
        <v>10328</v>
      </c>
      <c r="B7312" s="1" t="str">
        <f ca="1">IFERROR(__xludf.DUMMYFUNCTION("GOOGLETRANSLATE(A7312, ""en"", ""fr"")"),"SURPEUPLEMENT")</f>
        <v>SURPEUPLEMENT</v>
      </c>
      <c r="C7312" s="1" t="s">
        <v>196</v>
      </c>
      <c r="EZ7312" s="1" t="s">
        <v>152</v>
      </c>
      <c r="FC7312" s="1" t="s">
        <v>155</v>
      </c>
      <c r="GD7312" s="1" t="s">
        <v>193</v>
      </c>
    </row>
    <row r="7313" spans="1:187" ht="11.25" customHeight="1">
      <c r="A7313" s="1" t="s">
        <v>10329</v>
      </c>
      <c r="B7313" s="1" t="str">
        <f ca="1">IFERROR(__xludf.DUMMYFUNCTION("GOOGLETRANSLATE(A7313, ""en"", ""fr"")"),"DÉBORDEMENT")</f>
        <v>DÉBORDEMENT</v>
      </c>
      <c r="C7313" s="1" t="s">
        <v>192</v>
      </c>
      <c r="E7313" s="1" t="s">
        <v>16613</v>
      </c>
      <c r="O7313" s="1" t="s">
        <v>11</v>
      </c>
      <c r="BX7313" s="1" t="s">
        <v>72</v>
      </c>
      <c r="DN7313" s="1" t="s">
        <v>114</v>
      </c>
      <c r="GD7313" s="1" t="s">
        <v>189</v>
      </c>
      <c r="GE7313" s="1" t="s">
        <v>190</v>
      </c>
    </row>
    <row r="7314" spans="1:187" ht="11.25" customHeight="1">
      <c r="A7314" s="1" t="s">
        <v>10330</v>
      </c>
      <c r="B7314" s="1" t="str">
        <f ca="1">IFERROR(__xludf.DUMMYFUNCTION("GOOGLETRANSLATE(A7314, ""en"", ""fr"")"),"RÉVISION")</f>
        <v>RÉVISION</v>
      </c>
      <c r="C7314" s="1" t="s">
        <v>185</v>
      </c>
      <c r="J7314" s="1" t="s">
        <v>6</v>
      </c>
      <c r="N7314" s="1" t="s">
        <v>10</v>
      </c>
      <c r="AL7314" s="1" t="s">
        <v>34</v>
      </c>
      <c r="DN7314" s="1" t="s">
        <v>114</v>
      </c>
      <c r="FN7314" s="1" t="s">
        <v>166</v>
      </c>
      <c r="GD7314" s="1" t="s">
        <v>189</v>
      </c>
      <c r="GE7314" s="1" t="s">
        <v>190</v>
      </c>
    </row>
    <row r="7315" spans="1:187" ht="11.25" customHeight="1">
      <c r="A7315" s="1" t="s">
        <v>10331</v>
      </c>
      <c r="B7315" s="1" t="str">
        <f ca="1">IFERROR(__xludf.DUMMYFUNCTION("GOOGLETRANSLATE(A7315, ""en"", ""fr"")"),"Exciter")</f>
        <v>Exciter</v>
      </c>
      <c r="C7315" s="1" t="s">
        <v>196</v>
      </c>
      <c r="FA7315" s="1" t="s">
        <v>153</v>
      </c>
      <c r="FC7315" s="1" t="s">
        <v>155</v>
      </c>
      <c r="GD7315" s="1" t="s">
        <v>189</v>
      </c>
    </row>
    <row r="7316" spans="1:187" ht="11.25" customHeight="1">
      <c r="A7316" s="1" t="s">
        <v>10332</v>
      </c>
      <c r="B7316" s="1" t="str">
        <f ca="1">IFERROR(__xludf.DUMMYFUNCTION("GOOGLETRANSLATE(A7316, ""en"", ""fr"")"),"FOU DE JOIE")</f>
        <v>FOU DE JOIE</v>
      </c>
      <c r="C7316" s="1" t="s">
        <v>192</v>
      </c>
      <c r="D7316" s="1" t="s">
        <v>16612</v>
      </c>
      <c r="P7316" s="1" t="s">
        <v>12</v>
      </c>
      <c r="T7316" s="1" t="s">
        <v>16</v>
      </c>
      <c r="DR7316" s="1" t="s">
        <v>118</v>
      </c>
      <c r="GD7316" s="1" t="s">
        <v>202</v>
      </c>
      <c r="GE7316" s="1" t="s">
        <v>190</v>
      </c>
    </row>
    <row r="7317" spans="1:187" ht="11.25" customHeight="1">
      <c r="A7317" s="1" t="s">
        <v>10333</v>
      </c>
      <c r="B7317" s="1" t="str">
        <f ca="1">IFERROR(__xludf.DUMMYFUNCTION("GOOGLETRANSLATE(A7317, ""en"", ""fr"")"),"PAR LA ROUTE")</f>
        <v>PAR LA ROUTE</v>
      </c>
      <c r="C7317" s="1" t="s">
        <v>196</v>
      </c>
      <c r="GB7317" s="1" t="s">
        <v>180</v>
      </c>
      <c r="GD7317" s="1" t="s">
        <v>202</v>
      </c>
    </row>
    <row r="7318" spans="1:187" ht="11.25" customHeight="1">
      <c r="A7318" s="1" t="s">
        <v>10334</v>
      </c>
      <c r="B7318" s="1" t="str">
        <f ca="1">IFERROR(__xludf.DUMMYFUNCTION("GOOGLETRANSLATE(A7318, ""en"", ""fr"")"),"CHEVAUCHER")</f>
        <v>CHEVAUCHER</v>
      </c>
      <c r="C7318" s="1" t="s">
        <v>196</v>
      </c>
      <c r="GD7318" s="1" t="s">
        <v>189</v>
      </c>
    </row>
    <row r="7319" spans="1:187" ht="11.25" customHeight="1">
      <c r="A7319" s="1" t="s">
        <v>10335</v>
      </c>
      <c r="B7319" s="1" t="str">
        <f ca="1">IFERROR(__xludf.DUMMYFUNCTION("GOOGLETRANSLATE(A7319, ""en"", ""fr"")"),"NÉGLIGER")</f>
        <v>NÉGLIGER</v>
      </c>
      <c r="C7319" s="1" t="s">
        <v>185</v>
      </c>
      <c r="E7319" s="1" t="s">
        <v>16613</v>
      </c>
      <c r="H7319" s="1" t="s">
        <v>4</v>
      </c>
      <c r="O7319" s="1" t="s">
        <v>11</v>
      </c>
      <c r="CK7319" s="1" t="s">
        <v>85</v>
      </c>
      <c r="DN7319" s="1" t="s">
        <v>114</v>
      </c>
      <c r="FE7319" s="1" t="s">
        <v>157</v>
      </c>
      <c r="FI7319" s="1" t="s">
        <v>161</v>
      </c>
      <c r="GD7319" s="1" t="s">
        <v>189</v>
      </c>
      <c r="GE7319" s="1" t="s">
        <v>190</v>
      </c>
    </row>
    <row r="7320" spans="1:187" ht="11.25" customHeight="1">
      <c r="A7320" s="1" t="s">
        <v>10336</v>
      </c>
      <c r="B7320" s="1" t="str">
        <f ca="1">IFERROR(__xludf.DUMMYFUNCTION("GOOGLETRANSLATE(A7320, ""en"", ""fr"")"),"TROP")</f>
        <v>TROP</v>
      </c>
      <c r="C7320" s="1" t="s">
        <v>185</v>
      </c>
      <c r="W7320" s="1" t="s">
        <v>19</v>
      </c>
      <c r="CS7320" s="1" t="s">
        <v>93</v>
      </c>
      <c r="GD7320" s="1" t="s">
        <v>236</v>
      </c>
      <c r="GE7320" s="1" t="s">
        <v>190</v>
      </c>
    </row>
    <row r="7321" spans="1:187" ht="11.25" customHeight="1">
      <c r="A7321" s="1" t="s">
        <v>10337</v>
      </c>
      <c r="B7321" s="1" t="str">
        <f ca="1">IFERROR(__xludf.DUMMYFUNCTION("GOOGLETRANSLATE(A7321, ""en"", ""fr"")"),"Sus-jacent")</f>
        <v>Sus-jacent</v>
      </c>
      <c r="C7321" s="1" t="s">
        <v>185</v>
      </c>
      <c r="J7321" s="1" t="s">
        <v>6</v>
      </c>
      <c r="CR7321" s="1" t="s">
        <v>92</v>
      </c>
      <c r="GB7321" s="1" t="s">
        <v>180</v>
      </c>
      <c r="GD7321" s="1" t="s">
        <v>202</v>
      </c>
      <c r="GE7321" s="1" t="s">
        <v>190</v>
      </c>
    </row>
    <row r="7322" spans="1:187" ht="11.25" customHeight="1">
      <c r="A7322" s="1" t="s">
        <v>10338</v>
      </c>
      <c r="B7322" s="1" t="str">
        <f ca="1">IFERROR(__xludf.DUMMYFUNCTION("GOOGLETRANSLATE(A7322, ""en"", ""fr"")"),"PENDANT LA NUIT")</f>
        <v>PENDANT LA NUIT</v>
      </c>
      <c r="C7322" s="1" t="s">
        <v>185</v>
      </c>
      <c r="CY7322" s="1" t="s">
        <v>99</v>
      </c>
      <c r="GB7322" s="1" t="s">
        <v>180</v>
      </c>
      <c r="GD7322" s="1" t="s">
        <v>202</v>
      </c>
      <c r="GE7322" s="1" t="s">
        <v>190</v>
      </c>
    </row>
    <row r="7323" spans="1:187" ht="11.25" customHeight="1">
      <c r="A7323" s="1" t="s">
        <v>10339</v>
      </c>
      <c r="B7323" s="1" t="str">
        <f ca="1">IFERROR(__xludf.DUMMYFUNCTION("GOOGLETRANSLATE(A7323, ""en"", ""fr"")"),"Trop uniforme")</f>
        <v>Trop uniforme</v>
      </c>
      <c r="C7323" s="1" t="s">
        <v>185</v>
      </c>
      <c r="AJ7323" s="1" t="s">
        <v>32</v>
      </c>
      <c r="AT7323" s="1" t="s">
        <v>42</v>
      </c>
      <c r="GD7323" s="1" t="s">
        <v>193</v>
      </c>
      <c r="GE7323" s="1" t="s">
        <v>190</v>
      </c>
    </row>
    <row r="7324" spans="1:187" ht="11.25" customHeight="1">
      <c r="A7324" s="1" t="s">
        <v>10340</v>
      </c>
      <c r="B7324" s="1" t="str">
        <f ca="1">IFERROR(__xludf.DUMMYFUNCTION("GOOGLETRANSLATE(A7324, ""en"", ""fr"")"),"MAÎTRISER")</f>
        <v>MAÎTRISER</v>
      </c>
      <c r="C7324" s="1" t="s">
        <v>192</v>
      </c>
      <c r="E7324" s="1" t="s">
        <v>16613</v>
      </c>
      <c r="J7324" s="1" t="s">
        <v>6</v>
      </c>
      <c r="K7324" s="1" t="s">
        <v>7</v>
      </c>
      <c r="N7324" s="1" t="s">
        <v>10</v>
      </c>
      <c r="CC7324" s="1" t="s">
        <v>77</v>
      </c>
      <c r="DN7324" s="1" t="s">
        <v>114</v>
      </c>
      <c r="GD7324" s="1" t="s">
        <v>670</v>
      </c>
      <c r="GE7324" s="1" t="s">
        <v>190</v>
      </c>
    </row>
    <row r="7325" spans="1:187" ht="11.25" customHeight="1">
      <c r="A7325" s="1" t="s">
        <v>10341</v>
      </c>
      <c r="B7325" s="1" t="str">
        <f ca="1">IFERROR(__xludf.DUMMYFUNCTION("GOOGLETRANSLATE(A7325, ""en"", ""fr"")"),"PASSER OUTRE")</f>
        <v>PASSER OUTRE</v>
      </c>
      <c r="C7325" s="1" t="s">
        <v>196</v>
      </c>
      <c r="DT7325" s="1" t="s">
        <v>120</v>
      </c>
      <c r="ED7325" s="1" t="s">
        <v>130</v>
      </c>
      <c r="GD7325" s="1" t="s">
        <v>189</v>
      </c>
    </row>
    <row r="7326" spans="1:187" ht="11.25" customHeight="1">
      <c r="A7326" s="1" t="s">
        <v>10342</v>
      </c>
      <c r="B7326" s="1" t="str">
        <f ca="1">IFERROR(__xludf.DUMMYFUNCTION("GOOGLETRANSLATE(A7326, ""en"", ""fr"")"),"Dépasser")</f>
        <v>Dépasser</v>
      </c>
      <c r="C7326" s="1" t="s">
        <v>196</v>
      </c>
      <c r="DT7326" s="1" t="s">
        <v>120</v>
      </c>
      <c r="ED7326" s="1" t="s">
        <v>130</v>
      </c>
      <c r="GD7326" s="1" t="s">
        <v>1076</v>
      </c>
    </row>
    <row r="7327" spans="1:187" ht="11.25" customHeight="1">
      <c r="A7327" s="1" t="s">
        <v>10343</v>
      </c>
      <c r="B7327" s="1" t="str">
        <f ca="1">IFERROR(__xludf.DUMMYFUNCTION("GOOGLETRANSLATE(A7327, ""en"", ""fr"")"),"ENVAHI")</f>
        <v>ENVAHI</v>
      </c>
      <c r="C7327" s="1" t="s">
        <v>192</v>
      </c>
      <c r="E7327" s="1" t="s">
        <v>16613</v>
      </c>
      <c r="J7327" s="1" t="s">
        <v>6</v>
      </c>
      <c r="K7327" s="1" t="s">
        <v>7</v>
      </c>
      <c r="N7327" s="1" t="s">
        <v>10</v>
      </c>
      <c r="CC7327" s="1" t="s">
        <v>77</v>
      </c>
      <c r="DN7327" s="1" t="s">
        <v>114</v>
      </c>
      <c r="GD7327" s="1" t="s">
        <v>670</v>
      </c>
      <c r="GE7327" s="1" t="s">
        <v>190</v>
      </c>
    </row>
    <row r="7328" spans="1:187" ht="11.25" customHeight="1">
      <c r="A7328" s="1" t="s">
        <v>10344</v>
      </c>
      <c r="B7328" s="1" t="str">
        <f ca="1">IFERROR(__xludf.DUMMYFUNCTION("GOOGLETRANSLATE(A7328, ""en"", ""fr"")"),"Outre-mer")</f>
        <v>Outre-mer</v>
      </c>
      <c r="C7328" s="1" t="s">
        <v>196</v>
      </c>
      <c r="GB7328" s="1" t="s">
        <v>180</v>
      </c>
      <c r="GD7328" s="1" t="s">
        <v>202</v>
      </c>
    </row>
    <row r="7329" spans="1:187" ht="11.25" customHeight="1">
      <c r="A7329" s="1" t="s">
        <v>10345</v>
      </c>
      <c r="B7329" s="1" t="str">
        <f ca="1">IFERROR(__xludf.DUMMYFUNCTION("GOOGLETRANSLATE(A7329, ""en"", ""fr"")"),"SURVEILLANT")</f>
        <v>SURVEILLANT</v>
      </c>
      <c r="C7329" s="1" t="s">
        <v>185</v>
      </c>
      <c r="J7329" s="1" t="s">
        <v>6</v>
      </c>
      <c r="K7329" s="1" t="s">
        <v>7</v>
      </c>
      <c r="AA7329" s="1" t="s">
        <v>23</v>
      </c>
      <c r="AJ7329" s="1" t="s">
        <v>32</v>
      </c>
      <c r="AT7329" s="1" t="s">
        <v>42</v>
      </c>
      <c r="DZ7329" s="1" t="s">
        <v>126</v>
      </c>
      <c r="ED7329" s="1" t="s">
        <v>130</v>
      </c>
      <c r="GD7329" s="1" t="s">
        <v>193</v>
      </c>
      <c r="GE7329" s="1" t="s">
        <v>190</v>
      </c>
    </row>
    <row r="7330" spans="1:187" ht="11.25" customHeight="1">
      <c r="A7330" s="1" t="s">
        <v>10346</v>
      </c>
      <c r="B7330" s="1" t="str">
        <f ca="1">IFERROR(__xludf.DUMMYFUNCTION("GOOGLETRANSLATE(A7330, ""en"", ""fr"")"),"SURVEILLANCE")</f>
        <v>SURVEILLANCE</v>
      </c>
      <c r="C7330" s="1" t="s">
        <v>192</v>
      </c>
      <c r="E7330" s="1" t="s">
        <v>16613</v>
      </c>
      <c r="V7330" s="1" t="s">
        <v>18</v>
      </c>
      <c r="BT7330" s="1" t="s">
        <v>68</v>
      </c>
      <c r="CK7330" s="1" t="s">
        <v>85</v>
      </c>
      <c r="GD7330" s="1" t="s">
        <v>193</v>
      </c>
      <c r="GE7330" s="1" t="s">
        <v>190</v>
      </c>
    </row>
    <row r="7331" spans="1:187" ht="11.25" customHeight="1">
      <c r="A7331" s="1" t="s">
        <v>10347</v>
      </c>
      <c r="B7331" s="1" t="str">
        <f ca="1">IFERROR(__xludf.DUMMYFUNCTION("GOOGLETRANSLATE(A7331, ""en"", ""fr"")"),"SIMPLIFICATION EXCESSIVE")</f>
        <v>SIMPLIFICATION EXCESSIVE</v>
      </c>
      <c r="C7331" s="1" t="s">
        <v>196</v>
      </c>
      <c r="FE7331" s="1" t="s">
        <v>157</v>
      </c>
      <c r="FI7331" s="1" t="s">
        <v>161</v>
      </c>
      <c r="GD7331" s="1" t="s">
        <v>193</v>
      </c>
    </row>
    <row r="7332" spans="1:187" ht="11.25" customHeight="1">
      <c r="A7332" s="1" t="s">
        <v>10348</v>
      </c>
      <c r="B7332" s="1" t="str">
        <f ca="1">IFERROR(__xludf.DUMMYFUNCTION("GOOGLETRANSLATE(A7332, ""en"", ""fr"")"),"SIMPLIFIER")</f>
        <v>SIMPLIFIER</v>
      </c>
      <c r="C7332" s="1" t="s">
        <v>196</v>
      </c>
      <c r="FE7332" s="1" t="s">
        <v>157</v>
      </c>
      <c r="FI7332" s="1" t="s">
        <v>161</v>
      </c>
      <c r="GD7332" s="1" t="s">
        <v>189</v>
      </c>
    </row>
    <row r="7333" spans="1:187" ht="11.25" customHeight="1">
      <c r="A7333" s="1" t="s">
        <v>10349</v>
      </c>
      <c r="B7333" s="1" t="str">
        <f ca="1">IFERROR(__xludf.DUMMYFUNCTION("GOOGLETRANSLATE(A7333, ""en"", ""fr"")"),"RENVERSER")</f>
        <v>RENVERSER</v>
      </c>
      <c r="C7333" s="1" t="s">
        <v>185</v>
      </c>
      <c r="E7333" s="1" t="s">
        <v>16613</v>
      </c>
      <c r="J7333" s="1" t="s">
        <v>6</v>
      </c>
      <c r="K7333" s="1" t="s">
        <v>7</v>
      </c>
      <c r="N7333" s="1" t="s">
        <v>10</v>
      </c>
      <c r="CC7333" s="1" t="s">
        <v>77</v>
      </c>
      <c r="DN7333" s="1" t="s">
        <v>114</v>
      </c>
      <c r="DT7333" s="1" t="s">
        <v>120</v>
      </c>
      <c r="ED7333" s="1" t="s">
        <v>130</v>
      </c>
      <c r="GD7333" s="1" t="s">
        <v>670</v>
      </c>
      <c r="GE7333" s="1" t="s">
        <v>190</v>
      </c>
    </row>
    <row r="7334" spans="1:187" ht="11.25" customHeight="1">
      <c r="A7334" s="1" t="s">
        <v>10350</v>
      </c>
      <c r="B7334" s="1" t="str">
        <f ca="1">IFERROR(__xludf.DUMMYFUNCTION("GOOGLETRANSLATE(A7334, ""en"", ""fr"")"),"Renversé")</f>
        <v>Renversé</v>
      </c>
      <c r="C7334" s="1" t="s">
        <v>196</v>
      </c>
      <c r="DT7334" s="1" t="s">
        <v>120</v>
      </c>
      <c r="ED7334" s="1" t="s">
        <v>130</v>
      </c>
      <c r="GD7334" s="1" t="s">
        <v>10351</v>
      </c>
    </row>
    <row r="7335" spans="1:187" ht="11.25" customHeight="1">
      <c r="A7335" s="1" t="s">
        <v>10352</v>
      </c>
      <c r="B7335" s="1" t="str">
        <f ca="1">IFERROR(__xludf.DUMMYFUNCTION("GOOGLETRANSLATE(A7335, ""en"", ""fr"")"),"OUVERTURE")</f>
        <v>OUVERTURE</v>
      </c>
      <c r="C7335" s="1" t="s">
        <v>185</v>
      </c>
      <c r="G7335" s="1" t="s">
        <v>3</v>
      </c>
      <c r="U7335" s="1" t="s">
        <v>17</v>
      </c>
      <c r="GD7335" s="1" t="s">
        <v>193</v>
      </c>
      <c r="GE7335" s="1" t="s">
        <v>190</v>
      </c>
    </row>
    <row r="7336" spans="1:187" ht="11.25" customHeight="1">
      <c r="A7336" s="1" t="s">
        <v>10353</v>
      </c>
      <c r="B7336" s="1" t="str">
        <f ca="1">IFERROR(__xludf.DUMMYFUNCTION("GOOGLETRANSLATE(A7336, ""en"", ""fr"")"),"OUVERTURES")</f>
        <v>OUVERTURES</v>
      </c>
      <c r="C7336" s="1" t="s">
        <v>196</v>
      </c>
      <c r="DX7336" s="1" t="s">
        <v>124</v>
      </c>
      <c r="ED7336" s="1" t="s">
        <v>130</v>
      </c>
      <c r="GD7336" s="1" t="s">
        <v>193</v>
      </c>
    </row>
    <row r="7337" spans="1:187" ht="11.25" customHeight="1">
      <c r="A7337" s="1" t="s">
        <v>10354</v>
      </c>
      <c r="B7337" s="1" t="str">
        <f ca="1">IFERROR(__xludf.DUMMYFUNCTION("GOOGLETRANSLATE(A7337, ""en"", ""fr"")"),"RENVERSER")</f>
        <v>RENVERSER</v>
      </c>
      <c r="C7337" s="1" t="s">
        <v>192</v>
      </c>
      <c r="E7337" s="1" t="s">
        <v>16613</v>
      </c>
      <c r="N7337" s="1" t="s">
        <v>10</v>
      </c>
      <c r="AE7337" s="1" t="s">
        <v>27</v>
      </c>
      <c r="CG7337" s="1" t="s">
        <v>81</v>
      </c>
      <c r="DN7337" s="1" t="s">
        <v>114</v>
      </c>
      <c r="GD7337" s="1" t="s">
        <v>189</v>
      </c>
      <c r="GE7337" s="1" t="s">
        <v>190</v>
      </c>
    </row>
    <row r="7338" spans="1:187" ht="11.25" customHeight="1">
      <c r="A7338" s="1" t="s">
        <v>10355</v>
      </c>
      <c r="B7338" s="1" t="str">
        <f ca="1">IFERROR(__xludf.DUMMYFUNCTION("GOOGLETRANSLATE(A7338, ""en"", ""fr"")"),"SUBMERGER")</f>
        <v>SUBMERGER</v>
      </c>
      <c r="C7338" s="1" t="s">
        <v>185</v>
      </c>
      <c r="J7338" s="1" t="s">
        <v>6</v>
      </c>
      <c r="K7338" s="1" t="s">
        <v>7</v>
      </c>
      <c r="S7338" s="1" t="s">
        <v>15</v>
      </c>
      <c r="W7338" s="1" t="s">
        <v>19</v>
      </c>
      <c r="AN7338" s="1" t="s">
        <v>36</v>
      </c>
      <c r="DN7338" s="1" t="s">
        <v>114</v>
      </c>
      <c r="DT7338" s="1" t="s">
        <v>120</v>
      </c>
      <c r="ED7338" s="1" t="s">
        <v>130</v>
      </c>
      <c r="GD7338" s="1" t="s">
        <v>189</v>
      </c>
      <c r="GE7338" s="1" t="s">
        <v>190</v>
      </c>
    </row>
    <row r="7339" spans="1:187" ht="11.25" customHeight="1">
      <c r="A7339" s="1" t="s">
        <v>10356</v>
      </c>
      <c r="B7339" s="1" t="str">
        <f ca="1">IFERROR(__xludf.DUMMYFUNCTION("GOOGLETRANSLATE(A7339, ""en"", ""fr"")"),"ACCABLANT")</f>
        <v>ACCABLANT</v>
      </c>
      <c r="C7339" s="1" t="s">
        <v>192</v>
      </c>
      <c r="E7339" s="1" t="s">
        <v>16613</v>
      </c>
      <c r="K7339" s="1" t="s">
        <v>7</v>
      </c>
      <c r="BX7339" s="1" t="s">
        <v>72</v>
      </c>
      <c r="DR7339" s="1" t="s">
        <v>118</v>
      </c>
      <c r="GD7339" s="1" t="s">
        <v>202</v>
      </c>
      <c r="GE7339" s="1" t="s">
        <v>190</v>
      </c>
    </row>
    <row r="7340" spans="1:187" ht="11.25" customHeight="1">
      <c r="A7340" s="1" t="s">
        <v>10357</v>
      </c>
      <c r="B7340" s="1" t="str">
        <f ca="1">IFERROR(__xludf.DUMMYFUNCTION("GOOGLETRANSLATE(A7340, ""en"", ""fr"")"),"Surchargé")</f>
        <v>Surchargé</v>
      </c>
      <c r="C7340" s="1" t="s">
        <v>192</v>
      </c>
      <c r="E7340" s="1" t="s">
        <v>16613</v>
      </c>
      <c r="L7340" s="1" t="s">
        <v>8</v>
      </c>
      <c r="AL7340" s="1" t="s">
        <v>34</v>
      </c>
      <c r="BP7340" s="1" t="s">
        <v>64</v>
      </c>
      <c r="DR7340" s="1" t="s">
        <v>118</v>
      </c>
      <c r="GD7340" s="1" t="s">
        <v>202</v>
      </c>
      <c r="GE7340" s="1" t="s">
        <v>190</v>
      </c>
    </row>
    <row r="7341" spans="1:187" ht="11.25" customHeight="1">
      <c r="A7341" s="1" t="s">
        <v>10358</v>
      </c>
      <c r="B7341" s="1" t="str">
        <f ca="1">IFERROR(__xludf.DUMMYFUNCTION("GOOGLETRANSLATE(A7341, ""en"", ""fr"")"),"DEVOIR")</f>
        <v>DEVOIR</v>
      </c>
      <c r="C7341" s="1" t="s">
        <v>185</v>
      </c>
      <c r="E7341" s="1" t="s">
        <v>16613</v>
      </c>
      <c r="H7341" s="1" t="s">
        <v>4</v>
      </c>
      <c r="L7341" s="1" t="s">
        <v>8</v>
      </c>
      <c r="AA7341" s="1" t="s">
        <v>23</v>
      </c>
      <c r="AB7341" s="1" t="s">
        <v>24</v>
      </c>
      <c r="DN7341" s="1" t="s">
        <v>114</v>
      </c>
      <c r="GD7341" s="1" t="s">
        <v>189</v>
      </c>
      <c r="GE7341" s="1" t="s">
        <v>190</v>
      </c>
    </row>
    <row r="7342" spans="1:187" ht="11.25" customHeight="1">
      <c r="A7342" s="1" t="s">
        <v>10359</v>
      </c>
      <c r="B7342" s="1" t="str">
        <f ca="1">IFERROR(__xludf.DUMMYFUNCTION("GOOGLETRANSLATE(A7342, ""en"", ""fr"")"),"Posséder # 1")</f>
        <v>Posséder # 1</v>
      </c>
      <c r="C7342" s="1" t="s">
        <v>185</v>
      </c>
      <c r="J7342" s="1" t="s">
        <v>6</v>
      </c>
      <c r="AA7342" s="1" t="s">
        <v>23</v>
      </c>
      <c r="DD7342" s="1" t="s">
        <v>104</v>
      </c>
      <c r="DO7342" s="1" t="s">
        <v>115</v>
      </c>
      <c r="EV7342" s="1" t="s">
        <v>148</v>
      </c>
      <c r="EW7342" s="1" t="s">
        <v>149</v>
      </c>
      <c r="GD7342" s="1" t="s">
        <v>189</v>
      </c>
      <c r="GE7342" s="1" t="s">
        <v>10360</v>
      </c>
    </row>
    <row r="7343" spans="1:187" ht="11.25" customHeight="1">
      <c r="A7343" s="1" t="s">
        <v>10361</v>
      </c>
      <c r="B7343" s="1" t="str">
        <f ca="1">IFERROR(__xludf.DUMMYFUNCTION("GOOGLETRANSLATE(A7343, ""en"", ""fr"")"),"Propre # 2")</f>
        <v>Propre # 2</v>
      </c>
      <c r="C7343" s="1" t="s">
        <v>185</v>
      </c>
      <c r="DD7343" s="1" t="s">
        <v>104</v>
      </c>
      <c r="GD7343" s="1" t="s">
        <v>10362</v>
      </c>
      <c r="GE7343" s="1" t="s">
        <v>10363</v>
      </c>
    </row>
    <row r="7344" spans="1:187" ht="11.25" customHeight="1">
      <c r="A7344" s="1" t="s">
        <v>10364</v>
      </c>
      <c r="B7344" s="1" t="str">
        <f ca="1">IFERROR(__xludf.DUMMYFUNCTION("GOOGLETRANSLATE(A7344, ""en"", ""fr"")"),"Propre # 3")</f>
        <v>Propre # 3</v>
      </c>
      <c r="C7344" s="1" t="s">
        <v>185</v>
      </c>
      <c r="J7344" s="1" t="s">
        <v>6</v>
      </c>
      <c r="U7344" s="1" t="s">
        <v>17</v>
      </c>
      <c r="FQ7344" s="1" t="s">
        <v>169</v>
      </c>
      <c r="GD7344" s="1" t="s">
        <v>202</v>
      </c>
      <c r="GE7344" s="1" t="s">
        <v>10365</v>
      </c>
    </row>
    <row r="7345" spans="1:187" ht="11.25" customHeight="1">
      <c r="A7345" s="1" t="s">
        <v>10366</v>
      </c>
      <c r="B7345" s="1" t="str">
        <f ca="1">IFERROR(__xludf.DUMMYFUNCTION("GOOGLETRANSLATE(A7345, ""en"", ""fr"")"),"Propre # 4")</f>
        <v>Propre # 4</v>
      </c>
      <c r="C7345" s="1" t="s">
        <v>185</v>
      </c>
      <c r="J7345" s="1" t="s">
        <v>6</v>
      </c>
      <c r="N7345" s="1" t="s">
        <v>10</v>
      </c>
      <c r="BP7345" s="1" t="s">
        <v>64</v>
      </c>
      <c r="DN7345" s="1" t="s">
        <v>114</v>
      </c>
      <c r="FR7345" s="1" t="s">
        <v>170</v>
      </c>
      <c r="GD7345" s="1" t="s">
        <v>189</v>
      </c>
      <c r="GE7345" s="1" t="s">
        <v>10367</v>
      </c>
    </row>
    <row r="7346" spans="1:187" ht="11.25" customHeight="1">
      <c r="A7346" s="1" t="s">
        <v>10368</v>
      </c>
      <c r="B7346" s="1" t="str">
        <f ca="1">IFERROR(__xludf.DUMMYFUNCTION("GOOGLETRANSLATE(A7346, ""en"", ""fr"")"),"PROPRIÉTAIRE")</f>
        <v>PROPRIÉTAIRE</v>
      </c>
      <c r="C7346" s="1" t="s">
        <v>185</v>
      </c>
      <c r="J7346" s="1" t="s">
        <v>6</v>
      </c>
      <c r="AC7346" s="1" t="s">
        <v>25</v>
      </c>
      <c r="AE7346" s="1" t="s">
        <v>27</v>
      </c>
      <c r="AJ7346" s="1" t="s">
        <v>32</v>
      </c>
      <c r="AT7346" s="1" t="s">
        <v>42</v>
      </c>
      <c r="ET7346" s="1" t="s">
        <v>146</v>
      </c>
      <c r="EW7346" s="1" t="s">
        <v>149</v>
      </c>
      <c r="GD7346" s="1" t="s">
        <v>193</v>
      </c>
      <c r="GE7346" s="1" t="s">
        <v>10369</v>
      </c>
    </row>
    <row r="7347" spans="1:187" ht="11.25" customHeight="1">
      <c r="A7347" s="1" t="s">
        <v>10370</v>
      </c>
      <c r="B7347" s="1" t="str">
        <f ca="1">IFERROR(__xludf.DUMMYFUNCTION("GOOGLETRANSLATE(A7347, ""en"", ""fr"")"),"LA POSSESSION")</f>
        <v>LA POSSESSION</v>
      </c>
      <c r="C7347" s="1" t="s">
        <v>185</v>
      </c>
      <c r="J7347" s="1" t="s">
        <v>6</v>
      </c>
      <c r="Z7347" s="1" t="s">
        <v>22</v>
      </c>
      <c r="AA7347" s="1" t="s">
        <v>23</v>
      </c>
      <c r="AC7347" s="1" t="s">
        <v>25</v>
      </c>
      <c r="EV7347" s="1" t="s">
        <v>148</v>
      </c>
      <c r="EW7347" s="1" t="s">
        <v>149</v>
      </c>
      <c r="GD7347" s="1" t="s">
        <v>193</v>
      </c>
      <c r="GE7347" s="1" t="s">
        <v>190</v>
      </c>
    </row>
    <row r="7348" spans="1:187" ht="11.25" customHeight="1">
      <c r="A7348" s="1" t="s">
        <v>10371</v>
      </c>
      <c r="B7348" s="1" t="str">
        <f ca="1">IFERROR(__xludf.DUMMYFUNCTION("GOOGLETRANSLATE(A7348, ""en"", ""fr"")"),"Bœufs")</f>
        <v>Bœufs</v>
      </c>
      <c r="C7348" s="1" t="s">
        <v>185</v>
      </c>
      <c r="AU7348" s="1" t="s">
        <v>43</v>
      </c>
      <c r="GD7348" s="1" t="s">
        <v>576</v>
      </c>
      <c r="GE7348" s="1" t="s">
        <v>190</v>
      </c>
    </row>
    <row r="7349" spans="1:187" ht="11.25" customHeight="1">
      <c r="A7349" s="1" t="s">
        <v>10372</v>
      </c>
      <c r="B7349" s="1" t="str">
        <f ca="1">IFERROR(__xludf.DUMMYFUNCTION("GOOGLETRANSLATE(A7349, ""en"", ""fr"")"),"Rythme n ° 1")</f>
        <v>Rythme n ° 1</v>
      </c>
      <c r="C7349" s="1" t="s">
        <v>185</v>
      </c>
      <c r="N7349" s="1" t="s">
        <v>10</v>
      </c>
      <c r="CE7349" s="1" t="s">
        <v>79</v>
      </c>
      <c r="GD7349" s="1" t="s">
        <v>193</v>
      </c>
      <c r="GE7349" s="1" t="s">
        <v>10373</v>
      </c>
    </row>
    <row r="7350" spans="1:187" ht="11.25" customHeight="1">
      <c r="A7350" s="1" t="s">
        <v>10374</v>
      </c>
      <c r="B7350" s="1" t="str">
        <f ca="1">IFERROR(__xludf.DUMMYFUNCTION("GOOGLETRANSLATE(A7350, ""en"", ""fr"")"),"Rythme n ° 2")</f>
        <v>Rythme n ° 2</v>
      </c>
      <c r="C7350" s="1" t="s">
        <v>185</v>
      </c>
      <c r="CQ7350" s="1" t="s">
        <v>91</v>
      </c>
      <c r="CX7350" s="1" t="s">
        <v>98</v>
      </c>
      <c r="DA7350" s="1" t="s">
        <v>101</v>
      </c>
      <c r="GD7350" s="1" t="s">
        <v>193</v>
      </c>
      <c r="GE7350" s="1" t="s">
        <v>10375</v>
      </c>
    </row>
    <row r="7351" spans="1:187" ht="11.25" customHeight="1">
      <c r="A7351" s="1" t="s">
        <v>10376</v>
      </c>
      <c r="B7351" s="1" t="str">
        <f ca="1">IFERROR(__xludf.DUMMYFUNCTION("GOOGLETRANSLATE(A7351, ""en"", ""fr"")"),"Rythme n ° 3")</f>
        <v>Rythme n ° 3</v>
      </c>
      <c r="C7351" s="1" t="s">
        <v>185</v>
      </c>
      <c r="N7351" s="1" t="s">
        <v>10</v>
      </c>
      <c r="CE7351" s="1" t="s">
        <v>79</v>
      </c>
      <c r="DO7351" s="1" t="s">
        <v>115</v>
      </c>
      <c r="GD7351" s="1" t="s">
        <v>189</v>
      </c>
      <c r="GE7351" s="1" t="s">
        <v>10377</v>
      </c>
    </row>
    <row r="7352" spans="1:187" ht="11.25" customHeight="1">
      <c r="A7352" s="1" t="s">
        <v>10378</v>
      </c>
      <c r="B7352" s="1" t="str">
        <f ca="1">IFERROR(__xludf.DUMMYFUNCTION("GOOGLETRANSLATE(A7352, ""en"", ""fr"")"),"Rythme n ° 4")</f>
        <v>Rythme n ° 4</v>
      </c>
      <c r="C7352" s="1" t="s">
        <v>185</v>
      </c>
      <c r="AD7352" s="1" t="s">
        <v>26</v>
      </c>
      <c r="BK7352" s="1" t="s">
        <v>59</v>
      </c>
      <c r="DN7352" s="1" t="s">
        <v>114</v>
      </c>
      <c r="FL7352" s="1" t="s">
        <v>164</v>
      </c>
      <c r="FM7352" s="1" t="s">
        <v>418</v>
      </c>
      <c r="GD7352" s="1" t="s">
        <v>189</v>
      </c>
      <c r="GE7352" s="1" t="s">
        <v>10379</v>
      </c>
    </row>
    <row r="7353" spans="1:187" ht="11.25" customHeight="1">
      <c r="A7353" s="1" t="s">
        <v>10380</v>
      </c>
      <c r="B7353" s="1" t="str">
        <f ca="1">IFERROR(__xludf.DUMMYFUNCTION("GOOGLETRANSLATE(A7353, ""en"", ""fr"")"),"Pacifique # 1")</f>
        <v>Pacifique # 1</v>
      </c>
      <c r="C7353" s="1" t="s">
        <v>196</v>
      </c>
      <c r="DW7353" s="1" t="s">
        <v>123</v>
      </c>
      <c r="ED7353" s="1" t="s">
        <v>130</v>
      </c>
      <c r="GD7353" s="1" t="s">
        <v>202</v>
      </c>
    </row>
    <row r="7354" spans="1:187" ht="11.25" customHeight="1">
      <c r="A7354" s="1" t="s">
        <v>10381</v>
      </c>
      <c r="B7354" s="1" t="str">
        <f ca="1">IFERROR(__xludf.DUMMYFUNCTION("GOOGLETRANSLATE(A7354, ""en"", ""fr"")"),"Pacifique # 2")</f>
        <v>Pacifique # 2</v>
      </c>
      <c r="C7354" s="1" t="s">
        <v>196</v>
      </c>
      <c r="GD7354" s="1" t="s">
        <v>193</v>
      </c>
    </row>
    <row r="7355" spans="1:187" ht="11.25" customHeight="1">
      <c r="A7355" s="1" t="s">
        <v>10382</v>
      </c>
      <c r="B7355" s="1" t="str">
        <f ca="1">IFERROR(__xludf.DUMMYFUNCTION("GOOGLETRANSLATE(A7355, ""en"", ""fr"")"),"PACIFICATION")</f>
        <v>PACIFICATION</v>
      </c>
      <c r="C7355" s="1" t="s">
        <v>196</v>
      </c>
      <c r="DW7355" s="1" t="s">
        <v>123</v>
      </c>
      <c r="ED7355" s="1" t="s">
        <v>130</v>
      </c>
      <c r="GD7355" s="1" t="s">
        <v>470</v>
      </c>
    </row>
    <row r="7356" spans="1:187" ht="11.25" customHeight="1">
      <c r="A7356" s="1" t="s">
        <v>10383</v>
      </c>
      <c r="B7356" s="1" t="str">
        <f ca="1">IFERROR(__xludf.DUMMYFUNCTION("GOOGLETRANSLATE(A7356, ""en"", ""fr"")"),"PACIFIER")</f>
        <v>PACIFIER</v>
      </c>
      <c r="C7356" s="1" t="s">
        <v>196</v>
      </c>
      <c r="EC7356" s="1" t="s">
        <v>129</v>
      </c>
      <c r="ED7356" s="1" t="s">
        <v>130</v>
      </c>
      <c r="GD7356" s="1" t="s">
        <v>189</v>
      </c>
    </row>
    <row r="7357" spans="1:187" ht="11.25" customHeight="1">
      <c r="A7357" s="1" t="s">
        <v>10384</v>
      </c>
      <c r="B7357" s="1" t="str">
        <f ca="1">IFERROR(__xludf.DUMMYFUNCTION("GOOGLETRANSLATE(A7357, ""en"", ""fr"")"),"Pack n ° 1")</f>
        <v>Pack n ° 1</v>
      </c>
      <c r="C7357" s="1" t="s">
        <v>185</v>
      </c>
      <c r="BC7357" s="1" t="s">
        <v>51</v>
      </c>
      <c r="BD7357" s="1" t="s">
        <v>52</v>
      </c>
      <c r="GD7357" s="1" t="s">
        <v>193</v>
      </c>
      <c r="GE7357" s="1" t="s">
        <v>10385</v>
      </c>
    </row>
    <row r="7358" spans="1:187" ht="11.25" customHeight="1">
      <c r="A7358" s="1" t="s">
        <v>10386</v>
      </c>
      <c r="B7358" s="1" t="str">
        <f ca="1">IFERROR(__xludf.DUMMYFUNCTION("GOOGLETRANSLATE(A7358, ""en"", ""fr"")"),"Pack n ° 2")</f>
        <v>Pack n ° 2</v>
      </c>
      <c r="C7358" s="1" t="s">
        <v>185</v>
      </c>
      <c r="N7358" s="1" t="s">
        <v>10</v>
      </c>
      <c r="AL7358" s="1" t="s">
        <v>34</v>
      </c>
      <c r="DN7358" s="1" t="s">
        <v>114</v>
      </c>
      <c r="FP7358" s="1" t="s">
        <v>168</v>
      </c>
      <c r="GD7358" s="1" t="s">
        <v>189</v>
      </c>
      <c r="GE7358" s="1" t="s">
        <v>10387</v>
      </c>
    </row>
    <row r="7359" spans="1:187" ht="11.25" customHeight="1">
      <c r="A7359" s="1" t="s">
        <v>10388</v>
      </c>
      <c r="B7359" s="1" t="str">
        <f ca="1">IFERROR(__xludf.DUMMYFUNCTION("GOOGLETRANSLATE(A7359, ""en"", ""fr"")"),"Pack n ° 3")</f>
        <v>Pack n ° 3</v>
      </c>
      <c r="C7359" s="1" t="s">
        <v>185</v>
      </c>
      <c r="DD7359" s="1" t="s">
        <v>104</v>
      </c>
      <c r="GD7359" s="1" t="s">
        <v>202</v>
      </c>
      <c r="GE7359" s="1" t="s">
        <v>10389</v>
      </c>
    </row>
    <row r="7360" spans="1:187" ht="11.25" customHeight="1">
      <c r="A7360" s="1" t="s">
        <v>10390</v>
      </c>
      <c r="B7360" s="1" t="str">
        <f ca="1">IFERROR(__xludf.DUMMYFUNCTION("GOOGLETRANSLATE(A7360, ""en"", ""fr"")"),"Pack n ° 4")</f>
        <v>Pack n ° 4</v>
      </c>
      <c r="C7360" s="1" t="s">
        <v>185</v>
      </c>
      <c r="N7360" s="1" t="s">
        <v>10</v>
      </c>
      <c r="BC7360" s="1" t="s">
        <v>51</v>
      </c>
      <c r="BD7360" s="1" t="s">
        <v>52</v>
      </c>
      <c r="GD7360" s="1" t="s">
        <v>193</v>
      </c>
      <c r="GE7360" s="1" t="s">
        <v>10391</v>
      </c>
    </row>
    <row r="7361" spans="1:187" ht="11.25" customHeight="1">
      <c r="A7361" s="1" t="s">
        <v>10392</v>
      </c>
      <c r="B7361" s="1" t="str">
        <f ca="1">IFERROR(__xludf.DUMMYFUNCTION("GOOGLETRANSLATE(A7361, ""en"", ""fr"")"),"EMBALLER")</f>
        <v>EMBALLER</v>
      </c>
      <c r="C7361" s="1" t="s">
        <v>185</v>
      </c>
      <c r="BC7361" s="1" t="s">
        <v>51</v>
      </c>
      <c r="BH7361" s="1" t="s">
        <v>56</v>
      </c>
      <c r="GD7361" s="1" t="s">
        <v>193</v>
      </c>
      <c r="GE7361" s="1" t="s">
        <v>190</v>
      </c>
    </row>
    <row r="7362" spans="1:187" ht="11.25" customHeight="1">
      <c r="A7362" s="1" t="s">
        <v>10393</v>
      </c>
      <c r="B7362" s="1" t="str">
        <f ca="1">IFERROR(__xludf.DUMMYFUNCTION("GOOGLETRANSLATE(A7362, ""en"", ""fr"")"),"PACTE")</f>
        <v>PACTE</v>
      </c>
      <c r="C7362" s="1" t="s">
        <v>196</v>
      </c>
      <c r="DX7362" s="1" t="s">
        <v>124</v>
      </c>
      <c r="ED7362" s="1" t="s">
        <v>130</v>
      </c>
      <c r="GD7362" s="1" t="s">
        <v>193</v>
      </c>
    </row>
    <row r="7363" spans="1:187" ht="11.25" customHeight="1">
      <c r="A7363" s="1" t="s">
        <v>10394</v>
      </c>
      <c r="B7363" s="1" t="str">
        <f ca="1">IFERROR(__xludf.DUMMYFUNCTION("GOOGLETRANSLATE(A7363, ""en"", ""fr"")"),"PAGE 1")</f>
        <v>PAGE 1</v>
      </c>
      <c r="C7363" s="1" t="s">
        <v>185</v>
      </c>
      <c r="BC7363" s="1" t="s">
        <v>51</v>
      </c>
      <c r="BH7363" s="1" t="s">
        <v>56</v>
      </c>
      <c r="BL7363" s="1" t="s">
        <v>60</v>
      </c>
      <c r="GD7363" s="1" t="s">
        <v>193</v>
      </c>
      <c r="GE7363" s="1" t="s">
        <v>190</v>
      </c>
    </row>
    <row r="7364" spans="1:187" ht="11.25" customHeight="1">
      <c r="A7364" s="1" t="s">
        <v>10395</v>
      </c>
      <c r="B7364" s="1" t="str">
        <f ca="1">IFERROR(__xludf.DUMMYFUNCTION("GOOGLETRANSLATE(A7364, ""en"", ""fr"")"),"PAGE 2")</f>
        <v>PAGE 2</v>
      </c>
      <c r="C7364" s="1" t="s">
        <v>185</v>
      </c>
      <c r="BK7364" s="1" t="s">
        <v>59</v>
      </c>
      <c r="DN7364" s="1" t="s">
        <v>114</v>
      </c>
      <c r="GD7364" s="1" t="s">
        <v>189</v>
      </c>
      <c r="GE7364" s="1" t="s">
        <v>190</v>
      </c>
    </row>
    <row r="7365" spans="1:187" ht="11.25" customHeight="1">
      <c r="A7365" s="1" t="s">
        <v>10396</v>
      </c>
      <c r="B7365" s="1" t="str">
        <f ca="1">IFERROR(__xludf.DUMMYFUNCTION("GOOGLETRANSLATE(A7365, ""en"", ""fr"")"),"Payé n ° 1")</f>
        <v>Payé n ° 1</v>
      </c>
      <c r="C7365" s="1" t="s">
        <v>192</v>
      </c>
      <c r="GD7365" s="1" t="s">
        <v>1085</v>
      </c>
      <c r="GE7365" s="1" t="s">
        <v>190</v>
      </c>
    </row>
    <row r="7366" spans="1:187" ht="11.25" customHeight="1">
      <c r="A7366" s="1" t="s">
        <v>10397</v>
      </c>
      <c r="B7366" s="1" t="str">
        <f ca="1">IFERROR(__xludf.DUMMYFUNCTION("GOOGLETRANSLATE(A7366, ""en"", ""fr"")"),"DOULEUR")</f>
        <v>DOULEUR</v>
      </c>
      <c r="C7366" s="1" t="s">
        <v>185</v>
      </c>
      <c r="E7366" s="1" t="s">
        <v>16613</v>
      </c>
      <c r="H7366" s="1" t="s">
        <v>4</v>
      </c>
      <c r="Q7366" s="1" t="s">
        <v>13</v>
      </c>
      <c r="EZ7366" s="1" t="s">
        <v>152</v>
      </c>
      <c r="FC7366" s="1" t="s">
        <v>155</v>
      </c>
      <c r="GD7366" s="1" t="s">
        <v>193</v>
      </c>
      <c r="GE7366" s="1" t="s">
        <v>10398</v>
      </c>
    </row>
    <row r="7367" spans="1:187" ht="11.25" customHeight="1">
      <c r="A7367" s="1" t="s">
        <v>10399</v>
      </c>
      <c r="B7367" s="1" t="str">
        <f ca="1">IFERROR(__xludf.DUMMYFUNCTION("GOOGLETRANSLATE(A7367, ""en"", ""fr"")"),"DOULOUREUX")</f>
        <v>DOULOUREUX</v>
      </c>
      <c r="C7367" s="1" t="s">
        <v>185</v>
      </c>
      <c r="E7367" s="1" t="s">
        <v>16613</v>
      </c>
      <c r="H7367" s="1" t="s">
        <v>4</v>
      </c>
      <c r="V7367" s="1" t="s">
        <v>18</v>
      </c>
      <c r="EZ7367" s="1" t="s">
        <v>152</v>
      </c>
      <c r="FC7367" s="1" t="s">
        <v>155</v>
      </c>
      <c r="GD7367" s="1" t="s">
        <v>202</v>
      </c>
      <c r="GE7367" s="1" t="s">
        <v>190</v>
      </c>
    </row>
    <row r="7368" spans="1:187" ht="11.25" customHeight="1">
      <c r="A7368" s="1" t="s">
        <v>10400</v>
      </c>
      <c r="B7368" s="1" t="str">
        <f ca="1">IFERROR(__xludf.DUMMYFUNCTION("GOOGLETRANSLATE(A7368, ""en"", ""fr"")"),"SOIGNEUX")</f>
        <v>SOIGNEUX</v>
      </c>
      <c r="C7368" s="1" t="s">
        <v>192</v>
      </c>
      <c r="D7368" s="1" t="s">
        <v>16612</v>
      </c>
      <c r="J7368" s="1" t="s">
        <v>6</v>
      </c>
      <c r="AL7368" s="1" t="s">
        <v>34</v>
      </c>
      <c r="BP7368" s="1" t="s">
        <v>64</v>
      </c>
      <c r="DR7368" s="1" t="s">
        <v>118</v>
      </c>
      <c r="GD7368" s="1" t="s">
        <v>202</v>
      </c>
      <c r="GE7368" s="1" t="s">
        <v>190</v>
      </c>
    </row>
    <row r="7369" spans="1:187" ht="11.25" customHeight="1">
      <c r="A7369" s="1" t="s">
        <v>10401</v>
      </c>
      <c r="B7369" s="1" t="str">
        <f ca="1">IFERROR(__xludf.DUMMYFUNCTION("GOOGLETRANSLATE(A7369, ""en"", ""fr"")"),"Peinture n ° 1")</f>
        <v>Peinture n ° 1</v>
      </c>
      <c r="C7369" s="1" t="s">
        <v>185</v>
      </c>
      <c r="BC7369" s="1" t="s">
        <v>51</v>
      </c>
      <c r="BD7369" s="1" t="s">
        <v>52</v>
      </c>
      <c r="GD7369" s="1" t="s">
        <v>193</v>
      </c>
      <c r="GE7369" s="1" t="s">
        <v>10402</v>
      </c>
    </row>
    <row r="7370" spans="1:187" ht="11.25" customHeight="1">
      <c r="A7370" s="1" t="s">
        <v>10403</v>
      </c>
      <c r="B7370" s="1" t="str">
        <f ca="1">IFERROR(__xludf.DUMMYFUNCTION("GOOGLETRANSLATE(A7370, ""en"", ""fr"")"),"Peinture n ° 2")</f>
        <v>Peinture n ° 2</v>
      </c>
      <c r="C7370" s="1" t="s">
        <v>185</v>
      </c>
      <c r="N7370" s="1" t="s">
        <v>10</v>
      </c>
      <c r="AL7370" s="1" t="s">
        <v>34</v>
      </c>
      <c r="DO7370" s="1" t="s">
        <v>115</v>
      </c>
      <c r="FL7370" s="1" t="s">
        <v>164</v>
      </c>
      <c r="FM7370" s="1" t="s">
        <v>418</v>
      </c>
      <c r="GD7370" s="1" t="s">
        <v>189</v>
      </c>
      <c r="GE7370" s="1" t="s">
        <v>10404</v>
      </c>
    </row>
    <row r="7371" spans="1:187" ht="11.25" customHeight="1">
      <c r="A7371" s="1" t="s">
        <v>10405</v>
      </c>
      <c r="B7371" s="1" t="str">
        <f ca="1">IFERROR(__xludf.DUMMYFUNCTION("GOOGLETRANSLATE(A7371, ""en"", ""fr"")"),"Peinture n ° 3")</f>
        <v>Peinture n ° 3</v>
      </c>
      <c r="C7371" s="1" t="s">
        <v>185</v>
      </c>
      <c r="O7371" s="1" t="s">
        <v>11</v>
      </c>
      <c r="CR7371" s="1" t="s">
        <v>92</v>
      </c>
      <c r="GD7371" s="1" t="s">
        <v>202</v>
      </c>
      <c r="GE7371" s="1" t="s">
        <v>10406</v>
      </c>
    </row>
    <row r="7372" spans="1:187" ht="11.25" customHeight="1">
      <c r="A7372" s="1" t="s">
        <v>10407</v>
      </c>
      <c r="B7372" s="1" t="str">
        <f ca="1">IFERROR(__xludf.DUMMYFUNCTION("GOOGLETRANSLATE(A7372, ""en"", ""fr"")"),"Peinture n ° 4")</f>
        <v>Peinture n ° 4</v>
      </c>
      <c r="C7372" s="1" t="s">
        <v>185</v>
      </c>
      <c r="AD7372" s="1" t="s">
        <v>26</v>
      </c>
      <c r="AL7372" s="1" t="s">
        <v>34</v>
      </c>
      <c r="FJ7372" s="1" t="s">
        <v>162</v>
      </c>
      <c r="FM7372" s="1" t="s">
        <v>418</v>
      </c>
      <c r="GD7372" s="1" t="s">
        <v>193</v>
      </c>
      <c r="GE7372" s="1" t="s">
        <v>10408</v>
      </c>
    </row>
    <row r="7373" spans="1:187" ht="11.25" customHeight="1">
      <c r="A7373" s="1" t="s">
        <v>10409</v>
      </c>
      <c r="B7373" s="1" t="str">
        <f ca="1">IFERROR(__xludf.DUMMYFUNCTION("GOOGLETRANSLATE(A7373, ""en"", ""fr"")"),"Peinture n ° 5")</f>
        <v>Peinture n ° 5</v>
      </c>
      <c r="C7373" s="1" t="s">
        <v>185</v>
      </c>
      <c r="AD7373" s="1" t="s">
        <v>26</v>
      </c>
      <c r="BC7373" s="1" t="s">
        <v>51</v>
      </c>
      <c r="BH7373" s="1" t="s">
        <v>56</v>
      </c>
      <c r="BL7373" s="1" t="s">
        <v>60</v>
      </c>
      <c r="FJ7373" s="1" t="s">
        <v>162</v>
      </c>
      <c r="FM7373" s="1" t="s">
        <v>418</v>
      </c>
      <c r="GD7373" s="1" t="s">
        <v>193</v>
      </c>
      <c r="GE7373" s="1" t="s">
        <v>10410</v>
      </c>
    </row>
    <row r="7374" spans="1:187" ht="11.25" customHeight="1">
      <c r="A7374" s="1" t="s">
        <v>10411</v>
      </c>
      <c r="B7374" s="1" t="str">
        <f ca="1">IFERROR(__xludf.DUMMYFUNCTION("GOOGLETRANSLATE(A7374, ""en"", ""fr"")"),"PEINTRE")</f>
        <v>PEINTRE</v>
      </c>
      <c r="C7374" s="1" t="s">
        <v>185</v>
      </c>
      <c r="AD7374" s="1" t="s">
        <v>26</v>
      </c>
      <c r="AJ7374" s="1" t="s">
        <v>32</v>
      </c>
      <c r="AT7374" s="1" t="s">
        <v>42</v>
      </c>
      <c r="FK7374" s="1" t="s">
        <v>163</v>
      </c>
      <c r="FM7374" s="1" t="s">
        <v>418</v>
      </c>
      <c r="GD7374" s="1" t="s">
        <v>193</v>
      </c>
      <c r="GE7374" s="1" t="s">
        <v>190</v>
      </c>
    </row>
    <row r="7375" spans="1:187" ht="11.25" customHeight="1">
      <c r="A7375" s="1" t="s">
        <v>10412</v>
      </c>
      <c r="B7375" s="1" t="str">
        <f ca="1">IFERROR(__xludf.DUMMYFUNCTION("GOOGLETRANSLATE(A7375, ""en"", ""fr"")"),"PAIRE")</f>
        <v>PAIRE</v>
      </c>
      <c r="C7375" s="1" t="s">
        <v>185</v>
      </c>
      <c r="CS7375" s="1" t="s">
        <v>93</v>
      </c>
      <c r="GD7375" s="1" t="s">
        <v>193</v>
      </c>
      <c r="GE7375" s="1" t="s">
        <v>190</v>
      </c>
    </row>
    <row r="7376" spans="1:187" ht="11.25" customHeight="1">
      <c r="A7376" s="1" t="s">
        <v>10413</v>
      </c>
      <c r="B7376" s="1" t="str">
        <f ca="1">IFERROR(__xludf.DUMMYFUNCTION("GOOGLETRANSLATE(A7376, ""en"", ""fr"")"),"PAKISTAN")</f>
        <v>PAKISTAN</v>
      </c>
      <c r="C7376" s="1" t="s">
        <v>196</v>
      </c>
      <c r="FU7376" s="1" t="s">
        <v>173</v>
      </c>
      <c r="GD7376" s="1" t="s">
        <v>545</v>
      </c>
    </row>
    <row r="7377" spans="1:187" ht="11.25" customHeight="1">
      <c r="A7377" s="1" t="s">
        <v>10414</v>
      </c>
      <c r="B7377" s="1" t="str">
        <f ca="1">IFERROR(__xludf.DUMMYFUNCTION("GOOGLETRANSLATE(A7377, ""en"", ""fr"")"),"PALAIS")</f>
        <v>PALAIS</v>
      </c>
      <c r="C7377" s="1" t="s">
        <v>185</v>
      </c>
      <c r="K7377" s="1" t="s">
        <v>7</v>
      </c>
      <c r="AG7377" s="1" t="s">
        <v>29</v>
      </c>
      <c r="AH7377" s="1" t="s">
        <v>30</v>
      </c>
      <c r="AV7377" s="1" t="s">
        <v>44</v>
      </c>
      <c r="AW7377" s="1" t="s">
        <v>45</v>
      </c>
      <c r="GD7377" s="1" t="s">
        <v>193</v>
      </c>
      <c r="GE7377" s="1" t="s">
        <v>190</v>
      </c>
    </row>
    <row r="7378" spans="1:187" ht="11.25" customHeight="1">
      <c r="A7378" s="1" t="s">
        <v>10415</v>
      </c>
      <c r="B7378" s="1" t="str">
        <f ca="1">IFERROR(__xludf.DUMMYFUNCTION("GOOGLETRANSLATE(A7378, ""en"", ""fr"")"),"ACCEPTABLE")</f>
        <v>ACCEPTABLE</v>
      </c>
      <c r="C7378" s="1" t="s">
        <v>192</v>
      </c>
      <c r="D7378" s="1" t="s">
        <v>16612</v>
      </c>
      <c r="U7378" s="1" t="s">
        <v>17</v>
      </c>
      <c r="DR7378" s="1" t="s">
        <v>118</v>
      </c>
      <c r="GD7378" s="1" t="s">
        <v>202</v>
      </c>
      <c r="GE7378" s="1" t="s">
        <v>190</v>
      </c>
    </row>
    <row r="7379" spans="1:187" ht="11.25" customHeight="1">
      <c r="A7379" s="1" t="s">
        <v>10416</v>
      </c>
      <c r="B7379" s="1" t="str">
        <f ca="1">IFERROR(__xludf.DUMMYFUNCTION("GOOGLETRANSLATE(A7379, ""en"", ""fr"")"),"GRANDIOSE")</f>
        <v>GRANDIOSE</v>
      </c>
      <c r="C7379" s="1" t="s">
        <v>192</v>
      </c>
      <c r="D7379" s="1" t="s">
        <v>16612</v>
      </c>
      <c r="U7379" s="1" t="s">
        <v>17</v>
      </c>
      <c r="DR7379" s="1" t="s">
        <v>118</v>
      </c>
      <c r="GD7379" s="1" t="s">
        <v>202</v>
      </c>
      <c r="GE7379" s="1" t="s">
        <v>190</v>
      </c>
    </row>
    <row r="7380" spans="1:187" ht="11.25" customHeight="1">
      <c r="A7380" s="1" t="s">
        <v>10417</v>
      </c>
      <c r="B7380" s="1" t="str">
        <f ca="1">IFERROR(__xludf.DUMMYFUNCTION("GOOGLETRANSLATE(A7380, ""en"", ""fr"")"),"PÂLE")</f>
        <v>PÂLE</v>
      </c>
      <c r="C7380" s="1" t="s">
        <v>185</v>
      </c>
      <c r="L7380" s="1" t="s">
        <v>8</v>
      </c>
      <c r="CR7380" s="1" t="s">
        <v>92</v>
      </c>
      <c r="GD7380" s="1" t="s">
        <v>202</v>
      </c>
      <c r="GE7380" s="1" t="s">
        <v>190</v>
      </c>
    </row>
    <row r="7381" spans="1:187" ht="11.25" customHeight="1">
      <c r="A7381" s="1" t="s">
        <v>10418</v>
      </c>
      <c r="B7381" s="1" t="str">
        <f ca="1">IFERROR(__xludf.DUMMYFUNCTION("GOOGLETRANSLATE(A7381, ""en"", ""fr"")"),"Palistine")</f>
        <v>Palistine</v>
      </c>
      <c r="C7381" s="1" t="s">
        <v>196</v>
      </c>
      <c r="FU7381" s="1" t="s">
        <v>173</v>
      </c>
      <c r="GD7381" s="1" t="s">
        <v>545</v>
      </c>
    </row>
    <row r="7382" spans="1:187" ht="11.25" customHeight="1">
      <c r="A7382" s="1" t="s">
        <v>10419</v>
      </c>
      <c r="B7382" s="1" t="str">
        <f ca="1">IFERROR(__xludf.DUMMYFUNCTION("GOOGLETRANSLATE(A7382, ""en"", ""fr"")"),"DÉRISOIRE")</f>
        <v>DÉRISOIRE</v>
      </c>
      <c r="C7382" s="1" t="s">
        <v>192</v>
      </c>
      <c r="E7382" s="1" t="s">
        <v>16613</v>
      </c>
      <c r="L7382" s="1" t="s">
        <v>8</v>
      </c>
      <c r="DR7382" s="1" t="s">
        <v>118</v>
      </c>
      <c r="GD7382" s="1" t="s">
        <v>202</v>
      </c>
      <c r="GE7382" s="1" t="s">
        <v>190</v>
      </c>
    </row>
    <row r="7383" spans="1:187" ht="11.25" customHeight="1">
      <c r="A7383" s="1" t="s">
        <v>10420</v>
      </c>
      <c r="B7383" s="1" t="str">
        <f ca="1">IFERROR(__xludf.DUMMYFUNCTION("GOOGLETRANSLATE(A7383, ""en"", ""fr"")"),"DORLOTER")</f>
        <v>DORLOTER</v>
      </c>
      <c r="C7383" s="1" t="s">
        <v>192</v>
      </c>
      <c r="D7383" s="1" t="s">
        <v>16612</v>
      </c>
      <c r="G7383" s="1" t="s">
        <v>3</v>
      </c>
      <c r="N7383" s="1" t="s">
        <v>10</v>
      </c>
      <c r="S7383" s="1" t="s">
        <v>15</v>
      </c>
      <c r="AN7383" s="1" t="s">
        <v>36</v>
      </c>
      <c r="DN7383" s="1" t="s">
        <v>114</v>
      </c>
      <c r="GD7383" s="1" t="s">
        <v>670</v>
      </c>
      <c r="GE7383" s="1" t="s">
        <v>190</v>
      </c>
    </row>
    <row r="7384" spans="1:187" ht="11.25" customHeight="1">
      <c r="A7384" s="1" t="s">
        <v>10421</v>
      </c>
      <c r="B7384" s="1" t="str">
        <f ca="1">IFERROR(__xludf.DUMMYFUNCTION("GOOGLETRANSLATE(A7384, ""en"", ""fr"")"),"Pan # 1")</f>
        <v>Pan # 1</v>
      </c>
      <c r="C7384" s="1" t="s">
        <v>185</v>
      </c>
      <c r="BC7384" s="1" t="s">
        <v>51</v>
      </c>
      <c r="BD7384" s="1" t="s">
        <v>52</v>
      </c>
      <c r="GD7384" s="1" t="s">
        <v>193</v>
      </c>
      <c r="GE7384" s="1" t="s">
        <v>190</v>
      </c>
    </row>
    <row r="7385" spans="1:187" ht="11.25" customHeight="1">
      <c r="A7385" s="1" t="s">
        <v>10422</v>
      </c>
      <c r="B7385" s="1" t="str">
        <f ca="1">IFERROR(__xludf.DUMMYFUNCTION("GOOGLETRANSLATE(A7385, ""en"", ""fr"")"),"Pan # 2")</f>
        <v>Pan # 2</v>
      </c>
      <c r="C7385" s="1" t="s">
        <v>185</v>
      </c>
      <c r="I7385" s="1" t="s">
        <v>5</v>
      </c>
      <c r="BK7385" s="1" t="s">
        <v>59</v>
      </c>
      <c r="DN7385" s="1" t="s">
        <v>114</v>
      </c>
      <c r="FP7385" s="1" t="s">
        <v>168</v>
      </c>
      <c r="GD7385" s="1" t="s">
        <v>189</v>
      </c>
      <c r="GE7385" s="1" t="s">
        <v>190</v>
      </c>
    </row>
    <row r="7386" spans="1:187" ht="11.25" customHeight="1">
      <c r="A7386" s="1" t="s">
        <v>10423</v>
      </c>
      <c r="B7386" s="1" t="str">
        <f ca="1">IFERROR(__xludf.DUMMYFUNCTION("GOOGLETRANSLATE(A7386, ""en"", ""fr"")"),"PANAMÉRICAIN")</f>
        <v>PANAMÉRICAIN</v>
      </c>
      <c r="C7386" s="1" t="s">
        <v>196</v>
      </c>
      <c r="DV7386" s="1" t="s">
        <v>122</v>
      </c>
      <c r="ED7386" s="1" t="s">
        <v>130</v>
      </c>
      <c r="GD7386" s="1" t="s">
        <v>193</v>
      </c>
    </row>
    <row r="7387" spans="1:187" ht="11.25" customHeight="1">
      <c r="A7387" s="1" t="s">
        <v>10424</v>
      </c>
      <c r="B7387" s="1" t="str">
        <f ca="1">IFERROR(__xludf.DUMMYFUNCTION("GOOGLETRANSLATE(A7387, ""en"", ""fr"")"),"PANACÉE")</f>
        <v>PANACÉE</v>
      </c>
      <c r="C7387" s="1" t="s">
        <v>196</v>
      </c>
      <c r="FR7387" s="1" t="s">
        <v>170</v>
      </c>
      <c r="GD7387" s="1" t="s">
        <v>193</v>
      </c>
    </row>
    <row r="7388" spans="1:187" ht="11.25" customHeight="1">
      <c r="A7388" s="1" t="s">
        <v>10425</v>
      </c>
      <c r="B7388" s="1" t="str">
        <f ca="1">IFERROR(__xludf.DUMMYFUNCTION("GOOGLETRANSLATE(A7388, ""en"", ""fr"")"),"PANAMA")</f>
        <v>PANAMA</v>
      </c>
      <c r="C7388" s="1" t="s">
        <v>196</v>
      </c>
      <c r="FU7388" s="1" t="s">
        <v>173</v>
      </c>
      <c r="GD7388" s="1" t="s">
        <v>545</v>
      </c>
    </row>
    <row r="7389" spans="1:187" ht="11.25" customHeight="1">
      <c r="A7389" s="1" t="s">
        <v>10426</v>
      </c>
      <c r="B7389" s="1" t="str">
        <f ca="1">IFERROR(__xludf.DUMMYFUNCTION("GOOGLETRANSLATE(A7389, ""en"", ""fr"")"),"CHAOS")</f>
        <v>CHAOS</v>
      </c>
      <c r="C7389" s="1" t="s">
        <v>185</v>
      </c>
      <c r="E7389" s="1" t="s">
        <v>16613</v>
      </c>
      <c r="H7389" s="1" t="s">
        <v>4</v>
      </c>
      <c r="J7389" s="1" t="s">
        <v>6</v>
      </c>
      <c r="BW7389" s="1" t="s">
        <v>71</v>
      </c>
      <c r="FV7389" s="1" t="s">
        <v>174</v>
      </c>
      <c r="GD7389" s="1" t="s">
        <v>193</v>
      </c>
      <c r="GE7389" s="1" t="s">
        <v>190</v>
      </c>
    </row>
    <row r="7390" spans="1:187" ht="11.25" customHeight="1">
      <c r="A7390" s="1" t="s">
        <v>10427</v>
      </c>
      <c r="B7390" s="1" t="str">
        <f ca="1">IFERROR(__xludf.DUMMYFUNCTION("GOOGLETRANSLATE(A7390, ""en"", ""fr"")"),"PANIQUE")</f>
        <v>PANIQUE</v>
      </c>
      <c r="C7390" s="1" t="s">
        <v>185</v>
      </c>
      <c r="E7390" s="1" t="s">
        <v>16613</v>
      </c>
      <c r="H7390" s="1" t="s">
        <v>4</v>
      </c>
      <c r="L7390" s="1" t="s">
        <v>8</v>
      </c>
      <c r="O7390" s="1" t="s">
        <v>11</v>
      </c>
      <c r="Q7390" s="1" t="s">
        <v>13</v>
      </c>
      <c r="T7390" s="1" t="s">
        <v>16</v>
      </c>
      <c r="FV7390" s="1" t="s">
        <v>174</v>
      </c>
      <c r="GD7390" s="1" t="s">
        <v>193</v>
      </c>
      <c r="GE7390" s="1" t="s">
        <v>190</v>
      </c>
    </row>
    <row r="7391" spans="1:187" ht="11.25" customHeight="1">
      <c r="A7391" s="1" t="s">
        <v>10428</v>
      </c>
      <c r="B7391" s="1" t="str">
        <f ca="1">IFERROR(__xludf.DUMMYFUNCTION("GOOGLETRANSLATE(A7391, ""en"", ""fr"")"),"PAPA")</f>
        <v>PAPA</v>
      </c>
      <c r="C7391" s="1" t="s">
        <v>185</v>
      </c>
      <c r="AJ7391" s="1" t="s">
        <v>32</v>
      </c>
      <c r="AP7391" s="1" t="s">
        <v>38</v>
      </c>
      <c r="AQ7391" s="1" t="s">
        <v>39</v>
      </c>
      <c r="AT7391" s="1" t="s">
        <v>42</v>
      </c>
      <c r="EQ7391" s="1" t="s">
        <v>143</v>
      </c>
      <c r="ES7391" s="1" t="s">
        <v>145</v>
      </c>
      <c r="GD7391" s="1" t="s">
        <v>837</v>
      </c>
      <c r="GE7391" s="1" t="s">
        <v>190</v>
      </c>
    </row>
    <row r="7392" spans="1:187" ht="11.25" customHeight="1">
      <c r="A7392" s="1" t="s">
        <v>10429</v>
      </c>
      <c r="B7392" s="1" t="str">
        <f ca="1">IFERROR(__xludf.DUMMYFUNCTION("GOOGLETRANSLATE(A7392, ""en"", ""fr"")"),"PAPIER")</f>
        <v>PAPIER</v>
      </c>
      <c r="C7392" s="1" t="s">
        <v>185</v>
      </c>
      <c r="BC7392" s="1" t="s">
        <v>51</v>
      </c>
      <c r="BD7392" s="1" t="s">
        <v>52</v>
      </c>
      <c r="BL7392" s="1" t="s">
        <v>60</v>
      </c>
      <c r="GD7392" s="1" t="s">
        <v>193</v>
      </c>
      <c r="GE7392" s="1" t="s">
        <v>10430</v>
      </c>
    </row>
    <row r="7393" spans="1:187" ht="11.25" customHeight="1">
      <c r="A7393" s="1" t="s">
        <v>10431</v>
      </c>
      <c r="B7393" s="1" t="str">
        <f ca="1">IFERROR(__xludf.DUMMYFUNCTION("GOOGLETRANSLATE(A7393, ""en"", ""fr"")"),"Parachute # 1")</f>
        <v>Parachute # 1</v>
      </c>
      <c r="C7393" s="1" t="s">
        <v>185</v>
      </c>
      <c r="BC7393" s="1" t="s">
        <v>51</v>
      </c>
      <c r="BF7393" s="1" t="s">
        <v>54</v>
      </c>
      <c r="GD7393" s="1" t="s">
        <v>849</v>
      </c>
      <c r="GE7393" s="1" t="s">
        <v>10432</v>
      </c>
    </row>
    <row r="7394" spans="1:187" ht="11.25" customHeight="1">
      <c r="A7394" s="1" t="s">
        <v>10433</v>
      </c>
      <c r="B7394" s="1" t="str">
        <f ca="1">IFERROR(__xludf.DUMMYFUNCTION("GOOGLETRANSLATE(A7394, ""en"", ""fr"")"),"Parachute # 2")</f>
        <v>Parachute # 2</v>
      </c>
      <c r="C7394" s="1" t="s">
        <v>185</v>
      </c>
      <c r="CF7394" s="1" t="s">
        <v>80</v>
      </c>
      <c r="DO7394" s="1" t="s">
        <v>115</v>
      </c>
      <c r="FL7394" s="1" t="s">
        <v>164</v>
      </c>
      <c r="FM7394" s="1" t="s">
        <v>418</v>
      </c>
      <c r="GD7394" s="1" t="s">
        <v>189</v>
      </c>
      <c r="GE7394" s="1" t="s">
        <v>10434</v>
      </c>
    </row>
    <row r="7395" spans="1:187" ht="11.25" customHeight="1">
      <c r="A7395" s="1" t="s">
        <v>10435</v>
      </c>
      <c r="B7395" s="1" t="str">
        <f ca="1">IFERROR(__xludf.DUMMYFUNCTION("GOOGLETRANSLATE(A7395, ""en"", ""fr"")"),"Parachutiste")</f>
        <v>Parachutiste</v>
      </c>
      <c r="C7395" s="1" t="s">
        <v>185</v>
      </c>
      <c r="AF7395" s="1" t="s">
        <v>28</v>
      </c>
      <c r="AJ7395" s="1" t="s">
        <v>32</v>
      </c>
      <c r="AT7395" s="1" t="s">
        <v>42</v>
      </c>
      <c r="FT7395" s="1" t="s">
        <v>172</v>
      </c>
      <c r="GD7395" s="1" t="s">
        <v>193</v>
      </c>
      <c r="GE7395" s="1" t="s">
        <v>190</v>
      </c>
    </row>
    <row r="7396" spans="1:187" ht="11.25" customHeight="1">
      <c r="A7396" s="1" t="s">
        <v>10436</v>
      </c>
      <c r="B7396" s="1" t="str">
        <f ca="1">IFERROR(__xludf.DUMMYFUNCTION("GOOGLETRANSLATE(A7396, ""en"", ""fr"")"),"Parade n ° 1")</f>
        <v>Parade n ° 1</v>
      </c>
      <c r="C7396" s="1" t="s">
        <v>185</v>
      </c>
      <c r="N7396" s="1" t="s">
        <v>10</v>
      </c>
      <c r="AF7396" s="1" t="s">
        <v>28</v>
      </c>
      <c r="AH7396" s="1" t="s">
        <v>30</v>
      </c>
      <c r="AM7396" s="1" t="s">
        <v>35</v>
      </c>
      <c r="GD7396" s="1" t="s">
        <v>193</v>
      </c>
      <c r="GE7396" s="1" t="s">
        <v>190</v>
      </c>
    </row>
    <row r="7397" spans="1:187" ht="11.25" customHeight="1">
      <c r="A7397" s="1" t="s">
        <v>10437</v>
      </c>
      <c r="B7397" s="1" t="str">
        <f ca="1">IFERROR(__xludf.DUMMYFUNCTION("GOOGLETRANSLATE(A7397, ""en"", ""fr"")"),"Parade n ° 2")</f>
        <v>Parade n ° 2</v>
      </c>
      <c r="C7397" s="1" t="s">
        <v>185</v>
      </c>
      <c r="N7397" s="1" t="s">
        <v>10</v>
      </c>
      <c r="AF7397" s="1" t="s">
        <v>28</v>
      </c>
      <c r="CE7397" s="1" t="s">
        <v>79</v>
      </c>
      <c r="DO7397" s="1" t="s">
        <v>115</v>
      </c>
      <c r="GD7397" s="1" t="s">
        <v>189</v>
      </c>
      <c r="GE7397" s="1" t="s">
        <v>190</v>
      </c>
    </row>
    <row r="7398" spans="1:187" ht="11.25" customHeight="1">
      <c r="A7398" s="1" t="s">
        <v>10438</v>
      </c>
      <c r="B7398" s="1" t="str">
        <f ca="1">IFERROR(__xludf.DUMMYFUNCTION("GOOGLETRANSLATE(A7398, ""en"", ""fr"")"),"PARADIS")</f>
        <v>PARADIS</v>
      </c>
      <c r="C7398" s="1" t="s">
        <v>192</v>
      </c>
      <c r="D7398" s="1" t="s">
        <v>16612</v>
      </c>
      <c r="AI7398" s="1" t="s">
        <v>31</v>
      </c>
      <c r="GD7398" s="1" t="s">
        <v>6962</v>
      </c>
      <c r="GE7398" s="1" t="s">
        <v>190</v>
      </c>
    </row>
    <row r="7399" spans="1:187" ht="11.25" customHeight="1">
      <c r="A7399" s="1" t="s">
        <v>10439</v>
      </c>
      <c r="B7399" s="1" t="str">
        <f ca="1">IFERROR(__xludf.DUMMYFUNCTION("GOOGLETRANSLATE(A7399, ""en"", ""fr"")"),"Paraguay")</f>
        <v>Paraguay</v>
      </c>
      <c r="C7399" s="1" t="s">
        <v>196</v>
      </c>
      <c r="FU7399" s="1" t="s">
        <v>173</v>
      </c>
      <c r="GD7399" s="1" t="s">
        <v>545</v>
      </c>
    </row>
    <row r="7400" spans="1:187" ht="11.25" customHeight="1">
      <c r="A7400" s="1" t="s">
        <v>10440</v>
      </c>
      <c r="B7400" s="1" t="str">
        <f ca="1">IFERROR(__xludf.DUMMYFUNCTION("GOOGLETRANSLATE(A7400, ""en"", ""fr"")"),"PARALLÈLE")</f>
        <v>PARALLÈLE</v>
      </c>
      <c r="C7400" s="1" t="s">
        <v>185</v>
      </c>
      <c r="DA7400" s="1" t="s">
        <v>101</v>
      </c>
      <c r="DB7400" s="1" t="s">
        <v>102</v>
      </c>
      <c r="GD7400" s="1" t="s">
        <v>202</v>
      </c>
      <c r="GE7400" s="1" t="s">
        <v>190</v>
      </c>
    </row>
    <row r="7401" spans="1:187" ht="11.25" customHeight="1">
      <c r="A7401" s="1" t="s">
        <v>10441</v>
      </c>
      <c r="B7401" s="1" t="str">
        <f ca="1">IFERROR(__xludf.DUMMYFUNCTION("GOOGLETRANSLATE(A7401, ""en"", ""fr"")"),"PARALYSIE")</f>
        <v>PARALYSIE</v>
      </c>
      <c r="C7401" s="1" t="s">
        <v>192</v>
      </c>
      <c r="E7401" s="1" t="s">
        <v>16613</v>
      </c>
      <c r="L7401" s="1" t="s">
        <v>8</v>
      </c>
      <c r="CA7401" s="1" t="s">
        <v>75</v>
      </c>
      <c r="GD7401" s="1" t="s">
        <v>193</v>
      </c>
      <c r="GE7401" s="1" t="s">
        <v>190</v>
      </c>
    </row>
    <row r="7402" spans="1:187" ht="11.25" customHeight="1">
      <c r="A7402" s="1" t="s">
        <v>10442</v>
      </c>
      <c r="B7402" s="1" t="str">
        <f ca="1">IFERROR(__xludf.DUMMYFUNCTION("GOOGLETRANSLATE(A7402, ""en"", ""fr"")"),"PARALYSÉ")</f>
        <v>PARALYSÉ</v>
      </c>
      <c r="C7402" s="1" t="s">
        <v>192</v>
      </c>
      <c r="E7402" s="1" t="s">
        <v>16613</v>
      </c>
      <c r="L7402" s="1" t="s">
        <v>8</v>
      </c>
      <c r="CA7402" s="1" t="s">
        <v>75</v>
      </c>
      <c r="DR7402" s="1" t="s">
        <v>118</v>
      </c>
      <c r="GD7402" s="1" t="s">
        <v>202</v>
      </c>
      <c r="GE7402" s="1" t="s">
        <v>190</v>
      </c>
    </row>
    <row r="7403" spans="1:187" ht="11.25" customHeight="1">
      <c r="A7403" s="1" t="s">
        <v>10443</v>
      </c>
      <c r="B7403" s="1" t="str">
        <f ca="1">IFERROR(__xludf.DUMMYFUNCTION("GOOGLETRANSLATE(A7403, ""en"", ""fr"")"),"PARAMÈTRE")</f>
        <v>PARAMÈTRE</v>
      </c>
      <c r="C7403" s="1" t="s">
        <v>185</v>
      </c>
      <c r="CH7403" s="1" t="s">
        <v>82</v>
      </c>
      <c r="GD7403" s="1" t="s">
        <v>193</v>
      </c>
      <c r="GE7403" s="1" t="s">
        <v>190</v>
      </c>
    </row>
    <row r="7404" spans="1:187" ht="11.25" customHeight="1">
      <c r="A7404" s="1" t="s">
        <v>10444</v>
      </c>
      <c r="B7404" s="1" t="str">
        <f ca="1">IFERROR(__xludf.DUMMYFUNCTION("GOOGLETRANSLATE(A7404, ""en"", ""fr"")"),"PRIMORDIAL")</f>
        <v>PRIMORDIAL</v>
      </c>
      <c r="C7404" s="1" t="s">
        <v>185</v>
      </c>
      <c r="D7404" s="1" t="s">
        <v>16612</v>
      </c>
      <c r="K7404" s="1" t="s">
        <v>7</v>
      </c>
      <c r="U7404" s="1" t="s">
        <v>17</v>
      </c>
      <c r="W7404" s="1" t="s">
        <v>19</v>
      </c>
      <c r="DR7404" s="1" t="s">
        <v>118</v>
      </c>
      <c r="FY7404" s="1" t="s">
        <v>177</v>
      </c>
      <c r="GD7404" s="1" t="s">
        <v>202</v>
      </c>
      <c r="GE7404" s="1" t="s">
        <v>190</v>
      </c>
    </row>
    <row r="7405" spans="1:187" ht="11.25" customHeight="1">
      <c r="A7405" s="1" t="s">
        <v>10445</v>
      </c>
      <c r="B7405" s="1" t="str">
        <f ca="1">IFERROR(__xludf.DUMMYFUNCTION("GOOGLETRANSLATE(A7405, ""en"", ""fr"")"),"PARANOÏAQUE")</f>
        <v>PARANOÏAQUE</v>
      </c>
      <c r="C7405" s="1" t="s">
        <v>192</v>
      </c>
      <c r="E7405" s="1" t="s">
        <v>16613</v>
      </c>
      <c r="L7405" s="1" t="s">
        <v>8</v>
      </c>
      <c r="Q7405" s="1" t="s">
        <v>13</v>
      </c>
      <c r="T7405" s="1" t="s">
        <v>16</v>
      </c>
      <c r="X7405" s="1" t="s">
        <v>20</v>
      </c>
      <c r="CK7405" s="1" t="s">
        <v>85</v>
      </c>
      <c r="DR7405" s="1" t="s">
        <v>118</v>
      </c>
      <c r="GD7405" s="1" t="s">
        <v>202</v>
      </c>
      <c r="GE7405" s="1" t="s">
        <v>190</v>
      </c>
    </row>
    <row r="7406" spans="1:187" ht="11.25" customHeight="1">
      <c r="A7406" s="1" t="s">
        <v>10446</v>
      </c>
      <c r="B7406" s="1" t="str">
        <f ca="1">IFERROR(__xludf.DUMMYFUNCTION("GOOGLETRANSLATE(A7406, ""en"", ""fr"")"),"PARASITE")</f>
        <v>PARASITE</v>
      </c>
      <c r="C7406" s="1" t="s">
        <v>192</v>
      </c>
      <c r="E7406" s="1" t="s">
        <v>16613</v>
      </c>
      <c r="I7406" s="1" t="s">
        <v>5</v>
      </c>
      <c r="CD7406" s="1" t="s">
        <v>78</v>
      </c>
      <c r="GD7406" s="1" t="s">
        <v>1177</v>
      </c>
      <c r="GE7406" s="1" t="s">
        <v>190</v>
      </c>
    </row>
    <row r="7407" spans="1:187" ht="11.25" customHeight="1">
      <c r="A7407" s="1" t="s">
        <v>10447</v>
      </c>
      <c r="B7407" s="1" t="str">
        <f ca="1">IFERROR(__xludf.DUMMYFUNCTION("GOOGLETRANSLATE(A7407, ""en"", ""fr"")"),"Pardon # 1")</f>
        <v>Pardon # 1</v>
      </c>
      <c r="C7407" s="1" t="s">
        <v>185</v>
      </c>
      <c r="D7407" s="1" t="s">
        <v>16612</v>
      </c>
      <c r="F7407" s="1" t="s">
        <v>2</v>
      </c>
      <c r="J7407" s="1" t="s">
        <v>6</v>
      </c>
      <c r="K7407" s="1" t="s">
        <v>7</v>
      </c>
      <c r="N7407" s="1" t="s">
        <v>10</v>
      </c>
      <c r="BK7407" s="1" t="s">
        <v>59</v>
      </c>
      <c r="BL7407" s="1" t="s">
        <v>60</v>
      </c>
      <c r="EG7407" s="1" t="s">
        <v>133</v>
      </c>
      <c r="EJ7407" s="1" t="s">
        <v>136</v>
      </c>
      <c r="GC7407" s="1" t="s">
        <v>181</v>
      </c>
      <c r="GD7407" s="1" t="s">
        <v>193</v>
      </c>
      <c r="GE7407" s="1" t="s">
        <v>190</v>
      </c>
    </row>
    <row r="7408" spans="1:187" ht="11.25" customHeight="1">
      <c r="A7408" s="1" t="s">
        <v>10448</v>
      </c>
      <c r="B7408" s="1" t="str">
        <f ca="1">IFERROR(__xludf.DUMMYFUNCTION("GOOGLETRANSLATE(A7408, ""en"", ""fr"")"),"Pardon # 2")</f>
        <v>Pardon # 2</v>
      </c>
      <c r="C7408" s="1" t="s">
        <v>185</v>
      </c>
      <c r="D7408" s="1" t="s">
        <v>16612</v>
      </c>
      <c r="F7408" s="1" t="s">
        <v>2</v>
      </c>
      <c r="J7408" s="1" t="s">
        <v>6</v>
      </c>
      <c r="K7408" s="1" t="s">
        <v>7</v>
      </c>
      <c r="N7408" s="1" t="s">
        <v>10</v>
      </c>
      <c r="BK7408" s="1" t="s">
        <v>59</v>
      </c>
      <c r="DO7408" s="1" t="s">
        <v>115</v>
      </c>
      <c r="EG7408" s="1" t="s">
        <v>133</v>
      </c>
      <c r="EJ7408" s="1" t="s">
        <v>136</v>
      </c>
      <c r="GD7408" s="1" t="s">
        <v>189</v>
      </c>
      <c r="GE7408" s="1" t="s">
        <v>190</v>
      </c>
    </row>
    <row r="7409" spans="1:187" ht="11.25" customHeight="1">
      <c r="A7409" s="1" t="s">
        <v>10449</v>
      </c>
      <c r="B7409" s="1" t="str">
        <f ca="1">IFERROR(__xludf.DUMMYFUNCTION("GOOGLETRANSLATE(A7409, ""en"", ""fr"")"),"PARENT")</f>
        <v>PARENT</v>
      </c>
      <c r="C7409" s="1" t="s">
        <v>185</v>
      </c>
      <c r="G7409" s="1" t="s">
        <v>3</v>
      </c>
      <c r="AJ7409" s="1" t="s">
        <v>32</v>
      </c>
      <c r="AP7409" s="1" t="s">
        <v>38</v>
      </c>
      <c r="AT7409" s="1" t="s">
        <v>42</v>
      </c>
      <c r="EQ7409" s="1" t="s">
        <v>143</v>
      </c>
      <c r="ES7409" s="1" t="s">
        <v>145</v>
      </c>
      <c r="GD7409" s="1" t="s">
        <v>837</v>
      </c>
      <c r="GE7409" s="1" t="s">
        <v>10450</v>
      </c>
    </row>
    <row r="7410" spans="1:187" ht="11.25" customHeight="1">
      <c r="A7410" s="1" t="s">
        <v>10451</v>
      </c>
      <c r="B7410" s="1" t="str">
        <f ca="1">IFERROR(__xludf.DUMMYFUNCTION("GOOGLETRANSLATE(A7410, ""en"", ""fr"")"),"PARENTAL")</f>
        <v>PARENTAL</v>
      </c>
      <c r="C7410" s="1" t="s">
        <v>196</v>
      </c>
      <c r="ER7410" s="1" t="s">
        <v>144</v>
      </c>
      <c r="ES7410" s="1" t="s">
        <v>145</v>
      </c>
      <c r="GD7410" s="1" t="s">
        <v>202</v>
      </c>
    </row>
    <row r="7411" spans="1:187" ht="11.25" customHeight="1">
      <c r="A7411" s="1" t="s">
        <v>10452</v>
      </c>
      <c r="B7411" s="1" t="str">
        <f ca="1">IFERROR(__xludf.DUMMYFUNCTION("GOOGLETRANSLATE(A7411, ""en"", ""fr"")"),"PARIS")</f>
        <v>PARIS</v>
      </c>
      <c r="C7411" s="1" t="s">
        <v>185</v>
      </c>
      <c r="AC7411" s="1" t="s">
        <v>25</v>
      </c>
      <c r="AH7411" s="1" t="s">
        <v>30</v>
      </c>
      <c r="DI7411" s="1" t="s">
        <v>109</v>
      </c>
      <c r="DZ7411" s="1" t="s">
        <v>126</v>
      </c>
      <c r="ED7411" s="1" t="s">
        <v>130</v>
      </c>
      <c r="GD7411" s="1" t="s">
        <v>193</v>
      </c>
      <c r="GE7411" s="1" t="s">
        <v>190</v>
      </c>
    </row>
    <row r="7412" spans="1:187" ht="11.25" customHeight="1">
      <c r="A7412" s="1" t="s">
        <v>10453</v>
      </c>
      <c r="B7412" s="1" t="str">
        <f ca="1">IFERROR(__xludf.DUMMYFUNCTION("GOOGLETRANSLATE(A7412, ""en"", ""fr"")"),"PAROISSE")</f>
        <v>PAROISSE</v>
      </c>
      <c r="C7412" s="1" t="s">
        <v>185</v>
      </c>
      <c r="AI7412" s="1" t="s">
        <v>31</v>
      </c>
      <c r="AV7412" s="1" t="s">
        <v>44</v>
      </c>
      <c r="AX7412" s="1" t="s">
        <v>46</v>
      </c>
      <c r="EF7412" s="1" t="s">
        <v>132</v>
      </c>
      <c r="EJ7412" s="1" t="s">
        <v>136</v>
      </c>
      <c r="GD7412" s="1" t="s">
        <v>193</v>
      </c>
      <c r="GE7412" s="1" t="s">
        <v>190</v>
      </c>
    </row>
    <row r="7413" spans="1:187" ht="11.25" customHeight="1">
      <c r="A7413" s="1" t="s">
        <v>10454</v>
      </c>
      <c r="B7413" s="1" t="str">
        <f ca="1">IFERROR(__xludf.DUMMYFUNCTION("GOOGLETRANSLATE(A7413, ""en"", ""fr"")"),"PARITÉ")</f>
        <v>PARITÉ</v>
      </c>
      <c r="C7413" s="1" t="s">
        <v>196</v>
      </c>
      <c r="EV7413" s="1" t="s">
        <v>148</v>
      </c>
      <c r="EW7413" s="1" t="s">
        <v>149</v>
      </c>
      <c r="GD7413" s="1" t="s">
        <v>193</v>
      </c>
    </row>
    <row r="7414" spans="1:187" ht="11.25" customHeight="1">
      <c r="A7414" s="1" t="s">
        <v>10455</v>
      </c>
      <c r="B7414" s="1" t="str">
        <f ca="1">IFERROR(__xludf.DUMMYFUNCTION("GOOGLETRANSLATE(A7414, ""en"", ""fr"")"),"Park # 1")</f>
        <v>Park # 1</v>
      </c>
      <c r="C7414" s="1" t="s">
        <v>185</v>
      </c>
      <c r="AV7414" s="1" t="s">
        <v>44</v>
      </c>
      <c r="AX7414" s="1" t="s">
        <v>46</v>
      </c>
      <c r="GD7414" s="1" t="s">
        <v>193</v>
      </c>
      <c r="GE7414" s="1" t="s">
        <v>190</v>
      </c>
    </row>
    <row r="7415" spans="1:187" ht="11.25" customHeight="1">
      <c r="A7415" s="1" t="s">
        <v>10456</v>
      </c>
      <c r="B7415" s="1" t="str">
        <f ca="1">IFERROR(__xludf.DUMMYFUNCTION("GOOGLETRANSLATE(A7415, ""en"", ""fr"")"),"Parc n ° 2")</f>
        <v>Parc n ° 2</v>
      </c>
      <c r="C7415" s="1" t="s">
        <v>185</v>
      </c>
      <c r="O7415" s="1" t="s">
        <v>11</v>
      </c>
      <c r="CA7415" s="1" t="s">
        <v>75</v>
      </c>
      <c r="DO7415" s="1" t="s">
        <v>115</v>
      </c>
      <c r="GD7415" s="1" t="s">
        <v>189</v>
      </c>
      <c r="GE7415" s="1" t="s">
        <v>190</v>
      </c>
    </row>
    <row r="7416" spans="1:187" ht="11.25" customHeight="1">
      <c r="A7416" s="1" t="s">
        <v>10457</v>
      </c>
      <c r="B7416" s="1" t="str">
        <f ca="1">IFERROR(__xludf.DUMMYFUNCTION("GOOGLETRANSLATE(A7416, ""en"", ""fr"")"),"Promenade")</f>
        <v>Promenade</v>
      </c>
      <c r="C7416" s="1" t="s">
        <v>185</v>
      </c>
      <c r="AV7416" s="1" t="s">
        <v>44</v>
      </c>
      <c r="AY7416" s="1" t="s">
        <v>47</v>
      </c>
      <c r="GD7416" s="1" t="s">
        <v>193</v>
      </c>
      <c r="GE7416" s="1" t="s">
        <v>190</v>
      </c>
    </row>
    <row r="7417" spans="1:187" ht="11.25" customHeight="1">
      <c r="A7417" s="1" t="s">
        <v>10458</v>
      </c>
      <c r="B7417" s="1" t="str">
        <f ca="1">IFERROR(__xludf.DUMMYFUNCTION("GOOGLETRANSLATE(A7417, ""en"", ""fr"")"),"PARLEMENT")</f>
        <v>PARLEMENT</v>
      </c>
      <c r="C7417" s="1" t="s">
        <v>185</v>
      </c>
      <c r="J7417" s="1" t="s">
        <v>6</v>
      </c>
      <c r="K7417" s="1" t="s">
        <v>7</v>
      </c>
      <c r="AG7417" s="1" t="s">
        <v>29</v>
      </c>
      <c r="AH7417" s="1" t="s">
        <v>30</v>
      </c>
      <c r="AK7417" s="1" t="s">
        <v>33</v>
      </c>
      <c r="AT7417" s="1" t="s">
        <v>42</v>
      </c>
      <c r="DY7417" s="1" t="s">
        <v>125</v>
      </c>
      <c r="ED7417" s="1" t="s">
        <v>130</v>
      </c>
      <c r="GD7417" s="1" t="s">
        <v>193</v>
      </c>
      <c r="GE7417" s="1" t="s">
        <v>190</v>
      </c>
    </row>
    <row r="7418" spans="1:187" ht="11.25" customHeight="1">
      <c r="A7418" s="1" t="s">
        <v>10459</v>
      </c>
      <c r="B7418" s="1" t="str">
        <f ca="1">IFERROR(__xludf.DUMMYFUNCTION("GOOGLETRANSLATE(A7418, ""en"", ""fr"")"),"PARLEMENTAIRE")</f>
        <v>PARLEMENTAIRE</v>
      </c>
      <c r="C7418" s="1" t="s">
        <v>196</v>
      </c>
      <c r="EB7418" s="1" t="s">
        <v>128</v>
      </c>
      <c r="ED7418" s="1" t="s">
        <v>130</v>
      </c>
      <c r="GD7418" s="1" t="s">
        <v>212</v>
      </c>
    </row>
    <row r="7419" spans="1:187" ht="11.25" customHeight="1">
      <c r="A7419" s="1" t="s">
        <v>10460</v>
      </c>
      <c r="B7419" s="1" t="str">
        <f ca="1">IFERROR(__xludf.DUMMYFUNCTION("GOOGLETRANSLATE(A7419, ""en"", ""fr"")"),"PARLOIR")</f>
        <v>PARLOIR</v>
      </c>
      <c r="C7419" s="1" t="s">
        <v>185</v>
      </c>
      <c r="BC7419" s="1" t="s">
        <v>51</v>
      </c>
      <c r="BG7419" s="1" t="s">
        <v>55</v>
      </c>
      <c r="GD7419" s="1" t="s">
        <v>193</v>
      </c>
      <c r="GE7419" s="1" t="s">
        <v>190</v>
      </c>
    </row>
    <row r="7420" spans="1:187" ht="11.25" customHeight="1">
      <c r="A7420" s="1" t="s">
        <v>10461</v>
      </c>
      <c r="B7420" s="1" t="str">
        <f ca="1">IFERROR(__xludf.DUMMYFUNCTION("GOOGLETRANSLATE(A7420, ""en"", ""fr"")"),"Salon # 1")</f>
        <v>Salon # 1</v>
      </c>
      <c r="C7420" s="1" t="s">
        <v>192</v>
      </c>
      <c r="GE7420" s="1" t="s">
        <v>190</v>
      </c>
    </row>
    <row r="7421" spans="1:187" ht="11.25" customHeight="1">
      <c r="A7421" s="1" t="s">
        <v>10462</v>
      </c>
      <c r="B7421" s="1" t="str">
        <f ca="1">IFERROR(__xludf.DUMMYFUNCTION("GOOGLETRANSLATE(A7421, ""en"", ""fr"")"),"PARTIE 1")</f>
        <v>PARTIE 1</v>
      </c>
      <c r="C7421" s="1" t="s">
        <v>185</v>
      </c>
      <c r="BC7421" s="1" t="s">
        <v>51</v>
      </c>
      <c r="BI7421" s="1" t="s">
        <v>57</v>
      </c>
      <c r="FH7421" s="1" t="s">
        <v>160</v>
      </c>
      <c r="FI7421" s="1" t="s">
        <v>161</v>
      </c>
      <c r="GD7421" s="1" t="s">
        <v>193</v>
      </c>
      <c r="GE7421" s="1" t="s">
        <v>10463</v>
      </c>
    </row>
    <row r="7422" spans="1:187" ht="11.25" customHeight="1">
      <c r="A7422" s="1" t="s">
        <v>10464</v>
      </c>
      <c r="B7422" s="1" t="str">
        <f ca="1">IFERROR(__xludf.DUMMYFUNCTION("GOOGLETRANSLATE(A7422, ""en"", ""fr"")"),"Pièce n ° 10")</f>
        <v>Pièce n ° 10</v>
      </c>
      <c r="C7422" s="1" t="s">
        <v>196</v>
      </c>
      <c r="GD7422" s="1" t="s">
        <v>193</v>
      </c>
    </row>
    <row r="7423" spans="1:187" ht="11.25" customHeight="1">
      <c r="A7423" s="1" t="s">
        <v>10465</v>
      </c>
      <c r="B7423" s="1" t="str">
        <f ca="1">IFERROR(__xludf.DUMMYFUNCTION("GOOGLETRANSLATE(A7423, ""en"", ""fr"")"),"PARTIE 2")</f>
        <v>PARTIE 2</v>
      </c>
      <c r="C7423" s="1" t="s">
        <v>185</v>
      </c>
      <c r="N7423" s="1" t="s">
        <v>10</v>
      </c>
      <c r="AJ7423" s="1" t="s">
        <v>32</v>
      </c>
      <c r="AT7423" s="1" t="s">
        <v>42</v>
      </c>
      <c r="FT7423" s="1" t="s">
        <v>172</v>
      </c>
      <c r="GD7423" s="1" t="s">
        <v>193</v>
      </c>
      <c r="GE7423" s="1" t="s">
        <v>10466</v>
      </c>
    </row>
    <row r="7424" spans="1:187" ht="11.25" customHeight="1">
      <c r="A7424" s="1" t="s">
        <v>10467</v>
      </c>
      <c r="B7424" s="1" t="str">
        <f ca="1">IFERROR(__xludf.DUMMYFUNCTION("GOOGLETRANSLATE(A7424, ""en"", ""fr"")"),"Pièce n ° 3")</f>
        <v>Pièce n ° 3</v>
      </c>
      <c r="C7424" s="1" t="s">
        <v>185</v>
      </c>
      <c r="J7424" s="1" t="s">
        <v>6</v>
      </c>
      <c r="N7424" s="1" t="s">
        <v>10</v>
      </c>
      <c r="DD7424" s="1" t="s">
        <v>104</v>
      </c>
      <c r="DO7424" s="1" t="s">
        <v>115</v>
      </c>
      <c r="FP7424" s="1" t="s">
        <v>168</v>
      </c>
      <c r="GD7424" s="1" t="s">
        <v>189</v>
      </c>
      <c r="GE7424" s="1" t="s">
        <v>10468</v>
      </c>
    </row>
    <row r="7425" spans="1:187" ht="11.25" customHeight="1">
      <c r="A7425" s="1" t="s">
        <v>10469</v>
      </c>
      <c r="B7425" s="1" t="str">
        <f ca="1">IFERROR(__xludf.DUMMYFUNCTION("GOOGLETRANSLATE(A7425, ""en"", ""fr"")"),"Pièce n ° 4")</f>
        <v>Pièce n ° 4</v>
      </c>
      <c r="C7425" s="1" t="s">
        <v>185</v>
      </c>
      <c r="X7425" s="1" t="s">
        <v>20</v>
      </c>
      <c r="CS7425" s="1" t="s">
        <v>93</v>
      </c>
      <c r="FZ7425" s="1" t="s">
        <v>178</v>
      </c>
      <c r="GD7425" s="1" t="s">
        <v>236</v>
      </c>
      <c r="GE7425" s="1" t="s">
        <v>10470</v>
      </c>
    </row>
    <row r="7426" spans="1:187" ht="11.25" customHeight="1">
      <c r="A7426" s="1" t="s">
        <v>10471</v>
      </c>
      <c r="B7426" s="1" t="str">
        <f ca="1">IFERROR(__xludf.DUMMYFUNCTION("GOOGLETRANSLATE(A7426, ""en"", ""fr"")"),"Pièce n ° 5")</f>
        <v>Pièce n ° 5</v>
      </c>
      <c r="C7426" s="1" t="s">
        <v>185</v>
      </c>
      <c r="X7426" s="1" t="s">
        <v>20</v>
      </c>
      <c r="FZ7426" s="1" t="s">
        <v>178</v>
      </c>
      <c r="GD7426" s="1" t="s">
        <v>236</v>
      </c>
      <c r="GE7426" s="1" t="s">
        <v>10472</v>
      </c>
    </row>
    <row r="7427" spans="1:187" ht="11.25" customHeight="1">
      <c r="A7427" s="1" t="s">
        <v>10473</v>
      </c>
      <c r="B7427" s="1" t="str">
        <f ca="1">IFERROR(__xludf.DUMMYFUNCTION("GOOGLETRANSLATE(A7427, ""en"", ""fr"")"),"Pièce n ° 6")</f>
        <v>Pièce n ° 6</v>
      </c>
      <c r="C7427" s="1" t="s">
        <v>185</v>
      </c>
      <c r="CH7427" s="1" t="s">
        <v>82</v>
      </c>
      <c r="FH7427" s="1" t="s">
        <v>160</v>
      </c>
      <c r="FI7427" s="1" t="s">
        <v>161</v>
      </c>
      <c r="GD7427" s="1" t="s">
        <v>193</v>
      </c>
      <c r="GE7427" s="1" t="s">
        <v>10474</v>
      </c>
    </row>
    <row r="7428" spans="1:187" ht="11.25" customHeight="1">
      <c r="A7428" s="1" t="s">
        <v>10475</v>
      </c>
      <c r="B7428" s="1" t="str">
        <f ca="1">IFERROR(__xludf.DUMMYFUNCTION("GOOGLETRANSLATE(A7428, ""en"", ""fr"")"),"Pièce n ° 7")</f>
        <v>Pièce n ° 7</v>
      </c>
      <c r="C7428" s="1" t="s">
        <v>185</v>
      </c>
      <c r="W7428" s="1" t="s">
        <v>19</v>
      </c>
      <c r="GD7428" s="1" t="s">
        <v>215</v>
      </c>
      <c r="GE7428" s="1" t="s">
        <v>10476</v>
      </c>
    </row>
    <row r="7429" spans="1:187" ht="11.25" customHeight="1">
      <c r="A7429" s="1" t="s">
        <v>10477</v>
      </c>
      <c r="B7429" s="1" t="str">
        <f ca="1">IFERROR(__xludf.DUMMYFUNCTION("GOOGLETRANSLATE(A7429, ""en"", ""fr"")"),"Pièce n ° 8")</f>
        <v>Pièce n ° 8</v>
      </c>
      <c r="C7429" s="1" t="s">
        <v>185</v>
      </c>
      <c r="X7429" s="1" t="s">
        <v>20</v>
      </c>
      <c r="GD7429" s="1" t="s">
        <v>236</v>
      </c>
      <c r="GE7429" s="1" t="s">
        <v>10478</v>
      </c>
    </row>
    <row r="7430" spans="1:187" ht="11.25" customHeight="1">
      <c r="A7430" s="1" t="s">
        <v>10479</v>
      </c>
      <c r="B7430" s="1" t="str">
        <f ca="1">IFERROR(__xludf.DUMMYFUNCTION("GOOGLETRANSLATE(A7430, ""en"", ""fr"")"),"Pièce n ° 9")</f>
        <v>Pièce n ° 9</v>
      </c>
      <c r="C7430" s="1" t="s">
        <v>185</v>
      </c>
      <c r="X7430" s="1" t="s">
        <v>20</v>
      </c>
      <c r="CS7430" s="1" t="s">
        <v>93</v>
      </c>
      <c r="FZ7430" s="1" t="s">
        <v>178</v>
      </c>
      <c r="GD7430" s="1" t="s">
        <v>236</v>
      </c>
      <c r="GE7430" s="1" t="s">
        <v>10480</v>
      </c>
    </row>
    <row r="7431" spans="1:187" ht="11.25" customHeight="1">
      <c r="A7431" s="1" t="s">
        <v>10481</v>
      </c>
      <c r="B7431" s="1" t="str">
        <f ca="1">IFERROR(__xludf.DUMMYFUNCTION("GOOGLETRANSLATE(A7431, ""en"", ""fr"")"),"Pièce n ° _10")</f>
        <v>Pièce n ° _10</v>
      </c>
      <c r="C7431" s="1" t="s">
        <v>192</v>
      </c>
      <c r="G7431" s="1" t="s">
        <v>3</v>
      </c>
      <c r="BK7431" s="1" t="s">
        <v>59</v>
      </c>
      <c r="GD7431" s="1" t="s">
        <v>193</v>
      </c>
      <c r="GE7431" s="1" t="s">
        <v>10482</v>
      </c>
    </row>
    <row r="7432" spans="1:187" ht="11.25" customHeight="1">
      <c r="A7432" s="1" t="s">
        <v>10483</v>
      </c>
      <c r="B7432" s="1" t="str">
        <f ca="1">IFERROR(__xludf.DUMMYFUNCTION("GOOGLETRANSLATE(A7432, ""en"", ""fr"")"),"Participer")</f>
        <v>Participer</v>
      </c>
      <c r="C7432" s="1" t="s">
        <v>185</v>
      </c>
      <c r="G7432" s="1" t="s">
        <v>3</v>
      </c>
      <c r="N7432" s="1" t="s">
        <v>10</v>
      </c>
      <c r="AN7432" s="1" t="s">
        <v>36</v>
      </c>
      <c r="DN7432" s="1" t="s">
        <v>114</v>
      </c>
      <c r="FP7432" s="1" t="s">
        <v>168</v>
      </c>
      <c r="GD7432" s="1" t="s">
        <v>189</v>
      </c>
      <c r="GE7432" s="1" t="s">
        <v>190</v>
      </c>
    </row>
    <row r="7433" spans="1:187" ht="11.25" customHeight="1">
      <c r="A7433" s="1" t="s">
        <v>10484</v>
      </c>
      <c r="B7433" s="1" t="str">
        <f ca="1">IFERROR(__xludf.DUMMYFUNCTION("GOOGLETRANSLATE(A7433, ""en"", ""fr"")"),"PARTIEL")</f>
        <v>PARTIEL</v>
      </c>
      <c r="C7433" s="1" t="s">
        <v>185</v>
      </c>
      <c r="L7433" s="1" t="s">
        <v>8</v>
      </c>
      <c r="X7433" s="1" t="s">
        <v>20</v>
      </c>
      <c r="CS7433" s="1" t="s">
        <v>93</v>
      </c>
      <c r="GD7433" s="1" t="s">
        <v>202</v>
      </c>
      <c r="GE7433" s="1" t="s">
        <v>190</v>
      </c>
    </row>
    <row r="7434" spans="1:187" ht="11.25" customHeight="1">
      <c r="A7434" s="1" t="s">
        <v>10485</v>
      </c>
      <c r="B7434" s="1" t="str">
        <f ca="1">IFERROR(__xludf.DUMMYFUNCTION("GOOGLETRANSLATE(A7434, ""en"", ""fr"")"),"PARTICIPANT")</f>
        <v>PARTICIPANT</v>
      </c>
      <c r="C7434" s="1" t="s">
        <v>185</v>
      </c>
      <c r="G7434" s="1" t="s">
        <v>3</v>
      </c>
      <c r="M7434" s="1" t="s">
        <v>9</v>
      </c>
      <c r="N7434" s="1" t="s">
        <v>10</v>
      </c>
      <c r="AJ7434" s="1" t="s">
        <v>32</v>
      </c>
      <c r="AT7434" s="1" t="s">
        <v>42</v>
      </c>
      <c r="DZ7434" s="1" t="s">
        <v>126</v>
      </c>
      <c r="ED7434" s="1" t="s">
        <v>130</v>
      </c>
      <c r="GD7434" s="1" t="s">
        <v>193</v>
      </c>
      <c r="GE7434" s="1" t="s">
        <v>10486</v>
      </c>
    </row>
    <row r="7435" spans="1:187" ht="11.25" customHeight="1">
      <c r="A7435" s="1" t="s">
        <v>10487</v>
      </c>
      <c r="B7435" s="1" t="str">
        <f ca="1">IFERROR(__xludf.DUMMYFUNCTION("GOOGLETRANSLATE(A7435, ""en"", ""fr"")"),"Participer n ° 1")</f>
        <v>Participer n ° 1</v>
      </c>
      <c r="C7435" s="1" t="s">
        <v>185</v>
      </c>
      <c r="G7435" s="1" t="s">
        <v>3</v>
      </c>
      <c r="N7435" s="1" t="s">
        <v>10</v>
      </c>
      <c r="AN7435" s="1" t="s">
        <v>36</v>
      </c>
      <c r="DO7435" s="1" t="s">
        <v>115</v>
      </c>
      <c r="EC7435" s="1" t="s">
        <v>129</v>
      </c>
      <c r="ED7435" s="1" t="s">
        <v>130</v>
      </c>
      <c r="GD7435" s="1" t="s">
        <v>400</v>
      </c>
      <c r="GE7435" s="1" t="s">
        <v>10488</v>
      </c>
    </row>
    <row r="7436" spans="1:187" ht="11.25" customHeight="1">
      <c r="A7436" s="1" t="s">
        <v>10489</v>
      </c>
      <c r="B7436" s="1" t="str">
        <f ca="1">IFERROR(__xludf.DUMMYFUNCTION("GOOGLETRANSLATE(A7436, ""en"", ""fr"")"),"Participer n ° 2")</f>
        <v>Participer n ° 2</v>
      </c>
      <c r="C7436" s="1" t="s">
        <v>185</v>
      </c>
      <c r="G7436" s="1" t="s">
        <v>3</v>
      </c>
      <c r="N7436" s="1" t="s">
        <v>10</v>
      </c>
      <c r="AN7436" s="1" t="s">
        <v>36</v>
      </c>
      <c r="EC7436" s="1" t="s">
        <v>129</v>
      </c>
      <c r="ED7436" s="1" t="s">
        <v>130</v>
      </c>
      <c r="GD7436" s="1" t="s">
        <v>202</v>
      </c>
      <c r="GE7436" s="1" t="s">
        <v>10490</v>
      </c>
    </row>
    <row r="7437" spans="1:187" ht="11.25" customHeight="1">
      <c r="A7437" s="1" t="s">
        <v>10491</v>
      </c>
      <c r="B7437" s="1" t="str">
        <f ca="1">IFERROR(__xludf.DUMMYFUNCTION("GOOGLETRANSLATE(A7437, ""en"", ""fr"")"),"PARTICIPATION")</f>
        <v>PARTICIPATION</v>
      </c>
      <c r="C7437" s="1" t="s">
        <v>185</v>
      </c>
      <c r="G7437" s="1" t="s">
        <v>3</v>
      </c>
      <c r="N7437" s="1" t="s">
        <v>10</v>
      </c>
      <c r="AN7437" s="1" t="s">
        <v>36</v>
      </c>
      <c r="EC7437" s="1" t="s">
        <v>129</v>
      </c>
      <c r="ED7437" s="1" t="s">
        <v>130</v>
      </c>
      <c r="GD7437" s="1" t="s">
        <v>193</v>
      </c>
      <c r="GE7437" s="1" t="s">
        <v>190</v>
      </c>
    </row>
    <row r="7438" spans="1:187" ht="11.25" customHeight="1">
      <c r="A7438" s="1" t="s">
        <v>10492</v>
      </c>
      <c r="B7438" s="1" t="str">
        <f ca="1">IFERROR(__xludf.DUMMYFUNCTION("GOOGLETRANSLATE(A7438, ""en"", ""fr"")"),"PARTICULE")</f>
        <v>PARTICULE</v>
      </c>
      <c r="C7438" s="1" t="s">
        <v>185</v>
      </c>
      <c r="X7438" s="1" t="s">
        <v>20</v>
      </c>
      <c r="BC7438" s="1" t="s">
        <v>51</v>
      </c>
      <c r="BI7438" s="1" t="s">
        <v>57</v>
      </c>
      <c r="GD7438" s="1" t="s">
        <v>193</v>
      </c>
      <c r="GE7438" s="1" t="s">
        <v>190</v>
      </c>
    </row>
    <row r="7439" spans="1:187" ht="11.25" customHeight="1">
      <c r="A7439" s="1" t="s">
        <v>10493</v>
      </c>
      <c r="B7439" s="1" t="str">
        <f ca="1">IFERROR(__xludf.DUMMYFUNCTION("GOOGLETRANSLATE(A7439, ""en"", ""fr"")"),"Particulier # 1")</f>
        <v>Particulier # 1</v>
      </c>
      <c r="C7439" s="1" t="s">
        <v>185</v>
      </c>
      <c r="D7439" s="1" t="s">
        <v>16612</v>
      </c>
      <c r="F7439" s="1" t="s">
        <v>2</v>
      </c>
      <c r="W7439" s="1" t="s">
        <v>19</v>
      </c>
      <c r="CS7439" s="1" t="s">
        <v>93</v>
      </c>
      <c r="FY7439" s="1" t="s">
        <v>177</v>
      </c>
      <c r="GD7439" s="1" t="s">
        <v>5766</v>
      </c>
      <c r="GE7439" s="1" t="s">
        <v>10494</v>
      </c>
    </row>
    <row r="7440" spans="1:187" ht="11.25" customHeight="1">
      <c r="A7440" s="1" t="s">
        <v>10495</v>
      </c>
      <c r="B7440" s="1" t="str">
        <f ca="1">IFERROR(__xludf.DUMMYFUNCTION("GOOGLETRANSLATE(A7440, ""en"", ""fr"")"),"Particulier # 2")</f>
        <v>Particulier # 2</v>
      </c>
      <c r="C7440" s="1" t="s">
        <v>185</v>
      </c>
      <c r="E7440" s="1" t="s">
        <v>16613</v>
      </c>
      <c r="H7440" s="1" t="s">
        <v>4</v>
      </c>
      <c r="V7440" s="1" t="s">
        <v>18</v>
      </c>
      <c r="FY7440" s="1" t="s">
        <v>177</v>
      </c>
      <c r="GD7440" s="1" t="s">
        <v>202</v>
      </c>
      <c r="GE7440" s="1" t="s">
        <v>10496</v>
      </c>
    </row>
    <row r="7441" spans="1:187" ht="11.25" customHeight="1">
      <c r="A7441" s="1" t="s">
        <v>10497</v>
      </c>
      <c r="B7441" s="1" t="str">
        <f ca="1">IFERROR(__xludf.DUMMYFUNCTION("GOOGLETRANSLATE(A7441, ""en"", ""fr"")"),"Particulier # 3")</f>
        <v>Particulier # 3</v>
      </c>
      <c r="C7441" s="1" t="s">
        <v>185</v>
      </c>
      <c r="W7441" s="1" t="s">
        <v>19</v>
      </c>
      <c r="FY7441" s="1" t="s">
        <v>177</v>
      </c>
      <c r="GD7441" s="1" t="s">
        <v>236</v>
      </c>
      <c r="GE7441" s="1" t="s">
        <v>10498</v>
      </c>
    </row>
    <row r="7442" spans="1:187" ht="11.25" customHeight="1">
      <c r="A7442" s="1" t="s">
        <v>10499</v>
      </c>
      <c r="B7442" s="1" t="str">
        <f ca="1">IFERROR(__xludf.DUMMYFUNCTION("GOOGLETRANSLATE(A7442, ""en"", ""fr"")"),"Particulier # 4")</f>
        <v>Particulier # 4</v>
      </c>
      <c r="C7442" s="1" t="s">
        <v>185</v>
      </c>
      <c r="W7442" s="1" t="s">
        <v>19</v>
      </c>
      <c r="FY7442" s="1" t="s">
        <v>177</v>
      </c>
      <c r="GD7442" s="1" t="s">
        <v>236</v>
      </c>
      <c r="GE7442" s="1" t="s">
        <v>10500</v>
      </c>
    </row>
    <row r="7443" spans="1:187" ht="11.25" customHeight="1">
      <c r="A7443" s="1" t="s">
        <v>10501</v>
      </c>
      <c r="B7443" s="1" t="str">
        <f ca="1">IFERROR(__xludf.DUMMYFUNCTION("GOOGLETRANSLATE(A7443, ""en"", ""fr"")"),"PARTISAN")</f>
        <v>PARTISAN</v>
      </c>
      <c r="C7443" s="1" t="s">
        <v>185</v>
      </c>
      <c r="AG7443" s="1" t="s">
        <v>29</v>
      </c>
      <c r="AH7443" s="1" t="s">
        <v>30</v>
      </c>
      <c r="AJ7443" s="1" t="s">
        <v>32</v>
      </c>
      <c r="AT7443" s="1" t="s">
        <v>42</v>
      </c>
      <c r="EC7443" s="1" t="s">
        <v>129</v>
      </c>
      <c r="ED7443" s="1" t="s">
        <v>130</v>
      </c>
      <c r="GD7443" s="1" t="s">
        <v>193</v>
      </c>
      <c r="GE7443" s="1" t="s">
        <v>190</v>
      </c>
    </row>
    <row r="7444" spans="1:187" ht="11.25" customHeight="1">
      <c r="A7444" s="1" t="s">
        <v>10502</v>
      </c>
      <c r="B7444" s="1" t="str">
        <f ca="1">IFERROR(__xludf.DUMMYFUNCTION("GOOGLETRANSLATE(A7444, ""en"", ""fr"")"),"ESPRIT DE PARTI")</f>
        <v>ESPRIT DE PARTI</v>
      </c>
      <c r="C7444" s="1" t="s">
        <v>196</v>
      </c>
      <c r="DW7444" s="1" t="s">
        <v>123</v>
      </c>
      <c r="ED7444" s="1" t="s">
        <v>130</v>
      </c>
      <c r="GD7444" s="1" t="s">
        <v>193</v>
      </c>
    </row>
    <row r="7445" spans="1:187" ht="11.25" customHeight="1">
      <c r="A7445" s="1" t="s">
        <v>10503</v>
      </c>
      <c r="B7445" s="1" t="str">
        <f ca="1">IFERROR(__xludf.DUMMYFUNCTION("GOOGLETRANSLATE(A7445, ""en"", ""fr"")"),"CLOISON")</f>
        <v>CLOISON</v>
      </c>
      <c r="C7445" s="1" t="s">
        <v>192</v>
      </c>
      <c r="E7445" s="1" t="s">
        <v>16613</v>
      </c>
      <c r="DN7445" s="1" t="s">
        <v>114</v>
      </c>
      <c r="GD7445" s="1" t="s">
        <v>189</v>
      </c>
      <c r="GE7445" s="1" t="s">
        <v>190</v>
      </c>
    </row>
    <row r="7446" spans="1:187" ht="11.25" customHeight="1">
      <c r="A7446" s="1" t="s">
        <v>10504</v>
      </c>
      <c r="B7446" s="1" t="str">
        <f ca="1">IFERROR(__xludf.DUMMYFUNCTION("GOOGLETRANSLATE(A7446, ""en"", ""fr"")"),"PARTENAIRE")</f>
        <v>PARTENAIRE</v>
      </c>
      <c r="C7446" s="1" t="s">
        <v>185</v>
      </c>
      <c r="D7446" s="1" t="s">
        <v>16612</v>
      </c>
      <c r="F7446" s="1" t="s">
        <v>2</v>
      </c>
      <c r="G7446" s="1" t="s">
        <v>3</v>
      </c>
      <c r="J7446" s="1" t="s">
        <v>6</v>
      </c>
      <c r="AA7446" s="1" t="s">
        <v>23</v>
      </c>
      <c r="AC7446" s="1" t="s">
        <v>25</v>
      </c>
      <c r="AJ7446" s="1" t="s">
        <v>32</v>
      </c>
      <c r="AT7446" s="1" t="s">
        <v>42</v>
      </c>
      <c r="DX7446" s="1" t="s">
        <v>124</v>
      </c>
      <c r="ED7446" s="1" t="s">
        <v>130</v>
      </c>
      <c r="GD7446" s="1" t="s">
        <v>193</v>
      </c>
      <c r="GE7446" s="1" t="s">
        <v>10505</v>
      </c>
    </row>
    <row r="7447" spans="1:187" ht="11.25" customHeight="1">
      <c r="A7447" s="1" t="s">
        <v>10506</v>
      </c>
      <c r="B7447" s="1" t="str">
        <f ca="1">IFERROR(__xludf.DUMMYFUNCTION("GOOGLETRANSLATE(A7447, ""en"", ""fr"")"),"PARTENARIAT")</f>
        <v>PARTENARIAT</v>
      </c>
      <c r="C7447" s="1" t="s">
        <v>185</v>
      </c>
      <c r="D7447" s="1" t="s">
        <v>16612</v>
      </c>
      <c r="F7447" s="1" t="s">
        <v>2</v>
      </c>
      <c r="G7447" s="1" t="s">
        <v>3</v>
      </c>
      <c r="J7447" s="1" t="s">
        <v>6</v>
      </c>
      <c r="AA7447" s="1" t="s">
        <v>23</v>
      </c>
      <c r="AC7447" s="1" t="s">
        <v>25</v>
      </c>
      <c r="AK7447" s="1" t="s">
        <v>33</v>
      </c>
      <c r="AT7447" s="1" t="s">
        <v>42</v>
      </c>
      <c r="DX7447" s="1" t="s">
        <v>124</v>
      </c>
      <c r="ED7447" s="1" t="s">
        <v>130</v>
      </c>
      <c r="GD7447" s="1" t="s">
        <v>193</v>
      </c>
      <c r="GE7447" s="1" t="s">
        <v>190</v>
      </c>
    </row>
    <row r="7448" spans="1:187" ht="11.25" customHeight="1">
      <c r="A7448" s="1" t="s">
        <v>10507</v>
      </c>
      <c r="B7448" s="1" t="str">
        <f ca="1">IFERROR(__xludf.DUMMYFUNCTION("GOOGLETRANSLATE(A7448, ""en"", ""fr"")"),"Participer")</f>
        <v>Participer</v>
      </c>
      <c r="C7448" s="1" t="s">
        <v>185</v>
      </c>
      <c r="G7448" s="1" t="s">
        <v>3</v>
      </c>
      <c r="N7448" s="1" t="s">
        <v>10</v>
      </c>
      <c r="AN7448" s="1" t="s">
        <v>36</v>
      </c>
      <c r="DN7448" s="1" t="s">
        <v>114</v>
      </c>
      <c r="FP7448" s="1" t="s">
        <v>168</v>
      </c>
      <c r="GD7448" s="1" t="s">
        <v>189</v>
      </c>
      <c r="GE7448" s="1" t="s">
        <v>190</v>
      </c>
    </row>
    <row r="7449" spans="1:187" ht="11.25" customHeight="1">
      <c r="A7449" s="1" t="s">
        <v>10508</v>
      </c>
      <c r="B7449" s="1" t="str">
        <f ca="1">IFERROR(__xludf.DUMMYFUNCTION("GOOGLETRANSLATE(A7449, ""en"", ""fr"")"),"Fête n ° 1")</f>
        <v>Fête n ° 1</v>
      </c>
      <c r="C7449" s="1" t="s">
        <v>185</v>
      </c>
      <c r="J7449" s="1" t="s">
        <v>6</v>
      </c>
      <c r="AG7449" s="1" t="s">
        <v>29</v>
      </c>
      <c r="AH7449" s="1" t="s">
        <v>30</v>
      </c>
      <c r="AK7449" s="1" t="s">
        <v>33</v>
      </c>
      <c r="AT7449" s="1" t="s">
        <v>42</v>
      </c>
      <c r="DZ7449" s="1" t="s">
        <v>126</v>
      </c>
      <c r="ED7449" s="1" t="s">
        <v>130</v>
      </c>
      <c r="GD7449" s="1" t="s">
        <v>193</v>
      </c>
      <c r="GE7449" s="1" t="s">
        <v>10509</v>
      </c>
    </row>
    <row r="7450" spans="1:187" ht="11.25" customHeight="1">
      <c r="A7450" s="1" t="s">
        <v>10510</v>
      </c>
      <c r="B7450" s="1" t="str">
        <f ca="1">IFERROR(__xludf.DUMMYFUNCTION("GOOGLETRANSLATE(A7450, ""en"", ""fr"")"),"Fête n ° 2")</f>
        <v>Fête n ° 2</v>
      </c>
      <c r="C7450" s="1" t="s">
        <v>185</v>
      </c>
      <c r="G7450" s="1" t="s">
        <v>3</v>
      </c>
      <c r="AD7450" s="1" t="s">
        <v>26</v>
      </c>
      <c r="AK7450" s="1" t="s">
        <v>33</v>
      </c>
      <c r="AT7450" s="1" t="s">
        <v>42</v>
      </c>
      <c r="ER7450" s="1" t="s">
        <v>144</v>
      </c>
      <c r="ES7450" s="1" t="s">
        <v>145</v>
      </c>
      <c r="GD7450" s="1" t="s">
        <v>193</v>
      </c>
      <c r="GE7450" s="1" t="s">
        <v>10511</v>
      </c>
    </row>
    <row r="7451" spans="1:187" ht="11.25" customHeight="1">
      <c r="A7451" s="1" t="s">
        <v>10512</v>
      </c>
      <c r="B7451" s="1" t="str">
        <f ca="1">IFERROR(__xludf.DUMMYFUNCTION("GOOGLETRANSLATE(A7451, ""en"", ""fr"")"),"Fête n ° 3")</f>
        <v>Fête n ° 3</v>
      </c>
      <c r="C7451" s="1" t="s">
        <v>192</v>
      </c>
      <c r="AJ7451" s="1" t="s">
        <v>32</v>
      </c>
      <c r="AT7451" s="1" t="s">
        <v>42</v>
      </c>
      <c r="GD7451" s="1" t="s">
        <v>193</v>
      </c>
      <c r="GE7451" s="1" t="s">
        <v>10513</v>
      </c>
    </row>
    <row r="7452" spans="1:187" ht="11.25" customHeight="1">
      <c r="A7452" s="1" t="s">
        <v>10514</v>
      </c>
      <c r="B7452" s="1" t="str">
        <f ca="1">IFERROR(__xludf.DUMMYFUNCTION("GOOGLETRANSLATE(A7452, ""en"", ""fr"")"),"Fête n ° 4")</f>
        <v>Fête n ° 4</v>
      </c>
      <c r="C7452" s="1" t="s">
        <v>192</v>
      </c>
      <c r="GD7452" s="1" t="s">
        <v>225</v>
      </c>
      <c r="GE7452" s="1" t="s">
        <v>10515</v>
      </c>
    </row>
    <row r="7453" spans="1:187" ht="11.25" customHeight="1">
      <c r="A7453" s="1" t="s">
        <v>10516</v>
      </c>
      <c r="B7453" s="1" t="str">
        <f ca="1">IFERROR(__xludf.DUMMYFUNCTION("GOOGLETRANSLATE(A7453, ""en"", ""fr"")"),"Passer n ° 1")</f>
        <v>Passer n ° 1</v>
      </c>
      <c r="C7453" s="1" t="s">
        <v>192</v>
      </c>
      <c r="N7453" s="1" t="s">
        <v>10</v>
      </c>
      <c r="CE7453" s="1" t="s">
        <v>79</v>
      </c>
      <c r="DO7453" s="1" t="s">
        <v>115</v>
      </c>
      <c r="GD7453" s="1" t="s">
        <v>189</v>
      </c>
      <c r="GE7453" s="1" t="s">
        <v>10517</v>
      </c>
    </row>
    <row r="7454" spans="1:187" ht="11.25" customHeight="1">
      <c r="A7454" s="1" t="s">
        <v>10518</v>
      </c>
      <c r="B7454" s="1" t="str">
        <f ca="1">IFERROR(__xludf.DUMMYFUNCTION("GOOGLETRANSLATE(A7454, ""en"", ""fr"")"),"Passer n ° 2")</f>
        <v>Passer n ° 2</v>
      </c>
      <c r="C7454" s="1" t="s">
        <v>192</v>
      </c>
      <c r="D7454" s="1" t="s">
        <v>16612</v>
      </c>
      <c r="F7454" s="1" t="s">
        <v>2</v>
      </c>
      <c r="J7454" s="1" t="s">
        <v>6</v>
      </c>
      <c r="BS7454" s="1" t="s">
        <v>67</v>
      </c>
      <c r="DO7454" s="1" t="s">
        <v>115</v>
      </c>
      <c r="GD7454" s="1" t="s">
        <v>189</v>
      </c>
      <c r="GE7454" s="1" t="s">
        <v>10519</v>
      </c>
    </row>
    <row r="7455" spans="1:187" ht="11.25" customHeight="1">
      <c r="A7455" s="1" t="s">
        <v>10520</v>
      </c>
      <c r="B7455" s="1" t="str">
        <f ca="1">IFERROR(__xludf.DUMMYFUNCTION("GOOGLETRANSLATE(A7455, ""en"", ""fr"")"),"Passer n ° 3")</f>
        <v>Passer n ° 3</v>
      </c>
      <c r="C7455" s="1" t="s">
        <v>192</v>
      </c>
      <c r="O7455" s="1" t="s">
        <v>11</v>
      </c>
      <c r="BR7455" s="1" t="s">
        <v>66</v>
      </c>
      <c r="DN7455" s="1" t="s">
        <v>114</v>
      </c>
      <c r="GD7455" s="1" t="s">
        <v>189</v>
      </c>
      <c r="GE7455" s="1" t="s">
        <v>10521</v>
      </c>
    </row>
    <row r="7456" spans="1:187" ht="11.25" customHeight="1">
      <c r="A7456" s="1" t="s">
        <v>10522</v>
      </c>
      <c r="B7456" s="1" t="str">
        <f ca="1">IFERROR(__xludf.DUMMYFUNCTION("GOOGLETRANSLATE(A7456, ""en"", ""fr"")"),"Passer n ° 4")</f>
        <v>Passer n ° 4</v>
      </c>
      <c r="C7456" s="1" t="s">
        <v>192</v>
      </c>
      <c r="J7456" s="1" t="s">
        <v>6</v>
      </c>
      <c r="N7456" s="1" t="s">
        <v>10</v>
      </c>
      <c r="AE7456" s="1" t="s">
        <v>27</v>
      </c>
      <c r="AL7456" s="1" t="s">
        <v>34</v>
      </c>
      <c r="DN7456" s="1" t="s">
        <v>114</v>
      </c>
      <c r="GD7456" s="1" t="s">
        <v>189</v>
      </c>
      <c r="GE7456" s="1" t="s">
        <v>10523</v>
      </c>
    </row>
    <row r="7457" spans="1:187" ht="11.25" customHeight="1">
      <c r="A7457" s="1" t="s">
        <v>10524</v>
      </c>
      <c r="B7457" s="1" t="str">
        <f ca="1">IFERROR(__xludf.DUMMYFUNCTION("GOOGLETRANSLATE(A7457, ""en"", ""fr"")"),"Passer n ° 5")</f>
        <v>Passer n ° 5</v>
      </c>
      <c r="C7457" s="1" t="s">
        <v>192</v>
      </c>
      <c r="BY7457" s="1" t="s">
        <v>73</v>
      </c>
      <c r="GD7457" s="1" t="s">
        <v>225</v>
      </c>
      <c r="GE7457" s="1" t="s">
        <v>10525</v>
      </c>
    </row>
    <row r="7458" spans="1:187" ht="11.25" customHeight="1">
      <c r="A7458" s="1" t="s">
        <v>10526</v>
      </c>
      <c r="B7458" s="1" t="str">
        <f ca="1">IFERROR(__xludf.DUMMYFUNCTION("GOOGLETRANSLATE(A7458, ""en"", ""fr"")"),"Pass # 6")</f>
        <v>Pass # 6</v>
      </c>
      <c r="C7458" s="1" t="s">
        <v>192</v>
      </c>
      <c r="O7458" s="1" t="s">
        <v>11</v>
      </c>
      <c r="BS7458" s="1" t="s">
        <v>67</v>
      </c>
      <c r="DN7458" s="1" t="s">
        <v>114</v>
      </c>
      <c r="GD7458" s="1" t="s">
        <v>189</v>
      </c>
      <c r="GE7458" s="1" t="s">
        <v>10527</v>
      </c>
    </row>
    <row r="7459" spans="1:187" ht="11.25" customHeight="1">
      <c r="A7459" s="1" t="s">
        <v>10528</v>
      </c>
      <c r="B7459" s="1" t="str">
        <f ca="1">IFERROR(__xludf.DUMMYFUNCTION("GOOGLETRANSLATE(A7459, ""en"", ""fr"")"),"Passer n ° 7")</f>
        <v>Passer n ° 7</v>
      </c>
      <c r="C7459" s="1" t="s">
        <v>192</v>
      </c>
      <c r="CH7459" s="1" t="s">
        <v>82</v>
      </c>
      <c r="GD7459" s="1" t="s">
        <v>193</v>
      </c>
      <c r="GE7459" s="1" t="s">
        <v>10529</v>
      </c>
    </row>
    <row r="7460" spans="1:187" ht="11.25" customHeight="1">
      <c r="A7460" s="1" t="s">
        <v>10530</v>
      </c>
      <c r="B7460" s="1" t="str">
        <f ca="1">IFERROR(__xludf.DUMMYFUNCTION("GOOGLETRANSLATE(A7460, ""en"", ""fr"")"),"Pass # 8")</f>
        <v>Pass # 8</v>
      </c>
      <c r="C7460" s="1" t="s">
        <v>192</v>
      </c>
      <c r="E7460" s="1" t="s">
        <v>16613</v>
      </c>
      <c r="H7460" s="1" t="s">
        <v>4</v>
      </c>
      <c r="L7460" s="1" t="s">
        <v>8</v>
      </c>
      <c r="O7460" s="1" t="s">
        <v>11</v>
      </c>
      <c r="BU7460" s="1" t="s">
        <v>69</v>
      </c>
      <c r="DN7460" s="1" t="s">
        <v>114</v>
      </c>
      <c r="GD7460" s="1" t="s">
        <v>189</v>
      </c>
      <c r="GE7460" s="1" t="s">
        <v>10531</v>
      </c>
    </row>
    <row r="7461" spans="1:187" ht="11.25" customHeight="1">
      <c r="A7461" s="1" t="s">
        <v>10532</v>
      </c>
      <c r="B7461" s="1" t="str">
        <f ca="1">IFERROR(__xludf.DUMMYFUNCTION("GOOGLETRANSLATE(A7461, ""en"", ""fr"")"),"Pass # 9")</f>
        <v>Pass # 9</v>
      </c>
      <c r="C7461" s="1" t="s">
        <v>192</v>
      </c>
      <c r="I7461" s="1" t="s">
        <v>5</v>
      </c>
      <c r="AN7461" s="1" t="s">
        <v>36</v>
      </c>
      <c r="DN7461" s="1" t="s">
        <v>114</v>
      </c>
      <c r="GD7461" s="1" t="s">
        <v>189</v>
      </c>
      <c r="GE7461" s="1" t="s">
        <v>10533</v>
      </c>
    </row>
    <row r="7462" spans="1:187" ht="11.25" customHeight="1">
      <c r="A7462" s="1" t="s">
        <v>10534</v>
      </c>
      <c r="B7462" s="1" t="str">
        <f ca="1">IFERROR(__xludf.DUMMYFUNCTION("GOOGLETRANSLATE(A7462, ""en"", ""fr"")"),"Passer # _10")</f>
        <v>Passer # _10</v>
      </c>
      <c r="C7462" s="1" t="s">
        <v>192</v>
      </c>
      <c r="E7462" s="1" t="s">
        <v>16613</v>
      </c>
      <c r="H7462" s="1" t="s">
        <v>4</v>
      </c>
      <c r="N7462" s="1" t="s">
        <v>10</v>
      </c>
      <c r="AN7462" s="1" t="s">
        <v>36</v>
      </c>
      <c r="DN7462" s="1" t="s">
        <v>114</v>
      </c>
      <c r="GD7462" s="1" t="s">
        <v>189</v>
      </c>
      <c r="GE7462" s="1" t="s">
        <v>10535</v>
      </c>
    </row>
    <row r="7463" spans="1:187" ht="11.25" customHeight="1">
      <c r="A7463" s="1" t="s">
        <v>10536</v>
      </c>
      <c r="B7463" s="1" t="str">
        <f ca="1">IFERROR(__xludf.DUMMYFUNCTION("GOOGLETRANSLATE(A7463, ""en"", ""fr"")"),"Passer # _11")</f>
        <v>Passer # _11</v>
      </c>
      <c r="C7463" s="1" t="s">
        <v>192</v>
      </c>
      <c r="L7463" s="1" t="s">
        <v>8</v>
      </c>
      <c r="O7463" s="1" t="s">
        <v>11</v>
      </c>
      <c r="BU7463" s="1" t="s">
        <v>69</v>
      </c>
      <c r="DN7463" s="1" t="s">
        <v>114</v>
      </c>
      <c r="GD7463" s="1" t="s">
        <v>189</v>
      </c>
      <c r="GE7463" s="1" t="s">
        <v>10537</v>
      </c>
    </row>
    <row r="7464" spans="1:187" ht="11.25" customHeight="1">
      <c r="A7464" s="1" t="s">
        <v>10538</v>
      </c>
      <c r="B7464" s="1" t="str">
        <f ca="1">IFERROR(__xludf.DUMMYFUNCTION("GOOGLETRANSLATE(A7464, ""en"", ""fr"")"),"Passer # _12")</f>
        <v>Passer # _12</v>
      </c>
      <c r="C7464" s="1" t="s">
        <v>192</v>
      </c>
      <c r="K7464" s="1" t="s">
        <v>7</v>
      </c>
      <c r="BC7464" s="1" t="s">
        <v>51</v>
      </c>
      <c r="BH7464" s="1" t="s">
        <v>56</v>
      </c>
      <c r="BL7464" s="1" t="s">
        <v>60</v>
      </c>
      <c r="GD7464" s="1" t="s">
        <v>193</v>
      </c>
      <c r="GE7464" s="1" t="s">
        <v>10539</v>
      </c>
    </row>
    <row r="7465" spans="1:187" ht="11.25" customHeight="1">
      <c r="A7465" s="1" t="s">
        <v>10540</v>
      </c>
      <c r="B7465" s="1" t="str">
        <f ca="1">IFERROR(__xludf.DUMMYFUNCTION("GOOGLETRANSLATE(A7465, ""en"", ""fr"")"),"Passer # _13")</f>
        <v>Passer # _13</v>
      </c>
      <c r="C7465" s="1" t="s">
        <v>192</v>
      </c>
      <c r="E7465" s="1" t="s">
        <v>16613</v>
      </c>
      <c r="H7465" s="1" t="s">
        <v>4</v>
      </c>
      <c r="L7465" s="1" t="s">
        <v>8</v>
      </c>
      <c r="O7465" s="1" t="s">
        <v>11</v>
      </c>
      <c r="BU7465" s="1" t="s">
        <v>69</v>
      </c>
      <c r="GD7465" s="1" t="s">
        <v>193</v>
      </c>
      <c r="GE7465" s="1" t="s">
        <v>10541</v>
      </c>
    </row>
    <row r="7466" spans="1:187" ht="11.25" customHeight="1">
      <c r="A7466" s="1" t="s">
        <v>10542</v>
      </c>
      <c r="B7466" s="1" t="str">
        <f ca="1">IFERROR(__xludf.DUMMYFUNCTION("GOOGLETRANSLATE(A7466, ""en"", ""fr"")"),"Passer # _14")</f>
        <v>Passer # _14</v>
      </c>
      <c r="C7466" s="1" t="s">
        <v>192</v>
      </c>
      <c r="O7466" s="1" t="s">
        <v>11</v>
      </c>
      <c r="BW7466" s="1" t="s">
        <v>71</v>
      </c>
      <c r="GD7466" s="1" t="s">
        <v>202</v>
      </c>
      <c r="GE7466" s="1" t="s">
        <v>10543</v>
      </c>
    </row>
    <row r="7467" spans="1:187" ht="11.25" customHeight="1">
      <c r="A7467" s="1" t="s">
        <v>10544</v>
      </c>
      <c r="B7467" s="1" t="str">
        <f ca="1">IFERROR(__xludf.DUMMYFUNCTION("GOOGLETRANSLATE(A7467, ""en"", ""fr"")"),"PASSAGE")</f>
        <v>PASSAGE</v>
      </c>
      <c r="C7467" s="1" t="s">
        <v>196</v>
      </c>
      <c r="EC7467" s="1" t="s">
        <v>129</v>
      </c>
      <c r="ED7467" s="1" t="s">
        <v>130</v>
      </c>
      <c r="GD7467" s="1" t="s">
        <v>193</v>
      </c>
    </row>
    <row r="7468" spans="1:187" ht="11.25" customHeight="1">
      <c r="A7468" s="1" t="s">
        <v>10545</v>
      </c>
      <c r="B7468" s="1" t="str">
        <f ca="1">IFERROR(__xludf.DUMMYFUNCTION("GOOGLETRANSLATE(A7468, ""en"", ""fr"")"),"Passage")</f>
        <v>Passage</v>
      </c>
      <c r="C7468" s="1" t="s">
        <v>192</v>
      </c>
      <c r="E7468" s="1" t="s">
        <v>16613</v>
      </c>
      <c r="L7468" s="1" t="s">
        <v>8</v>
      </c>
      <c r="DR7468" s="1" t="s">
        <v>118</v>
      </c>
      <c r="GD7468" s="1" t="s">
        <v>202</v>
      </c>
      <c r="GE7468" s="1" t="s">
        <v>190</v>
      </c>
    </row>
    <row r="7469" spans="1:187" ht="11.25" customHeight="1">
      <c r="A7469" s="1" t="s">
        <v>10546</v>
      </c>
      <c r="B7469" s="1" t="str">
        <f ca="1">IFERROR(__xludf.DUMMYFUNCTION("GOOGLETRANSLATE(A7469, ""en"", ""fr"")"),"PASSAGER")</f>
        <v>PASSAGER</v>
      </c>
      <c r="C7469" s="1" t="s">
        <v>185</v>
      </c>
      <c r="O7469" s="1" t="s">
        <v>11</v>
      </c>
      <c r="AJ7469" s="1" t="s">
        <v>32</v>
      </c>
      <c r="AT7469" s="1" t="s">
        <v>42</v>
      </c>
      <c r="GD7469" s="1" t="s">
        <v>193</v>
      </c>
      <c r="GE7469" s="1" t="s">
        <v>190</v>
      </c>
    </row>
    <row r="7470" spans="1:187" ht="11.25" customHeight="1">
      <c r="A7470" s="1" t="s">
        <v>10547</v>
      </c>
      <c r="B7470" s="1" t="str">
        <f ca="1">IFERROR(__xludf.DUMMYFUNCTION("GOOGLETRANSLATE(A7470, ""en"", ""fr"")"),"PASSION")</f>
        <v>PASSION</v>
      </c>
      <c r="C7470" s="1" t="s">
        <v>185</v>
      </c>
      <c r="G7470" s="1" t="s">
        <v>3</v>
      </c>
      <c r="J7470" s="1" t="s">
        <v>6</v>
      </c>
      <c r="O7470" s="1" t="s">
        <v>11</v>
      </c>
      <c r="S7470" s="1" t="s">
        <v>15</v>
      </c>
      <c r="T7470" s="1" t="s">
        <v>16</v>
      </c>
      <c r="ER7470" s="1" t="s">
        <v>144</v>
      </c>
      <c r="ES7470" s="1" t="s">
        <v>145</v>
      </c>
      <c r="GD7470" s="1" t="s">
        <v>193</v>
      </c>
      <c r="GE7470" s="1" t="s">
        <v>190</v>
      </c>
    </row>
    <row r="7471" spans="1:187" ht="11.25" customHeight="1">
      <c r="A7471" s="1" t="s">
        <v>10548</v>
      </c>
      <c r="B7471" s="1" t="str">
        <f ca="1">IFERROR(__xludf.DUMMYFUNCTION("GOOGLETRANSLATE(A7471, ""en"", ""fr"")"),"PASSIONNÉ")</f>
        <v>PASSIONNÉ</v>
      </c>
      <c r="C7471" s="1" t="s">
        <v>185</v>
      </c>
      <c r="D7471" s="1" t="s">
        <v>16612</v>
      </c>
      <c r="F7471" s="1" t="s">
        <v>2</v>
      </c>
      <c r="G7471" s="1" t="s">
        <v>3</v>
      </c>
      <c r="J7471" s="1" t="s">
        <v>6</v>
      </c>
      <c r="O7471" s="1" t="s">
        <v>11</v>
      </c>
      <c r="S7471" s="1" t="s">
        <v>15</v>
      </c>
      <c r="T7471" s="1" t="s">
        <v>16</v>
      </c>
      <c r="ER7471" s="1" t="s">
        <v>144</v>
      </c>
      <c r="ES7471" s="1" t="s">
        <v>145</v>
      </c>
      <c r="GD7471" s="1" t="s">
        <v>202</v>
      </c>
      <c r="GE7471" s="1" t="s">
        <v>190</v>
      </c>
    </row>
    <row r="7472" spans="1:187" ht="11.25" customHeight="1">
      <c r="A7472" s="1" t="s">
        <v>10549</v>
      </c>
      <c r="B7472" s="1" t="str">
        <f ca="1">IFERROR(__xludf.DUMMYFUNCTION("GOOGLETRANSLATE(A7472, ""en"", ""fr"")"),"PASSIF")</f>
        <v>PASSIF</v>
      </c>
      <c r="C7472" s="1" t="s">
        <v>185</v>
      </c>
      <c r="L7472" s="1" t="s">
        <v>8</v>
      </c>
      <c r="M7472" s="1" t="s">
        <v>9</v>
      </c>
      <c r="O7472" s="1" t="s">
        <v>11</v>
      </c>
      <c r="S7472" s="1" t="s">
        <v>15</v>
      </c>
      <c r="EC7472" s="1" t="s">
        <v>129</v>
      </c>
      <c r="ED7472" s="1" t="s">
        <v>130</v>
      </c>
      <c r="GD7472" s="1" t="s">
        <v>202</v>
      </c>
      <c r="GE7472" s="1" t="s">
        <v>190</v>
      </c>
    </row>
    <row r="7473" spans="1:187" ht="11.25" customHeight="1">
      <c r="A7473" s="1" t="s">
        <v>10550</v>
      </c>
      <c r="B7473" s="1" t="str">
        <f ca="1">IFERROR(__xludf.DUMMYFUNCTION("GOOGLETRANSLATE(A7473, ""en"", ""fr"")"),"PASSEPORT")</f>
        <v>PASSEPORT</v>
      </c>
      <c r="C7473" s="1" t="s">
        <v>196</v>
      </c>
      <c r="GD7473" s="1" t="s">
        <v>193</v>
      </c>
    </row>
    <row r="7474" spans="1:187" ht="11.25" customHeight="1">
      <c r="A7474" s="1" t="s">
        <v>10551</v>
      </c>
      <c r="B7474" s="1" t="str">
        <f ca="1">IFERROR(__xludf.DUMMYFUNCTION("GOOGLETRANSLATE(A7474, ""en"", ""fr"")"),"Passé # 1")</f>
        <v>Passé # 1</v>
      </c>
      <c r="C7474" s="1" t="s">
        <v>185</v>
      </c>
      <c r="CY7474" s="1" t="s">
        <v>99</v>
      </c>
      <c r="GB7474" s="1" t="s">
        <v>180</v>
      </c>
      <c r="GD7474" s="1" t="s">
        <v>202</v>
      </c>
      <c r="GE7474" s="1" t="s">
        <v>10552</v>
      </c>
    </row>
    <row r="7475" spans="1:187" ht="11.25" customHeight="1">
      <c r="A7475" s="1" t="s">
        <v>10553</v>
      </c>
      <c r="B7475" s="1" t="str">
        <f ca="1">IFERROR(__xludf.DUMMYFUNCTION("GOOGLETRANSLATE(A7475, ""en"", ""fr"")"),"Passé # 2")</f>
        <v>Passé # 2</v>
      </c>
      <c r="C7475" s="1" t="s">
        <v>185</v>
      </c>
      <c r="DA7475" s="1" t="s">
        <v>101</v>
      </c>
      <c r="GB7475" s="1" t="s">
        <v>180</v>
      </c>
      <c r="GD7475" s="1" t="s">
        <v>215</v>
      </c>
      <c r="GE7475" s="1" t="s">
        <v>10554</v>
      </c>
    </row>
    <row r="7476" spans="1:187" ht="11.25" customHeight="1">
      <c r="A7476" s="1" t="s">
        <v>10555</v>
      </c>
      <c r="B7476" s="1" t="str">
        <f ca="1">IFERROR(__xludf.DUMMYFUNCTION("GOOGLETRANSLATE(A7476, ""en"", ""fr"")"),"Passé # 3")</f>
        <v>Passé # 3</v>
      </c>
      <c r="C7476" s="1" t="s">
        <v>185</v>
      </c>
      <c r="CQ7476" s="1" t="s">
        <v>91</v>
      </c>
      <c r="CY7476" s="1" t="s">
        <v>99</v>
      </c>
      <c r="CZ7476" s="1" t="s">
        <v>100</v>
      </c>
      <c r="GB7476" s="1" t="s">
        <v>180</v>
      </c>
      <c r="GD7476" s="1" t="s">
        <v>193</v>
      </c>
      <c r="GE7476" s="1" t="s">
        <v>10556</v>
      </c>
    </row>
    <row r="7477" spans="1:187" ht="11.25" customHeight="1">
      <c r="A7477" s="1" t="s">
        <v>10557</v>
      </c>
      <c r="B7477" s="1" t="str">
        <f ca="1">IFERROR(__xludf.DUMMYFUNCTION("GOOGLETRANSLATE(A7477, ""en"", ""fr"")"),"Passé # 4")</f>
        <v>Passé # 4</v>
      </c>
      <c r="C7477" s="1" t="s">
        <v>185</v>
      </c>
      <c r="CY7477" s="1" t="s">
        <v>99</v>
      </c>
      <c r="GB7477" s="1" t="s">
        <v>180</v>
      </c>
      <c r="GD7477" s="1" t="s">
        <v>236</v>
      </c>
      <c r="GE7477" s="1" t="s">
        <v>10558</v>
      </c>
    </row>
    <row r="7478" spans="1:187" ht="11.25" customHeight="1">
      <c r="A7478" s="1" t="s">
        <v>10559</v>
      </c>
      <c r="B7478" s="1" t="str">
        <f ca="1">IFERROR(__xludf.DUMMYFUNCTION("GOOGLETRANSLATE(A7478, ""en"", ""fr"")"),"Coller # 1")</f>
        <v>Coller # 1</v>
      </c>
      <c r="C7478" s="1" t="s">
        <v>185</v>
      </c>
      <c r="BC7478" s="1" t="s">
        <v>51</v>
      </c>
      <c r="BD7478" s="1" t="s">
        <v>52</v>
      </c>
      <c r="GD7478" s="1" t="s">
        <v>193</v>
      </c>
      <c r="GE7478" s="1" t="s">
        <v>190</v>
      </c>
    </row>
    <row r="7479" spans="1:187" ht="11.25" customHeight="1">
      <c r="A7479" s="1" t="s">
        <v>10560</v>
      </c>
      <c r="B7479" s="1" t="str">
        <f ca="1">IFERROR(__xludf.DUMMYFUNCTION("GOOGLETRANSLATE(A7479, ""en"", ""fr"")"),"Coller # 2")</f>
        <v>Coller # 2</v>
      </c>
      <c r="C7479" s="1" t="s">
        <v>185</v>
      </c>
      <c r="AL7479" s="1" t="s">
        <v>34</v>
      </c>
      <c r="DN7479" s="1" t="s">
        <v>114</v>
      </c>
      <c r="GD7479" s="1" t="s">
        <v>189</v>
      </c>
      <c r="GE7479" s="1" t="s">
        <v>190</v>
      </c>
    </row>
    <row r="7480" spans="1:187" ht="11.25" customHeight="1">
      <c r="A7480" s="1" t="s">
        <v>10561</v>
      </c>
      <c r="B7480" s="1" t="str">
        <f ca="1">IFERROR(__xludf.DUMMYFUNCTION("GOOGLETRANSLATE(A7480, ""en"", ""fr"")"),"PASTEUR")</f>
        <v>PASTEUR</v>
      </c>
      <c r="C7480" s="1" t="s">
        <v>185</v>
      </c>
      <c r="AI7480" s="1" t="s">
        <v>31</v>
      </c>
      <c r="AJ7480" s="1" t="s">
        <v>32</v>
      </c>
      <c r="AT7480" s="1" t="s">
        <v>42</v>
      </c>
      <c r="EF7480" s="1" t="s">
        <v>132</v>
      </c>
      <c r="EJ7480" s="1" t="s">
        <v>136</v>
      </c>
      <c r="GD7480" s="1" t="s">
        <v>193</v>
      </c>
      <c r="GE7480" s="1" t="s">
        <v>190</v>
      </c>
    </row>
    <row r="7481" spans="1:187" ht="11.25" customHeight="1">
      <c r="A7481" s="1" t="s">
        <v>10562</v>
      </c>
      <c r="B7481" s="1" t="str">
        <f ca="1">IFERROR(__xludf.DUMMYFUNCTION("GOOGLETRANSLATE(A7481, ""en"", ""fr"")"),"PASTORALE")</f>
        <v>PASTORALE</v>
      </c>
      <c r="C7481" s="1" t="s">
        <v>185</v>
      </c>
      <c r="AV7481" s="1" t="s">
        <v>44</v>
      </c>
      <c r="AX7481" s="1" t="s">
        <v>46</v>
      </c>
      <c r="GD7481" s="1" t="s">
        <v>202</v>
      </c>
      <c r="GE7481" s="1" t="s">
        <v>190</v>
      </c>
    </row>
    <row r="7482" spans="1:187" ht="11.25" customHeight="1">
      <c r="A7482" s="1" t="s">
        <v>10563</v>
      </c>
      <c r="B7482" s="1" t="str">
        <f ca="1">IFERROR(__xludf.DUMMYFUNCTION("GOOGLETRANSLATE(A7482, ""en"", ""fr"")"),"PÂTURAGE")</f>
        <v>PÂTURAGE</v>
      </c>
      <c r="C7482" s="1" t="s">
        <v>185</v>
      </c>
      <c r="AA7482" s="1" t="s">
        <v>23</v>
      </c>
      <c r="AV7482" s="1" t="s">
        <v>44</v>
      </c>
      <c r="BA7482" s="1" t="s">
        <v>49</v>
      </c>
      <c r="GD7482" s="1" t="s">
        <v>193</v>
      </c>
      <c r="GE7482" s="1" t="s">
        <v>190</v>
      </c>
    </row>
    <row r="7483" spans="1:187" ht="11.25" customHeight="1">
      <c r="A7483" s="1" t="s">
        <v>10564</v>
      </c>
      <c r="B7483" s="1" t="str">
        <f ca="1">IFERROR(__xludf.DUMMYFUNCTION("GOOGLETRANSLATE(A7483, ""en"", ""fr"")"),"Patch n ° 1")</f>
        <v>Patch n ° 1</v>
      </c>
      <c r="C7483" s="1" t="s">
        <v>185</v>
      </c>
      <c r="AV7483" s="1" t="s">
        <v>44</v>
      </c>
      <c r="AX7483" s="1" t="s">
        <v>46</v>
      </c>
      <c r="GD7483" s="1" t="s">
        <v>193</v>
      </c>
      <c r="GE7483" s="1" t="s">
        <v>190</v>
      </c>
    </row>
    <row r="7484" spans="1:187" ht="11.25" customHeight="1">
      <c r="A7484" s="1" t="s">
        <v>10565</v>
      </c>
      <c r="B7484" s="1" t="str">
        <f ca="1">IFERROR(__xludf.DUMMYFUNCTION("GOOGLETRANSLATE(A7484, ""en"", ""fr"")"),"Patch n ° 2")</f>
        <v>Patch n ° 2</v>
      </c>
      <c r="C7484" s="1" t="s">
        <v>185</v>
      </c>
      <c r="N7484" s="1" t="s">
        <v>10</v>
      </c>
      <c r="AL7484" s="1" t="s">
        <v>34</v>
      </c>
      <c r="DN7484" s="1" t="s">
        <v>114</v>
      </c>
      <c r="GD7484" s="1" t="s">
        <v>189</v>
      </c>
      <c r="GE7484" s="1" t="s">
        <v>190</v>
      </c>
    </row>
    <row r="7485" spans="1:187" ht="11.25" customHeight="1">
      <c r="A7485" s="1" t="s">
        <v>10566</v>
      </c>
      <c r="B7485" s="1" t="str">
        <f ca="1">IFERROR(__xludf.DUMMYFUNCTION("GOOGLETRANSLATE(A7485, ""en"", ""fr"")"),"BREVET")</f>
        <v>BREVET</v>
      </c>
      <c r="C7485" s="1" t="s">
        <v>185</v>
      </c>
      <c r="W7485" s="1" t="s">
        <v>19</v>
      </c>
      <c r="AC7485" s="1" t="s">
        <v>25</v>
      </c>
      <c r="AE7485" s="1" t="s">
        <v>27</v>
      </c>
      <c r="BC7485" s="1" t="s">
        <v>51</v>
      </c>
      <c r="BH7485" s="1" t="s">
        <v>56</v>
      </c>
      <c r="BL7485" s="1" t="s">
        <v>60</v>
      </c>
      <c r="GD7485" s="1" t="s">
        <v>193</v>
      </c>
      <c r="GE7485" s="1" t="s">
        <v>190</v>
      </c>
    </row>
    <row r="7486" spans="1:187" ht="11.25" customHeight="1">
      <c r="A7486" s="1" t="s">
        <v>10567</v>
      </c>
      <c r="B7486" s="1" t="str">
        <f ca="1">IFERROR(__xludf.DUMMYFUNCTION("GOOGLETRANSLATE(A7486, ""en"", ""fr"")"),"PATERNEL")</f>
        <v>PATERNEL</v>
      </c>
      <c r="C7486" s="1" t="s">
        <v>196</v>
      </c>
      <c r="ER7486" s="1" t="s">
        <v>144</v>
      </c>
      <c r="ES7486" s="1" t="s">
        <v>145</v>
      </c>
      <c r="GD7486" s="1" t="s">
        <v>202</v>
      </c>
    </row>
    <row r="7487" spans="1:187" ht="11.25" customHeight="1">
      <c r="A7487" s="1" t="s">
        <v>10568</v>
      </c>
      <c r="B7487" s="1" t="str">
        <f ca="1">IFERROR(__xludf.DUMMYFUNCTION("GOOGLETRANSLATE(A7487, ""en"", ""fr"")"),"PATERNALISME")</f>
        <v>PATERNALISME</v>
      </c>
      <c r="C7487" s="1" t="s">
        <v>196</v>
      </c>
      <c r="EC7487" s="1" t="s">
        <v>129</v>
      </c>
      <c r="ED7487" s="1" t="s">
        <v>130</v>
      </c>
      <c r="GD7487" s="1" t="s">
        <v>193</v>
      </c>
    </row>
    <row r="7488" spans="1:187" ht="11.25" customHeight="1">
      <c r="A7488" s="1" t="s">
        <v>10569</v>
      </c>
      <c r="B7488" s="1" t="str">
        <f ca="1">IFERROR(__xludf.DUMMYFUNCTION("GOOGLETRANSLATE(A7488, ""en"", ""fr"")"),"CHEMIN")</f>
        <v>CHEMIN</v>
      </c>
      <c r="C7488" s="1" t="s">
        <v>185</v>
      </c>
      <c r="AV7488" s="1" t="s">
        <v>44</v>
      </c>
      <c r="AY7488" s="1" t="s">
        <v>47</v>
      </c>
      <c r="FR7488" s="1" t="s">
        <v>170</v>
      </c>
      <c r="GD7488" s="1" t="s">
        <v>193</v>
      </c>
      <c r="GE7488" s="1" t="s">
        <v>10570</v>
      </c>
    </row>
    <row r="7489" spans="1:187" ht="11.25" customHeight="1">
      <c r="A7489" s="1" t="s">
        <v>10571</v>
      </c>
      <c r="B7489" s="1" t="str">
        <f ca="1">IFERROR(__xludf.DUMMYFUNCTION("GOOGLETRANSLATE(A7489, ""en"", ""fr"")"),"PATHÉTIQUE")</f>
        <v>PATHÉTIQUE</v>
      </c>
      <c r="C7489" s="1" t="s">
        <v>192</v>
      </c>
      <c r="E7489" s="1" t="s">
        <v>16613</v>
      </c>
      <c r="L7489" s="1" t="s">
        <v>8</v>
      </c>
      <c r="DR7489" s="1" t="s">
        <v>118</v>
      </c>
      <c r="GD7489" s="1" t="s">
        <v>202</v>
      </c>
      <c r="GE7489" s="1" t="s">
        <v>190</v>
      </c>
    </row>
    <row r="7490" spans="1:187" ht="11.25" customHeight="1">
      <c r="A7490" s="1" t="s">
        <v>10572</v>
      </c>
      <c r="B7490" s="1" t="str">
        <f ca="1">IFERROR(__xludf.DUMMYFUNCTION("GOOGLETRANSLATE(A7490, ""en"", ""fr"")"),"PATIENCE")</f>
        <v>PATIENCE</v>
      </c>
      <c r="C7490" s="1" t="s">
        <v>185</v>
      </c>
      <c r="D7490" s="1" t="s">
        <v>16612</v>
      </c>
      <c r="F7490" s="1" t="s">
        <v>2</v>
      </c>
      <c r="J7490" s="1" t="s">
        <v>6</v>
      </c>
      <c r="U7490" s="1" t="s">
        <v>17</v>
      </c>
      <c r="CP7490" s="1" t="s">
        <v>90</v>
      </c>
      <c r="CQ7490" s="1" t="s">
        <v>91</v>
      </c>
      <c r="GD7490" s="1" t="s">
        <v>193</v>
      </c>
      <c r="GE7490" s="1" t="s">
        <v>190</v>
      </c>
    </row>
    <row r="7491" spans="1:187" ht="11.25" customHeight="1">
      <c r="A7491" s="1" t="s">
        <v>10573</v>
      </c>
      <c r="B7491" s="1" t="str">
        <f ca="1">IFERROR(__xludf.DUMMYFUNCTION("GOOGLETRANSLATE(A7491, ""en"", ""fr"")"),"Patient n ° 1")</f>
        <v>Patient n ° 1</v>
      </c>
      <c r="C7491" s="1" t="s">
        <v>185</v>
      </c>
      <c r="L7491" s="1" t="s">
        <v>8</v>
      </c>
      <c r="M7491" s="1" t="s">
        <v>9</v>
      </c>
      <c r="O7491" s="1" t="s">
        <v>11</v>
      </c>
      <c r="AJ7491" s="1" t="s">
        <v>32</v>
      </c>
      <c r="AT7491" s="1" t="s">
        <v>42</v>
      </c>
      <c r="FB7491" s="1" t="s">
        <v>154</v>
      </c>
      <c r="FC7491" s="1" t="s">
        <v>155</v>
      </c>
      <c r="GD7491" s="1" t="s">
        <v>193</v>
      </c>
      <c r="GE7491" s="1" t="s">
        <v>10574</v>
      </c>
    </row>
    <row r="7492" spans="1:187" ht="11.25" customHeight="1">
      <c r="A7492" s="1" t="s">
        <v>10575</v>
      </c>
      <c r="B7492" s="1" t="str">
        <f ca="1">IFERROR(__xludf.DUMMYFUNCTION("GOOGLETRANSLATE(A7492, ""en"", ""fr"")"),"Patient n ° 2")</f>
        <v>Patient n ° 2</v>
      </c>
      <c r="C7492" s="1" t="s">
        <v>185</v>
      </c>
      <c r="D7492" s="1" t="s">
        <v>16612</v>
      </c>
      <c r="F7492" s="1" t="s">
        <v>2</v>
      </c>
      <c r="J7492" s="1" t="s">
        <v>6</v>
      </c>
      <c r="U7492" s="1" t="s">
        <v>17</v>
      </c>
      <c r="CN7492" s="1" t="s">
        <v>88</v>
      </c>
      <c r="FX7492" s="1" t="s">
        <v>176</v>
      </c>
      <c r="GD7492" s="1" t="s">
        <v>202</v>
      </c>
      <c r="GE7492" s="1" t="s">
        <v>10576</v>
      </c>
    </row>
    <row r="7493" spans="1:187" ht="11.25" customHeight="1">
      <c r="A7493" s="1" t="s">
        <v>10577</v>
      </c>
      <c r="B7493" s="1" t="str">
        <f ca="1">IFERROR(__xludf.DUMMYFUNCTION("GOOGLETRANSLATE(A7493, ""en"", ""fr"")"),"Patient n ° 3")</f>
        <v>Patient n ° 3</v>
      </c>
      <c r="C7493" s="1" t="s">
        <v>185</v>
      </c>
      <c r="D7493" s="1" t="s">
        <v>16612</v>
      </c>
      <c r="F7493" s="1" t="s">
        <v>2</v>
      </c>
      <c r="J7493" s="1" t="s">
        <v>6</v>
      </c>
      <c r="U7493" s="1" t="s">
        <v>17</v>
      </c>
      <c r="FX7493" s="1" t="s">
        <v>176</v>
      </c>
      <c r="GD7493" s="1" t="s">
        <v>236</v>
      </c>
      <c r="GE7493" s="1" t="s">
        <v>10578</v>
      </c>
    </row>
    <row r="7494" spans="1:187" ht="11.25" customHeight="1">
      <c r="A7494" s="1" t="s">
        <v>10579</v>
      </c>
      <c r="B7494" s="1" t="str">
        <f ca="1">IFERROR(__xludf.DUMMYFUNCTION("GOOGLETRANSLATE(A7494, ""en"", ""fr"")"),"PATRIOTE")</f>
        <v>PATRIOTE</v>
      </c>
      <c r="C7494" s="1" t="s">
        <v>192</v>
      </c>
      <c r="D7494" s="1" t="s">
        <v>16612</v>
      </c>
      <c r="G7494" s="1" t="s">
        <v>3</v>
      </c>
      <c r="AG7494" s="1" t="s">
        <v>29</v>
      </c>
      <c r="AJ7494" s="1" t="s">
        <v>32</v>
      </c>
      <c r="AT7494" s="1" t="s">
        <v>42</v>
      </c>
      <c r="GD7494" s="1" t="s">
        <v>193</v>
      </c>
      <c r="GE7494" s="1" t="s">
        <v>190</v>
      </c>
    </row>
    <row r="7495" spans="1:187" ht="11.25" customHeight="1">
      <c r="A7495" s="1" t="s">
        <v>10580</v>
      </c>
      <c r="B7495" s="1" t="str">
        <f ca="1">IFERROR(__xludf.DUMMYFUNCTION("GOOGLETRANSLATE(A7495, ""en"", ""fr"")"),"PATRIOTIQUE")</f>
        <v>PATRIOTIQUE</v>
      </c>
      <c r="C7495" s="1" t="s">
        <v>192</v>
      </c>
      <c r="D7495" s="1" t="s">
        <v>16612</v>
      </c>
      <c r="G7495" s="1" t="s">
        <v>3</v>
      </c>
      <c r="AG7495" s="1" t="s">
        <v>29</v>
      </c>
      <c r="DR7495" s="1" t="s">
        <v>118</v>
      </c>
      <c r="GD7495" s="1" t="s">
        <v>202</v>
      </c>
      <c r="GE7495" s="1" t="s">
        <v>190</v>
      </c>
    </row>
    <row r="7496" spans="1:187" ht="11.25" customHeight="1">
      <c r="A7496" s="1" t="s">
        <v>10581</v>
      </c>
      <c r="B7496" s="1" t="str">
        <f ca="1">IFERROR(__xludf.DUMMYFUNCTION("GOOGLETRANSLATE(A7496, ""en"", ""fr"")"),"PATRIOTISME")</f>
        <v>PATRIOTISME</v>
      </c>
      <c r="C7496" s="1" t="s">
        <v>196</v>
      </c>
      <c r="ER7496" s="1" t="s">
        <v>144</v>
      </c>
      <c r="ES7496" s="1" t="s">
        <v>145</v>
      </c>
      <c r="GD7496" s="1" t="s">
        <v>470</v>
      </c>
    </row>
    <row r="7497" spans="1:187" ht="11.25" customHeight="1">
      <c r="A7497" s="1" t="s">
        <v>10582</v>
      </c>
      <c r="B7497" s="1" t="str">
        <f ca="1">IFERROR(__xludf.DUMMYFUNCTION("GOOGLETRANSLATE(A7497, ""en"", ""fr"")"),"Patrouille n ° 1")</f>
        <v>Patrouille n ° 1</v>
      </c>
      <c r="C7497" s="1" t="s">
        <v>185</v>
      </c>
      <c r="J7497" s="1" t="s">
        <v>6</v>
      </c>
      <c r="K7497" s="1" t="s">
        <v>7</v>
      </c>
      <c r="AF7497" s="1" t="s">
        <v>28</v>
      </c>
      <c r="AH7497" s="1" t="s">
        <v>30</v>
      </c>
      <c r="AK7497" s="1" t="s">
        <v>33</v>
      </c>
      <c r="AT7497" s="1" t="s">
        <v>42</v>
      </c>
      <c r="DZ7497" s="1" t="s">
        <v>126</v>
      </c>
      <c r="ED7497" s="1" t="s">
        <v>130</v>
      </c>
      <c r="GD7497" s="1" t="s">
        <v>193</v>
      </c>
      <c r="GE7497" s="1" t="s">
        <v>190</v>
      </c>
    </row>
    <row r="7498" spans="1:187" ht="11.25" customHeight="1">
      <c r="A7498" s="1" t="s">
        <v>10583</v>
      </c>
      <c r="B7498" s="1" t="str">
        <f ca="1">IFERROR(__xludf.DUMMYFUNCTION("GOOGLETRANSLATE(A7498, ""en"", ""fr"")"),"Patrouille n ° 2")</f>
        <v>Patrouille n ° 2</v>
      </c>
      <c r="C7498" s="1" t="s">
        <v>185</v>
      </c>
      <c r="J7498" s="1" t="s">
        <v>6</v>
      </c>
      <c r="K7498" s="1" t="s">
        <v>7</v>
      </c>
      <c r="AF7498" s="1" t="s">
        <v>28</v>
      </c>
      <c r="CE7498" s="1" t="s">
        <v>79</v>
      </c>
      <c r="DN7498" s="1" t="s">
        <v>114</v>
      </c>
      <c r="DW7498" s="1" t="s">
        <v>123</v>
      </c>
      <c r="ED7498" s="1" t="s">
        <v>130</v>
      </c>
      <c r="GD7498" s="1" t="s">
        <v>189</v>
      </c>
      <c r="GE7498" s="1" t="s">
        <v>190</v>
      </c>
    </row>
    <row r="7499" spans="1:187" ht="11.25" customHeight="1">
      <c r="A7499" s="1" t="s">
        <v>10584</v>
      </c>
      <c r="B7499" s="1" t="str">
        <f ca="1">IFERROR(__xludf.DUMMYFUNCTION("GOOGLETRANSLATE(A7499, ""en"", ""fr"")"),"MÉCÈNE")</f>
        <v>MÉCÈNE</v>
      </c>
      <c r="C7499" s="1" t="s">
        <v>185</v>
      </c>
      <c r="D7499" s="1" t="s">
        <v>16612</v>
      </c>
      <c r="F7499" s="1" t="s">
        <v>2</v>
      </c>
      <c r="J7499" s="1" t="s">
        <v>6</v>
      </c>
      <c r="K7499" s="1" t="s">
        <v>7</v>
      </c>
      <c r="AA7499" s="1" t="s">
        <v>23</v>
      </c>
      <c r="AC7499" s="1" t="s">
        <v>25</v>
      </c>
      <c r="AJ7499" s="1" t="s">
        <v>32</v>
      </c>
      <c r="AT7499" s="1" t="s">
        <v>42</v>
      </c>
      <c r="ET7499" s="1" t="s">
        <v>146</v>
      </c>
      <c r="EW7499" s="1" t="s">
        <v>149</v>
      </c>
      <c r="GD7499" s="1" t="s">
        <v>193</v>
      </c>
      <c r="GE7499" s="1" t="s">
        <v>190</v>
      </c>
    </row>
    <row r="7500" spans="1:187" ht="11.25" customHeight="1">
      <c r="A7500" s="1" t="s">
        <v>10585</v>
      </c>
      <c r="B7500" s="1" t="str">
        <f ca="1">IFERROR(__xludf.DUMMYFUNCTION("GOOGLETRANSLATE(A7500, ""en"", ""fr"")"),"PATRONAGE")</f>
        <v>PATRONAGE</v>
      </c>
      <c r="C7500" s="1" t="s">
        <v>185</v>
      </c>
      <c r="D7500" s="1" t="s">
        <v>16612</v>
      </c>
      <c r="F7500" s="1" t="s">
        <v>2</v>
      </c>
      <c r="J7500" s="1" t="s">
        <v>6</v>
      </c>
      <c r="K7500" s="1" t="s">
        <v>7</v>
      </c>
      <c r="Z7500" s="1" t="s">
        <v>22</v>
      </c>
      <c r="AA7500" s="1" t="s">
        <v>23</v>
      </c>
      <c r="AC7500" s="1" t="s">
        <v>25</v>
      </c>
      <c r="EC7500" s="1" t="s">
        <v>129</v>
      </c>
      <c r="ED7500" s="1" t="s">
        <v>130</v>
      </c>
      <c r="GD7500" s="1" t="s">
        <v>193</v>
      </c>
      <c r="GE7500" s="1" t="s">
        <v>190</v>
      </c>
    </row>
    <row r="7501" spans="1:187" ht="11.25" customHeight="1">
      <c r="A7501" s="1" t="s">
        <v>10586</v>
      </c>
      <c r="B7501" s="1" t="str">
        <f ca="1">IFERROR(__xludf.DUMMYFUNCTION("GOOGLETRANSLATE(A7501, ""en"", ""fr"")"),"FRÉQUENTER")</f>
        <v>FRÉQUENTER</v>
      </c>
      <c r="C7501" s="1" t="s">
        <v>192</v>
      </c>
      <c r="E7501" s="1" t="s">
        <v>16613</v>
      </c>
      <c r="K7501" s="1" t="s">
        <v>7</v>
      </c>
      <c r="N7501" s="1" t="s">
        <v>10</v>
      </c>
      <c r="DN7501" s="1" t="s">
        <v>114</v>
      </c>
      <c r="GD7501" s="1" t="s">
        <v>670</v>
      </c>
      <c r="GE7501" s="1" t="s">
        <v>190</v>
      </c>
    </row>
    <row r="7502" spans="1:187" ht="11.25" customHeight="1">
      <c r="A7502" s="1" t="s">
        <v>10587</v>
      </c>
      <c r="B7502" s="1" t="str">
        <f ca="1">IFERROR(__xludf.DUMMYFUNCTION("GOOGLETRANSLATE(A7502, ""en"", ""fr"")"),"MODÈLE")</f>
        <v>MODÈLE</v>
      </c>
      <c r="C7502" s="1" t="s">
        <v>185</v>
      </c>
      <c r="BQ7502" s="1" t="s">
        <v>65</v>
      </c>
      <c r="CP7502" s="1" t="s">
        <v>90</v>
      </c>
      <c r="CQ7502" s="1" t="s">
        <v>91</v>
      </c>
      <c r="GD7502" s="1" t="s">
        <v>193</v>
      </c>
      <c r="GE7502" s="1" t="s">
        <v>10588</v>
      </c>
    </row>
    <row r="7503" spans="1:187" ht="11.25" customHeight="1">
      <c r="A7503" s="1" t="s">
        <v>10589</v>
      </c>
      <c r="B7503" s="1" t="str">
        <f ca="1">IFERROR(__xludf.DUMMYFUNCTION("GOOGLETRANSLATE(A7503, ""en"", ""fr"")"),"PAUVRE")</f>
        <v>PAUVRE</v>
      </c>
      <c r="C7503" s="1" t="s">
        <v>196</v>
      </c>
      <c r="ET7503" s="1" t="s">
        <v>146</v>
      </c>
      <c r="EW7503" s="1" t="s">
        <v>149</v>
      </c>
      <c r="GD7503" s="1" t="s">
        <v>193</v>
      </c>
    </row>
    <row r="7504" spans="1:187" ht="11.25" customHeight="1">
      <c r="A7504" s="1" t="s">
        <v>10590</v>
      </c>
      <c r="B7504" s="1" t="str">
        <f ca="1">IFERROR(__xludf.DUMMYFUNCTION("GOOGLETRANSLATE(A7504, ""en"", ""fr"")"),"Pause n ° 1")</f>
        <v>Pause n ° 1</v>
      </c>
      <c r="C7504" s="1" t="s">
        <v>185</v>
      </c>
      <c r="L7504" s="1" t="s">
        <v>8</v>
      </c>
      <c r="CY7504" s="1" t="s">
        <v>99</v>
      </c>
      <c r="GB7504" s="1" t="s">
        <v>180</v>
      </c>
      <c r="GD7504" s="1" t="s">
        <v>193</v>
      </c>
      <c r="GE7504" s="1" t="s">
        <v>190</v>
      </c>
    </row>
    <row r="7505" spans="1:187" ht="11.25" customHeight="1">
      <c r="A7505" s="1" t="s">
        <v>10591</v>
      </c>
      <c r="B7505" s="1" t="str">
        <f ca="1">IFERROR(__xludf.DUMMYFUNCTION("GOOGLETRANSLATE(A7505, ""en"", ""fr"")"),"Pause n ° 2")</f>
        <v>Pause n ° 2</v>
      </c>
      <c r="C7505" s="1" t="s">
        <v>185</v>
      </c>
      <c r="L7505" s="1" t="s">
        <v>8</v>
      </c>
      <c r="CA7505" s="1" t="s">
        <v>75</v>
      </c>
      <c r="DO7505" s="1" t="s">
        <v>115</v>
      </c>
      <c r="GB7505" s="1" t="s">
        <v>180</v>
      </c>
      <c r="GD7505" s="1" t="s">
        <v>189</v>
      </c>
      <c r="GE7505" s="1" t="s">
        <v>190</v>
      </c>
    </row>
    <row r="7506" spans="1:187" ht="11.25" customHeight="1">
      <c r="A7506" s="1" t="s">
        <v>10592</v>
      </c>
      <c r="B7506" s="1" t="str">
        <f ca="1">IFERROR(__xludf.DUMMYFUNCTION("GOOGLETRANSLATE(A7506, ""en"", ""fr"")"),"Payer n ° 1")</f>
        <v>Payer n ° 1</v>
      </c>
      <c r="C7506" s="1" t="s">
        <v>185</v>
      </c>
      <c r="N7506" s="1" t="s">
        <v>10</v>
      </c>
      <c r="AA7506" s="1" t="s">
        <v>23</v>
      </c>
      <c r="AB7506" s="1" t="s">
        <v>24</v>
      </c>
      <c r="DO7506" s="1" t="s">
        <v>115</v>
      </c>
      <c r="FN7506" s="1" t="s">
        <v>166</v>
      </c>
      <c r="GD7506" s="1" t="s">
        <v>400</v>
      </c>
      <c r="GE7506" s="1" t="s">
        <v>10593</v>
      </c>
    </row>
    <row r="7507" spans="1:187" ht="11.25" customHeight="1">
      <c r="A7507" s="1" t="s">
        <v>10594</v>
      </c>
      <c r="B7507" s="1" t="str">
        <f ca="1">IFERROR(__xludf.DUMMYFUNCTION("GOOGLETRANSLATE(A7507, ""en"", ""fr"")"),"Payer n ° 2")</f>
        <v>Payer n ° 2</v>
      </c>
      <c r="C7507" s="1" t="s">
        <v>185</v>
      </c>
      <c r="AA7507" s="1" t="s">
        <v>23</v>
      </c>
      <c r="AC7507" s="1" t="s">
        <v>25</v>
      </c>
      <c r="BK7507" s="1" t="s">
        <v>59</v>
      </c>
      <c r="BL7507" s="1" t="s">
        <v>60</v>
      </c>
      <c r="EV7507" s="1" t="s">
        <v>148</v>
      </c>
      <c r="EW7507" s="1" t="s">
        <v>149</v>
      </c>
      <c r="GD7507" s="1" t="s">
        <v>193</v>
      </c>
      <c r="GE7507" s="1" t="s">
        <v>10595</v>
      </c>
    </row>
    <row r="7508" spans="1:187" ht="11.25" customHeight="1">
      <c r="A7508" s="1" t="s">
        <v>10596</v>
      </c>
      <c r="B7508" s="1" t="str">
        <f ca="1">IFERROR(__xludf.DUMMYFUNCTION("GOOGLETRANSLATE(A7508, ""en"", ""fr"")"),"Payer n ° 3")</f>
        <v>Payer n ° 3</v>
      </c>
      <c r="C7508" s="1" t="s">
        <v>185</v>
      </c>
      <c r="N7508" s="1" t="s">
        <v>10</v>
      </c>
      <c r="CK7508" s="1" t="s">
        <v>85</v>
      </c>
      <c r="DN7508" s="1" t="s">
        <v>114</v>
      </c>
      <c r="FH7508" s="1" t="s">
        <v>160</v>
      </c>
      <c r="FI7508" s="1" t="s">
        <v>161</v>
      </c>
      <c r="GD7508" s="1" t="s">
        <v>189</v>
      </c>
      <c r="GE7508" s="1" t="s">
        <v>10597</v>
      </c>
    </row>
    <row r="7509" spans="1:187" ht="11.25" customHeight="1">
      <c r="A7509" s="1" t="s">
        <v>10598</v>
      </c>
      <c r="B7509" s="1" t="str">
        <f ca="1">IFERROR(__xludf.DUMMYFUNCTION("GOOGLETRANSLATE(A7509, ""en"", ""fr"")"),"Payer n ° 4")</f>
        <v>Payer n ° 4</v>
      </c>
      <c r="C7509" s="1" t="s">
        <v>185</v>
      </c>
      <c r="D7509" s="1" t="s">
        <v>16612</v>
      </c>
      <c r="F7509" s="1" t="s">
        <v>2</v>
      </c>
      <c r="G7509" s="1" t="s">
        <v>3</v>
      </c>
      <c r="N7509" s="1" t="s">
        <v>10</v>
      </c>
      <c r="AN7509" s="1" t="s">
        <v>36</v>
      </c>
      <c r="DN7509" s="1" t="s">
        <v>114</v>
      </c>
      <c r="FN7509" s="1" t="s">
        <v>166</v>
      </c>
      <c r="GD7509" s="1" t="s">
        <v>189</v>
      </c>
      <c r="GE7509" s="1" t="s">
        <v>10599</v>
      </c>
    </row>
    <row r="7510" spans="1:187" ht="11.25" customHeight="1">
      <c r="A7510" s="1" t="s">
        <v>10600</v>
      </c>
      <c r="B7510" s="1" t="str">
        <f ca="1">IFERROR(__xludf.DUMMYFUNCTION("GOOGLETRANSLATE(A7510, ""en"", ""fr"")"),"Payer n ° 5")</f>
        <v>Payer n ° 5</v>
      </c>
      <c r="C7510" s="1" t="s">
        <v>185</v>
      </c>
      <c r="L7510" s="1" t="s">
        <v>8</v>
      </c>
      <c r="M7510" s="1" t="s">
        <v>9</v>
      </c>
      <c r="N7510" s="1" t="s">
        <v>10</v>
      </c>
      <c r="AN7510" s="1" t="s">
        <v>36</v>
      </c>
      <c r="DN7510" s="1" t="s">
        <v>114</v>
      </c>
      <c r="EK7510" s="1" t="s">
        <v>137</v>
      </c>
      <c r="EN7510" s="1" t="s">
        <v>140</v>
      </c>
      <c r="GD7510" s="1" t="s">
        <v>189</v>
      </c>
      <c r="GE7510" s="1" t="s">
        <v>10601</v>
      </c>
    </row>
    <row r="7511" spans="1:187" ht="11.25" customHeight="1">
      <c r="A7511" s="1" t="s">
        <v>10602</v>
      </c>
      <c r="B7511" s="1" t="str">
        <f ca="1">IFERROR(__xludf.DUMMYFUNCTION("GOOGLETRANSLATE(A7511, ""en"", ""fr"")"),"Payer n ° 6")</f>
        <v>Payer n ° 6</v>
      </c>
      <c r="C7511" s="1" t="s">
        <v>185</v>
      </c>
      <c r="AA7511" s="1" t="s">
        <v>23</v>
      </c>
      <c r="AB7511" s="1" t="s">
        <v>24</v>
      </c>
      <c r="EV7511" s="1" t="s">
        <v>148</v>
      </c>
      <c r="EW7511" s="1" t="s">
        <v>149</v>
      </c>
      <c r="GD7511" s="1" t="s">
        <v>202</v>
      </c>
      <c r="GE7511" s="1" t="s">
        <v>10603</v>
      </c>
    </row>
    <row r="7512" spans="1:187" ht="11.25" customHeight="1">
      <c r="A7512" s="1" t="s">
        <v>10604</v>
      </c>
      <c r="B7512" s="1" t="str">
        <f ca="1">IFERROR(__xludf.DUMMYFUNCTION("GOOGLETRANSLATE(A7512, ""en"", ""fr"")"),"Payer n ° 7")</f>
        <v>Payer n ° 7</v>
      </c>
      <c r="C7512" s="1" t="s">
        <v>185</v>
      </c>
      <c r="GD7512" s="1" t="s">
        <v>225</v>
      </c>
      <c r="GE7512" s="1" t="s">
        <v>10605</v>
      </c>
    </row>
    <row r="7513" spans="1:187" ht="11.25" customHeight="1">
      <c r="A7513" s="1" t="s">
        <v>10606</v>
      </c>
      <c r="B7513" s="1" t="str">
        <f ca="1">IFERROR(__xludf.DUMMYFUNCTION("GOOGLETRANSLATE(A7513, ""en"", ""fr"")"),"PAYABLE")</f>
        <v>PAYABLE</v>
      </c>
      <c r="C7513" s="1" t="s">
        <v>196</v>
      </c>
      <c r="FN7513" s="1" t="s">
        <v>166</v>
      </c>
      <c r="GD7513" s="1" t="s">
        <v>202</v>
      </c>
    </row>
    <row r="7514" spans="1:187" ht="11.25" customHeight="1">
      <c r="A7514" s="1" t="s">
        <v>10607</v>
      </c>
      <c r="B7514" s="1" t="str">
        <f ca="1">IFERROR(__xludf.DUMMYFUNCTION("GOOGLETRANSLATE(A7514, ""en"", ""fr"")"),"PAYEUR")</f>
        <v>PAYEUR</v>
      </c>
      <c r="C7514" s="1" t="s">
        <v>185</v>
      </c>
      <c r="AA7514" s="1" t="s">
        <v>23</v>
      </c>
      <c r="AC7514" s="1" t="s">
        <v>25</v>
      </c>
      <c r="AJ7514" s="1" t="s">
        <v>32</v>
      </c>
      <c r="AT7514" s="1" t="s">
        <v>42</v>
      </c>
      <c r="ET7514" s="1" t="s">
        <v>146</v>
      </c>
      <c r="EW7514" s="1" t="s">
        <v>149</v>
      </c>
      <c r="GD7514" s="1" t="s">
        <v>193</v>
      </c>
      <c r="GE7514" s="1" t="s">
        <v>190</v>
      </c>
    </row>
    <row r="7515" spans="1:187" ht="11.25" customHeight="1">
      <c r="A7515" s="1" t="s">
        <v>10608</v>
      </c>
      <c r="B7515" s="1" t="str">
        <f ca="1">IFERROR(__xludf.DUMMYFUNCTION("GOOGLETRANSLATE(A7515, ""en"", ""fr"")"),"PAIEMENT")</f>
        <v>PAIEMENT</v>
      </c>
      <c r="C7515" s="1" t="s">
        <v>185</v>
      </c>
      <c r="AA7515" s="1" t="s">
        <v>23</v>
      </c>
      <c r="AC7515" s="1" t="s">
        <v>25</v>
      </c>
      <c r="BQ7515" s="1" t="s">
        <v>65</v>
      </c>
      <c r="EU7515" s="1" t="s">
        <v>147</v>
      </c>
      <c r="EW7515" s="1" t="s">
        <v>149</v>
      </c>
      <c r="GD7515" s="1" t="s">
        <v>193</v>
      </c>
      <c r="GE7515" s="1" t="s">
        <v>10609</v>
      </c>
    </row>
    <row r="7516" spans="1:187" ht="11.25" customHeight="1">
      <c r="A7516" s="1" t="s">
        <v>10610</v>
      </c>
      <c r="B7516" s="1" t="str">
        <f ca="1">IFERROR(__xludf.DUMMYFUNCTION("GOOGLETRANSLATE(A7516, ""en"", ""fr"")"),"PAIE")</f>
        <v>PAIE</v>
      </c>
      <c r="C7516" s="1" t="s">
        <v>185</v>
      </c>
      <c r="AA7516" s="1" t="s">
        <v>23</v>
      </c>
      <c r="AC7516" s="1" t="s">
        <v>25</v>
      </c>
      <c r="BQ7516" s="1" t="s">
        <v>65</v>
      </c>
      <c r="EV7516" s="1" t="s">
        <v>148</v>
      </c>
      <c r="EW7516" s="1" t="s">
        <v>149</v>
      </c>
      <c r="GD7516" s="1" t="s">
        <v>193</v>
      </c>
      <c r="GE7516" s="1" t="s">
        <v>190</v>
      </c>
    </row>
    <row r="7517" spans="1:187" ht="11.25" customHeight="1">
      <c r="A7517" s="1" t="s">
        <v>10611</v>
      </c>
      <c r="B7517" s="1" t="str">
        <f ca="1">IFERROR(__xludf.DUMMYFUNCTION("GOOGLETRANSLATE(A7517, ""en"", ""fr"")"),"POIS")</f>
        <v>POIS</v>
      </c>
      <c r="C7517" s="1" t="s">
        <v>185</v>
      </c>
      <c r="BC7517" s="1" t="s">
        <v>51</v>
      </c>
      <c r="BE7517" s="1" t="s">
        <v>53</v>
      </c>
      <c r="GD7517" s="1" t="s">
        <v>193</v>
      </c>
      <c r="GE7517" s="1" t="s">
        <v>190</v>
      </c>
    </row>
    <row r="7518" spans="1:187" ht="11.25" customHeight="1">
      <c r="A7518" s="1" t="s">
        <v>10612</v>
      </c>
      <c r="B7518" s="1" t="str">
        <f ca="1">IFERROR(__xludf.DUMMYFUNCTION("GOOGLETRANSLATE(A7518, ""en"", ""fr"")"),"Paix # 1")</f>
        <v>Paix # 1</v>
      </c>
      <c r="C7518" s="1" t="s">
        <v>185</v>
      </c>
      <c r="D7518" s="1" t="s">
        <v>16612</v>
      </c>
      <c r="F7518" s="1" t="s">
        <v>2</v>
      </c>
      <c r="G7518" s="1" t="s">
        <v>3</v>
      </c>
      <c r="O7518" s="1" t="s">
        <v>11</v>
      </c>
      <c r="U7518" s="1" t="s">
        <v>17</v>
      </c>
      <c r="AH7518" s="1" t="s">
        <v>30</v>
      </c>
      <c r="CP7518" s="1" t="s">
        <v>90</v>
      </c>
      <c r="CQ7518" s="1" t="s">
        <v>91</v>
      </c>
      <c r="EC7518" s="1" t="s">
        <v>129</v>
      </c>
      <c r="ED7518" s="1" t="s">
        <v>130</v>
      </c>
      <c r="GD7518" s="1" t="s">
        <v>193</v>
      </c>
      <c r="GE7518" s="1" t="s">
        <v>10613</v>
      </c>
    </row>
    <row r="7519" spans="1:187" ht="11.25" customHeight="1">
      <c r="A7519" s="1" t="s">
        <v>10614</v>
      </c>
      <c r="B7519" s="1" t="str">
        <f ca="1">IFERROR(__xludf.DUMMYFUNCTION("GOOGLETRANSLATE(A7519, ""en"", ""fr"")"),"Paix # 2")</f>
        <v>Paix # 2</v>
      </c>
      <c r="C7519" s="1" t="s">
        <v>185</v>
      </c>
      <c r="D7519" s="1" t="s">
        <v>16612</v>
      </c>
      <c r="F7519" s="1" t="s">
        <v>2</v>
      </c>
      <c r="G7519" s="1" t="s">
        <v>3</v>
      </c>
      <c r="N7519" s="1" t="s">
        <v>10</v>
      </c>
      <c r="AN7519" s="1" t="s">
        <v>36</v>
      </c>
      <c r="DN7519" s="1" t="s">
        <v>114</v>
      </c>
      <c r="DX7519" s="1" t="s">
        <v>124</v>
      </c>
      <c r="ED7519" s="1" t="s">
        <v>130</v>
      </c>
      <c r="GD7519" s="1" t="s">
        <v>189</v>
      </c>
      <c r="GE7519" s="1" t="s">
        <v>10615</v>
      </c>
    </row>
    <row r="7520" spans="1:187" ht="11.25" customHeight="1">
      <c r="A7520" s="1" t="s">
        <v>10616</v>
      </c>
      <c r="B7520" s="1" t="str">
        <f ca="1">IFERROR(__xludf.DUMMYFUNCTION("GOOGLETRANSLATE(A7520, ""en"", ""fr"")"),"Paix # 3")</f>
        <v>Paix # 3</v>
      </c>
      <c r="C7520" s="1" t="s">
        <v>185</v>
      </c>
      <c r="GD7520" s="1" t="s">
        <v>225</v>
      </c>
      <c r="GE7520" s="1" t="s">
        <v>10617</v>
      </c>
    </row>
    <row r="7521" spans="1:187" ht="11.25" customHeight="1">
      <c r="A7521" s="1" t="s">
        <v>10618</v>
      </c>
      <c r="B7521" s="1" t="str">
        <f ca="1">IFERROR(__xludf.DUMMYFUNCTION("GOOGLETRANSLATE(A7521, ""en"", ""fr"")"),"PAISIBLE")</f>
        <v>PAISIBLE</v>
      </c>
      <c r="C7521" s="1" t="s">
        <v>185</v>
      </c>
      <c r="D7521" s="1" t="s">
        <v>16612</v>
      </c>
      <c r="S7521" s="1" t="s">
        <v>15</v>
      </c>
      <c r="U7521" s="1" t="s">
        <v>17</v>
      </c>
      <c r="DR7521" s="1" t="s">
        <v>118</v>
      </c>
      <c r="EC7521" s="1" t="s">
        <v>129</v>
      </c>
      <c r="ED7521" s="1" t="s">
        <v>130</v>
      </c>
      <c r="GD7521" s="1" t="s">
        <v>202</v>
      </c>
      <c r="GE7521" s="1" t="s">
        <v>190</v>
      </c>
    </row>
    <row r="7522" spans="1:187" ht="11.25" customHeight="1">
      <c r="A7522" s="1" t="s">
        <v>10619</v>
      </c>
      <c r="B7522" s="1" t="str">
        <f ca="1">IFERROR(__xludf.DUMMYFUNCTION("GOOGLETRANSLATE(A7522, ""en"", ""fr"")"),"PACIFIQUE")</f>
        <v>PACIFIQUE</v>
      </c>
      <c r="C7522" s="1" t="s">
        <v>185</v>
      </c>
      <c r="D7522" s="1" t="s">
        <v>16612</v>
      </c>
      <c r="F7522" s="1" t="s">
        <v>2</v>
      </c>
      <c r="G7522" s="1" t="s">
        <v>3</v>
      </c>
      <c r="O7522" s="1" t="s">
        <v>11</v>
      </c>
      <c r="U7522" s="1" t="s">
        <v>17</v>
      </c>
      <c r="CN7522" s="1" t="s">
        <v>88</v>
      </c>
      <c r="DW7522" s="1" t="s">
        <v>123</v>
      </c>
      <c r="ED7522" s="1" t="s">
        <v>130</v>
      </c>
      <c r="GD7522" s="1" t="s">
        <v>202</v>
      </c>
      <c r="GE7522" s="1" t="s">
        <v>10620</v>
      </c>
    </row>
    <row r="7523" spans="1:187" ht="11.25" customHeight="1">
      <c r="A7523" s="1" t="s">
        <v>10621</v>
      </c>
      <c r="B7523" s="1" t="str">
        <f ca="1">IFERROR(__xludf.DUMMYFUNCTION("GOOGLETRANSLATE(A7523, ""en"", ""fr"")"),"TEMPS DE PAIX")</f>
        <v>TEMPS DE PAIX</v>
      </c>
      <c r="C7523" s="1" t="s">
        <v>196</v>
      </c>
      <c r="DX7523" s="1" t="s">
        <v>124</v>
      </c>
      <c r="ED7523" s="1" t="s">
        <v>130</v>
      </c>
      <c r="GD7523" s="1" t="s">
        <v>193</v>
      </c>
    </row>
    <row r="7524" spans="1:187" ht="11.25" customHeight="1">
      <c r="A7524" s="1" t="s">
        <v>10622</v>
      </c>
      <c r="B7524" s="1" t="str">
        <f ca="1">IFERROR(__xludf.DUMMYFUNCTION("GOOGLETRANSLATE(A7524, ""en"", ""fr"")"),"PAON")</f>
        <v>PAON</v>
      </c>
      <c r="C7524" s="1" t="s">
        <v>185</v>
      </c>
      <c r="AU7524" s="1" t="s">
        <v>43</v>
      </c>
      <c r="GD7524" s="1" t="s">
        <v>193</v>
      </c>
      <c r="GE7524" s="1" t="s">
        <v>190</v>
      </c>
    </row>
    <row r="7525" spans="1:187" ht="11.25" customHeight="1">
      <c r="A7525" s="1" t="s">
        <v>10623</v>
      </c>
      <c r="B7525" s="1" t="str">
        <f ca="1">IFERROR(__xludf.DUMMYFUNCTION("GOOGLETRANSLATE(A7525, ""en"", ""fr"")"),"Pic n ° 1")</f>
        <v>Pic n ° 1</v>
      </c>
      <c r="C7525" s="1" t="s">
        <v>185</v>
      </c>
      <c r="AV7525" s="1" t="s">
        <v>44</v>
      </c>
      <c r="BA7525" s="1" t="s">
        <v>49</v>
      </c>
      <c r="GD7525" s="1" t="s">
        <v>193</v>
      </c>
      <c r="GE7525" s="1" t="s">
        <v>190</v>
      </c>
    </row>
    <row r="7526" spans="1:187" ht="11.25" customHeight="1">
      <c r="A7526" s="1" t="s">
        <v>10624</v>
      </c>
      <c r="B7526" s="1" t="str">
        <f ca="1">IFERROR(__xludf.DUMMYFUNCTION("GOOGLETRANSLATE(A7526, ""en"", ""fr"")"),"PEOP # 2")</f>
        <v>PEOP # 2</v>
      </c>
      <c r="C7526" s="1" t="s">
        <v>185</v>
      </c>
      <c r="J7526" s="1" t="s">
        <v>6</v>
      </c>
      <c r="CB7526" s="1" t="s">
        <v>76</v>
      </c>
      <c r="DN7526" s="1" t="s">
        <v>114</v>
      </c>
      <c r="GD7526" s="1" t="s">
        <v>189</v>
      </c>
      <c r="GE7526" s="1" t="s">
        <v>190</v>
      </c>
    </row>
    <row r="7527" spans="1:187" ht="11.25" customHeight="1">
      <c r="A7527" s="1" t="s">
        <v>10625</v>
      </c>
      <c r="B7527" s="1" t="str">
        <f ca="1">IFERROR(__xludf.DUMMYFUNCTION("GOOGLETRANSLATE(A7527, ""en"", ""fr"")"),"PERLE")</f>
        <v>PERLE</v>
      </c>
      <c r="C7527" s="1" t="s">
        <v>185</v>
      </c>
      <c r="BC7527" s="1" t="s">
        <v>51</v>
      </c>
      <c r="BD7527" s="1" t="s">
        <v>52</v>
      </c>
      <c r="GD7527" s="1" t="s">
        <v>193</v>
      </c>
      <c r="GE7527" s="1" t="s">
        <v>190</v>
      </c>
    </row>
    <row r="7528" spans="1:187" ht="11.25" customHeight="1">
      <c r="A7528" s="1" t="s">
        <v>10626</v>
      </c>
      <c r="B7528" s="1" t="str">
        <f ca="1">IFERROR(__xludf.DUMMYFUNCTION("GOOGLETRANSLATE(A7528, ""en"", ""fr"")"),"PAYSAN")</f>
        <v>PAYSAN</v>
      </c>
      <c r="C7528" s="1" t="s">
        <v>185</v>
      </c>
      <c r="L7528" s="1" t="s">
        <v>8</v>
      </c>
      <c r="M7528" s="1" t="s">
        <v>9</v>
      </c>
      <c r="AA7528" s="1" t="s">
        <v>23</v>
      </c>
      <c r="AC7528" s="1" t="s">
        <v>25</v>
      </c>
      <c r="AH7528" s="1" t="s">
        <v>30</v>
      </c>
      <c r="AJ7528" s="1" t="s">
        <v>32</v>
      </c>
      <c r="AT7528" s="1" t="s">
        <v>42</v>
      </c>
      <c r="EM7528" s="1" t="s">
        <v>139</v>
      </c>
      <c r="EN7528" s="1" t="s">
        <v>140</v>
      </c>
      <c r="GD7528" s="1" t="s">
        <v>193</v>
      </c>
      <c r="GE7528" s="1" t="s">
        <v>10627</v>
      </c>
    </row>
    <row r="7529" spans="1:187" ht="11.25" customHeight="1">
      <c r="A7529" s="1" t="s">
        <v>10628</v>
      </c>
      <c r="B7529" s="1" t="str">
        <f ca="1">IFERROR(__xludf.DUMMYFUNCTION("GOOGLETRANSLATE(A7529, ""en"", ""fr"")"),"PARTICULIER")</f>
        <v>PARTICULIER</v>
      </c>
      <c r="C7529" s="1" t="s">
        <v>185</v>
      </c>
      <c r="E7529" s="1" t="s">
        <v>16613</v>
      </c>
      <c r="H7529" s="1" t="s">
        <v>4</v>
      </c>
      <c r="V7529" s="1" t="s">
        <v>18</v>
      </c>
      <c r="CN7529" s="1" t="s">
        <v>88</v>
      </c>
      <c r="GD7529" s="1" t="s">
        <v>202</v>
      </c>
      <c r="GE7529" s="1" t="s">
        <v>190</v>
      </c>
    </row>
    <row r="7530" spans="1:187" ht="11.25" customHeight="1">
      <c r="A7530" s="1" t="s">
        <v>10629</v>
      </c>
      <c r="B7530" s="1" t="str">
        <f ca="1">IFERROR(__xludf.DUMMYFUNCTION("GOOGLETRANSLATE(A7530, ""en"", ""fr"")"),"PÉCUNIAIRE")</f>
        <v>PÉCUNIAIRE</v>
      </c>
      <c r="C7530" s="1" t="s">
        <v>196</v>
      </c>
      <c r="EV7530" s="1" t="s">
        <v>148</v>
      </c>
      <c r="EW7530" s="1" t="s">
        <v>149</v>
      </c>
      <c r="GD7530" s="1" t="s">
        <v>202</v>
      </c>
    </row>
    <row r="7531" spans="1:187" ht="11.25" customHeight="1">
      <c r="A7531" s="1" t="s">
        <v>10630</v>
      </c>
      <c r="B7531" s="1" t="str">
        <f ca="1">IFERROR(__xludf.DUMMYFUNCTION("GOOGLETRANSLATE(A7531, ""en"", ""fr"")"),"Peler n ° 1")</f>
        <v>Peler n ° 1</v>
      </c>
      <c r="C7531" s="1" t="s">
        <v>185</v>
      </c>
      <c r="CR7531" s="1" t="s">
        <v>92</v>
      </c>
      <c r="GD7531" s="1" t="s">
        <v>202</v>
      </c>
      <c r="GE7531" s="1" t="s">
        <v>190</v>
      </c>
    </row>
    <row r="7532" spans="1:187" ht="11.25" customHeight="1">
      <c r="A7532" s="1" t="s">
        <v>10631</v>
      </c>
      <c r="B7532" s="1" t="str">
        <f ca="1">IFERROR(__xludf.DUMMYFUNCTION("GOOGLETRANSLATE(A7532, ""en"", ""fr"")"),"Peler n ° 2")</f>
        <v>Peler n ° 2</v>
      </c>
      <c r="C7532" s="1" t="s">
        <v>185</v>
      </c>
      <c r="N7532" s="1" t="s">
        <v>10</v>
      </c>
      <c r="AL7532" s="1" t="s">
        <v>34</v>
      </c>
      <c r="DO7532" s="1" t="s">
        <v>115</v>
      </c>
      <c r="GD7532" s="1" t="s">
        <v>189</v>
      </c>
      <c r="GE7532" s="1" t="s">
        <v>190</v>
      </c>
    </row>
    <row r="7533" spans="1:187" ht="11.25" customHeight="1">
      <c r="A7533" s="1" t="s">
        <v>10632</v>
      </c>
      <c r="B7533" s="1" t="str">
        <f ca="1">IFERROR(__xludf.DUMMYFUNCTION("GOOGLETRANSLATE(A7533, ""en"", ""fr"")"),"PAIR")</f>
        <v>PAIR</v>
      </c>
      <c r="C7533" s="1" t="s">
        <v>185</v>
      </c>
      <c r="AJ7533" s="1" t="s">
        <v>32</v>
      </c>
      <c r="AT7533" s="1" t="s">
        <v>42</v>
      </c>
      <c r="EM7533" s="1" t="s">
        <v>139</v>
      </c>
      <c r="EN7533" s="1" t="s">
        <v>140</v>
      </c>
      <c r="GD7533" s="1" t="s">
        <v>193</v>
      </c>
      <c r="GE7533" s="1" t="s">
        <v>190</v>
      </c>
    </row>
    <row r="7534" spans="1:187" ht="11.25" customHeight="1">
      <c r="A7534" s="1" t="s">
        <v>10633</v>
      </c>
      <c r="B7534" s="1" t="str">
        <f ca="1">IFERROR(__xludf.DUMMYFUNCTION("GOOGLETRANSLATE(A7534, ""en"", ""fr"")"),"HORS PAIR")</f>
        <v>HORS PAIR</v>
      </c>
      <c r="C7534" s="1" t="s">
        <v>192</v>
      </c>
      <c r="D7534" s="1" t="s">
        <v>16612</v>
      </c>
      <c r="W7534" s="1" t="s">
        <v>19</v>
      </c>
      <c r="CS7534" s="1" t="s">
        <v>93</v>
      </c>
      <c r="DQ7534" s="1" t="s">
        <v>117</v>
      </c>
      <c r="GD7534" s="1" t="s">
        <v>202</v>
      </c>
      <c r="GE7534" s="1" t="s">
        <v>190</v>
      </c>
    </row>
    <row r="7535" spans="1:187" ht="11.25" customHeight="1">
      <c r="A7535" s="1" t="s">
        <v>10634</v>
      </c>
      <c r="B7535" s="1" t="str">
        <f ca="1">IFERROR(__xludf.DUMMYFUNCTION("GOOGLETRANSLATE(A7535, ""en"", ""fr"")"),"PELVIEN")</f>
        <v>PELVIEN</v>
      </c>
      <c r="C7535" s="1" t="s">
        <v>185</v>
      </c>
      <c r="BJ7535" s="1" t="s">
        <v>58</v>
      </c>
      <c r="GD7535" s="1" t="s">
        <v>202</v>
      </c>
      <c r="GE7535" s="1" t="s">
        <v>190</v>
      </c>
    </row>
    <row r="7536" spans="1:187" ht="11.25" customHeight="1">
      <c r="A7536" s="1" t="s">
        <v>10635</v>
      </c>
      <c r="B7536" s="1" t="str">
        <f ca="1">IFERROR(__xludf.DUMMYFUNCTION("GOOGLETRANSLATE(A7536, ""en"", ""fr"")"),"BASSIN")</f>
        <v>BASSIN</v>
      </c>
      <c r="C7536" s="1" t="s">
        <v>185</v>
      </c>
      <c r="BJ7536" s="1" t="s">
        <v>58</v>
      </c>
      <c r="GD7536" s="1" t="s">
        <v>193</v>
      </c>
      <c r="GE7536" s="1" t="s">
        <v>190</v>
      </c>
    </row>
    <row r="7537" spans="1:187" ht="11.25" customHeight="1">
      <c r="A7537" s="1" t="s">
        <v>10636</v>
      </c>
      <c r="B7537" s="1" t="str">
        <f ca="1">IFERROR(__xludf.DUMMYFUNCTION("GOOGLETRANSLATE(A7537, ""en"", ""fr"")"),"STYLO")</f>
        <v>STYLO</v>
      </c>
      <c r="C7537" s="1" t="s">
        <v>185</v>
      </c>
      <c r="BC7537" s="1" t="s">
        <v>51</v>
      </c>
      <c r="BD7537" s="1" t="s">
        <v>52</v>
      </c>
      <c r="BL7537" s="1" t="s">
        <v>60</v>
      </c>
      <c r="GD7537" s="1" t="s">
        <v>193</v>
      </c>
      <c r="GE7537" s="1" t="s">
        <v>190</v>
      </c>
    </row>
    <row r="7538" spans="1:187" ht="11.25" customHeight="1">
      <c r="A7538" s="1" t="s">
        <v>10637</v>
      </c>
      <c r="B7538" s="1" t="str">
        <f ca="1">IFERROR(__xludf.DUMMYFUNCTION("GOOGLETRANSLATE(A7538, ""en"", ""fr"")"),"PÉNAL")</f>
        <v>PÉNAL</v>
      </c>
      <c r="C7538" s="1" t="s">
        <v>196</v>
      </c>
      <c r="EC7538" s="1" t="s">
        <v>129</v>
      </c>
      <c r="ED7538" s="1" t="s">
        <v>130</v>
      </c>
      <c r="GD7538" s="1" t="s">
        <v>202</v>
      </c>
    </row>
    <row r="7539" spans="1:187" ht="11.25" customHeight="1">
      <c r="A7539" s="1" t="s">
        <v>10638</v>
      </c>
      <c r="B7539" s="1" t="str">
        <f ca="1">IFERROR(__xludf.DUMMYFUNCTION("GOOGLETRANSLATE(A7539, ""en"", ""fr"")"),"PEINE")</f>
        <v>PEINE</v>
      </c>
      <c r="C7539" s="1" t="s">
        <v>185</v>
      </c>
      <c r="I7539" s="1" t="s">
        <v>5</v>
      </c>
      <c r="V7539" s="1" t="s">
        <v>18</v>
      </c>
      <c r="AE7539" s="1" t="s">
        <v>27</v>
      </c>
      <c r="EE7539" s="1" t="s">
        <v>131</v>
      </c>
      <c r="EJ7539" s="1" t="s">
        <v>136</v>
      </c>
      <c r="GD7539" s="1" t="s">
        <v>193</v>
      </c>
      <c r="GE7539" s="1" t="s">
        <v>190</v>
      </c>
    </row>
    <row r="7540" spans="1:187" ht="11.25" customHeight="1">
      <c r="A7540" s="1" t="s">
        <v>10639</v>
      </c>
      <c r="B7540" s="1" t="str">
        <f ca="1">IFERROR(__xludf.DUMMYFUNCTION("GOOGLETRANSLATE(A7540, ""en"", ""fr"")"),"CRAYON")</f>
        <v>CRAYON</v>
      </c>
      <c r="C7540" s="1" t="s">
        <v>185</v>
      </c>
      <c r="BC7540" s="1" t="s">
        <v>51</v>
      </c>
      <c r="BD7540" s="1" t="s">
        <v>52</v>
      </c>
      <c r="BL7540" s="1" t="s">
        <v>60</v>
      </c>
      <c r="GD7540" s="1" t="s">
        <v>193</v>
      </c>
      <c r="GE7540" s="1" t="s">
        <v>190</v>
      </c>
    </row>
    <row r="7541" spans="1:187" ht="11.25" customHeight="1">
      <c r="A7541" s="1" t="s">
        <v>10640</v>
      </c>
      <c r="B7541" s="1" t="str">
        <f ca="1">IFERROR(__xludf.DUMMYFUNCTION("GOOGLETRANSLATE(A7541, ""en"", ""fr"")"),"Pend # 1")</f>
        <v>Pend # 1</v>
      </c>
      <c r="C7541" s="1" t="s">
        <v>185</v>
      </c>
      <c r="O7541" s="1" t="s">
        <v>11</v>
      </c>
      <c r="CY7541" s="1" t="s">
        <v>99</v>
      </c>
      <c r="FZ7541" s="1" t="s">
        <v>178</v>
      </c>
      <c r="GD7541" s="1" t="s">
        <v>202</v>
      </c>
      <c r="GE7541" s="1" t="s">
        <v>190</v>
      </c>
    </row>
    <row r="7542" spans="1:187" ht="11.25" customHeight="1">
      <c r="A7542" s="1" t="s">
        <v>10641</v>
      </c>
      <c r="B7542" s="1" t="str">
        <f ca="1">IFERROR(__xludf.DUMMYFUNCTION("GOOGLETRANSLATE(A7542, ""en"", ""fr"")"),"Pend # 2")</f>
        <v>Pend # 2</v>
      </c>
      <c r="C7542" s="1" t="s">
        <v>185</v>
      </c>
      <c r="O7542" s="1" t="s">
        <v>11</v>
      </c>
      <c r="BW7542" s="1" t="s">
        <v>71</v>
      </c>
      <c r="DN7542" s="1" t="s">
        <v>114</v>
      </c>
      <c r="FZ7542" s="1" t="s">
        <v>178</v>
      </c>
      <c r="GD7542" s="1" t="s">
        <v>189</v>
      </c>
      <c r="GE7542" s="1" t="s">
        <v>190</v>
      </c>
    </row>
    <row r="7543" spans="1:187" ht="11.25" customHeight="1">
      <c r="A7543" s="1" t="s">
        <v>10642</v>
      </c>
      <c r="B7543" s="1" t="str">
        <f ca="1">IFERROR(__xludf.DUMMYFUNCTION("GOOGLETRANSLATE(A7543, ""en"", ""fr"")"),"PÉNÉTRER")</f>
        <v>PÉNÉTRER</v>
      </c>
      <c r="C7543" s="1" t="s">
        <v>185</v>
      </c>
      <c r="I7543" s="1" t="s">
        <v>5</v>
      </c>
      <c r="J7543" s="1" t="s">
        <v>6</v>
      </c>
      <c r="N7543" s="1" t="s">
        <v>10</v>
      </c>
      <c r="CC7543" s="1" t="s">
        <v>77</v>
      </c>
      <c r="DN7543" s="1" t="s">
        <v>114</v>
      </c>
      <c r="EC7543" s="1" t="s">
        <v>129</v>
      </c>
      <c r="ED7543" s="1" t="s">
        <v>130</v>
      </c>
      <c r="GD7543" s="1" t="s">
        <v>189</v>
      </c>
      <c r="GE7543" s="1" t="s">
        <v>190</v>
      </c>
    </row>
    <row r="7544" spans="1:187" ht="11.25" customHeight="1">
      <c r="A7544" s="1" t="s">
        <v>10643</v>
      </c>
      <c r="B7544" s="1" t="str">
        <f ca="1">IFERROR(__xludf.DUMMYFUNCTION("GOOGLETRANSLATE(A7544, ""en"", ""fr"")"),"PÉNÉTRATION")</f>
        <v>PÉNÉTRATION</v>
      </c>
      <c r="C7544" s="1" t="s">
        <v>185</v>
      </c>
      <c r="I7544" s="1" t="s">
        <v>5</v>
      </c>
      <c r="J7544" s="1" t="s">
        <v>6</v>
      </c>
      <c r="N7544" s="1" t="s">
        <v>10</v>
      </c>
      <c r="DA7544" s="1" t="s">
        <v>101</v>
      </c>
      <c r="EC7544" s="1" t="s">
        <v>129</v>
      </c>
      <c r="ED7544" s="1" t="s">
        <v>130</v>
      </c>
      <c r="GD7544" s="1" t="s">
        <v>193</v>
      </c>
      <c r="GE7544" s="1" t="s">
        <v>190</v>
      </c>
    </row>
    <row r="7545" spans="1:187" ht="11.25" customHeight="1">
      <c r="A7545" s="1" t="s">
        <v>10644</v>
      </c>
      <c r="B7545" s="1" t="str">
        <f ca="1">IFERROR(__xludf.DUMMYFUNCTION("GOOGLETRANSLATE(A7545, ""en"", ""fr"")"),"PÉNINSULE")</f>
        <v>PÉNINSULE</v>
      </c>
      <c r="C7545" s="1" t="s">
        <v>196</v>
      </c>
      <c r="DV7545" s="1" t="s">
        <v>122</v>
      </c>
      <c r="ED7545" s="1" t="s">
        <v>130</v>
      </c>
      <c r="GD7545" s="1" t="s">
        <v>3319</v>
      </c>
    </row>
    <row r="7546" spans="1:187" ht="11.25" customHeight="1">
      <c r="A7546" s="1" t="s">
        <v>10645</v>
      </c>
      <c r="B7546" s="1" t="str">
        <f ca="1">IFERROR(__xludf.DUMMYFUNCTION("GOOGLETRANSLATE(A7546, ""en"", ""fr"")"),"PENNSYLVANIE")</f>
        <v>PENNSYLVANIE</v>
      </c>
      <c r="C7546" s="1" t="s">
        <v>185</v>
      </c>
      <c r="AC7546" s="1" t="s">
        <v>25</v>
      </c>
      <c r="AH7546" s="1" t="s">
        <v>30</v>
      </c>
      <c r="DI7546" s="1" t="s">
        <v>109</v>
      </c>
      <c r="GD7546" s="1" t="s">
        <v>193</v>
      </c>
      <c r="GE7546" s="1" t="s">
        <v>190</v>
      </c>
    </row>
    <row r="7547" spans="1:187" ht="11.25" customHeight="1">
      <c r="A7547" s="1" t="s">
        <v>10646</v>
      </c>
      <c r="B7547" s="1" t="str">
        <f ca="1">IFERROR(__xludf.DUMMYFUNCTION("GOOGLETRANSLATE(A7547, ""en"", ""fr"")"),"PENNY")</f>
        <v>PENNY</v>
      </c>
      <c r="C7547" s="1" t="s">
        <v>196</v>
      </c>
      <c r="EV7547" s="1" t="s">
        <v>148</v>
      </c>
      <c r="EW7547" s="1" t="s">
        <v>149</v>
      </c>
      <c r="GD7547" s="1" t="s">
        <v>193</v>
      </c>
    </row>
    <row r="7548" spans="1:187" ht="11.25" customHeight="1">
      <c r="A7548" s="1" t="s">
        <v>10647</v>
      </c>
      <c r="B7548" s="1" t="str">
        <f ca="1">IFERROR(__xludf.DUMMYFUNCTION("GOOGLETRANSLATE(A7548, ""en"", ""fr"")"),"PENSION")</f>
        <v>PENSION</v>
      </c>
      <c r="C7548" s="1" t="s">
        <v>185</v>
      </c>
      <c r="AA7548" s="1" t="s">
        <v>23</v>
      </c>
      <c r="AC7548" s="1" t="s">
        <v>25</v>
      </c>
      <c r="BC7548" s="1" t="s">
        <v>51</v>
      </c>
      <c r="BH7548" s="1" t="s">
        <v>56</v>
      </c>
      <c r="BL7548" s="1" t="s">
        <v>60</v>
      </c>
      <c r="EV7548" s="1" t="s">
        <v>148</v>
      </c>
      <c r="EW7548" s="1" t="s">
        <v>149</v>
      </c>
      <c r="GD7548" s="1" t="s">
        <v>193</v>
      </c>
      <c r="GE7548" s="1" t="s">
        <v>190</v>
      </c>
    </row>
    <row r="7549" spans="1:187" ht="11.25" customHeight="1">
      <c r="A7549" s="1" t="s">
        <v>10648</v>
      </c>
      <c r="B7549" s="1" t="str">
        <f ca="1">IFERROR(__xludf.DUMMYFUNCTION("GOOGLETRANSLATE(A7549, ""en"", ""fr"")"),"PENTAGONE")</f>
        <v>PENTAGONE</v>
      </c>
      <c r="C7549" s="1" t="s">
        <v>185</v>
      </c>
      <c r="AC7549" s="1" t="s">
        <v>25</v>
      </c>
      <c r="AF7549" s="1" t="s">
        <v>28</v>
      </c>
      <c r="AH7549" s="1" t="s">
        <v>30</v>
      </c>
      <c r="DI7549" s="1" t="s">
        <v>109</v>
      </c>
      <c r="DY7549" s="1" t="s">
        <v>125</v>
      </c>
      <c r="ED7549" s="1" t="s">
        <v>130</v>
      </c>
      <c r="GD7549" s="1" t="s">
        <v>193</v>
      </c>
      <c r="GE7549" s="1" t="s">
        <v>190</v>
      </c>
    </row>
    <row r="7550" spans="1:187" ht="11.25" customHeight="1">
      <c r="A7550" s="1" t="s">
        <v>10649</v>
      </c>
      <c r="B7550" s="1" t="str">
        <f ca="1">IFERROR(__xludf.DUMMYFUNCTION("GOOGLETRANSLATE(A7550, ""en"", ""fr"")"),"PIVOINE")</f>
        <v>PIVOINE</v>
      </c>
      <c r="C7550" s="1" t="s">
        <v>185</v>
      </c>
      <c r="BC7550" s="1" t="s">
        <v>51</v>
      </c>
      <c r="BI7550" s="1" t="s">
        <v>57</v>
      </c>
      <c r="GD7550" s="1" t="s">
        <v>193</v>
      </c>
      <c r="GE7550" s="1" t="s">
        <v>190</v>
      </c>
    </row>
    <row r="7551" spans="1:187" ht="11.25" customHeight="1">
      <c r="A7551" s="1" t="s">
        <v>10650</v>
      </c>
      <c r="B7551" s="1" t="str">
        <f ca="1">IFERROR(__xludf.DUMMYFUNCTION("GOOGLETRANSLATE(A7551, ""en"", ""fr"")"),"Les gens # 1")</f>
        <v>Les gens # 1</v>
      </c>
      <c r="C7551" s="1" t="s">
        <v>185</v>
      </c>
      <c r="AK7551" s="1" t="s">
        <v>33</v>
      </c>
      <c r="AT7551" s="1" t="s">
        <v>42</v>
      </c>
      <c r="FS7551" s="1" t="s">
        <v>171</v>
      </c>
      <c r="GD7551" s="1" t="s">
        <v>193</v>
      </c>
      <c r="GE7551" s="1" t="s">
        <v>10651</v>
      </c>
    </row>
    <row r="7552" spans="1:187" ht="11.25" customHeight="1">
      <c r="A7552" s="1" t="s">
        <v>10652</v>
      </c>
      <c r="B7552" s="1" t="str">
        <f ca="1">IFERROR(__xludf.DUMMYFUNCTION("GOOGLETRANSLATE(A7552, ""en"", ""fr"")"),"People # 2")</f>
        <v>People # 2</v>
      </c>
      <c r="C7552" s="1" t="s">
        <v>185</v>
      </c>
      <c r="BX7552" s="1" t="s">
        <v>72</v>
      </c>
      <c r="DO7552" s="1" t="s">
        <v>115</v>
      </c>
      <c r="GD7552" s="1" t="s">
        <v>189</v>
      </c>
      <c r="GE7552" s="1" t="s">
        <v>10653</v>
      </c>
    </row>
    <row r="7553" spans="1:187" ht="11.25" customHeight="1">
      <c r="A7553" s="1" t="s">
        <v>10654</v>
      </c>
      <c r="B7553" s="1" t="str">
        <f ca="1">IFERROR(__xludf.DUMMYFUNCTION("GOOGLETRANSLATE(A7553, ""en"", ""fr"")"),"PAR")</f>
        <v>PAR</v>
      </c>
      <c r="C7553" s="1" t="s">
        <v>185</v>
      </c>
      <c r="GD7553" s="1" t="s">
        <v>215</v>
      </c>
      <c r="GE7553" s="1" t="s">
        <v>190</v>
      </c>
    </row>
    <row r="7554" spans="1:187" ht="11.25" customHeight="1">
      <c r="A7554" s="1" t="s">
        <v>10655</v>
      </c>
      <c r="B7554" s="1" t="str">
        <f ca="1">IFERROR(__xludf.DUMMYFUNCTION("GOOGLETRANSLATE(A7554, ""en"", ""fr"")"),"PERCEVOIR")</f>
        <v>PERCEVOIR</v>
      </c>
      <c r="C7554" s="1" t="s">
        <v>185</v>
      </c>
      <c r="O7554" s="1" t="s">
        <v>11</v>
      </c>
      <c r="CK7554" s="1" t="s">
        <v>85</v>
      </c>
      <c r="DN7554" s="1" t="s">
        <v>114</v>
      </c>
      <c r="FD7554" s="1" t="s">
        <v>156</v>
      </c>
      <c r="FI7554" s="1" t="s">
        <v>161</v>
      </c>
      <c r="GD7554" s="1" t="s">
        <v>189</v>
      </c>
      <c r="GE7554" s="1" t="s">
        <v>190</v>
      </c>
    </row>
    <row r="7555" spans="1:187" ht="11.25" customHeight="1">
      <c r="A7555" s="1" t="s">
        <v>10656</v>
      </c>
      <c r="B7555" s="1" t="str">
        <f ca="1">IFERROR(__xludf.DUMMYFUNCTION("GOOGLETRANSLATE(A7555, ""en"", ""fr"")"),"POUR CENT")</f>
        <v>POUR CENT</v>
      </c>
      <c r="C7555" s="1" t="s">
        <v>185</v>
      </c>
      <c r="CS7555" s="1" t="s">
        <v>93</v>
      </c>
      <c r="GD7555" s="1" t="s">
        <v>193</v>
      </c>
      <c r="GE7555" s="1" t="s">
        <v>190</v>
      </c>
    </row>
    <row r="7556" spans="1:187" ht="11.25" customHeight="1">
      <c r="A7556" s="1" t="s">
        <v>10657</v>
      </c>
      <c r="B7556" s="1" t="str">
        <f ca="1">IFERROR(__xludf.DUMMYFUNCTION("GOOGLETRANSLATE(A7556, ""en"", ""fr"")"),"POURCENTAGE")</f>
        <v>POURCENTAGE</v>
      </c>
      <c r="C7556" s="1" t="s">
        <v>185</v>
      </c>
      <c r="CS7556" s="1" t="s">
        <v>93</v>
      </c>
      <c r="GD7556" s="1" t="s">
        <v>193</v>
      </c>
      <c r="GE7556" s="1" t="s">
        <v>190</v>
      </c>
    </row>
    <row r="7557" spans="1:187" ht="11.25" customHeight="1">
      <c r="A7557" s="1" t="s">
        <v>10658</v>
      </c>
      <c r="B7557" s="1" t="str">
        <f ca="1">IFERROR(__xludf.DUMMYFUNCTION("GOOGLETRANSLATE(A7557, ""en"", ""fr"")"),"PERCEPTION")</f>
        <v>PERCEPTION</v>
      </c>
      <c r="C7557" s="1" t="s">
        <v>185</v>
      </c>
      <c r="O7557" s="1" t="s">
        <v>11</v>
      </c>
      <c r="CK7557" s="1" t="s">
        <v>85</v>
      </c>
      <c r="FH7557" s="1" t="s">
        <v>160</v>
      </c>
      <c r="FI7557" s="1" t="s">
        <v>161</v>
      </c>
      <c r="GD7557" s="1" t="s">
        <v>193</v>
      </c>
      <c r="GE7557" s="1" t="s">
        <v>190</v>
      </c>
    </row>
    <row r="7558" spans="1:187" ht="11.25" customHeight="1">
      <c r="A7558" s="1" t="s">
        <v>10659</v>
      </c>
      <c r="B7558" s="1" t="str">
        <f ca="1">IFERROR(__xludf.DUMMYFUNCTION("GOOGLETRANSLATE(A7558, ""en"", ""fr"")"),"Parfait # 1")</f>
        <v>Parfait # 1</v>
      </c>
      <c r="C7558" s="1" t="s">
        <v>185</v>
      </c>
      <c r="D7558" s="1" t="s">
        <v>16612</v>
      </c>
      <c r="F7558" s="1" t="s">
        <v>2</v>
      </c>
      <c r="J7558" s="1" t="s">
        <v>6</v>
      </c>
      <c r="U7558" s="1" t="s">
        <v>17</v>
      </c>
      <c r="W7558" s="1" t="s">
        <v>19</v>
      </c>
      <c r="FR7558" s="1" t="s">
        <v>170</v>
      </c>
      <c r="GD7558" s="1" t="s">
        <v>236</v>
      </c>
      <c r="GE7558" s="1" t="s">
        <v>10660</v>
      </c>
    </row>
    <row r="7559" spans="1:187" ht="11.25" customHeight="1">
      <c r="A7559" s="1" t="s">
        <v>10661</v>
      </c>
      <c r="B7559" s="1" t="str">
        <f ca="1">IFERROR(__xludf.DUMMYFUNCTION("GOOGLETRANSLATE(A7559, ""en"", ""fr"")"),"Parfait # 2")</f>
        <v>Parfait # 2</v>
      </c>
      <c r="C7559" s="1" t="s">
        <v>185</v>
      </c>
      <c r="D7559" s="1" t="s">
        <v>16612</v>
      </c>
      <c r="F7559" s="1" t="s">
        <v>2</v>
      </c>
      <c r="J7559" s="1" t="s">
        <v>6</v>
      </c>
      <c r="U7559" s="1" t="s">
        <v>17</v>
      </c>
      <c r="W7559" s="1" t="s">
        <v>19</v>
      </c>
      <c r="CN7559" s="1" t="s">
        <v>88</v>
      </c>
      <c r="FR7559" s="1" t="s">
        <v>170</v>
      </c>
      <c r="GD7559" s="1" t="s">
        <v>202</v>
      </c>
      <c r="GE7559" s="1" t="s">
        <v>10662</v>
      </c>
    </row>
    <row r="7560" spans="1:187" ht="11.25" customHeight="1">
      <c r="A7560" s="1" t="s">
        <v>10663</v>
      </c>
      <c r="B7560" s="1" t="str">
        <f ca="1">IFERROR(__xludf.DUMMYFUNCTION("GOOGLETRANSLATE(A7560, ""en"", ""fr"")"),"Parfait # 3")</f>
        <v>Parfait # 3</v>
      </c>
      <c r="C7560" s="1" t="s">
        <v>185</v>
      </c>
      <c r="D7560" s="1" t="s">
        <v>16612</v>
      </c>
      <c r="F7560" s="1" t="s">
        <v>2</v>
      </c>
      <c r="J7560" s="1" t="s">
        <v>6</v>
      </c>
      <c r="N7560" s="1" t="s">
        <v>10</v>
      </c>
      <c r="BS7560" s="1" t="s">
        <v>67</v>
      </c>
      <c r="DN7560" s="1" t="s">
        <v>114</v>
      </c>
      <c r="FN7560" s="1" t="s">
        <v>166</v>
      </c>
      <c r="GD7560" s="1" t="s">
        <v>189</v>
      </c>
      <c r="GE7560" s="1" t="s">
        <v>10664</v>
      </c>
    </row>
    <row r="7561" spans="1:187" ht="11.25" customHeight="1">
      <c r="A7561" s="1" t="s">
        <v>10665</v>
      </c>
      <c r="B7561" s="1" t="str">
        <f ca="1">IFERROR(__xludf.DUMMYFUNCTION("GOOGLETRANSLATE(A7561, ""en"", ""fr"")"),"LA PERFECTION")</f>
        <v>LA PERFECTION</v>
      </c>
      <c r="C7561" s="1" t="s">
        <v>192</v>
      </c>
      <c r="D7561" s="1" t="s">
        <v>16612</v>
      </c>
      <c r="U7561" s="1" t="s">
        <v>17</v>
      </c>
      <c r="W7561" s="1" t="s">
        <v>19</v>
      </c>
      <c r="BO7561" s="1" t="s">
        <v>63</v>
      </c>
      <c r="BS7561" s="1" t="s">
        <v>67</v>
      </c>
      <c r="GD7561" s="1" t="s">
        <v>193</v>
      </c>
      <c r="GE7561" s="1" t="s">
        <v>190</v>
      </c>
    </row>
    <row r="7562" spans="1:187" ht="11.25" customHeight="1">
      <c r="A7562" s="1" t="s">
        <v>10666</v>
      </c>
      <c r="B7562" s="1" t="str">
        <f ca="1">IFERROR(__xludf.DUMMYFUNCTION("GOOGLETRANSLATE(A7562, ""en"", ""fr"")"),"Perfectionnisme")</f>
        <v>Perfectionnisme</v>
      </c>
      <c r="C7562" s="1" t="s">
        <v>192</v>
      </c>
      <c r="D7562" s="1" t="s">
        <v>16612</v>
      </c>
      <c r="W7562" s="1" t="s">
        <v>19</v>
      </c>
      <c r="Z7562" s="1" t="s">
        <v>22</v>
      </c>
      <c r="AL7562" s="1" t="s">
        <v>34</v>
      </c>
      <c r="GD7562" s="1" t="s">
        <v>193</v>
      </c>
      <c r="GE7562" s="1" t="s">
        <v>190</v>
      </c>
    </row>
    <row r="7563" spans="1:187" ht="11.25" customHeight="1">
      <c r="A7563" s="1" t="s">
        <v>10667</v>
      </c>
      <c r="B7563" s="1" t="str">
        <f ca="1">IFERROR(__xludf.DUMMYFUNCTION("GOOGLETRANSLATE(A7563, ""en"", ""fr"")"),"Perfectionniste")</f>
        <v>Perfectionniste</v>
      </c>
      <c r="C7563" s="1" t="s">
        <v>192</v>
      </c>
      <c r="D7563" s="1" t="s">
        <v>16612</v>
      </c>
      <c r="W7563" s="1" t="s">
        <v>19</v>
      </c>
      <c r="AJ7563" s="1" t="s">
        <v>32</v>
      </c>
      <c r="AL7563" s="1" t="s">
        <v>34</v>
      </c>
      <c r="AT7563" s="1" t="s">
        <v>42</v>
      </c>
      <c r="GD7563" s="1" t="s">
        <v>193</v>
      </c>
      <c r="GE7563" s="1" t="s">
        <v>190</v>
      </c>
    </row>
    <row r="7564" spans="1:187" ht="11.25" customHeight="1">
      <c r="A7564" s="1" t="s">
        <v>10668</v>
      </c>
      <c r="B7564" s="1" t="str">
        <f ca="1">IFERROR(__xludf.DUMMYFUNCTION("GOOGLETRANSLATE(A7564, ""en"", ""fr"")"),"EFFECTUER")</f>
        <v>EFFECTUER</v>
      </c>
      <c r="C7564" s="1" t="s">
        <v>185</v>
      </c>
      <c r="N7564" s="1" t="s">
        <v>10</v>
      </c>
      <c r="AD7564" s="1" t="s">
        <v>26</v>
      </c>
      <c r="BK7564" s="1" t="s">
        <v>59</v>
      </c>
      <c r="DO7564" s="1" t="s">
        <v>115</v>
      </c>
      <c r="FL7564" s="1" t="s">
        <v>164</v>
      </c>
      <c r="FM7564" s="1" t="s">
        <v>418</v>
      </c>
      <c r="GD7564" s="1" t="s">
        <v>189</v>
      </c>
      <c r="GE7564" s="1" t="s">
        <v>190</v>
      </c>
    </row>
    <row r="7565" spans="1:187" ht="11.25" customHeight="1">
      <c r="A7565" s="1" t="s">
        <v>10669</v>
      </c>
      <c r="B7565" s="1" t="str">
        <f ca="1">IFERROR(__xludf.DUMMYFUNCTION("GOOGLETRANSLATE(A7565, ""en"", ""fr"")"),"PERFORMANCE")</f>
        <v>PERFORMANCE</v>
      </c>
      <c r="C7565" s="1" t="s">
        <v>185</v>
      </c>
      <c r="N7565" s="1" t="s">
        <v>10</v>
      </c>
      <c r="AD7565" s="1" t="s">
        <v>26</v>
      </c>
      <c r="AM7565" s="1" t="s">
        <v>35</v>
      </c>
      <c r="FL7565" s="1" t="s">
        <v>164</v>
      </c>
      <c r="FM7565" s="1" t="s">
        <v>418</v>
      </c>
      <c r="GD7565" s="1" t="s">
        <v>193</v>
      </c>
      <c r="GE7565" s="1" t="s">
        <v>190</v>
      </c>
    </row>
    <row r="7566" spans="1:187" ht="11.25" customHeight="1">
      <c r="A7566" s="1" t="s">
        <v>10670</v>
      </c>
      <c r="B7566" s="1" t="str">
        <f ca="1">IFERROR(__xludf.DUMMYFUNCTION("GOOGLETRANSLATE(A7566, ""en"", ""fr"")"),"INTERPRÈTE")</f>
        <v>INTERPRÈTE</v>
      </c>
      <c r="C7566" s="1" t="s">
        <v>185</v>
      </c>
      <c r="N7566" s="1" t="s">
        <v>10</v>
      </c>
      <c r="AD7566" s="1" t="s">
        <v>26</v>
      </c>
      <c r="AJ7566" s="1" t="s">
        <v>32</v>
      </c>
      <c r="AT7566" s="1" t="s">
        <v>42</v>
      </c>
      <c r="FK7566" s="1" t="s">
        <v>163</v>
      </c>
      <c r="FM7566" s="1" t="s">
        <v>418</v>
      </c>
      <c r="GD7566" s="1" t="s">
        <v>193</v>
      </c>
      <c r="GE7566" s="1" t="s">
        <v>190</v>
      </c>
    </row>
    <row r="7567" spans="1:187" ht="11.25" customHeight="1">
      <c r="A7567" s="1" t="s">
        <v>10671</v>
      </c>
      <c r="B7567" s="1" t="str">
        <f ca="1">IFERROR(__xludf.DUMMYFUNCTION("GOOGLETRANSLATE(A7567, ""en"", ""fr"")"),"PARFUM")</f>
        <v>PARFUM</v>
      </c>
      <c r="C7567" s="1" t="s">
        <v>185</v>
      </c>
      <c r="D7567" s="1" t="s">
        <v>16612</v>
      </c>
      <c r="F7567" s="1" t="s">
        <v>2</v>
      </c>
      <c r="CR7567" s="1" t="s">
        <v>92</v>
      </c>
      <c r="GD7567" s="1" t="s">
        <v>193</v>
      </c>
      <c r="GE7567" s="1" t="s">
        <v>190</v>
      </c>
    </row>
    <row r="7568" spans="1:187" ht="11.25" customHeight="1">
      <c r="A7568" s="1" t="s">
        <v>10672</v>
      </c>
      <c r="B7568" s="1" t="str">
        <f ca="1">IFERROR(__xludf.DUMMYFUNCTION("GOOGLETRANSLATE(A7568, ""en"", ""fr"")"),"PEUT-ÊTRE")</f>
        <v>PEUT-ÊTRE</v>
      </c>
      <c r="C7568" s="1" t="s">
        <v>185</v>
      </c>
      <c r="X7568" s="1" t="s">
        <v>20</v>
      </c>
      <c r="CH7568" s="1" t="s">
        <v>82</v>
      </c>
      <c r="FZ7568" s="1" t="s">
        <v>178</v>
      </c>
      <c r="GD7568" s="1" t="s">
        <v>236</v>
      </c>
      <c r="GE7568" s="1" t="s">
        <v>10673</v>
      </c>
    </row>
    <row r="7569" spans="1:187" ht="11.25" customHeight="1">
      <c r="A7569" s="1" t="s">
        <v>10674</v>
      </c>
      <c r="B7569" s="1" t="str">
        <f ca="1">IFERROR(__xludf.DUMMYFUNCTION("GOOGLETRANSLATE(A7569, ""en"", ""fr"")"),"PÉRIL")</f>
        <v>PÉRIL</v>
      </c>
      <c r="C7569" s="1" t="s">
        <v>192</v>
      </c>
      <c r="E7569" s="1" t="s">
        <v>16613</v>
      </c>
      <c r="CM7569" s="1" t="s">
        <v>87</v>
      </c>
      <c r="CR7569" s="1" t="s">
        <v>92</v>
      </c>
      <c r="GD7569" s="1" t="s">
        <v>193</v>
      </c>
      <c r="GE7569" s="1" t="s">
        <v>190</v>
      </c>
    </row>
    <row r="7570" spans="1:187" ht="11.25" customHeight="1">
      <c r="A7570" s="1" t="s">
        <v>10675</v>
      </c>
      <c r="B7570" s="1" t="str">
        <f ca="1">IFERROR(__xludf.DUMMYFUNCTION("GOOGLETRANSLATE(A7570, ""en"", ""fr"")"),"PÉRILLEUX")</f>
        <v>PÉRILLEUX</v>
      </c>
      <c r="C7570" s="1" t="s">
        <v>185</v>
      </c>
      <c r="E7570" s="1" t="s">
        <v>16613</v>
      </c>
      <c r="H7570" s="1" t="s">
        <v>4</v>
      </c>
      <c r="V7570" s="1" t="s">
        <v>18</v>
      </c>
      <c r="CN7570" s="1" t="s">
        <v>88</v>
      </c>
      <c r="DR7570" s="1" t="s">
        <v>118</v>
      </c>
      <c r="FW7570" s="1" t="s">
        <v>175</v>
      </c>
      <c r="GD7570" s="1" t="s">
        <v>202</v>
      </c>
      <c r="GE7570" s="1" t="s">
        <v>190</v>
      </c>
    </row>
    <row r="7571" spans="1:187" ht="11.25" customHeight="1">
      <c r="A7571" s="1" t="s">
        <v>10676</v>
      </c>
      <c r="B7571" s="1" t="str">
        <f ca="1">IFERROR(__xludf.DUMMYFUNCTION("GOOGLETRANSLATE(A7571, ""en"", ""fr"")"),"PÉRIODE")</f>
        <v>PÉRIODE</v>
      </c>
      <c r="C7571" s="1" t="s">
        <v>185</v>
      </c>
      <c r="CQ7571" s="1" t="s">
        <v>91</v>
      </c>
      <c r="CY7571" s="1" t="s">
        <v>99</v>
      </c>
      <c r="CZ7571" s="1" t="s">
        <v>100</v>
      </c>
      <c r="GB7571" s="1" t="s">
        <v>180</v>
      </c>
      <c r="GD7571" s="1" t="s">
        <v>193</v>
      </c>
      <c r="GE7571" s="1" t="s">
        <v>10677</v>
      </c>
    </row>
    <row r="7572" spans="1:187" ht="11.25" customHeight="1">
      <c r="A7572" s="1" t="s">
        <v>10678</v>
      </c>
      <c r="B7572" s="1" t="str">
        <f ca="1">IFERROR(__xludf.DUMMYFUNCTION("GOOGLETRANSLATE(A7572, ""en"", ""fr"")"),"PÉRIR")</f>
        <v>PÉRIR</v>
      </c>
      <c r="C7572" s="1" t="s">
        <v>185</v>
      </c>
      <c r="E7572" s="1" t="s">
        <v>16613</v>
      </c>
      <c r="BU7572" s="1" t="s">
        <v>69</v>
      </c>
      <c r="BZ7572" s="1" t="s">
        <v>74</v>
      </c>
      <c r="DN7572" s="1" t="s">
        <v>114</v>
      </c>
      <c r="EZ7572" s="1" t="s">
        <v>152</v>
      </c>
      <c r="FC7572" s="1" t="s">
        <v>155</v>
      </c>
      <c r="GD7572" s="1" t="s">
        <v>189</v>
      </c>
      <c r="GE7572" s="1" t="s">
        <v>190</v>
      </c>
    </row>
    <row r="7573" spans="1:187" ht="11.25" customHeight="1">
      <c r="A7573" s="1" t="s">
        <v>10679</v>
      </c>
      <c r="B7573" s="1" t="str">
        <f ca="1">IFERROR(__xludf.DUMMYFUNCTION("GOOGLETRANSLATE(A7573, ""en"", ""fr"")"),"PÉRISSABLE")</f>
        <v>PÉRISSABLE</v>
      </c>
      <c r="C7573" s="1" t="s">
        <v>196</v>
      </c>
      <c r="EZ7573" s="1" t="s">
        <v>152</v>
      </c>
      <c r="FC7573" s="1" t="s">
        <v>155</v>
      </c>
      <c r="GD7573" s="1" t="s">
        <v>202</v>
      </c>
    </row>
    <row r="7574" spans="1:187" ht="11.25" customHeight="1">
      <c r="A7574" s="1" t="s">
        <v>10680</v>
      </c>
      <c r="B7574" s="1" t="str">
        <f ca="1">IFERROR(__xludf.DUMMYFUNCTION("GOOGLETRANSLATE(A7574, ""en"", ""fr"")"),"LA PERMANENCE")</f>
        <v>LA PERMANENCE</v>
      </c>
      <c r="C7574" s="1" t="s">
        <v>196</v>
      </c>
      <c r="GD7574" s="1" t="s">
        <v>193</v>
      </c>
    </row>
    <row r="7575" spans="1:187" ht="11.25" customHeight="1">
      <c r="A7575" s="1" t="s">
        <v>10681</v>
      </c>
      <c r="B7575" s="1" t="str">
        <f ca="1">IFERROR(__xludf.DUMMYFUNCTION("GOOGLETRANSLATE(A7575, ""en"", ""fr"")"),"PERMANENT")</f>
        <v>PERMANENT</v>
      </c>
      <c r="C7575" s="1" t="s">
        <v>185</v>
      </c>
      <c r="J7575" s="1" t="s">
        <v>6</v>
      </c>
      <c r="X7575" s="1" t="s">
        <v>20</v>
      </c>
      <c r="BR7575" s="1" t="s">
        <v>66</v>
      </c>
      <c r="GB7575" s="1" t="s">
        <v>180</v>
      </c>
      <c r="GD7575" s="1" t="s">
        <v>202</v>
      </c>
      <c r="GE7575" s="1" t="s">
        <v>190</v>
      </c>
    </row>
    <row r="7576" spans="1:187" ht="11.25" customHeight="1">
      <c r="A7576" s="1" t="s">
        <v>10682</v>
      </c>
      <c r="B7576" s="1" t="str">
        <f ca="1">IFERROR(__xludf.DUMMYFUNCTION("GOOGLETRANSLATE(A7576, ""en"", ""fr"")"),"PERMIS")</f>
        <v>PERMIS</v>
      </c>
      <c r="C7576" s="1" t="s">
        <v>196</v>
      </c>
      <c r="EC7576" s="1" t="s">
        <v>129</v>
      </c>
      <c r="ED7576" s="1" t="s">
        <v>130</v>
      </c>
      <c r="GD7576" s="1" t="s">
        <v>202</v>
      </c>
    </row>
    <row r="7577" spans="1:187" ht="11.25" customHeight="1">
      <c r="A7577" s="1" t="s">
        <v>10683</v>
      </c>
      <c r="B7577" s="1" t="str">
        <f ca="1">IFERROR(__xludf.DUMMYFUNCTION("GOOGLETRANSLATE(A7577, ""en"", ""fr"")"),"AUTORISATION")</f>
        <v>AUTORISATION</v>
      </c>
      <c r="C7577" s="1" t="s">
        <v>185</v>
      </c>
      <c r="D7577" s="1" t="s">
        <v>16612</v>
      </c>
      <c r="F7577" s="1" t="s">
        <v>2</v>
      </c>
      <c r="J7577" s="1" t="s">
        <v>6</v>
      </c>
      <c r="K7577" s="1" t="s">
        <v>7</v>
      </c>
      <c r="O7577" s="1" t="s">
        <v>11</v>
      </c>
      <c r="BK7577" s="1" t="s">
        <v>59</v>
      </c>
      <c r="BL7577" s="1" t="s">
        <v>60</v>
      </c>
      <c r="EC7577" s="1" t="s">
        <v>129</v>
      </c>
      <c r="ED7577" s="1" t="s">
        <v>130</v>
      </c>
      <c r="GC7577" s="1" t="s">
        <v>181</v>
      </c>
      <c r="GD7577" s="1" t="s">
        <v>193</v>
      </c>
      <c r="GE7577" s="1" t="s">
        <v>190</v>
      </c>
    </row>
    <row r="7578" spans="1:187" ht="11.25" customHeight="1">
      <c r="A7578" s="1" t="s">
        <v>10684</v>
      </c>
      <c r="B7578" s="1" t="str">
        <f ca="1">IFERROR(__xludf.DUMMYFUNCTION("GOOGLETRANSLATE(A7578, ""en"", ""fr"")"),"Permis n ° 1")</f>
        <v>Permis n ° 1</v>
      </c>
      <c r="C7578" s="1" t="s">
        <v>185</v>
      </c>
      <c r="D7578" s="1" t="s">
        <v>16612</v>
      </c>
      <c r="F7578" s="1" t="s">
        <v>2</v>
      </c>
      <c r="J7578" s="1" t="s">
        <v>6</v>
      </c>
      <c r="K7578" s="1" t="s">
        <v>7</v>
      </c>
      <c r="O7578" s="1" t="s">
        <v>11</v>
      </c>
      <c r="AN7578" s="1" t="s">
        <v>36</v>
      </c>
      <c r="DN7578" s="1" t="s">
        <v>114</v>
      </c>
      <c r="DS7578" s="1" t="s">
        <v>119</v>
      </c>
      <c r="ED7578" s="1" t="s">
        <v>130</v>
      </c>
      <c r="GD7578" s="1" t="s">
        <v>400</v>
      </c>
      <c r="GE7578" s="1" t="s">
        <v>10685</v>
      </c>
    </row>
    <row r="7579" spans="1:187" ht="11.25" customHeight="1">
      <c r="A7579" s="1" t="s">
        <v>10686</v>
      </c>
      <c r="B7579" s="1" t="str">
        <f ca="1">IFERROR(__xludf.DUMMYFUNCTION("GOOGLETRANSLATE(A7579, ""en"", ""fr"")"),"Permis n ° 2")</f>
        <v>Permis n ° 2</v>
      </c>
      <c r="C7579" s="1" t="s">
        <v>185</v>
      </c>
      <c r="K7579" s="1" t="s">
        <v>7</v>
      </c>
      <c r="AE7579" s="1" t="s">
        <v>27</v>
      </c>
      <c r="BC7579" s="1" t="s">
        <v>51</v>
      </c>
      <c r="BH7579" s="1" t="s">
        <v>56</v>
      </c>
      <c r="BL7579" s="1" t="s">
        <v>60</v>
      </c>
      <c r="EC7579" s="1" t="s">
        <v>129</v>
      </c>
      <c r="ED7579" s="1" t="s">
        <v>130</v>
      </c>
      <c r="GD7579" s="1" t="s">
        <v>193</v>
      </c>
      <c r="GE7579" s="1" t="s">
        <v>10687</v>
      </c>
    </row>
    <row r="7580" spans="1:187" ht="11.25" customHeight="1">
      <c r="A7580" s="1" t="s">
        <v>10688</v>
      </c>
      <c r="B7580" s="1" t="str">
        <f ca="1">IFERROR(__xludf.DUMMYFUNCTION("GOOGLETRANSLATE(A7580, ""en"", ""fr"")"),"PERNICIEUX")</f>
        <v>PERNICIEUX</v>
      </c>
      <c r="C7580" s="1" t="s">
        <v>196</v>
      </c>
      <c r="FW7580" s="1" t="s">
        <v>175</v>
      </c>
      <c r="GD7580" s="1" t="s">
        <v>202</v>
      </c>
    </row>
    <row r="7581" spans="1:187" ht="11.25" customHeight="1">
      <c r="A7581" s="1" t="s">
        <v>10689</v>
      </c>
      <c r="B7581" s="1" t="str">
        <f ca="1">IFERROR(__xludf.DUMMYFUNCTION("GOOGLETRANSLATE(A7581, ""en"", ""fr"")"),"PERPÉTUEL")</f>
        <v>PERPÉTUEL</v>
      </c>
      <c r="C7581" s="1" t="s">
        <v>185</v>
      </c>
      <c r="J7581" s="1" t="s">
        <v>6</v>
      </c>
      <c r="W7581" s="1" t="s">
        <v>19</v>
      </c>
      <c r="BR7581" s="1" t="s">
        <v>66</v>
      </c>
      <c r="GB7581" s="1" t="s">
        <v>180</v>
      </c>
      <c r="GD7581" s="1" t="s">
        <v>202</v>
      </c>
      <c r="GE7581" s="1" t="s">
        <v>190</v>
      </c>
    </row>
    <row r="7582" spans="1:187" ht="11.25" customHeight="1">
      <c r="A7582" s="1" t="s">
        <v>10690</v>
      </c>
      <c r="B7582" s="1" t="str">
        <f ca="1">IFERROR(__xludf.DUMMYFUNCTION("GOOGLETRANSLATE(A7582, ""en"", ""fr"")"),"PERPÉTUER")</f>
        <v>PERPÉTUER</v>
      </c>
      <c r="C7582" s="1" t="s">
        <v>185</v>
      </c>
      <c r="J7582" s="1" t="s">
        <v>6</v>
      </c>
      <c r="N7582" s="1" t="s">
        <v>10</v>
      </c>
      <c r="W7582" s="1" t="s">
        <v>19</v>
      </c>
      <c r="BR7582" s="1" t="s">
        <v>66</v>
      </c>
      <c r="DN7582" s="1" t="s">
        <v>114</v>
      </c>
      <c r="GD7582" s="1" t="s">
        <v>189</v>
      </c>
      <c r="GE7582" s="1" t="s">
        <v>190</v>
      </c>
    </row>
    <row r="7583" spans="1:187" ht="11.25" customHeight="1">
      <c r="A7583" s="1" t="s">
        <v>10691</v>
      </c>
      <c r="B7583" s="1" t="str">
        <f ca="1">IFERROR(__xludf.DUMMYFUNCTION("GOOGLETRANSLATE(A7583, ""en"", ""fr"")"),"EMBARRASSER")</f>
        <v>EMBARRASSER</v>
      </c>
      <c r="C7583" s="1" t="s">
        <v>185</v>
      </c>
      <c r="E7583" s="1" t="s">
        <v>16613</v>
      </c>
      <c r="H7583" s="1" t="s">
        <v>4</v>
      </c>
      <c r="L7583" s="1" t="s">
        <v>8</v>
      </c>
      <c r="X7583" s="1" t="s">
        <v>20</v>
      </c>
      <c r="CO7583" s="1" t="s">
        <v>89</v>
      </c>
      <c r="DN7583" s="1" t="s">
        <v>114</v>
      </c>
      <c r="FE7583" s="1" t="s">
        <v>157</v>
      </c>
      <c r="FI7583" s="1" t="s">
        <v>161</v>
      </c>
      <c r="GD7583" s="1" t="s">
        <v>189</v>
      </c>
      <c r="GE7583" s="1" t="s">
        <v>190</v>
      </c>
    </row>
    <row r="7584" spans="1:187" ht="11.25" customHeight="1">
      <c r="A7584" s="1" t="s">
        <v>10692</v>
      </c>
      <c r="B7584" s="1" t="str">
        <f ca="1">IFERROR(__xludf.DUMMYFUNCTION("GOOGLETRANSLATE(A7584, ""en"", ""fr"")"),"PERPLEXITÉ")</f>
        <v>PERPLEXITÉ</v>
      </c>
      <c r="C7584" s="1" t="s">
        <v>192</v>
      </c>
      <c r="E7584" s="1" t="s">
        <v>16613</v>
      </c>
      <c r="BT7584" s="1" t="s">
        <v>68</v>
      </c>
      <c r="CG7584" s="1" t="s">
        <v>81</v>
      </c>
      <c r="GD7584" s="1" t="s">
        <v>193</v>
      </c>
      <c r="GE7584" s="1" t="s">
        <v>190</v>
      </c>
    </row>
    <row r="7585" spans="1:187" ht="11.25" customHeight="1">
      <c r="A7585" s="1" t="s">
        <v>10693</v>
      </c>
      <c r="B7585" s="1" t="str">
        <f ca="1">IFERROR(__xludf.DUMMYFUNCTION("GOOGLETRANSLATE(A7585, ""en"", ""fr"")"),"PERSÉCUTER")</f>
        <v>PERSÉCUTER</v>
      </c>
      <c r="C7585" s="1" t="s">
        <v>192</v>
      </c>
      <c r="E7585" s="1" t="s">
        <v>16613</v>
      </c>
      <c r="I7585" s="1" t="s">
        <v>5</v>
      </c>
      <c r="N7585" s="1" t="s">
        <v>10</v>
      </c>
      <c r="DN7585" s="1" t="s">
        <v>114</v>
      </c>
      <c r="GD7585" s="1" t="s">
        <v>670</v>
      </c>
      <c r="GE7585" s="1" t="s">
        <v>190</v>
      </c>
    </row>
    <row r="7586" spans="1:187" ht="11.25" customHeight="1">
      <c r="A7586" s="1" t="s">
        <v>10694</v>
      </c>
      <c r="B7586" s="1" t="str">
        <f ca="1">IFERROR(__xludf.DUMMYFUNCTION("GOOGLETRANSLATE(A7586, ""en"", ""fr"")"),"PERSÉCUTION")</f>
        <v>PERSÉCUTION</v>
      </c>
      <c r="C7586" s="1" t="s">
        <v>192</v>
      </c>
      <c r="E7586" s="1" t="s">
        <v>16613</v>
      </c>
      <c r="I7586" s="1" t="s">
        <v>5</v>
      </c>
      <c r="AN7586" s="1" t="s">
        <v>36</v>
      </c>
      <c r="GD7586" s="1" t="s">
        <v>193</v>
      </c>
      <c r="GE7586" s="1" t="s">
        <v>190</v>
      </c>
    </row>
    <row r="7587" spans="1:187" ht="11.25" customHeight="1">
      <c r="A7587" s="1" t="s">
        <v>10695</v>
      </c>
      <c r="B7587" s="1" t="str">
        <f ca="1">IFERROR(__xludf.DUMMYFUNCTION("GOOGLETRANSLATE(A7587, ""en"", ""fr"")"),"PERSÉVÉRANCE")</f>
        <v>PERSÉVÉRANCE</v>
      </c>
      <c r="C7587" s="1" t="s">
        <v>185</v>
      </c>
      <c r="D7587" s="1" t="s">
        <v>16612</v>
      </c>
      <c r="F7587" s="1" t="s">
        <v>2</v>
      </c>
      <c r="J7587" s="1" t="s">
        <v>6</v>
      </c>
      <c r="N7587" s="1" t="s">
        <v>10</v>
      </c>
      <c r="U7587" s="1" t="s">
        <v>17</v>
      </c>
      <c r="EI7587" s="1" t="s">
        <v>135</v>
      </c>
      <c r="EJ7587" s="1" t="s">
        <v>136</v>
      </c>
      <c r="GD7587" s="1" t="s">
        <v>193</v>
      </c>
      <c r="GE7587" s="1" t="s">
        <v>190</v>
      </c>
    </row>
    <row r="7588" spans="1:187" ht="11.25" customHeight="1">
      <c r="A7588" s="1" t="s">
        <v>10696</v>
      </c>
      <c r="B7588" s="1" t="str">
        <f ca="1">IFERROR(__xludf.DUMMYFUNCTION("GOOGLETRANSLATE(A7588, ""en"", ""fr"")"),"PERSÉVÉRER")</f>
        <v>PERSÉVÉRER</v>
      </c>
      <c r="C7588" s="1" t="s">
        <v>185</v>
      </c>
      <c r="D7588" s="1" t="s">
        <v>16612</v>
      </c>
      <c r="F7588" s="1" t="s">
        <v>2</v>
      </c>
      <c r="J7588" s="1" t="s">
        <v>6</v>
      </c>
      <c r="N7588" s="1" t="s">
        <v>10</v>
      </c>
      <c r="BR7588" s="1" t="s">
        <v>66</v>
      </c>
      <c r="DN7588" s="1" t="s">
        <v>114</v>
      </c>
      <c r="EI7588" s="1" t="s">
        <v>135</v>
      </c>
      <c r="EJ7588" s="1" t="s">
        <v>136</v>
      </c>
      <c r="GD7588" s="1" t="s">
        <v>189</v>
      </c>
      <c r="GE7588" s="1" t="s">
        <v>190</v>
      </c>
    </row>
    <row r="7589" spans="1:187" ht="11.25" customHeight="1">
      <c r="A7589" s="1" t="s">
        <v>10697</v>
      </c>
      <c r="B7589" s="1" t="str">
        <f ca="1">IFERROR(__xludf.DUMMYFUNCTION("GOOGLETRANSLATE(A7589, ""en"", ""fr"")"),"PERSE")</f>
        <v>PERSE</v>
      </c>
      <c r="C7589" s="1" t="s">
        <v>196</v>
      </c>
      <c r="FU7589" s="1" t="s">
        <v>173</v>
      </c>
      <c r="GD7589" s="1" t="s">
        <v>545</v>
      </c>
    </row>
    <row r="7590" spans="1:187" ht="11.25" customHeight="1">
      <c r="A7590" s="1" t="s">
        <v>10698</v>
      </c>
      <c r="B7590" s="1" t="str">
        <f ca="1">IFERROR(__xludf.DUMMYFUNCTION("GOOGLETRANSLATE(A7590, ""en"", ""fr"")"),"PERSAN")</f>
        <v>PERSAN</v>
      </c>
      <c r="C7590" s="1" t="s">
        <v>196</v>
      </c>
      <c r="FU7590" s="1" t="s">
        <v>173</v>
      </c>
      <c r="GD7590" s="1" t="s">
        <v>10699</v>
      </c>
    </row>
    <row r="7591" spans="1:187" ht="11.25" customHeight="1">
      <c r="A7591" s="1" t="s">
        <v>10700</v>
      </c>
      <c r="B7591" s="1" t="str">
        <f ca="1">IFERROR(__xludf.DUMMYFUNCTION("GOOGLETRANSLATE(A7591, ""en"", ""fr"")"),"PERSISTER")</f>
        <v>PERSISTER</v>
      </c>
      <c r="C7591" s="1" t="s">
        <v>185</v>
      </c>
      <c r="J7591" s="1" t="s">
        <v>6</v>
      </c>
      <c r="N7591" s="1" t="s">
        <v>10</v>
      </c>
      <c r="BR7591" s="1" t="s">
        <v>66</v>
      </c>
      <c r="DN7591" s="1" t="s">
        <v>114</v>
      </c>
      <c r="FR7591" s="1" t="s">
        <v>170</v>
      </c>
      <c r="GD7591" s="1" t="s">
        <v>189</v>
      </c>
      <c r="GE7591" s="1" t="s">
        <v>190</v>
      </c>
    </row>
    <row r="7592" spans="1:187" ht="11.25" customHeight="1">
      <c r="A7592" s="1" t="s">
        <v>10701</v>
      </c>
      <c r="B7592" s="1" t="str">
        <f ca="1">IFERROR(__xludf.DUMMYFUNCTION("GOOGLETRANSLATE(A7592, ""en"", ""fr"")"),"PERSISTANCE")</f>
        <v>PERSISTANCE</v>
      </c>
      <c r="C7592" s="1" t="s">
        <v>185</v>
      </c>
      <c r="J7592" s="1" t="s">
        <v>6</v>
      </c>
      <c r="N7592" s="1" t="s">
        <v>10</v>
      </c>
      <c r="BR7592" s="1" t="s">
        <v>66</v>
      </c>
      <c r="FR7592" s="1" t="s">
        <v>170</v>
      </c>
      <c r="GD7592" s="1" t="s">
        <v>193</v>
      </c>
      <c r="GE7592" s="1" t="s">
        <v>190</v>
      </c>
    </row>
    <row r="7593" spans="1:187" ht="11.25" customHeight="1">
      <c r="A7593" s="1" t="s">
        <v>10702</v>
      </c>
      <c r="B7593" s="1" t="str">
        <f ca="1">IFERROR(__xludf.DUMMYFUNCTION("GOOGLETRANSLATE(A7593, ""en"", ""fr"")"),"PERSISTANT")</f>
        <v>PERSISTANT</v>
      </c>
      <c r="C7593" s="1" t="s">
        <v>185</v>
      </c>
      <c r="J7593" s="1" t="s">
        <v>6</v>
      </c>
      <c r="N7593" s="1" t="s">
        <v>10</v>
      </c>
      <c r="U7593" s="1" t="s">
        <v>17</v>
      </c>
      <c r="GD7593" s="1" t="s">
        <v>202</v>
      </c>
      <c r="GE7593" s="1" t="s">
        <v>190</v>
      </c>
    </row>
    <row r="7594" spans="1:187" ht="11.25" customHeight="1">
      <c r="A7594" s="1" t="s">
        <v>10703</v>
      </c>
      <c r="B7594" s="1" t="str">
        <f ca="1">IFERROR(__xludf.DUMMYFUNCTION("GOOGLETRANSLATE(A7594, ""en"", ""fr"")"),"PERSONNE")</f>
        <v>PERSONNE</v>
      </c>
      <c r="C7594" s="1" t="s">
        <v>185</v>
      </c>
      <c r="AJ7594" s="1" t="s">
        <v>32</v>
      </c>
      <c r="AT7594" s="1" t="s">
        <v>42</v>
      </c>
      <c r="FT7594" s="1" t="s">
        <v>172</v>
      </c>
      <c r="GD7594" s="1" t="s">
        <v>193</v>
      </c>
      <c r="GE7594" s="1" t="s">
        <v>10704</v>
      </c>
    </row>
    <row r="7595" spans="1:187" ht="11.25" customHeight="1">
      <c r="A7595" s="1" t="s">
        <v>10705</v>
      </c>
      <c r="B7595" s="1" t="str">
        <f ca="1">IFERROR(__xludf.DUMMYFUNCTION("GOOGLETRANSLATE(A7595, ""en"", ""fr"")"),"Personnel # 1")</f>
        <v>Personnel # 1</v>
      </c>
      <c r="C7595" s="1" t="s">
        <v>185</v>
      </c>
      <c r="AJ7595" s="1" t="s">
        <v>32</v>
      </c>
      <c r="AT7595" s="1" t="s">
        <v>42</v>
      </c>
      <c r="EM7595" s="1" t="s">
        <v>139</v>
      </c>
      <c r="EN7595" s="1" t="s">
        <v>140</v>
      </c>
      <c r="GD7595" s="1" t="s">
        <v>202</v>
      </c>
      <c r="GE7595" s="1" t="s">
        <v>10706</v>
      </c>
    </row>
    <row r="7596" spans="1:187" ht="11.25" customHeight="1">
      <c r="A7596" s="1" t="s">
        <v>10707</v>
      </c>
      <c r="B7596" s="1" t="str">
        <f ca="1">IFERROR(__xludf.DUMMYFUNCTION("GOOGLETRANSLATE(A7596, ""en"", ""fr"")"),"Personnel # 2")</f>
        <v>Personnel # 2</v>
      </c>
      <c r="C7596" s="1" t="s">
        <v>185</v>
      </c>
      <c r="AJ7596" s="1" t="s">
        <v>32</v>
      </c>
      <c r="AT7596" s="1" t="s">
        <v>42</v>
      </c>
      <c r="EM7596" s="1" t="s">
        <v>139</v>
      </c>
      <c r="EN7596" s="1" t="s">
        <v>140</v>
      </c>
      <c r="GD7596" s="1" t="s">
        <v>202</v>
      </c>
      <c r="GE7596" s="1" t="s">
        <v>10708</v>
      </c>
    </row>
    <row r="7597" spans="1:187" ht="11.25" customHeight="1">
      <c r="A7597" s="1" t="s">
        <v>10709</v>
      </c>
      <c r="B7597" s="1" t="str">
        <f ca="1">IFERROR(__xludf.DUMMYFUNCTION("GOOGLETRANSLATE(A7597, ""en"", ""fr"")"),"PERSONNALITÉ")</f>
        <v>PERSONNALITÉ</v>
      </c>
      <c r="C7597" s="1" t="s">
        <v>185</v>
      </c>
      <c r="AJ7597" s="1" t="s">
        <v>32</v>
      </c>
      <c r="AT7597" s="1" t="s">
        <v>42</v>
      </c>
      <c r="FA7597" s="1" t="s">
        <v>153</v>
      </c>
      <c r="FC7597" s="1" t="s">
        <v>155</v>
      </c>
      <c r="GD7597" s="1" t="s">
        <v>193</v>
      </c>
      <c r="GE7597" s="1" t="s">
        <v>10710</v>
      </c>
    </row>
    <row r="7598" spans="1:187" ht="11.25" customHeight="1">
      <c r="A7598" s="1" t="s">
        <v>10711</v>
      </c>
      <c r="B7598" s="1" t="str">
        <f ca="1">IFERROR(__xludf.DUMMYFUNCTION("GOOGLETRANSLATE(A7598, ""en"", ""fr"")"),"PERSONNEL")</f>
        <v>PERSONNEL</v>
      </c>
      <c r="C7598" s="1" t="s">
        <v>185</v>
      </c>
      <c r="AA7598" s="1" t="s">
        <v>23</v>
      </c>
      <c r="AC7598" s="1" t="s">
        <v>25</v>
      </c>
      <c r="AK7598" s="1" t="s">
        <v>33</v>
      </c>
      <c r="AT7598" s="1" t="s">
        <v>42</v>
      </c>
      <c r="FT7598" s="1" t="s">
        <v>172</v>
      </c>
      <c r="GD7598" s="1" t="s">
        <v>576</v>
      </c>
      <c r="GE7598" s="1" t="s">
        <v>190</v>
      </c>
    </row>
    <row r="7599" spans="1:187" ht="11.25" customHeight="1">
      <c r="A7599" s="1" t="s">
        <v>10712</v>
      </c>
      <c r="B7599" s="1" t="str">
        <f ca="1">IFERROR(__xludf.DUMMYFUNCTION("GOOGLETRANSLATE(A7599, ""en"", ""fr"")"),"PERSPECTIVE")</f>
        <v>PERSPECTIVE</v>
      </c>
      <c r="C7599" s="1" t="s">
        <v>185</v>
      </c>
      <c r="CH7599" s="1" t="s">
        <v>82</v>
      </c>
      <c r="CP7599" s="1" t="s">
        <v>90</v>
      </c>
      <c r="CQ7599" s="1" t="s">
        <v>91</v>
      </c>
      <c r="FH7599" s="1" t="s">
        <v>160</v>
      </c>
      <c r="FI7599" s="1" t="s">
        <v>161</v>
      </c>
      <c r="GD7599" s="1" t="s">
        <v>193</v>
      </c>
      <c r="GE7599" s="1" t="s">
        <v>190</v>
      </c>
    </row>
    <row r="7600" spans="1:187" ht="11.25" customHeight="1">
      <c r="A7600" s="1" t="s">
        <v>10713</v>
      </c>
      <c r="B7600" s="1" t="str">
        <f ca="1">IFERROR(__xludf.DUMMYFUNCTION("GOOGLETRANSLATE(A7600, ""en"", ""fr"")"),"PERSUADER")</f>
        <v>PERSUADER</v>
      </c>
      <c r="C7600" s="1" t="s">
        <v>185</v>
      </c>
      <c r="J7600" s="1" t="s">
        <v>6</v>
      </c>
      <c r="K7600" s="1" t="s">
        <v>7</v>
      </c>
      <c r="N7600" s="1" t="s">
        <v>10</v>
      </c>
      <c r="BK7600" s="1" t="s">
        <v>59</v>
      </c>
      <c r="DN7600" s="1" t="s">
        <v>114</v>
      </c>
      <c r="DU7600" s="1" t="s">
        <v>121</v>
      </c>
      <c r="ED7600" s="1" t="s">
        <v>130</v>
      </c>
      <c r="GD7600" s="1" t="s">
        <v>189</v>
      </c>
      <c r="GE7600" s="1" t="s">
        <v>190</v>
      </c>
    </row>
    <row r="7601" spans="1:187" ht="11.25" customHeight="1">
      <c r="A7601" s="1" t="s">
        <v>10714</v>
      </c>
      <c r="B7601" s="1" t="str">
        <f ca="1">IFERROR(__xludf.DUMMYFUNCTION("GOOGLETRANSLATE(A7601, ""en"", ""fr"")"),"PERSUASION")</f>
        <v>PERSUASION</v>
      </c>
      <c r="C7601" s="1" t="s">
        <v>196</v>
      </c>
      <c r="DU7601" s="1" t="s">
        <v>121</v>
      </c>
      <c r="ED7601" s="1" t="s">
        <v>130</v>
      </c>
      <c r="GD7601" s="1" t="s">
        <v>193</v>
      </c>
    </row>
    <row r="7602" spans="1:187" ht="11.25" customHeight="1">
      <c r="A7602" s="1" t="s">
        <v>10715</v>
      </c>
      <c r="B7602" s="1" t="str">
        <f ca="1">IFERROR(__xludf.DUMMYFUNCTION("GOOGLETRANSLATE(A7602, ""en"", ""fr"")"),"PERSUASIF")</f>
        <v>PERSUASIF</v>
      </c>
      <c r="C7602" s="1" t="s">
        <v>192</v>
      </c>
      <c r="D7602" s="1" t="s">
        <v>16612</v>
      </c>
      <c r="G7602" s="1" t="s">
        <v>3</v>
      </c>
      <c r="AN7602" s="1" t="s">
        <v>36</v>
      </c>
      <c r="BK7602" s="1" t="s">
        <v>59</v>
      </c>
      <c r="DQ7602" s="1" t="s">
        <v>117</v>
      </c>
      <c r="GD7602" s="1" t="s">
        <v>202</v>
      </c>
      <c r="GE7602" s="1" t="s">
        <v>190</v>
      </c>
    </row>
    <row r="7603" spans="1:187" ht="11.25" customHeight="1">
      <c r="A7603" s="1" t="s">
        <v>10716</v>
      </c>
      <c r="B7603" s="1" t="str">
        <f ca="1">IFERROR(__xludf.DUMMYFUNCTION("GOOGLETRANSLATE(A7603, ""en"", ""fr"")"),"PERTINENT")</f>
        <v>PERTINENT</v>
      </c>
      <c r="C7603" s="1" t="s">
        <v>185</v>
      </c>
      <c r="D7603" s="1" t="s">
        <v>16612</v>
      </c>
      <c r="F7603" s="1" t="s">
        <v>2</v>
      </c>
      <c r="U7603" s="1" t="s">
        <v>17</v>
      </c>
      <c r="CN7603" s="1" t="s">
        <v>88</v>
      </c>
      <c r="GD7603" s="1" t="s">
        <v>202</v>
      </c>
      <c r="GE7603" s="1" t="s">
        <v>190</v>
      </c>
    </row>
    <row r="7604" spans="1:187" ht="11.25" customHeight="1">
      <c r="A7604" s="1" t="s">
        <v>10717</v>
      </c>
      <c r="B7604" s="1" t="str">
        <f ca="1">IFERROR(__xludf.DUMMYFUNCTION("GOOGLETRANSLATE(A7604, ""en"", ""fr"")"),"PERTURBER")</f>
        <v>PERTURBER</v>
      </c>
      <c r="C7604" s="1" t="s">
        <v>185</v>
      </c>
      <c r="E7604" s="1" t="s">
        <v>16613</v>
      </c>
      <c r="H7604" s="1" t="s">
        <v>4</v>
      </c>
      <c r="Q7604" s="1" t="s">
        <v>13</v>
      </c>
      <c r="DN7604" s="1" t="s">
        <v>114</v>
      </c>
      <c r="FZ7604" s="1" t="s">
        <v>178</v>
      </c>
      <c r="GD7604" s="1" t="s">
        <v>189</v>
      </c>
      <c r="GE7604" s="1" t="s">
        <v>190</v>
      </c>
    </row>
    <row r="7605" spans="1:187" ht="11.25" customHeight="1">
      <c r="A7605" s="1" t="s">
        <v>10718</v>
      </c>
      <c r="B7605" s="1" t="str">
        <f ca="1">IFERROR(__xludf.DUMMYFUNCTION("GOOGLETRANSLATE(A7605, ""en"", ""fr"")"),"PÉROU")</f>
        <v>PÉROU</v>
      </c>
      <c r="C7605" s="1" t="s">
        <v>196</v>
      </c>
      <c r="FU7605" s="1" t="s">
        <v>173</v>
      </c>
      <c r="GD7605" s="1" t="s">
        <v>545</v>
      </c>
    </row>
    <row r="7606" spans="1:187" ht="11.25" customHeight="1">
      <c r="A7606" s="1" t="s">
        <v>10719</v>
      </c>
      <c r="B7606" s="1" t="str">
        <f ca="1">IFERROR(__xludf.DUMMYFUNCTION("GOOGLETRANSLATE(A7606, ""en"", ""fr"")"),"IMPRÉGNER")</f>
        <v>IMPRÉGNER</v>
      </c>
      <c r="C7606" s="1" t="s">
        <v>196</v>
      </c>
      <c r="GD7606" s="1" t="s">
        <v>189</v>
      </c>
    </row>
    <row r="7607" spans="1:187" ht="11.25" customHeight="1">
      <c r="A7607" s="1" t="s">
        <v>10720</v>
      </c>
      <c r="B7607" s="1" t="str">
        <f ca="1">IFERROR(__xludf.DUMMYFUNCTION("GOOGLETRANSLATE(A7607, ""en"", ""fr"")"),"PERVERS")</f>
        <v>PERVERS</v>
      </c>
      <c r="C7607" s="1" t="s">
        <v>192</v>
      </c>
      <c r="E7607" s="1" t="s">
        <v>16613</v>
      </c>
      <c r="V7607" s="1" t="s">
        <v>18</v>
      </c>
      <c r="CM7607" s="1" t="s">
        <v>87</v>
      </c>
      <c r="DR7607" s="1" t="s">
        <v>118</v>
      </c>
      <c r="GD7607" s="1" t="s">
        <v>202</v>
      </c>
      <c r="GE7607" s="1" t="s">
        <v>190</v>
      </c>
    </row>
    <row r="7608" spans="1:187" ht="11.25" customHeight="1">
      <c r="A7608" s="1" t="s">
        <v>10721</v>
      </c>
      <c r="B7608" s="1" t="str">
        <f ca="1">IFERROR(__xludf.DUMMYFUNCTION("GOOGLETRANSLATE(A7608, ""en"", ""fr"")"),"PERVERS")</f>
        <v>PERVERS</v>
      </c>
      <c r="C7608" s="1" t="s">
        <v>192</v>
      </c>
      <c r="E7608" s="1" t="s">
        <v>16613</v>
      </c>
      <c r="V7608" s="1" t="s">
        <v>18</v>
      </c>
      <c r="AT7608" s="1" t="s">
        <v>42</v>
      </c>
      <c r="GD7608" s="1" t="s">
        <v>193</v>
      </c>
      <c r="GE7608" s="1" t="s">
        <v>190</v>
      </c>
    </row>
    <row r="7609" spans="1:187" ht="11.25" customHeight="1">
      <c r="A7609" s="1" t="s">
        <v>10722</v>
      </c>
      <c r="B7609" s="1" t="str">
        <f ca="1">IFERROR(__xludf.DUMMYFUNCTION("GOOGLETRANSLATE(A7609, ""en"", ""fr"")"),"PESSIMISME")</f>
        <v>PESSIMISME</v>
      </c>
      <c r="C7609" s="1" t="s">
        <v>192</v>
      </c>
      <c r="E7609" s="1" t="s">
        <v>16613</v>
      </c>
      <c r="CG7609" s="1" t="s">
        <v>81</v>
      </c>
      <c r="GD7609" s="1" t="s">
        <v>193</v>
      </c>
      <c r="GE7609" s="1" t="s">
        <v>190</v>
      </c>
    </row>
    <row r="7610" spans="1:187" ht="11.25" customHeight="1">
      <c r="A7610" s="1" t="s">
        <v>10723</v>
      </c>
      <c r="B7610" s="1" t="str">
        <f ca="1">IFERROR(__xludf.DUMMYFUNCTION("GOOGLETRANSLATE(A7610, ""en"", ""fr"")"),"PESSIMISTE")</f>
        <v>PESSIMISTE</v>
      </c>
      <c r="C7610" s="1" t="s">
        <v>192</v>
      </c>
      <c r="E7610" s="1" t="s">
        <v>16613</v>
      </c>
      <c r="CG7610" s="1" t="s">
        <v>81</v>
      </c>
      <c r="DR7610" s="1" t="s">
        <v>118</v>
      </c>
      <c r="GD7610" s="1" t="s">
        <v>202</v>
      </c>
      <c r="GE7610" s="1" t="s">
        <v>190</v>
      </c>
    </row>
    <row r="7611" spans="1:187" ht="11.25" customHeight="1">
      <c r="A7611" s="1" t="s">
        <v>10724</v>
      </c>
      <c r="B7611" s="1" t="str">
        <f ca="1">IFERROR(__xludf.DUMMYFUNCTION("GOOGLETRANSLATE(A7611, ""en"", ""fr"")"),"Ravageur")</f>
        <v>Ravageur</v>
      </c>
      <c r="C7611" s="1" t="s">
        <v>192</v>
      </c>
      <c r="E7611" s="1" t="s">
        <v>16613</v>
      </c>
      <c r="V7611" s="1" t="s">
        <v>18</v>
      </c>
      <c r="AN7611" s="1" t="s">
        <v>36</v>
      </c>
      <c r="GD7611" s="1" t="s">
        <v>193</v>
      </c>
      <c r="GE7611" s="1" t="s">
        <v>190</v>
      </c>
    </row>
    <row r="7612" spans="1:187" ht="11.25" customHeight="1">
      <c r="A7612" s="1" t="s">
        <v>10725</v>
      </c>
      <c r="B7612" s="1" t="str">
        <f ca="1">IFERROR(__xludf.DUMMYFUNCTION("GOOGLETRANSLATE(A7612, ""en"", ""fr"")"),"ANIMAL DE COMPAGNIE")</f>
        <v>ANIMAL DE COMPAGNIE</v>
      </c>
      <c r="C7612" s="1" t="s">
        <v>185</v>
      </c>
      <c r="G7612" s="1" t="s">
        <v>3</v>
      </c>
      <c r="AU7612" s="1" t="s">
        <v>43</v>
      </c>
      <c r="GD7612" s="1" t="s">
        <v>193</v>
      </c>
      <c r="GE7612" s="1" t="s">
        <v>190</v>
      </c>
    </row>
    <row r="7613" spans="1:187" ht="11.25" customHeight="1">
      <c r="A7613" s="1" t="s">
        <v>10726</v>
      </c>
      <c r="B7613" s="1" t="str">
        <f ca="1">IFERROR(__xludf.DUMMYFUNCTION("GOOGLETRANSLATE(A7613, ""en"", ""fr"")"),"Pétition n ° 1")</f>
        <v>Pétition n ° 1</v>
      </c>
      <c r="C7613" s="1" t="s">
        <v>185</v>
      </c>
      <c r="L7613" s="1" t="s">
        <v>8</v>
      </c>
      <c r="M7613" s="1" t="s">
        <v>9</v>
      </c>
      <c r="AG7613" s="1" t="s">
        <v>29</v>
      </c>
      <c r="AH7613" s="1" t="s">
        <v>30</v>
      </c>
      <c r="AM7613" s="1" t="s">
        <v>35</v>
      </c>
      <c r="BL7613" s="1" t="s">
        <v>60</v>
      </c>
      <c r="EC7613" s="1" t="s">
        <v>129</v>
      </c>
      <c r="ED7613" s="1" t="s">
        <v>130</v>
      </c>
      <c r="GD7613" s="1" t="s">
        <v>193</v>
      </c>
      <c r="GE7613" s="1" t="s">
        <v>190</v>
      </c>
    </row>
    <row r="7614" spans="1:187" ht="11.25" customHeight="1">
      <c r="A7614" s="1" t="s">
        <v>10727</v>
      </c>
      <c r="B7614" s="1" t="str">
        <f ca="1">IFERROR(__xludf.DUMMYFUNCTION("GOOGLETRANSLATE(A7614, ""en"", ""fr"")"),"Pétition n ° 2")</f>
        <v>Pétition n ° 2</v>
      </c>
      <c r="C7614" s="1" t="s">
        <v>185</v>
      </c>
      <c r="L7614" s="1" t="s">
        <v>8</v>
      </c>
      <c r="M7614" s="1" t="s">
        <v>9</v>
      </c>
      <c r="N7614" s="1" t="s">
        <v>10</v>
      </c>
      <c r="AG7614" s="1" t="s">
        <v>29</v>
      </c>
      <c r="BK7614" s="1" t="s">
        <v>59</v>
      </c>
      <c r="DN7614" s="1" t="s">
        <v>114</v>
      </c>
      <c r="EC7614" s="1" t="s">
        <v>129</v>
      </c>
      <c r="ED7614" s="1" t="s">
        <v>130</v>
      </c>
      <c r="GD7614" s="1" t="s">
        <v>189</v>
      </c>
      <c r="GE7614" s="1" t="s">
        <v>190</v>
      </c>
    </row>
    <row r="7615" spans="1:187" ht="11.25" customHeight="1">
      <c r="A7615" s="1" t="s">
        <v>10728</v>
      </c>
      <c r="B7615" s="1" t="str">
        <f ca="1">IFERROR(__xludf.DUMMYFUNCTION("GOOGLETRANSLATE(A7615, ""en"", ""fr"")"),"PÉTITIONNAIRE")</f>
        <v>PÉTITIONNAIRE</v>
      </c>
      <c r="C7615" s="1" t="s">
        <v>185</v>
      </c>
      <c r="L7615" s="1" t="s">
        <v>8</v>
      </c>
      <c r="M7615" s="1" t="s">
        <v>9</v>
      </c>
      <c r="N7615" s="1" t="s">
        <v>10</v>
      </c>
      <c r="AH7615" s="1" t="s">
        <v>30</v>
      </c>
      <c r="AJ7615" s="1" t="s">
        <v>32</v>
      </c>
      <c r="AT7615" s="1" t="s">
        <v>42</v>
      </c>
      <c r="DZ7615" s="1" t="s">
        <v>126</v>
      </c>
      <c r="ED7615" s="1" t="s">
        <v>130</v>
      </c>
      <c r="GD7615" s="1" t="s">
        <v>193</v>
      </c>
      <c r="GE7615" s="1" t="s">
        <v>190</v>
      </c>
    </row>
    <row r="7616" spans="1:187" ht="11.25" customHeight="1">
      <c r="A7616" s="1" t="s">
        <v>10729</v>
      </c>
      <c r="B7616" s="1" t="str">
        <f ca="1">IFERROR(__xludf.DUMMYFUNCTION("GOOGLETRANSLATE(A7616, ""en"", ""fr"")"),"PETIT")</f>
        <v>PETIT</v>
      </c>
      <c r="C7616" s="1" t="s">
        <v>192</v>
      </c>
      <c r="E7616" s="1" t="s">
        <v>16613</v>
      </c>
      <c r="V7616" s="1" t="s">
        <v>18</v>
      </c>
      <c r="DR7616" s="1" t="s">
        <v>118</v>
      </c>
      <c r="GD7616" s="1" t="s">
        <v>202</v>
      </c>
      <c r="GE7616" s="1" t="s">
        <v>190</v>
      </c>
    </row>
    <row r="7617" spans="1:187" ht="11.25" customHeight="1">
      <c r="A7617" s="1" t="s">
        <v>10730</v>
      </c>
      <c r="B7617" s="1" t="str">
        <f ca="1">IFERROR(__xludf.DUMMYFUNCTION("GOOGLETRANSLATE(A7617, ""en"", ""fr"")"),"PHASE")</f>
        <v>PHASE</v>
      </c>
      <c r="C7617" s="1" t="s">
        <v>185</v>
      </c>
      <c r="CP7617" s="1" t="s">
        <v>90</v>
      </c>
      <c r="CQ7617" s="1" t="s">
        <v>91</v>
      </c>
      <c r="CY7617" s="1" t="s">
        <v>99</v>
      </c>
      <c r="GD7617" s="1" t="s">
        <v>193</v>
      </c>
      <c r="GE7617" s="1" t="s">
        <v>190</v>
      </c>
    </row>
    <row r="7618" spans="1:187" ht="11.25" customHeight="1">
      <c r="A7618" s="1" t="s">
        <v>10731</v>
      </c>
      <c r="B7618" s="1" t="str">
        <f ca="1">IFERROR(__xludf.DUMMYFUNCTION("GOOGLETRANSLATE(A7618, ""en"", ""fr"")"),"Phénomènes")</f>
        <v>Phénomènes</v>
      </c>
      <c r="C7618" s="1" t="s">
        <v>185</v>
      </c>
      <c r="CH7618" s="1" t="s">
        <v>82</v>
      </c>
      <c r="GD7618" s="1" t="s">
        <v>576</v>
      </c>
      <c r="GE7618" s="1" t="s">
        <v>190</v>
      </c>
    </row>
    <row r="7619" spans="1:187" ht="11.25" customHeight="1">
      <c r="A7619" s="1" t="s">
        <v>10732</v>
      </c>
      <c r="B7619" s="1" t="str">
        <f ca="1">IFERROR(__xludf.DUMMYFUNCTION("GOOGLETRANSLATE(A7619, ""en"", ""fr"")"),"PHÉNOMÈNE")</f>
        <v>PHÉNOMÈNE</v>
      </c>
      <c r="C7619" s="1" t="s">
        <v>185</v>
      </c>
      <c r="CH7619" s="1" t="s">
        <v>82</v>
      </c>
      <c r="GD7619" s="1" t="s">
        <v>193</v>
      </c>
      <c r="GE7619" s="1" t="s">
        <v>190</v>
      </c>
    </row>
    <row r="7620" spans="1:187" ht="11.25" customHeight="1">
      <c r="A7620" s="1" t="s">
        <v>10733</v>
      </c>
      <c r="B7620" s="1" t="str">
        <f ca="1">IFERROR(__xludf.DUMMYFUNCTION("GOOGLETRANSLATE(A7620, ""en"", ""fr"")"),"CRÊME PHILADELPHIA")</f>
        <v>CRÊME PHILADELPHIA</v>
      </c>
      <c r="C7620" s="1" t="s">
        <v>185</v>
      </c>
      <c r="AC7620" s="1" t="s">
        <v>25</v>
      </c>
      <c r="AH7620" s="1" t="s">
        <v>30</v>
      </c>
      <c r="DI7620" s="1" t="s">
        <v>109</v>
      </c>
      <c r="GD7620" s="1" t="s">
        <v>193</v>
      </c>
      <c r="GE7620" s="1" t="s">
        <v>190</v>
      </c>
    </row>
    <row r="7621" spans="1:187" ht="11.25" customHeight="1">
      <c r="A7621" s="1" t="s">
        <v>10734</v>
      </c>
      <c r="B7621" s="1" t="str">
        <f ca="1">IFERROR(__xludf.DUMMYFUNCTION("GOOGLETRANSLATE(A7621, ""en"", ""fr"")"),"Philippines")</f>
        <v>Philippines</v>
      </c>
      <c r="C7621" s="1" t="s">
        <v>196</v>
      </c>
      <c r="FU7621" s="1" t="s">
        <v>173</v>
      </c>
      <c r="GD7621" s="1" t="s">
        <v>545</v>
      </c>
    </row>
    <row r="7622" spans="1:187" ht="11.25" customHeight="1">
      <c r="A7622" s="1" t="s">
        <v>10735</v>
      </c>
      <c r="B7622" s="1" t="str">
        <f ca="1">IFERROR(__xludf.DUMMYFUNCTION("GOOGLETRANSLATE(A7622, ""en"", ""fr"")"),"PHILOSOPHE")</f>
        <v>PHILOSOPHE</v>
      </c>
      <c r="C7622" s="1" t="s">
        <v>185</v>
      </c>
      <c r="Y7622" s="1" t="s">
        <v>21</v>
      </c>
      <c r="AJ7622" s="1" t="s">
        <v>32</v>
      </c>
      <c r="AT7622" s="1" t="s">
        <v>42</v>
      </c>
      <c r="FG7622" s="1" t="s">
        <v>159</v>
      </c>
      <c r="FI7622" s="1" t="s">
        <v>161</v>
      </c>
      <c r="GD7622" s="1" t="s">
        <v>193</v>
      </c>
      <c r="GE7622" s="1" t="s">
        <v>190</v>
      </c>
    </row>
    <row r="7623" spans="1:187" ht="11.25" customHeight="1">
      <c r="A7623" s="1" t="s">
        <v>10736</v>
      </c>
      <c r="B7623" s="1" t="str">
        <f ca="1">IFERROR(__xludf.DUMMYFUNCTION("GOOGLETRANSLATE(A7623, ""en"", ""fr"")"),"PHILOSOPHIQUE")</f>
        <v>PHILOSOPHIQUE</v>
      </c>
      <c r="C7623" s="1" t="s">
        <v>185</v>
      </c>
      <c r="Y7623" s="1" t="s">
        <v>21</v>
      </c>
      <c r="Z7623" s="1" t="s">
        <v>22</v>
      </c>
      <c r="FH7623" s="1" t="s">
        <v>160</v>
      </c>
      <c r="FI7623" s="1" t="s">
        <v>161</v>
      </c>
      <c r="GD7623" s="1" t="s">
        <v>202</v>
      </c>
      <c r="GE7623" s="1" t="s">
        <v>190</v>
      </c>
    </row>
    <row r="7624" spans="1:187" ht="11.25" customHeight="1">
      <c r="A7624" s="1" t="s">
        <v>10737</v>
      </c>
      <c r="B7624" s="1" t="str">
        <f ca="1">IFERROR(__xludf.DUMMYFUNCTION("GOOGLETRANSLATE(A7624, ""en"", ""fr"")"),"PHILOSOPHIQUE")</f>
        <v>PHILOSOPHIQUE</v>
      </c>
      <c r="C7624" s="1" t="s">
        <v>185</v>
      </c>
      <c r="Y7624" s="1" t="s">
        <v>21</v>
      </c>
      <c r="Z7624" s="1" t="s">
        <v>22</v>
      </c>
      <c r="FH7624" s="1" t="s">
        <v>160</v>
      </c>
      <c r="FI7624" s="1" t="s">
        <v>161</v>
      </c>
      <c r="GD7624" s="1" t="s">
        <v>202</v>
      </c>
      <c r="GE7624" s="1" t="s">
        <v>190</v>
      </c>
    </row>
    <row r="7625" spans="1:187" ht="11.25" customHeight="1">
      <c r="A7625" s="1" t="s">
        <v>10738</v>
      </c>
      <c r="B7625" s="1" t="str">
        <f ca="1">IFERROR(__xludf.DUMMYFUNCTION("GOOGLETRANSLATE(A7625, ""en"", ""fr"")"),"PHILOSOPHIE")</f>
        <v>PHILOSOPHIE</v>
      </c>
      <c r="C7625" s="1" t="s">
        <v>196</v>
      </c>
      <c r="FH7625" s="1" t="s">
        <v>160</v>
      </c>
      <c r="FI7625" s="1" t="s">
        <v>161</v>
      </c>
      <c r="GD7625" s="1" t="s">
        <v>5284</v>
      </c>
    </row>
    <row r="7626" spans="1:187" ht="11.25" customHeight="1">
      <c r="A7626" s="1" t="s">
        <v>10739</v>
      </c>
      <c r="B7626" s="1" t="str">
        <f ca="1">IFERROR(__xludf.DUMMYFUNCTION("GOOGLETRANSLATE(A7626, ""en"", ""fr"")"),"PHOBIE")</f>
        <v>PHOBIE</v>
      </c>
      <c r="C7626" s="1" t="s">
        <v>192</v>
      </c>
      <c r="E7626" s="1" t="s">
        <v>16613</v>
      </c>
      <c r="L7626" s="1" t="s">
        <v>8</v>
      </c>
      <c r="Q7626" s="1" t="s">
        <v>13</v>
      </c>
      <c r="T7626" s="1" t="s">
        <v>16</v>
      </c>
      <c r="GD7626" s="1" t="s">
        <v>193</v>
      </c>
      <c r="GE7626" s="1" t="s">
        <v>190</v>
      </c>
    </row>
    <row r="7627" spans="1:187" ht="11.25" customHeight="1">
      <c r="A7627" s="1" t="s">
        <v>10740</v>
      </c>
      <c r="B7627" s="1" t="str">
        <f ca="1">IFERROR(__xludf.DUMMYFUNCTION("GOOGLETRANSLATE(A7627, ""en"", ""fr"")"),"Téléphone n ° 1")</f>
        <v>Téléphone n ° 1</v>
      </c>
      <c r="C7627" s="1" t="s">
        <v>185</v>
      </c>
      <c r="BC7627" s="1" t="s">
        <v>51</v>
      </c>
      <c r="BD7627" s="1" t="s">
        <v>52</v>
      </c>
      <c r="BL7627" s="1" t="s">
        <v>60</v>
      </c>
      <c r="GD7627" s="1" t="s">
        <v>193</v>
      </c>
      <c r="GE7627" s="1" t="s">
        <v>190</v>
      </c>
    </row>
    <row r="7628" spans="1:187" ht="11.25" customHeight="1">
      <c r="A7628" s="1" t="s">
        <v>10741</v>
      </c>
      <c r="B7628" s="1" t="str">
        <f ca="1">IFERROR(__xludf.DUMMYFUNCTION("GOOGLETRANSLATE(A7628, ""en"", ""fr"")"),"Téléphone n ° 2")</f>
        <v>Téléphone n ° 2</v>
      </c>
      <c r="C7628" s="1" t="s">
        <v>185</v>
      </c>
      <c r="BK7628" s="1" t="s">
        <v>59</v>
      </c>
      <c r="DO7628" s="1" t="s">
        <v>115</v>
      </c>
      <c r="GD7628" s="1" t="s">
        <v>189</v>
      </c>
      <c r="GE7628" s="1" t="s">
        <v>190</v>
      </c>
    </row>
    <row r="7629" spans="1:187" ht="11.25" customHeight="1">
      <c r="A7629" s="1" t="s">
        <v>10742</v>
      </c>
      <c r="B7629" s="1" t="str">
        <f ca="1">IFERROR(__xludf.DUMMYFUNCTION("GOOGLETRANSLATE(A7629, ""en"", ""fr"")"),"PHOTO")</f>
        <v>PHOTO</v>
      </c>
      <c r="C7629" s="1" t="s">
        <v>185</v>
      </c>
      <c r="BC7629" s="1" t="s">
        <v>51</v>
      </c>
      <c r="BH7629" s="1" t="s">
        <v>56</v>
      </c>
      <c r="BL7629" s="1" t="s">
        <v>60</v>
      </c>
      <c r="GD7629" s="1" t="s">
        <v>193</v>
      </c>
      <c r="GE7629" s="1" t="s">
        <v>190</v>
      </c>
    </row>
    <row r="7630" spans="1:187" ht="11.25" customHeight="1">
      <c r="A7630" s="1" t="s">
        <v>10743</v>
      </c>
      <c r="B7630" s="1" t="str">
        <f ca="1">IFERROR(__xludf.DUMMYFUNCTION("GOOGLETRANSLATE(A7630, ""en"", ""fr"")"),"Photographie n ° 1")</f>
        <v>Photographie n ° 1</v>
      </c>
      <c r="C7630" s="1" t="s">
        <v>185</v>
      </c>
      <c r="BC7630" s="1" t="s">
        <v>51</v>
      </c>
      <c r="BH7630" s="1" t="s">
        <v>56</v>
      </c>
      <c r="BL7630" s="1" t="s">
        <v>60</v>
      </c>
      <c r="GD7630" s="1" t="s">
        <v>193</v>
      </c>
      <c r="GE7630" s="1" t="s">
        <v>190</v>
      </c>
    </row>
    <row r="7631" spans="1:187" ht="11.25" customHeight="1">
      <c r="A7631" s="1" t="s">
        <v>10744</v>
      </c>
      <c r="B7631" s="1" t="str">
        <f ca="1">IFERROR(__xludf.DUMMYFUNCTION("GOOGLETRANSLATE(A7631, ""en"", ""fr"")"),"Photographie n ° 2")</f>
        <v>Photographie n ° 2</v>
      </c>
      <c r="C7631" s="1" t="s">
        <v>185</v>
      </c>
      <c r="BK7631" s="1" t="s">
        <v>59</v>
      </c>
      <c r="DO7631" s="1" t="s">
        <v>115</v>
      </c>
      <c r="FP7631" s="1" t="s">
        <v>168</v>
      </c>
      <c r="GD7631" s="1" t="s">
        <v>189</v>
      </c>
      <c r="GE7631" s="1" t="s">
        <v>190</v>
      </c>
    </row>
    <row r="7632" spans="1:187" ht="11.25" customHeight="1">
      <c r="A7632" s="1" t="s">
        <v>10745</v>
      </c>
      <c r="B7632" s="1" t="str">
        <f ca="1">IFERROR(__xludf.DUMMYFUNCTION("GOOGLETRANSLATE(A7632, ""en"", ""fr"")"),"PHOTOGRAPHIQUE")</f>
        <v>PHOTOGRAPHIQUE</v>
      </c>
      <c r="C7632" s="1" t="s">
        <v>185</v>
      </c>
      <c r="BC7632" s="1" t="s">
        <v>51</v>
      </c>
      <c r="BH7632" s="1" t="s">
        <v>56</v>
      </c>
      <c r="GD7632" s="1" t="s">
        <v>202</v>
      </c>
      <c r="GE7632" s="1" t="s">
        <v>190</v>
      </c>
    </row>
    <row r="7633" spans="1:187" ht="11.25" customHeight="1">
      <c r="A7633" s="1" t="s">
        <v>10746</v>
      </c>
      <c r="B7633" s="1" t="str">
        <f ca="1">IFERROR(__xludf.DUMMYFUNCTION("GOOGLETRANSLATE(A7633, ""en"", ""fr"")"),"PHRASE")</f>
        <v>PHRASE</v>
      </c>
      <c r="C7633" s="1" t="s">
        <v>185</v>
      </c>
      <c r="BK7633" s="1" t="s">
        <v>59</v>
      </c>
      <c r="BL7633" s="1" t="s">
        <v>60</v>
      </c>
      <c r="GC7633" s="1" t="s">
        <v>181</v>
      </c>
      <c r="GD7633" s="1" t="s">
        <v>193</v>
      </c>
      <c r="GE7633" s="1" t="s">
        <v>190</v>
      </c>
    </row>
    <row r="7634" spans="1:187" ht="11.25" customHeight="1">
      <c r="A7634" s="1" t="s">
        <v>10747</v>
      </c>
      <c r="B7634" s="1" t="str">
        <f ca="1">IFERROR(__xludf.DUMMYFUNCTION("GOOGLETRANSLATE(A7634, ""en"", ""fr"")"),"Physique n ° 1")</f>
        <v>Physique n ° 1</v>
      </c>
      <c r="C7634" s="1" t="s">
        <v>185</v>
      </c>
      <c r="J7634" s="1" t="s">
        <v>6</v>
      </c>
      <c r="BJ7634" s="1" t="s">
        <v>58</v>
      </c>
      <c r="EZ7634" s="1" t="s">
        <v>152</v>
      </c>
      <c r="FC7634" s="1" t="s">
        <v>155</v>
      </c>
      <c r="GD7634" s="1" t="s">
        <v>202</v>
      </c>
      <c r="GE7634" s="1" t="s">
        <v>10748</v>
      </c>
    </row>
    <row r="7635" spans="1:187" ht="11.25" customHeight="1">
      <c r="A7635" s="1" t="s">
        <v>10749</v>
      </c>
      <c r="B7635" s="1" t="str">
        <f ca="1">IFERROR(__xludf.DUMMYFUNCTION("GOOGLETRANSLATE(A7635, ""en"", ""fr"")"),"Physique n ° 2")</f>
        <v>Physique n ° 2</v>
      </c>
      <c r="C7635" s="1" t="s">
        <v>185</v>
      </c>
      <c r="J7635" s="1" t="s">
        <v>6</v>
      </c>
      <c r="CR7635" s="1" t="s">
        <v>92</v>
      </c>
      <c r="EZ7635" s="1" t="s">
        <v>152</v>
      </c>
      <c r="FC7635" s="1" t="s">
        <v>155</v>
      </c>
      <c r="GD7635" s="1" t="s">
        <v>236</v>
      </c>
      <c r="GE7635" s="1" t="s">
        <v>10750</v>
      </c>
    </row>
    <row r="7636" spans="1:187" ht="11.25" customHeight="1">
      <c r="A7636" s="1" t="s">
        <v>10751</v>
      </c>
      <c r="B7636" s="1" t="str">
        <f ca="1">IFERROR(__xludf.DUMMYFUNCTION("GOOGLETRANSLATE(A7636, ""en"", ""fr"")"),"MÉDECIN")</f>
        <v>MÉDECIN</v>
      </c>
      <c r="C7636" s="1" t="s">
        <v>185</v>
      </c>
      <c r="Y7636" s="1" t="s">
        <v>21</v>
      </c>
      <c r="AJ7636" s="1" t="s">
        <v>32</v>
      </c>
      <c r="AT7636" s="1" t="s">
        <v>42</v>
      </c>
      <c r="FB7636" s="1" t="s">
        <v>154</v>
      </c>
      <c r="FC7636" s="1" t="s">
        <v>155</v>
      </c>
      <c r="GD7636" s="1" t="s">
        <v>193</v>
      </c>
      <c r="GE7636" s="1" t="s">
        <v>190</v>
      </c>
    </row>
    <row r="7637" spans="1:187" ht="11.25" customHeight="1">
      <c r="A7637" s="1" t="s">
        <v>10752</v>
      </c>
      <c r="B7637" s="1" t="str">
        <f ca="1">IFERROR(__xludf.DUMMYFUNCTION("GOOGLETRANSLATE(A7637, ""en"", ""fr"")"),"PHYSICIEN")</f>
        <v>PHYSICIEN</v>
      </c>
      <c r="C7637" s="1" t="s">
        <v>185</v>
      </c>
      <c r="Y7637" s="1" t="s">
        <v>21</v>
      </c>
      <c r="AJ7637" s="1" t="s">
        <v>32</v>
      </c>
      <c r="AT7637" s="1" t="s">
        <v>42</v>
      </c>
      <c r="FG7637" s="1" t="s">
        <v>159</v>
      </c>
      <c r="FI7637" s="1" t="s">
        <v>161</v>
      </c>
      <c r="GD7637" s="1" t="s">
        <v>193</v>
      </c>
      <c r="GE7637" s="1" t="s">
        <v>190</v>
      </c>
    </row>
    <row r="7638" spans="1:187" ht="11.25" customHeight="1">
      <c r="A7638" s="1" t="s">
        <v>10753</v>
      </c>
      <c r="B7638" s="1" t="str">
        <f ca="1">IFERROR(__xludf.DUMMYFUNCTION("GOOGLETRANSLATE(A7638, ""en"", ""fr"")"),"LA PHYSIQUE")</f>
        <v>LA PHYSIQUE</v>
      </c>
      <c r="C7638" s="1" t="s">
        <v>185</v>
      </c>
      <c r="Y7638" s="1" t="s">
        <v>21</v>
      </c>
      <c r="Z7638" s="1" t="s">
        <v>22</v>
      </c>
      <c r="FH7638" s="1" t="s">
        <v>160</v>
      </c>
      <c r="FI7638" s="1" t="s">
        <v>161</v>
      </c>
      <c r="GD7638" s="1" t="s">
        <v>193</v>
      </c>
      <c r="GE7638" s="1" t="s">
        <v>190</v>
      </c>
    </row>
    <row r="7639" spans="1:187" ht="11.25" customHeight="1">
      <c r="A7639" s="1" t="s">
        <v>10754</v>
      </c>
      <c r="B7639" s="1" t="str">
        <f ca="1">IFERROR(__xludf.DUMMYFUNCTION("GOOGLETRANSLATE(A7639, ""en"", ""fr"")"),"PIANO")</f>
        <v>PIANO</v>
      </c>
      <c r="C7639" s="1" t="s">
        <v>185</v>
      </c>
      <c r="AD7639" s="1" t="s">
        <v>26</v>
      </c>
      <c r="BC7639" s="1" t="s">
        <v>51</v>
      </c>
      <c r="BD7639" s="1" t="s">
        <v>52</v>
      </c>
      <c r="GD7639" s="1" t="s">
        <v>193</v>
      </c>
      <c r="GE7639" s="1" t="s">
        <v>10755</v>
      </c>
    </row>
    <row r="7640" spans="1:187" ht="11.25" customHeight="1">
      <c r="A7640" s="1" t="s">
        <v>10756</v>
      </c>
      <c r="B7640" s="1" t="str">
        <f ca="1">IFERROR(__xludf.DUMMYFUNCTION("GOOGLETRANSLATE(A7640, ""en"", ""fr"")"),"Choisissez # 1")</f>
        <v>Choisissez # 1</v>
      </c>
      <c r="C7640" s="1" t="s">
        <v>185</v>
      </c>
      <c r="N7640" s="1" t="s">
        <v>10</v>
      </c>
      <c r="AL7640" s="1" t="s">
        <v>34</v>
      </c>
      <c r="DO7640" s="1" t="s">
        <v>115</v>
      </c>
      <c r="GD7640" s="1" t="s">
        <v>189</v>
      </c>
      <c r="GE7640" s="1" t="s">
        <v>10757</v>
      </c>
    </row>
    <row r="7641" spans="1:187" ht="11.25" customHeight="1">
      <c r="A7641" s="1" t="s">
        <v>10758</v>
      </c>
      <c r="B7641" s="1" t="str">
        <f ca="1">IFERROR(__xludf.DUMMYFUNCTION("GOOGLETRANSLATE(A7641, ""en"", ""fr"")"),"Pick # 2")</f>
        <v>Pick # 2</v>
      </c>
      <c r="C7641" s="1" t="s">
        <v>185</v>
      </c>
      <c r="N7641" s="1" t="s">
        <v>10</v>
      </c>
      <c r="CD7641" s="1" t="s">
        <v>78</v>
      </c>
      <c r="DN7641" s="1" t="s">
        <v>114</v>
      </c>
      <c r="GD7641" s="1" t="s">
        <v>189</v>
      </c>
      <c r="GE7641" s="1" t="s">
        <v>10759</v>
      </c>
    </row>
    <row r="7642" spans="1:187" ht="11.25" customHeight="1">
      <c r="A7642" s="1" t="s">
        <v>10760</v>
      </c>
      <c r="B7642" s="1" t="str">
        <f ca="1">IFERROR(__xludf.DUMMYFUNCTION("GOOGLETRANSLATE(A7642, ""en"", ""fr"")"),"Pick # 3")</f>
        <v>Pick # 3</v>
      </c>
      <c r="C7642" s="1" t="s">
        <v>185</v>
      </c>
      <c r="E7642" s="1" t="s">
        <v>16613</v>
      </c>
      <c r="H7642" s="1" t="s">
        <v>4</v>
      </c>
      <c r="I7642" s="1" t="s">
        <v>5</v>
      </c>
      <c r="J7642" s="1" t="s">
        <v>6</v>
      </c>
      <c r="K7642" s="1" t="s">
        <v>7</v>
      </c>
      <c r="N7642" s="1" t="s">
        <v>10</v>
      </c>
      <c r="AN7642" s="1" t="s">
        <v>36</v>
      </c>
      <c r="DN7642" s="1" t="s">
        <v>114</v>
      </c>
      <c r="EL7642" s="1" t="s">
        <v>138</v>
      </c>
      <c r="EN7642" s="1" t="s">
        <v>140</v>
      </c>
      <c r="GD7642" s="1" t="s">
        <v>189</v>
      </c>
      <c r="GE7642" s="1" t="s">
        <v>10761</v>
      </c>
    </row>
    <row r="7643" spans="1:187" ht="11.25" customHeight="1">
      <c r="A7643" s="1" t="s">
        <v>10762</v>
      </c>
      <c r="B7643" s="1" t="str">
        <f ca="1">IFERROR(__xludf.DUMMYFUNCTION("GOOGLETRANSLATE(A7643, ""en"", ""fr"")"),"Pick # 4")</f>
        <v>Pick # 4</v>
      </c>
      <c r="C7643" s="1" t="s">
        <v>185</v>
      </c>
      <c r="BQ7643" s="1" t="s">
        <v>65</v>
      </c>
      <c r="GD7643" s="1" t="s">
        <v>202</v>
      </c>
      <c r="GE7643" s="1" t="s">
        <v>10763</v>
      </c>
    </row>
    <row r="7644" spans="1:187" ht="11.25" customHeight="1">
      <c r="A7644" s="1" t="s">
        <v>10764</v>
      </c>
      <c r="B7644" s="1" t="str">
        <f ca="1">IFERROR(__xludf.DUMMYFUNCTION("GOOGLETRANSLATE(A7644, ""en"", ""fr"")"),"Pick # 5")</f>
        <v>Pick # 5</v>
      </c>
      <c r="C7644" s="1" t="s">
        <v>185</v>
      </c>
      <c r="BC7644" s="1" t="s">
        <v>51</v>
      </c>
      <c r="BD7644" s="1" t="s">
        <v>52</v>
      </c>
      <c r="GD7644" s="1" t="s">
        <v>193</v>
      </c>
      <c r="GE7644" s="1" t="s">
        <v>10765</v>
      </c>
    </row>
    <row r="7645" spans="1:187" ht="11.25" customHeight="1">
      <c r="A7645" s="1" t="s">
        <v>10766</v>
      </c>
      <c r="B7645" s="1" t="str">
        <f ca="1">IFERROR(__xludf.DUMMYFUNCTION("GOOGLETRANSLATE(A7645, ""en"", ""fr"")"),"IMAGE")</f>
        <v>IMAGE</v>
      </c>
      <c r="C7645" s="1" t="s">
        <v>185</v>
      </c>
      <c r="AD7645" s="1" t="s">
        <v>26</v>
      </c>
      <c r="BC7645" s="1" t="s">
        <v>51</v>
      </c>
      <c r="BH7645" s="1" t="s">
        <v>56</v>
      </c>
      <c r="BL7645" s="1" t="s">
        <v>60</v>
      </c>
      <c r="GD7645" s="1" t="s">
        <v>193</v>
      </c>
      <c r="GE7645" s="1" t="s">
        <v>10767</v>
      </c>
    </row>
    <row r="7646" spans="1:187" ht="11.25" customHeight="1">
      <c r="A7646" s="1" t="s">
        <v>10768</v>
      </c>
      <c r="B7646" s="1" t="str">
        <f ca="1">IFERROR(__xludf.DUMMYFUNCTION("GOOGLETRANSLATE(A7646, ""en"", ""fr"")"),"PITTORESQUE")</f>
        <v>PITTORESQUE</v>
      </c>
      <c r="C7646" s="1" t="s">
        <v>192</v>
      </c>
      <c r="D7646" s="1" t="s">
        <v>16612</v>
      </c>
      <c r="CK7646" s="1" t="s">
        <v>85</v>
      </c>
      <c r="CM7646" s="1" t="s">
        <v>87</v>
      </c>
      <c r="CR7646" s="1" t="s">
        <v>92</v>
      </c>
      <c r="DR7646" s="1" t="s">
        <v>118</v>
      </c>
      <c r="GD7646" s="1" t="s">
        <v>202</v>
      </c>
      <c r="GE7646" s="1" t="s">
        <v>190</v>
      </c>
    </row>
    <row r="7647" spans="1:187" ht="11.25" customHeight="1">
      <c r="A7647" s="1" t="s">
        <v>10769</v>
      </c>
      <c r="B7647" s="1" t="str">
        <f ca="1">IFERROR(__xludf.DUMMYFUNCTION("GOOGLETRANSLATE(A7647, ""en"", ""fr"")"),"TARTE")</f>
        <v>TARTE</v>
      </c>
      <c r="C7647" s="1" t="s">
        <v>196</v>
      </c>
      <c r="BE7647" s="1" t="s">
        <v>53</v>
      </c>
      <c r="GD7647" s="1" t="s">
        <v>193</v>
      </c>
    </row>
    <row r="7648" spans="1:187" ht="11.25" customHeight="1">
      <c r="A7648" s="1" t="s">
        <v>10770</v>
      </c>
      <c r="B7648" s="1" t="str">
        <f ca="1">IFERROR(__xludf.DUMMYFUNCTION("GOOGLETRANSLATE(A7648, ""en"", ""fr"")"),"Pièce n ° 1")</f>
        <v>Pièce n ° 1</v>
      </c>
      <c r="C7648" s="1" t="s">
        <v>185</v>
      </c>
      <c r="BC7648" s="1" t="s">
        <v>51</v>
      </c>
      <c r="BI7648" s="1" t="s">
        <v>57</v>
      </c>
      <c r="GD7648" s="1" t="s">
        <v>849</v>
      </c>
      <c r="GE7648" s="1" t="s">
        <v>10771</v>
      </c>
    </row>
    <row r="7649" spans="1:187" ht="11.25" customHeight="1">
      <c r="A7649" s="1" t="s">
        <v>10772</v>
      </c>
      <c r="B7649" s="1" t="str">
        <f ca="1">IFERROR(__xludf.DUMMYFUNCTION("GOOGLETRANSLATE(A7649, ""en"", ""fr"")"),"Pièce n ° 2")</f>
        <v>Pièce n ° 2</v>
      </c>
      <c r="C7649" s="1" t="s">
        <v>185</v>
      </c>
      <c r="AA7649" s="1" t="s">
        <v>23</v>
      </c>
      <c r="BC7649" s="1" t="s">
        <v>51</v>
      </c>
      <c r="BH7649" s="1" t="s">
        <v>56</v>
      </c>
      <c r="BL7649" s="1" t="s">
        <v>60</v>
      </c>
      <c r="EV7649" s="1" t="s">
        <v>148</v>
      </c>
      <c r="EW7649" s="1" t="s">
        <v>149</v>
      </c>
      <c r="GD7649" s="1" t="s">
        <v>193</v>
      </c>
      <c r="GE7649" s="1" t="s">
        <v>10773</v>
      </c>
    </row>
    <row r="7650" spans="1:187" ht="11.25" customHeight="1">
      <c r="A7650" s="1" t="s">
        <v>10774</v>
      </c>
      <c r="B7650" s="1" t="str">
        <f ca="1">IFERROR(__xludf.DUMMYFUNCTION("GOOGLETRANSLATE(A7650, ""en"", ""fr"")"),"Pièce n ° 3")</f>
        <v>Pièce n ° 3</v>
      </c>
      <c r="C7650" s="1" t="s">
        <v>185</v>
      </c>
      <c r="N7650" s="1" t="s">
        <v>10</v>
      </c>
      <c r="BX7650" s="1" t="s">
        <v>72</v>
      </c>
      <c r="DO7650" s="1" t="s">
        <v>115</v>
      </c>
      <c r="FH7650" s="1" t="s">
        <v>160</v>
      </c>
      <c r="FI7650" s="1" t="s">
        <v>161</v>
      </c>
      <c r="GD7650" s="1" t="s">
        <v>189</v>
      </c>
      <c r="GE7650" s="1" t="s">
        <v>10775</v>
      </c>
    </row>
    <row r="7651" spans="1:187" ht="11.25" customHeight="1">
      <c r="A7651" s="1" t="s">
        <v>10776</v>
      </c>
      <c r="B7651" s="1" t="str">
        <f ca="1">IFERROR(__xludf.DUMMYFUNCTION("GOOGLETRANSLATE(A7651, ""en"", ""fr"")"),"Pièce n ° 4")</f>
        <v>Pièce n ° 4</v>
      </c>
      <c r="C7651" s="1" t="s">
        <v>185</v>
      </c>
      <c r="E7651" s="1" t="s">
        <v>16613</v>
      </c>
      <c r="H7651" s="1" t="s">
        <v>4</v>
      </c>
      <c r="L7651" s="1" t="s">
        <v>8</v>
      </c>
      <c r="O7651" s="1" t="s">
        <v>11</v>
      </c>
      <c r="BT7651" s="1" t="s">
        <v>68</v>
      </c>
      <c r="DN7651" s="1" t="s">
        <v>114</v>
      </c>
      <c r="EY7651" s="1" t="s">
        <v>151</v>
      </c>
      <c r="FC7651" s="1" t="s">
        <v>155</v>
      </c>
      <c r="GD7651" s="1" t="s">
        <v>189</v>
      </c>
      <c r="GE7651" s="1" t="s">
        <v>10777</v>
      </c>
    </row>
    <row r="7652" spans="1:187" ht="11.25" customHeight="1">
      <c r="A7652" s="1" t="s">
        <v>10778</v>
      </c>
      <c r="B7652" s="1" t="str">
        <f ca="1">IFERROR(__xludf.DUMMYFUNCTION("GOOGLETRANSLATE(A7652, ""en"", ""fr"")"),"Pièce n ° 5")</f>
        <v>Pièce n ° 5</v>
      </c>
      <c r="C7652" s="1" t="s">
        <v>185</v>
      </c>
      <c r="CS7652" s="1" t="s">
        <v>93</v>
      </c>
      <c r="GD7652" s="1" t="s">
        <v>236</v>
      </c>
      <c r="GE7652" s="1" t="s">
        <v>10779</v>
      </c>
    </row>
    <row r="7653" spans="1:187" ht="11.25" customHeight="1">
      <c r="A7653" s="1" t="s">
        <v>10780</v>
      </c>
      <c r="B7653" s="1" t="str">
        <f ca="1">IFERROR(__xludf.DUMMYFUNCTION("GOOGLETRANSLATE(A7653, ""en"", ""fr"")"),"PIÉTÉ")</f>
        <v>PIÉTÉ</v>
      </c>
      <c r="C7653" s="1" t="s">
        <v>192</v>
      </c>
      <c r="D7653" s="1" t="s">
        <v>16612</v>
      </c>
      <c r="AI7653" s="1" t="s">
        <v>31</v>
      </c>
      <c r="CJ7653" s="1" t="s">
        <v>84</v>
      </c>
      <c r="GD7653" s="1" t="s">
        <v>193</v>
      </c>
      <c r="GE7653" s="1" t="s">
        <v>190</v>
      </c>
    </row>
    <row r="7654" spans="1:187" ht="11.25" customHeight="1">
      <c r="A7654" s="1" t="s">
        <v>10781</v>
      </c>
      <c r="B7654" s="1" t="str">
        <f ca="1">IFERROR(__xludf.DUMMYFUNCTION("GOOGLETRANSLATE(A7654, ""en"", ""fr"")"),"COCHON")</f>
        <v>COCHON</v>
      </c>
      <c r="C7654" s="1" t="s">
        <v>185</v>
      </c>
      <c r="AU7654" s="1" t="s">
        <v>43</v>
      </c>
      <c r="GD7654" s="1" t="s">
        <v>193</v>
      </c>
      <c r="GE7654" s="1" t="s">
        <v>10782</v>
      </c>
    </row>
    <row r="7655" spans="1:187" ht="11.25" customHeight="1">
      <c r="A7655" s="1" t="s">
        <v>10783</v>
      </c>
      <c r="B7655" s="1" t="str">
        <f ca="1">IFERROR(__xludf.DUMMYFUNCTION("GOOGLETRANSLATE(A7655, ""en"", ""fr"")"),"PIGMENT")</f>
        <v>PIGMENT</v>
      </c>
      <c r="C7655" s="1" t="s">
        <v>185</v>
      </c>
      <c r="BC7655" s="1" t="s">
        <v>51</v>
      </c>
      <c r="BD7655" s="1" t="s">
        <v>52</v>
      </c>
      <c r="GD7655" s="1" t="s">
        <v>193</v>
      </c>
      <c r="GE7655" s="1" t="s">
        <v>190</v>
      </c>
    </row>
    <row r="7656" spans="1:187" ht="11.25" customHeight="1">
      <c r="A7656" s="1" t="s">
        <v>10784</v>
      </c>
      <c r="B7656" s="1" t="str">
        <f ca="1">IFERROR(__xludf.DUMMYFUNCTION("GOOGLETRANSLATE(A7656, ""en"", ""fr"")"),"Pile n ° 1")</f>
        <v>Pile n ° 1</v>
      </c>
      <c r="C7656" s="1" t="s">
        <v>185</v>
      </c>
      <c r="BX7656" s="1" t="s">
        <v>72</v>
      </c>
      <c r="DN7656" s="1" t="s">
        <v>114</v>
      </c>
      <c r="GD7656" s="1" t="s">
        <v>189</v>
      </c>
      <c r="GE7656" s="1" t="s">
        <v>10785</v>
      </c>
    </row>
    <row r="7657" spans="1:187" ht="11.25" customHeight="1">
      <c r="A7657" s="1" t="s">
        <v>10786</v>
      </c>
      <c r="B7657" s="1" t="str">
        <f ca="1">IFERROR(__xludf.DUMMYFUNCTION("GOOGLETRANSLATE(A7657, ""en"", ""fr"")"),"Pile n ° 2")</f>
        <v>Pile n ° 2</v>
      </c>
      <c r="C7657" s="1" t="s">
        <v>185</v>
      </c>
      <c r="BC7657" s="1" t="s">
        <v>51</v>
      </c>
      <c r="BI7657" s="1" t="s">
        <v>57</v>
      </c>
      <c r="GD7657" s="1" t="s">
        <v>193</v>
      </c>
      <c r="GE7657" s="1" t="s">
        <v>10787</v>
      </c>
    </row>
    <row r="7658" spans="1:187" ht="11.25" customHeight="1">
      <c r="A7658" s="1" t="s">
        <v>10788</v>
      </c>
      <c r="B7658" s="1" t="str">
        <f ca="1">IFERROR(__xludf.DUMMYFUNCTION("GOOGLETRANSLATE(A7658, ""en"", ""fr"")"),"Pile n ° 3")</f>
        <v>Pile n ° 3</v>
      </c>
      <c r="C7658" s="1" t="s">
        <v>185</v>
      </c>
      <c r="N7658" s="1" t="s">
        <v>10</v>
      </c>
      <c r="CE7658" s="1" t="s">
        <v>79</v>
      </c>
      <c r="DN7658" s="1" t="s">
        <v>114</v>
      </c>
      <c r="GD7658" s="1" t="s">
        <v>189</v>
      </c>
      <c r="GE7658" s="1" t="s">
        <v>10789</v>
      </c>
    </row>
    <row r="7659" spans="1:187" ht="11.25" customHeight="1">
      <c r="A7659" s="1" t="s">
        <v>10790</v>
      </c>
      <c r="B7659" s="1" t="str">
        <f ca="1">IFERROR(__xludf.DUMMYFUNCTION("GOOGLETRANSLATE(A7659, ""en"", ""fr"")"),"PÈLERINAGE")</f>
        <v>PÈLERINAGE</v>
      </c>
      <c r="C7659" s="1" t="s">
        <v>185</v>
      </c>
      <c r="AI7659" s="1" t="s">
        <v>31</v>
      </c>
      <c r="AM7659" s="1" t="s">
        <v>35</v>
      </c>
      <c r="EF7659" s="1" t="s">
        <v>132</v>
      </c>
      <c r="EJ7659" s="1" t="s">
        <v>136</v>
      </c>
      <c r="GD7659" s="1" t="s">
        <v>193</v>
      </c>
      <c r="GE7659" s="1" t="s">
        <v>190</v>
      </c>
    </row>
    <row r="7660" spans="1:187" ht="11.25" customHeight="1">
      <c r="A7660" s="1" t="s">
        <v>10791</v>
      </c>
      <c r="B7660" s="1" t="str">
        <f ca="1">IFERROR(__xludf.DUMMYFUNCTION("GOOGLETRANSLATE(A7660, ""en"", ""fr"")"),"PILULE")</f>
        <v>PILULE</v>
      </c>
      <c r="C7660" s="1" t="s">
        <v>185</v>
      </c>
      <c r="BC7660" s="1" t="s">
        <v>51</v>
      </c>
      <c r="BD7660" s="1" t="s">
        <v>52</v>
      </c>
      <c r="GD7660" s="1" t="s">
        <v>193</v>
      </c>
      <c r="GE7660" s="1" t="s">
        <v>190</v>
      </c>
    </row>
    <row r="7661" spans="1:187" ht="11.25" customHeight="1">
      <c r="A7661" s="1" t="s">
        <v>10792</v>
      </c>
      <c r="B7661" s="1" t="str">
        <f ca="1">IFERROR(__xludf.DUMMYFUNCTION("GOOGLETRANSLATE(A7661, ""en"", ""fr"")"),"OREILLER")</f>
        <v>OREILLER</v>
      </c>
      <c r="C7661" s="1" t="s">
        <v>185</v>
      </c>
      <c r="BC7661" s="1" t="s">
        <v>51</v>
      </c>
      <c r="BD7661" s="1" t="s">
        <v>52</v>
      </c>
      <c r="EZ7661" s="1" t="s">
        <v>152</v>
      </c>
      <c r="FC7661" s="1" t="s">
        <v>155</v>
      </c>
      <c r="GD7661" s="1" t="s">
        <v>193</v>
      </c>
      <c r="GE7661" s="1" t="s">
        <v>190</v>
      </c>
    </row>
    <row r="7662" spans="1:187" ht="11.25" customHeight="1">
      <c r="A7662" s="1" t="s">
        <v>10793</v>
      </c>
      <c r="B7662" s="1" t="str">
        <f ca="1">IFERROR(__xludf.DUMMYFUNCTION("GOOGLETRANSLATE(A7662, ""en"", ""fr"")"),"PILOTE")</f>
        <v>PILOTE</v>
      </c>
      <c r="C7662" s="1" t="s">
        <v>185</v>
      </c>
      <c r="AA7662" s="1" t="s">
        <v>23</v>
      </c>
      <c r="AJ7662" s="1" t="s">
        <v>32</v>
      </c>
      <c r="AT7662" s="1" t="s">
        <v>42</v>
      </c>
      <c r="DY7662" s="1" t="s">
        <v>125</v>
      </c>
      <c r="ED7662" s="1" t="s">
        <v>130</v>
      </c>
      <c r="GD7662" s="1" t="s">
        <v>193</v>
      </c>
      <c r="GE7662" s="1" t="s">
        <v>190</v>
      </c>
    </row>
    <row r="7663" spans="1:187" ht="11.25" customHeight="1">
      <c r="A7663" s="1" t="s">
        <v>10794</v>
      </c>
      <c r="B7663" s="1" t="str">
        <f ca="1">IFERROR(__xludf.DUMMYFUNCTION("GOOGLETRANSLATE(A7663, ""en"", ""fr"")"),"PIN # 1")</f>
        <v>PIN # 1</v>
      </c>
      <c r="C7663" s="1" t="s">
        <v>185</v>
      </c>
      <c r="BC7663" s="1" t="s">
        <v>51</v>
      </c>
      <c r="BD7663" s="1" t="s">
        <v>52</v>
      </c>
      <c r="GD7663" s="1" t="s">
        <v>193</v>
      </c>
      <c r="GE7663" s="1" t="s">
        <v>190</v>
      </c>
    </row>
    <row r="7664" spans="1:187" ht="11.25" customHeight="1">
      <c r="A7664" s="1" t="s">
        <v>10795</v>
      </c>
      <c r="B7664" s="1" t="str">
        <f ca="1">IFERROR(__xludf.DUMMYFUNCTION("GOOGLETRANSLATE(A7664, ""en"", ""fr"")"),"PIN # 2")</f>
        <v>PIN # 2</v>
      </c>
      <c r="C7664" s="1" t="s">
        <v>185</v>
      </c>
      <c r="DD7664" s="1" t="s">
        <v>104</v>
      </c>
      <c r="DO7664" s="1" t="s">
        <v>115</v>
      </c>
      <c r="FP7664" s="1" t="s">
        <v>168</v>
      </c>
      <c r="GD7664" s="1" t="s">
        <v>189</v>
      </c>
      <c r="GE7664" s="1" t="s">
        <v>190</v>
      </c>
    </row>
    <row r="7665" spans="1:187" ht="11.25" customHeight="1">
      <c r="A7665" s="1" t="s">
        <v>10796</v>
      </c>
      <c r="B7665" s="1" t="str">
        <f ca="1">IFERROR(__xludf.DUMMYFUNCTION("GOOGLETRANSLATE(A7665, ""en"", ""fr"")"),"Pincement # 1")</f>
        <v>Pincement # 1</v>
      </c>
      <c r="C7665" s="1" t="s">
        <v>185</v>
      </c>
      <c r="E7665" s="1" t="s">
        <v>16613</v>
      </c>
      <c r="H7665" s="1" t="s">
        <v>4</v>
      </c>
      <c r="V7665" s="1" t="s">
        <v>18</v>
      </c>
      <c r="GD7665" s="1" t="s">
        <v>193</v>
      </c>
      <c r="GE7665" s="1" t="s">
        <v>190</v>
      </c>
    </row>
    <row r="7666" spans="1:187" ht="11.25" customHeight="1">
      <c r="A7666" s="1" t="s">
        <v>10797</v>
      </c>
      <c r="B7666" s="1" t="str">
        <f ca="1">IFERROR(__xludf.DUMMYFUNCTION("GOOGLETRANSLATE(A7666, ""en"", ""fr"")"),"Pincement # 2")</f>
        <v>Pincement # 2</v>
      </c>
      <c r="C7666" s="1" t="s">
        <v>185</v>
      </c>
      <c r="E7666" s="1" t="s">
        <v>16613</v>
      </c>
      <c r="H7666" s="1" t="s">
        <v>4</v>
      </c>
      <c r="I7666" s="1" t="s">
        <v>5</v>
      </c>
      <c r="N7666" s="1" t="s">
        <v>10</v>
      </c>
      <c r="CC7666" s="1" t="s">
        <v>77</v>
      </c>
      <c r="DO7666" s="1" t="s">
        <v>115</v>
      </c>
      <c r="GD7666" s="1" t="s">
        <v>189</v>
      </c>
      <c r="GE7666" s="1" t="s">
        <v>190</v>
      </c>
    </row>
    <row r="7667" spans="1:187" ht="11.25" customHeight="1">
      <c r="A7667" s="1" t="s">
        <v>10798</v>
      </c>
      <c r="B7667" s="1" t="str">
        <f ca="1">IFERROR(__xludf.DUMMYFUNCTION("GOOGLETRANSLATE(A7667, ""en"", ""fr"")"),"ROSE")</f>
        <v>ROSE</v>
      </c>
      <c r="C7667" s="1" t="s">
        <v>185</v>
      </c>
      <c r="DE7667" s="1" t="s">
        <v>105</v>
      </c>
      <c r="GD7667" s="1" t="s">
        <v>202</v>
      </c>
      <c r="GE7667" s="1" t="s">
        <v>190</v>
      </c>
    </row>
    <row r="7668" spans="1:187" ht="11.25" customHeight="1">
      <c r="A7668" s="1" t="s">
        <v>10799</v>
      </c>
      <c r="B7668" s="1" t="str">
        <f ca="1">IFERROR(__xludf.DUMMYFUNCTION("GOOGLETRANSLATE(A7668, ""en"", ""fr"")"),"SOMMET")</f>
        <v>SOMMET</v>
      </c>
      <c r="C7668" s="1" t="s">
        <v>192</v>
      </c>
      <c r="D7668" s="1" t="s">
        <v>16612</v>
      </c>
      <c r="U7668" s="1" t="s">
        <v>17</v>
      </c>
      <c r="BO7668" s="1" t="s">
        <v>63</v>
      </c>
      <c r="BS7668" s="1" t="s">
        <v>67</v>
      </c>
      <c r="GD7668" s="1" t="s">
        <v>193</v>
      </c>
      <c r="GE7668" s="1" t="s">
        <v>190</v>
      </c>
    </row>
    <row r="7669" spans="1:187" ht="11.25" customHeight="1">
      <c r="A7669" s="1" t="s">
        <v>10800</v>
      </c>
      <c r="B7669" s="1" t="str">
        <f ca="1">IFERROR(__xludf.DUMMYFUNCTION("GOOGLETRANSLATE(A7669, ""en"", ""fr"")"),"PIONNIER")</f>
        <v>PIONNIER</v>
      </c>
      <c r="C7669" s="1" t="s">
        <v>185</v>
      </c>
      <c r="N7669" s="1" t="s">
        <v>10</v>
      </c>
      <c r="AJ7669" s="1" t="s">
        <v>32</v>
      </c>
      <c r="AT7669" s="1" t="s">
        <v>42</v>
      </c>
      <c r="FG7669" s="1" t="s">
        <v>159</v>
      </c>
      <c r="FI7669" s="1" t="s">
        <v>161</v>
      </c>
      <c r="GD7669" s="1" t="s">
        <v>193</v>
      </c>
      <c r="GE7669" s="1" t="s">
        <v>190</v>
      </c>
    </row>
    <row r="7670" spans="1:187" ht="11.25" customHeight="1">
      <c r="A7670" s="1" t="s">
        <v>10801</v>
      </c>
      <c r="B7670" s="1" t="str">
        <f ca="1">IFERROR(__xludf.DUMMYFUNCTION("GOOGLETRANSLATE(A7670, ""en"", ""fr"")"),"PIEUX")</f>
        <v>PIEUX</v>
      </c>
      <c r="C7670" s="1" t="s">
        <v>185</v>
      </c>
      <c r="D7670" s="1" t="s">
        <v>16612</v>
      </c>
      <c r="F7670" s="1" t="s">
        <v>2</v>
      </c>
      <c r="U7670" s="1" t="s">
        <v>17</v>
      </c>
      <c r="AI7670" s="1" t="s">
        <v>31</v>
      </c>
      <c r="EF7670" s="1" t="s">
        <v>132</v>
      </c>
      <c r="EJ7670" s="1" t="s">
        <v>136</v>
      </c>
      <c r="GD7670" s="1" t="s">
        <v>202</v>
      </c>
      <c r="GE7670" s="1" t="s">
        <v>190</v>
      </c>
    </row>
    <row r="7671" spans="1:187" ht="11.25" customHeight="1">
      <c r="A7671" s="1" t="s">
        <v>10802</v>
      </c>
      <c r="B7671" s="1" t="str">
        <f ca="1">IFERROR(__xludf.DUMMYFUNCTION("GOOGLETRANSLATE(A7671, ""en"", ""fr"")"),"PISTOLET")</f>
        <v>PISTOLET</v>
      </c>
      <c r="C7671" s="1" t="s">
        <v>185</v>
      </c>
      <c r="I7671" s="1" t="s">
        <v>5</v>
      </c>
      <c r="AF7671" s="1" t="s">
        <v>28</v>
      </c>
      <c r="BC7671" s="1" t="s">
        <v>51</v>
      </c>
      <c r="BD7671" s="1" t="s">
        <v>52</v>
      </c>
      <c r="DW7671" s="1" t="s">
        <v>123</v>
      </c>
      <c r="ED7671" s="1" t="s">
        <v>130</v>
      </c>
      <c r="GD7671" s="1" t="s">
        <v>193</v>
      </c>
      <c r="GE7671" s="1" t="s">
        <v>190</v>
      </c>
    </row>
    <row r="7672" spans="1:187" ht="11.25" customHeight="1">
      <c r="A7672" s="1" t="s">
        <v>10803</v>
      </c>
      <c r="B7672" s="1" t="str">
        <f ca="1">IFERROR(__xludf.DUMMYFUNCTION("GOOGLETRANSLATE(A7672, ""en"", ""fr"")"),"PISTON")</f>
        <v>PISTON</v>
      </c>
      <c r="C7672" s="1" t="s">
        <v>185</v>
      </c>
      <c r="J7672" s="1" t="s">
        <v>6</v>
      </c>
      <c r="BC7672" s="1" t="s">
        <v>51</v>
      </c>
      <c r="BD7672" s="1" t="s">
        <v>52</v>
      </c>
      <c r="GD7672" s="1" t="s">
        <v>193</v>
      </c>
      <c r="GE7672" s="1" t="s">
        <v>190</v>
      </c>
    </row>
    <row r="7673" spans="1:187" ht="11.25" customHeight="1">
      <c r="A7673" s="1" t="s">
        <v>10804</v>
      </c>
      <c r="B7673" s="1" t="str">
        <f ca="1">IFERROR(__xludf.DUMMYFUNCTION("GOOGLETRANSLATE(A7673, ""en"", ""fr"")"),"Fosse n ° 1")</f>
        <v>Fosse n ° 1</v>
      </c>
      <c r="C7673" s="1" t="s">
        <v>185</v>
      </c>
      <c r="AV7673" s="1" t="s">
        <v>44</v>
      </c>
      <c r="BA7673" s="1" t="s">
        <v>49</v>
      </c>
      <c r="GD7673" s="1" t="s">
        <v>193</v>
      </c>
      <c r="GE7673" s="1" t="s">
        <v>190</v>
      </c>
    </row>
    <row r="7674" spans="1:187" ht="11.25" customHeight="1">
      <c r="A7674" s="1" t="s">
        <v>10805</v>
      </c>
      <c r="B7674" s="1" t="str">
        <f ca="1">IFERROR(__xludf.DUMMYFUNCTION("GOOGLETRANSLATE(A7674, ""en"", ""fr"")"),"Pit # 2")</f>
        <v>Pit # 2</v>
      </c>
      <c r="C7674" s="1" t="s">
        <v>185</v>
      </c>
      <c r="N7674" s="1" t="s">
        <v>10</v>
      </c>
      <c r="AL7674" s="1" t="s">
        <v>34</v>
      </c>
      <c r="DN7674" s="1" t="s">
        <v>114</v>
      </c>
      <c r="DW7674" s="1" t="s">
        <v>123</v>
      </c>
      <c r="ED7674" s="1" t="s">
        <v>130</v>
      </c>
      <c r="GD7674" s="1" t="s">
        <v>189</v>
      </c>
      <c r="GE7674" s="1" t="s">
        <v>190</v>
      </c>
    </row>
    <row r="7675" spans="1:187" ht="11.25" customHeight="1">
      <c r="A7675" s="1" t="s">
        <v>10806</v>
      </c>
      <c r="B7675" s="1" t="str">
        <f ca="1">IFERROR(__xludf.DUMMYFUNCTION("GOOGLETRANSLATE(A7675, ""en"", ""fr"")"),"Pitch # 1")</f>
        <v>Pitch # 1</v>
      </c>
      <c r="C7675" s="1" t="s">
        <v>185</v>
      </c>
      <c r="CR7675" s="1" t="s">
        <v>92</v>
      </c>
      <c r="GD7675" s="1" t="s">
        <v>202</v>
      </c>
      <c r="GE7675" s="1" t="s">
        <v>190</v>
      </c>
    </row>
    <row r="7676" spans="1:187" ht="11.25" customHeight="1">
      <c r="A7676" s="1" t="s">
        <v>10807</v>
      </c>
      <c r="B7676" s="1" t="str">
        <f ca="1">IFERROR(__xludf.DUMMYFUNCTION("GOOGLETRANSLATE(A7676, ""en"", ""fr"")"),"Pitch # 2")</f>
        <v>Pitch # 2</v>
      </c>
      <c r="C7676" s="1" t="s">
        <v>185</v>
      </c>
      <c r="N7676" s="1" t="s">
        <v>10</v>
      </c>
      <c r="CC7676" s="1" t="s">
        <v>77</v>
      </c>
      <c r="DO7676" s="1" t="s">
        <v>115</v>
      </c>
      <c r="GD7676" s="1" t="s">
        <v>189</v>
      </c>
      <c r="GE7676" s="1" t="s">
        <v>190</v>
      </c>
    </row>
    <row r="7677" spans="1:187" ht="11.25" customHeight="1">
      <c r="A7677" s="1" t="s">
        <v>10808</v>
      </c>
      <c r="B7677" s="1" t="str">
        <f ca="1">IFERROR(__xludf.DUMMYFUNCTION("GOOGLETRANSLATE(A7677, ""en"", ""fr"")"),"PITOYABLE")</f>
        <v>PITOYABLE</v>
      </c>
      <c r="C7677" s="1" t="s">
        <v>192</v>
      </c>
      <c r="E7677" s="1" t="s">
        <v>16613</v>
      </c>
      <c r="L7677" s="1" t="s">
        <v>8</v>
      </c>
      <c r="DQ7677" s="1" t="s">
        <v>117</v>
      </c>
      <c r="GD7677" s="1" t="s">
        <v>202</v>
      </c>
      <c r="GE7677" s="1" t="s">
        <v>190</v>
      </c>
    </row>
    <row r="7678" spans="1:187" ht="11.25" customHeight="1">
      <c r="A7678" s="1" t="s">
        <v>10809</v>
      </c>
      <c r="B7678" s="1" t="str">
        <f ca="1">IFERROR(__xludf.DUMMYFUNCTION("GOOGLETRANSLATE(A7678, ""en"", ""fr"")"),"SANS PITIÉ")</f>
        <v>SANS PITIÉ</v>
      </c>
      <c r="C7678" s="1" t="s">
        <v>192</v>
      </c>
      <c r="E7678" s="1" t="s">
        <v>16613</v>
      </c>
      <c r="J7678" s="1" t="s">
        <v>6</v>
      </c>
      <c r="K7678" s="1" t="s">
        <v>7</v>
      </c>
      <c r="DQ7678" s="1" t="s">
        <v>117</v>
      </c>
      <c r="GD7678" s="1" t="s">
        <v>202</v>
      </c>
      <c r="GE7678" s="1" t="s">
        <v>190</v>
      </c>
    </row>
    <row r="7679" spans="1:187" ht="11.25" customHeight="1">
      <c r="A7679" s="1" t="s">
        <v>10810</v>
      </c>
      <c r="B7679" s="1" t="str">
        <f ca="1">IFERROR(__xludf.DUMMYFUNCTION("GOOGLETRANSLATE(A7679, ""en"", ""fr"")"),"Pitié # 1")</f>
        <v>Pitié # 1</v>
      </c>
      <c r="C7679" s="1" t="s">
        <v>185</v>
      </c>
      <c r="G7679" s="1" t="s">
        <v>3</v>
      </c>
      <c r="O7679" s="1" t="s">
        <v>11</v>
      </c>
      <c r="S7679" s="1" t="s">
        <v>15</v>
      </c>
      <c r="T7679" s="1" t="s">
        <v>16</v>
      </c>
      <c r="EO7679" s="1" t="s">
        <v>141</v>
      </c>
      <c r="ES7679" s="1" t="s">
        <v>145</v>
      </c>
      <c r="GD7679" s="1" t="s">
        <v>193</v>
      </c>
      <c r="GE7679" s="1" t="s">
        <v>190</v>
      </c>
    </row>
    <row r="7680" spans="1:187" ht="11.25" customHeight="1">
      <c r="A7680" s="1" t="s">
        <v>10811</v>
      </c>
      <c r="B7680" s="1" t="str">
        <f ca="1">IFERROR(__xludf.DUMMYFUNCTION("GOOGLETRANSLATE(A7680, ""en"", ""fr"")"),"Pitié # 2")</f>
        <v>Pitié # 2</v>
      </c>
      <c r="C7680" s="1" t="s">
        <v>185</v>
      </c>
      <c r="G7680" s="1" t="s">
        <v>3</v>
      </c>
      <c r="K7680" s="1" t="s">
        <v>7</v>
      </c>
      <c r="O7680" s="1" t="s">
        <v>11</v>
      </c>
      <c r="AN7680" s="1" t="s">
        <v>36</v>
      </c>
      <c r="DP7680" s="1" t="s">
        <v>116</v>
      </c>
      <c r="EO7680" s="1" t="s">
        <v>141</v>
      </c>
      <c r="ES7680" s="1" t="s">
        <v>145</v>
      </c>
      <c r="GD7680" s="1" t="s">
        <v>189</v>
      </c>
      <c r="GE7680" s="1" t="s">
        <v>190</v>
      </c>
    </row>
    <row r="7681" spans="1:187" ht="11.25" customHeight="1">
      <c r="A7681" s="1" t="s">
        <v>10812</v>
      </c>
      <c r="B7681" s="1" t="str">
        <f ca="1">IFERROR(__xludf.DUMMYFUNCTION("GOOGLETRANSLATE(A7681, ""en"", ""fr"")"),"Place n ° 1")</f>
        <v>Place n ° 1</v>
      </c>
      <c r="C7681" s="1" t="s">
        <v>185</v>
      </c>
      <c r="AV7681" s="1" t="s">
        <v>44</v>
      </c>
      <c r="AX7681" s="1" t="s">
        <v>46</v>
      </c>
      <c r="GB7681" s="1" t="s">
        <v>180</v>
      </c>
      <c r="GD7681" s="1" t="s">
        <v>193</v>
      </c>
      <c r="GE7681" s="1" t="s">
        <v>10813</v>
      </c>
    </row>
    <row r="7682" spans="1:187" ht="11.25" customHeight="1">
      <c r="A7682" s="1" t="s">
        <v>10814</v>
      </c>
      <c r="B7682" s="1" t="str">
        <f ca="1">IFERROR(__xludf.DUMMYFUNCTION("GOOGLETRANSLATE(A7682, ""en"", ""fr"")"),"Place n ° 2")</f>
        <v>Place n ° 2</v>
      </c>
      <c r="C7682" s="1" t="s">
        <v>185</v>
      </c>
      <c r="N7682" s="1" t="s">
        <v>10</v>
      </c>
      <c r="CD7682" s="1" t="s">
        <v>78</v>
      </c>
      <c r="DO7682" s="1" t="s">
        <v>115</v>
      </c>
      <c r="FP7682" s="1" t="s">
        <v>168</v>
      </c>
      <c r="GD7682" s="1" t="s">
        <v>189</v>
      </c>
      <c r="GE7682" s="1" t="s">
        <v>10815</v>
      </c>
    </row>
    <row r="7683" spans="1:187" ht="11.25" customHeight="1">
      <c r="A7683" s="1" t="s">
        <v>10816</v>
      </c>
      <c r="B7683" s="1" t="str">
        <f ca="1">IFERROR(__xludf.DUMMYFUNCTION("GOOGLETRANSLATE(A7683, ""en"", ""fr"")"),"Place n ° 3")</f>
        <v>Place n ° 3</v>
      </c>
      <c r="C7683" s="1" t="s">
        <v>185</v>
      </c>
      <c r="CY7683" s="1" t="s">
        <v>99</v>
      </c>
      <c r="GD7683" s="1" t="s">
        <v>225</v>
      </c>
      <c r="GE7683" s="1" t="s">
        <v>10817</v>
      </c>
    </row>
    <row r="7684" spans="1:187" ht="11.25" customHeight="1">
      <c r="A7684" s="1" t="s">
        <v>10818</v>
      </c>
      <c r="B7684" s="1" t="str">
        <f ca="1">IFERROR(__xludf.DUMMYFUNCTION("GOOGLETRANSLATE(A7684, ""en"", ""fr"")"),"Place n ° 4")</f>
        <v>Place n ° 4</v>
      </c>
      <c r="C7684" s="1" t="s">
        <v>185</v>
      </c>
      <c r="BW7684" s="1" t="s">
        <v>71</v>
      </c>
      <c r="GD7684" s="1" t="s">
        <v>236</v>
      </c>
      <c r="GE7684" s="1" t="s">
        <v>10819</v>
      </c>
    </row>
    <row r="7685" spans="1:187" ht="11.25" customHeight="1">
      <c r="A7685" s="1" t="s">
        <v>10820</v>
      </c>
      <c r="B7685" s="1" t="str">
        <f ca="1">IFERROR(__xludf.DUMMYFUNCTION("GOOGLETRANSLATE(A7685, ""en"", ""fr"")"),"PLACEMENT")</f>
        <v>PLACEMENT</v>
      </c>
      <c r="C7685" s="1" t="s">
        <v>185</v>
      </c>
      <c r="DA7685" s="1" t="s">
        <v>101</v>
      </c>
      <c r="GD7685" s="1" t="s">
        <v>193</v>
      </c>
      <c r="GE7685" s="1" t="s">
        <v>190</v>
      </c>
    </row>
    <row r="7686" spans="1:187" ht="11.25" customHeight="1">
      <c r="A7686" s="1" t="s">
        <v>10821</v>
      </c>
      <c r="B7686" s="1" t="str">
        <f ca="1">IFERROR(__xludf.DUMMYFUNCTION("GOOGLETRANSLATE(A7686, ""en"", ""fr"")"),"PLACIDE")</f>
        <v>PLACIDE</v>
      </c>
      <c r="C7686" s="1" t="s">
        <v>185</v>
      </c>
      <c r="O7686" s="1" t="s">
        <v>11</v>
      </c>
      <c r="S7686" s="1" t="s">
        <v>15</v>
      </c>
      <c r="GD7686" s="1" t="s">
        <v>202</v>
      </c>
      <c r="GE7686" s="1" t="s">
        <v>190</v>
      </c>
    </row>
    <row r="7687" spans="1:187" ht="11.25" customHeight="1">
      <c r="A7687" s="1" t="s">
        <v>10822</v>
      </c>
      <c r="B7687" s="1" t="str">
        <f ca="1">IFERROR(__xludf.DUMMYFUNCTION("GOOGLETRANSLATE(A7687, ""en"", ""fr"")"),"Plague n ° 1")</f>
        <v>Plague n ° 1</v>
      </c>
      <c r="C7687" s="1" t="s">
        <v>185</v>
      </c>
      <c r="E7687" s="1" t="s">
        <v>16613</v>
      </c>
      <c r="H7687" s="1" t="s">
        <v>4</v>
      </c>
      <c r="J7687" s="1" t="s">
        <v>6</v>
      </c>
      <c r="V7687" s="1" t="s">
        <v>18</v>
      </c>
      <c r="EZ7687" s="1" t="s">
        <v>152</v>
      </c>
      <c r="FC7687" s="1" t="s">
        <v>155</v>
      </c>
      <c r="GD7687" s="1" t="s">
        <v>193</v>
      </c>
      <c r="GE7687" s="1" t="s">
        <v>190</v>
      </c>
    </row>
    <row r="7688" spans="1:187" ht="11.25" customHeight="1">
      <c r="A7688" s="1" t="s">
        <v>10823</v>
      </c>
      <c r="B7688" s="1" t="str">
        <f ca="1">IFERROR(__xludf.DUMMYFUNCTION("GOOGLETRANSLATE(A7688, ""en"", ""fr"")"),"Plague n ° 2")</f>
        <v>Plague n ° 2</v>
      </c>
      <c r="C7688" s="1" t="s">
        <v>185</v>
      </c>
      <c r="E7688" s="1" t="s">
        <v>16613</v>
      </c>
      <c r="H7688" s="1" t="s">
        <v>4</v>
      </c>
      <c r="I7688" s="1" t="s">
        <v>5</v>
      </c>
      <c r="J7688" s="1" t="s">
        <v>6</v>
      </c>
      <c r="AN7688" s="1" t="s">
        <v>36</v>
      </c>
      <c r="DN7688" s="1" t="s">
        <v>114</v>
      </c>
      <c r="FP7688" s="1" t="s">
        <v>168</v>
      </c>
      <c r="GD7688" s="1" t="s">
        <v>189</v>
      </c>
      <c r="GE7688" s="1" t="s">
        <v>190</v>
      </c>
    </row>
    <row r="7689" spans="1:187" ht="11.25" customHeight="1">
      <c r="A7689" s="1" t="s">
        <v>10824</v>
      </c>
      <c r="B7689" s="1" t="str">
        <f ca="1">IFERROR(__xludf.DUMMYFUNCTION("GOOGLETRANSLATE(A7689, ""en"", ""fr"")"),"Plain # 1")</f>
        <v>Plain # 1</v>
      </c>
      <c r="C7689" s="1" t="s">
        <v>185</v>
      </c>
      <c r="D7689" s="1" t="s">
        <v>16612</v>
      </c>
      <c r="F7689" s="1" t="s">
        <v>2</v>
      </c>
      <c r="W7689" s="1" t="s">
        <v>19</v>
      </c>
      <c r="CK7689" s="1" t="s">
        <v>85</v>
      </c>
      <c r="CN7689" s="1" t="s">
        <v>88</v>
      </c>
      <c r="GD7689" s="1" t="s">
        <v>202</v>
      </c>
      <c r="GE7689" s="1" t="s">
        <v>10825</v>
      </c>
    </row>
    <row r="7690" spans="1:187" ht="11.25" customHeight="1">
      <c r="A7690" s="1" t="s">
        <v>10826</v>
      </c>
      <c r="B7690" s="1" t="str">
        <f ca="1">IFERROR(__xludf.DUMMYFUNCTION("GOOGLETRANSLATE(A7690, ""en"", ""fr"")"),"Plain # 2")</f>
        <v>Plain # 2</v>
      </c>
      <c r="C7690" s="1" t="s">
        <v>185</v>
      </c>
      <c r="AV7690" s="1" t="s">
        <v>44</v>
      </c>
      <c r="BA7690" s="1" t="s">
        <v>49</v>
      </c>
      <c r="GD7690" s="1" t="s">
        <v>193</v>
      </c>
      <c r="GE7690" s="1" t="s">
        <v>10827</v>
      </c>
    </row>
    <row r="7691" spans="1:187" ht="11.25" customHeight="1">
      <c r="A7691" s="1" t="s">
        <v>10828</v>
      </c>
      <c r="B7691" s="1" t="str">
        <f ca="1">IFERROR(__xludf.DUMMYFUNCTION("GOOGLETRANSLATE(A7691, ""en"", ""fr"")"),"Plain # 3")</f>
        <v>Plain # 3</v>
      </c>
      <c r="C7691" s="1" t="s">
        <v>185</v>
      </c>
      <c r="D7691" s="1" t="s">
        <v>16612</v>
      </c>
      <c r="F7691" s="1" t="s">
        <v>2</v>
      </c>
      <c r="W7691" s="1" t="s">
        <v>19</v>
      </c>
      <c r="CK7691" s="1" t="s">
        <v>85</v>
      </c>
      <c r="GD7691" s="1" t="s">
        <v>202</v>
      </c>
      <c r="GE7691" s="1" t="s">
        <v>10829</v>
      </c>
    </row>
    <row r="7692" spans="1:187" ht="11.25" customHeight="1">
      <c r="A7692" s="1" t="s">
        <v>10830</v>
      </c>
      <c r="B7692" s="1" t="str">
        <f ca="1">IFERROR(__xludf.DUMMYFUNCTION("GOOGLETRANSLATE(A7692, ""en"", ""fr"")"),"Plain # 4")</f>
        <v>Plain # 4</v>
      </c>
      <c r="C7692" s="1" t="s">
        <v>185</v>
      </c>
      <c r="D7692" s="1" t="s">
        <v>16612</v>
      </c>
      <c r="F7692" s="1" t="s">
        <v>2</v>
      </c>
      <c r="CK7692" s="1" t="s">
        <v>85</v>
      </c>
      <c r="GD7692" s="1" t="s">
        <v>202</v>
      </c>
      <c r="GE7692" s="1" t="s">
        <v>10831</v>
      </c>
    </row>
    <row r="7693" spans="1:187" ht="11.25" customHeight="1">
      <c r="A7693" s="1" t="s">
        <v>10832</v>
      </c>
      <c r="B7693" s="1" t="str">
        <f ca="1">IFERROR(__xludf.DUMMYFUNCTION("GOOGLETRANSLATE(A7693, ""en"", ""fr"")"),"Plain # 5")</f>
        <v>Plain # 5</v>
      </c>
      <c r="C7693" s="1" t="s">
        <v>185</v>
      </c>
      <c r="D7693" s="1" t="s">
        <v>16612</v>
      </c>
      <c r="F7693" s="1" t="s">
        <v>2</v>
      </c>
      <c r="CK7693" s="1" t="s">
        <v>85</v>
      </c>
      <c r="GD7693" s="1" t="s">
        <v>202</v>
      </c>
      <c r="GE7693" s="1" t="s">
        <v>10833</v>
      </c>
    </row>
    <row r="7694" spans="1:187" ht="11.25" customHeight="1">
      <c r="A7694" s="1" t="s">
        <v>10834</v>
      </c>
      <c r="B7694" s="1" t="str">
        <f ca="1">IFERROR(__xludf.DUMMYFUNCTION("GOOGLETRANSLATE(A7694, ""en"", ""fr"")"),"DEMANDEUR")</f>
        <v>DEMANDEUR</v>
      </c>
      <c r="C7694" s="1" t="s">
        <v>192</v>
      </c>
      <c r="E7694" s="1" t="s">
        <v>16613</v>
      </c>
      <c r="AE7694" s="1" t="s">
        <v>27</v>
      </c>
      <c r="BK7694" s="1" t="s">
        <v>59</v>
      </c>
      <c r="GD7694" s="1" t="s">
        <v>193</v>
      </c>
      <c r="GE7694" s="1" t="s">
        <v>190</v>
      </c>
    </row>
    <row r="7695" spans="1:187" ht="11.25" customHeight="1">
      <c r="A7695" s="1" t="s">
        <v>10835</v>
      </c>
      <c r="B7695" s="1" t="str">
        <f ca="1">IFERROR(__xludf.DUMMYFUNCTION("GOOGLETRANSLATE(A7695, ""en"", ""fr"")"),"Plan n ° 1")</f>
        <v>Plan n ° 1</v>
      </c>
      <c r="C7695" s="1" t="s">
        <v>185</v>
      </c>
      <c r="J7695" s="1" t="s">
        <v>6</v>
      </c>
      <c r="N7695" s="1" t="s">
        <v>10</v>
      </c>
      <c r="AH7695" s="1" t="s">
        <v>30</v>
      </c>
      <c r="BQ7695" s="1" t="s">
        <v>65</v>
      </c>
      <c r="FQ7695" s="1" t="s">
        <v>169</v>
      </c>
      <c r="GD7695" s="1" t="s">
        <v>193</v>
      </c>
      <c r="GE7695" s="1" t="s">
        <v>10836</v>
      </c>
    </row>
    <row r="7696" spans="1:187" ht="11.25" customHeight="1">
      <c r="A7696" s="1" t="s">
        <v>10837</v>
      </c>
      <c r="B7696" s="1" t="str">
        <f ca="1">IFERROR(__xludf.DUMMYFUNCTION("GOOGLETRANSLATE(A7696, ""en"", ""fr"")"),"Plan n ° 2")</f>
        <v>Plan n ° 2</v>
      </c>
      <c r="C7696" s="1" t="s">
        <v>185</v>
      </c>
      <c r="J7696" s="1" t="s">
        <v>6</v>
      </c>
      <c r="N7696" s="1" t="s">
        <v>10</v>
      </c>
      <c r="CO7696" s="1" t="s">
        <v>89</v>
      </c>
      <c r="DN7696" s="1" t="s">
        <v>114</v>
      </c>
      <c r="FQ7696" s="1" t="s">
        <v>169</v>
      </c>
      <c r="GD7696" s="1" t="s">
        <v>189</v>
      </c>
      <c r="GE7696" s="1" t="s">
        <v>10838</v>
      </c>
    </row>
    <row r="7697" spans="1:187" ht="11.25" customHeight="1">
      <c r="A7697" s="1" t="s">
        <v>10839</v>
      </c>
      <c r="B7697" s="1" t="str">
        <f ca="1">IFERROR(__xludf.DUMMYFUNCTION("GOOGLETRANSLATE(A7697, ""en"", ""fr"")"),"Plan # 3")</f>
        <v>Plan # 3</v>
      </c>
      <c r="C7697" s="1" t="s">
        <v>185</v>
      </c>
      <c r="J7697" s="1" t="s">
        <v>6</v>
      </c>
      <c r="N7697" s="1" t="s">
        <v>10</v>
      </c>
      <c r="BQ7697" s="1" t="s">
        <v>65</v>
      </c>
      <c r="FQ7697" s="1" t="s">
        <v>169</v>
      </c>
      <c r="GD7697" s="1" t="s">
        <v>193</v>
      </c>
      <c r="GE7697" s="1" t="s">
        <v>10840</v>
      </c>
    </row>
    <row r="7698" spans="1:187" ht="11.25" customHeight="1">
      <c r="A7698" s="1" t="s">
        <v>10841</v>
      </c>
      <c r="B7698" s="1" t="str">
        <f ca="1">IFERROR(__xludf.DUMMYFUNCTION("GOOGLETRANSLATE(A7698, ""en"", ""fr"")"),"Plan n ° 4")</f>
        <v>Plan n ° 4</v>
      </c>
      <c r="C7698" s="1" t="s">
        <v>185</v>
      </c>
      <c r="J7698" s="1" t="s">
        <v>6</v>
      </c>
      <c r="BQ7698" s="1" t="s">
        <v>65</v>
      </c>
      <c r="FQ7698" s="1" t="s">
        <v>169</v>
      </c>
      <c r="GD7698" s="1" t="s">
        <v>202</v>
      </c>
      <c r="GE7698" s="1" t="s">
        <v>10842</v>
      </c>
    </row>
    <row r="7699" spans="1:187" ht="11.25" customHeight="1">
      <c r="A7699" s="1" t="s">
        <v>10843</v>
      </c>
      <c r="B7699" s="1" t="str">
        <f ca="1">IFERROR(__xludf.DUMMYFUNCTION("GOOGLETRANSLATE(A7699, ""en"", ""fr"")"),"Plane n ° 1")</f>
        <v>Plane n ° 1</v>
      </c>
      <c r="C7699" s="1" t="s">
        <v>185</v>
      </c>
      <c r="BC7699" s="1" t="s">
        <v>51</v>
      </c>
      <c r="BF7699" s="1" t="s">
        <v>54</v>
      </c>
      <c r="GD7699" s="1" t="s">
        <v>849</v>
      </c>
      <c r="GE7699" s="1" t="s">
        <v>10844</v>
      </c>
    </row>
    <row r="7700" spans="1:187" ht="11.25" customHeight="1">
      <c r="A7700" s="1" t="s">
        <v>10845</v>
      </c>
      <c r="B7700" s="1" t="str">
        <f ca="1">IFERROR(__xludf.DUMMYFUNCTION("GOOGLETRANSLATE(A7700, ""en"", ""fr"")"),"Plane n ° 2")</f>
        <v>Plane n ° 2</v>
      </c>
      <c r="C7700" s="1" t="s">
        <v>185</v>
      </c>
      <c r="DA7700" s="1" t="s">
        <v>101</v>
      </c>
      <c r="GB7700" s="1" t="s">
        <v>180</v>
      </c>
      <c r="GD7700" s="1" t="s">
        <v>193</v>
      </c>
      <c r="GE7700" s="1" t="s">
        <v>10846</v>
      </c>
    </row>
    <row r="7701" spans="1:187" ht="11.25" customHeight="1">
      <c r="A7701" s="1" t="s">
        <v>10847</v>
      </c>
      <c r="B7701" s="1" t="str">
        <f ca="1">IFERROR(__xludf.DUMMYFUNCTION("GOOGLETRANSLATE(A7701, ""en"", ""fr"")"),"Plane # 3")</f>
        <v>Plane # 3</v>
      </c>
      <c r="C7701" s="1" t="s">
        <v>185</v>
      </c>
      <c r="N7701" s="1" t="s">
        <v>10</v>
      </c>
      <c r="AL7701" s="1" t="s">
        <v>34</v>
      </c>
      <c r="DO7701" s="1" t="s">
        <v>115</v>
      </c>
      <c r="GD7701" s="1" t="s">
        <v>189</v>
      </c>
      <c r="GE7701" s="1" t="s">
        <v>10848</v>
      </c>
    </row>
    <row r="7702" spans="1:187" ht="11.25" customHeight="1">
      <c r="A7702" s="1" t="s">
        <v>10849</v>
      </c>
      <c r="B7702" s="1" t="str">
        <f ca="1">IFERROR(__xludf.DUMMYFUNCTION("GOOGLETRANSLATE(A7702, ""en"", ""fr"")"),"Planeur")</f>
        <v>Planeur</v>
      </c>
      <c r="C7702" s="1" t="s">
        <v>185</v>
      </c>
      <c r="AA7702" s="1" t="s">
        <v>23</v>
      </c>
      <c r="AJ7702" s="1" t="s">
        <v>32</v>
      </c>
      <c r="AT7702" s="1" t="s">
        <v>42</v>
      </c>
      <c r="FK7702" s="1" t="s">
        <v>163</v>
      </c>
      <c r="FM7702" s="1" t="s">
        <v>418</v>
      </c>
      <c r="GD7702" s="1" t="s">
        <v>193</v>
      </c>
      <c r="GE7702" s="1" t="s">
        <v>190</v>
      </c>
    </row>
    <row r="7703" spans="1:187" ht="11.25" customHeight="1">
      <c r="A7703" s="1" t="s">
        <v>10850</v>
      </c>
      <c r="B7703" s="1" t="str">
        <f ca="1">IFERROR(__xludf.DUMMYFUNCTION("GOOGLETRANSLATE(A7703, ""en"", ""fr"")"),"PLANÈTE")</f>
        <v>PLANÈTE</v>
      </c>
      <c r="C7703" s="1" t="s">
        <v>185</v>
      </c>
      <c r="AV7703" s="1" t="s">
        <v>44</v>
      </c>
      <c r="BB7703" s="1" t="s">
        <v>50</v>
      </c>
      <c r="GD7703" s="1" t="s">
        <v>193</v>
      </c>
      <c r="GE7703" s="1" t="s">
        <v>190</v>
      </c>
    </row>
    <row r="7704" spans="1:187" ht="11.25" customHeight="1">
      <c r="A7704" s="1" t="s">
        <v>10851</v>
      </c>
      <c r="B7704" s="1" t="str">
        <f ca="1">IFERROR(__xludf.DUMMYFUNCTION("GOOGLETRANSLATE(A7704, ""en"", ""fr"")"),"PLANIFICATEUR")</f>
        <v>PLANIFICATEUR</v>
      </c>
      <c r="C7704" s="1" t="s">
        <v>185</v>
      </c>
      <c r="AA7704" s="1" t="s">
        <v>23</v>
      </c>
      <c r="AC7704" s="1" t="s">
        <v>25</v>
      </c>
      <c r="AJ7704" s="1" t="s">
        <v>32</v>
      </c>
      <c r="AT7704" s="1" t="s">
        <v>42</v>
      </c>
      <c r="FK7704" s="1" t="s">
        <v>163</v>
      </c>
      <c r="FM7704" s="1" t="s">
        <v>418</v>
      </c>
      <c r="GD7704" s="1" t="s">
        <v>193</v>
      </c>
      <c r="GE7704" s="1" t="s">
        <v>190</v>
      </c>
    </row>
    <row r="7705" spans="1:187" ht="11.25" customHeight="1">
      <c r="A7705" s="1" t="s">
        <v>10852</v>
      </c>
      <c r="B7705" s="1" t="str">
        <f ca="1">IFERROR(__xludf.DUMMYFUNCTION("GOOGLETRANSLATE(A7705, ""en"", ""fr"")"),"Plante n ° 1")</f>
        <v>Plante n ° 1</v>
      </c>
      <c r="C7705" s="1" t="s">
        <v>185</v>
      </c>
      <c r="N7705" s="1" t="s">
        <v>10</v>
      </c>
      <c r="AL7705" s="1" t="s">
        <v>34</v>
      </c>
      <c r="DO7705" s="1" t="s">
        <v>115</v>
      </c>
      <c r="GD7705" s="1" t="s">
        <v>189</v>
      </c>
      <c r="GE7705" s="1" t="s">
        <v>10853</v>
      </c>
    </row>
    <row r="7706" spans="1:187" ht="11.25" customHeight="1">
      <c r="A7706" s="1" t="s">
        <v>10854</v>
      </c>
      <c r="B7706" s="1" t="str">
        <f ca="1">IFERROR(__xludf.DUMMYFUNCTION("GOOGLETRANSLATE(A7706, ""en"", ""fr"")"),"Plante n ° 2")</f>
        <v>Plante n ° 2</v>
      </c>
      <c r="C7706" s="1" t="s">
        <v>185</v>
      </c>
      <c r="AA7706" s="1" t="s">
        <v>23</v>
      </c>
      <c r="AC7706" s="1" t="s">
        <v>25</v>
      </c>
      <c r="AV7706" s="1" t="s">
        <v>44</v>
      </c>
      <c r="AW7706" s="1" t="s">
        <v>45</v>
      </c>
      <c r="EV7706" s="1" t="s">
        <v>148</v>
      </c>
      <c r="EW7706" s="1" t="s">
        <v>149</v>
      </c>
      <c r="GD7706" s="1" t="s">
        <v>193</v>
      </c>
      <c r="GE7706" s="1" t="s">
        <v>10855</v>
      </c>
    </row>
    <row r="7707" spans="1:187" ht="11.25" customHeight="1">
      <c r="A7707" s="1" t="s">
        <v>10856</v>
      </c>
      <c r="B7707" s="1" t="str">
        <f ca="1">IFERROR(__xludf.DUMMYFUNCTION("GOOGLETRANSLATE(A7707, ""en"", ""fr"")"),"Plante n ° 3")</f>
        <v>Plante n ° 3</v>
      </c>
      <c r="C7707" s="1" t="s">
        <v>185</v>
      </c>
      <c r="BC7707" s="1" t="s">
        <v>51</v>
      </c>
      <c r="BI7707" s="1" t="s">
        <v>57</v>
      </c>
      <c r="BU7707" s="1" t="s">
        <v>69</v>
      </c>
      <c r="GD7707" s="1" t="s">
        <v>193</v>
      </c>
      <c r="GE7707" s="1" t="s">
        <v>10857</v>
      </c>
    </row>
    <row r="7708" spans="1:187" ht="11.25" customHeight="1">
      <c r="A7708" s="1" t="s">
        <v>10858</v>
      </c>
      <c r="B7708" s="1" t="str">
        <f ca="1">IFERROR(__xludf.DUMMYFUNCTION("GOOGLETRANSLATE(A7708, ""en"", ""fr"")"),"Plante n ° 4")</f>
        <v>Plante n ° 4</v>
      </c>
      <c r="C7708" s="1" t="s">
        <v>185</v>
      </c>
      <c r="N7708" s="1" t="s">
        <v>10</v>
      </c>
      <c r="BU7708" s="1" t="s">
        <v>69</v>
      </c>
      <c r="GD7708" s="1" t="s">
        <v>193</v>
      </c>
      <c r="GE7708" s="1" t="s">
        <v>10859</v>
      </c>
    </row>
    <row r="7709" spans="1:187" ht="11.25" customHeight="1">
      <c r="A7709" s="1" t="s">
        <v>10860</v>
      </c>
      <c r="B7709" s="1" t="str">
        <f ca="1">IFERROR(__xludf.DUMMYFUNCTION("GOOGLETRANSLATE(A7709, ""en"", ""fr"")"),"Plante n ° 5")</f>
        <v>Plante n ° 5</v>
      </c>
      <c r="C7709" s="1" t="s">
        <v>185</v>
      </c>
      <c r="J7709" s="1" t="s">
        <v>6</v>
      </c>
      <c r="DA7709" s="1" t="s">
        <v>101</v>
      </c>
      <c r="GD7709" s="1" t="s">
        <v>202</v>
      </c>
      <c r="GE7709" s="1" t="s">
        <v>10861</v>
      </c>
    </row>
    <row r="7710" spans="1:187" ht="11.25" customHeight="1">
      <c r="A7710" s="1" t="s">
        <v>10862</v>
      </c>
      <c r="B7710" s="1" t="str">
        <f ca="1">IFERROR(__xludf.DUMMYFUNCTION("GOOGLETRANSLATE(A7710, ""en"", ""fr"")"),"PLANTATION")</f>
        <v>PLANTATION</v>
      </c>
      <c r="C7710" s="1" t="s">
        <v>185</v>
      </c>
      <c r="AA7710" s="1" t="s">
        <v>23</v>
      </c>
      <c r="AC7710" s="1" t="s">
        <v>25</v>
      </c>
      <c r="AV7710" s="1" t="s">
        <v>44</v>
      </c>
      <c r="AW7710" s="1" t="s">
        <v>45</v>
      </c>
      <c r="EV7710" s="1" t="s">
        <v>148</v>
      </c>
      <c r="EW7710" s="1" t="s">
        <v>149</v>
      </c>
      <c r="GD7710" s="1" t="s">
        <v>193</v>
      </c>
      <c r="GE7710" s="1" t="s">
        <v>190</v>
      </c>
    </row>
    <row r="7711" spans="1:187" ht="11.25" customHeight="1">
      <c r="A7711" s="1" t="s">
        <v>10863</v>
      </c>
      <c r="B7711" s="1" t="str">
        <f ca="1">IFERROR(__xludf.DUMMYFUNCTION("GOOGLETRANSLATE(A7711, ""en"", ""fr"")"),"PLANTEUR")</f>
        <v>PLANTEUR</v>
      </c>
      <c r="C7711" s="1" t="s">
        <v>185</v>
      </c>
      <c r="AA7711" s="1" t="s">
        <v>23</v>
      </c>
      <c r="AC7711" s="1" t="s">
        <v>25</v>
      </c>
      <c r="AJ7711" s="1" t="s">
        <v>32</v>
      </c>
      <c r="AT7711" s="1" t="s">
        <v>42</v>
      </c>
      <c r="FK7711" s="1" t="s">
        <v>163</v>
      </c>
      <c r="FM7711" s="1" t="s">
        <v>418</v>
      </c>
      <c r="GD7711" s="1" t="s">
        <v>193</v>
      </c>
      <c r="GE7711" s="1" t="s">
        <v>190</v>
      </c>
    </row>
    <row r="7712" spans="1:187" ht="11.25" customHeight="1">
      <c r="A7712" s="1" t="s">
        <v>10864</v>
      </c>
      <c r="B7712" s="1" t="str">
        <f ca="1">IFERROR(__xludf.DUMMYFUNCTION("GOOGLETRANSLATE(A7712, ""en"", ""fr"")"),"PLAQUE")</f>
        <v>PLAQUE</v>
      </c>
      <c r="C7712" s="1" t="s">
        <v>185</v>
      </c>
      <c r="BC7712" s="1" t="s">
        <v>51</v>
      </c>
      <c r="BD7712" s="1" t="s">
        <v>52</v>
      </c>
      <c r="EM7712" s="1" t="s">
        <v>139</v>
      </c>
      <c r="EN7712" s="1" t="s">
        <v>140</v>
      </c>
      <c r="GD7712" s="1" t="s">
        <v>193</v>
      </c>
      <c r="GE7712" s="1" t="s">
        <v>190</v>
      </c>
    </row>
    <row r="7713" spans="1:187" ht="11.25" customHeight="1">
      <c r="A7713" s="1" t="s">
        <v>10865</v>
      </c>
      <c r="B7713" s="1" t="str">
        <f ca="1">IFERROR(__xludf.DUMMYFUNCTION("GOOGLETRANSLATE(A7713, ""en"", ""fr"")"),"PLASTIQUE")</f>
        <v>PLASTIQUE</v>
      </c>
      <c r="C7713" s="1" t="s">
        <v>185</v>
      </c>
      <c r="BC7713" s="1" t="s">
        <v>51</v>
      </c>
      <c r="BD7713" s="1" t="s">
        <v>52</v>
      </c>
      <c r="GD7713" s="1" t="s">
        <v>193</v>
      </c>
      <c r="GE7713" s="1" t="s">
        <v>190</v>
      </c>
    </row>
    <row r="7714" spans="1:187" ht="11.25" customHeight="1">
      <c r="A7714" s="1" t="s">
        <v>10866</v>
      </c>
      <c r="B7714" s="1" t="str">
        <f ca="1">IFERROR(__xludf.DUMMYFUNCTION("GOOGLETRANSLATE(A7714, ""en"", ""fr"")"),"PLASTICITÉ")</f>
        <v>PLASTICITÉ</v>
      </c>
      <c r="C7714" s="1" t="s">
        <v>185</v>
      </c>
      <c r="CR7714" s="1" t="s">
        <v>92</v>
      </c>
      <c r="GD7714" s="1" t="s">
        <v>193</v>
      </c>
      <c r="GE7714" s="1" t="s">
        <v>190</v>
      </c>
    </row>
    <row r="7715" spans="1:187" ht="11.25" customHeight="1">
      <c r="A7715" s="1" t="s">
        <v>10867</v>
      </c>
      <c r="B7715" s="1" t="str">
        <f ca="1">IFERROR(__xludf.DUMMYFUNCTION("GOOGLETRANSLATE(A7715, ""en"", ""fr"")"),"PLAQUE")</f>
        <v>PLAQUE</v>
      </c>
      <c r="C7715" s="1" t="s">
        <v>185</v>
      </c>
      <c r="BC7715" s="1" t="s">
        <v>51</v>
      </c>
      <c r="BD7715" s="1" t="s">
        <v>52</v>
      </c>
      <c r="GD7715" s="1" t="s">
        <v>193</v>
      </c>
      <c r="GE7715" s="1" t="s">
        <v>190</v>
      </c>
    </row>
    <row r="7716" spans="1:187" ht="11.25" customHeight="1">
      <c r="A7716" s="1" t="s">
        <v>10868</v>
      </c>
      <c r="B7716" s="1" t="str">
        <f ca="1">IFERROR(__xludf.DUMMYFUNCTION("GOOGLETRANSLATE(A7716, ""en"", ""fr"")"),"Plateforme n ° 1")</f>
        <v>Plateforme n ° 1</v>
      </c>
      <c r="C7716" s="1" t="s">
        <v>185</v>
      </c>
      <c r="Z7716" s="1" t="s">
        <v>22</v>
      </c>
      <c r="AG7716" s="1" t="s">
        <v>29</v>
      </c>
      <c r="AH7716" s="1" t="s">
        <v>30</v>
      </c>
      <c r="EC7716" s="1" t="s">
        <v>129</v>
      </c>
      <c r="ED7716" s="1" t="s">
        <v>130</v>
      </c>
      <c r="GD7716" s="1" t="s">
        <v>193</v>
      </c>
      <c r="GE7716" s="1" t="s">
        <v>10869</v>
      </c>
    </row>
    <row r="7717" spans="1:187" ht="11.25" customHeight="1">
      <c r="A7717" s="1" t="s">
        <v>10870</v>
      </c>
      <c r="B7717" s="1" t="str">
        <f ca="1">IFERROR(__xludf.DUMMYFUNCTION("GOOGLETRANSLATE(A7717, ""en"", ""fr"")"),"Plateforme n ° 2")</f>
        <v>Plateforme n ° 2</v>
      </c>
      <c r="C7717" s="1" t="s">
        <v>185</v>
      </c>
      <c r="BC7717" s="1" t="s">
        <v>51</v>
      </c>
      <c r="BG7717" s="1" t="s">
        <v>55</v>
      </c>
      <c r="GD7717" s="1" t="s">
        <v>193</v>
      </c>
      <c r="GE7717" s="1" t="s">
        <v>10871</v>
      </c>
    </row>
    <row r="7718" spans="1:187" ht="11.25" customHeight="1">
      <c r="A7718" s="1" t="s">
        <v>10872</v>
      </c>
      <c r="B7718" s="1" t="str">
        <f ca="1">IFERROR(__xludf.DUMMYFUNCTION("GOOGLETRANSLATE(A7718, ""en"", ""fr"")"),"PLATONISME")</f>
        <v>PLATONISME</v>
      </c>
      <c r="C7718" s="1" t="s">
        <v>185</v>
      </c>
      <c r="Y7718" s="1" t="s">
        <v>21</v>
      </c>
      <c r="Z7718" s="1" t="s">
        <v>22</v>
      </c>
      <c r="FH7718" s="1" t="s">
        <v>160</v>
      </c>
      <c r="FI7718" s="1" t="s">
        <v>161</v>
      </c>
      <c r="GD7718" s="1" t="s">
        <v>193</v>
      </c>
      <c r="GE7718" s="1" t="s">
        <v>190</v>
      </c>
    </row>
    <row r="7719" spans="1:187" ht="11.25" customHeight="1">
      <c r="A7719" s="1" t="s">
        <v>10873</v>
      </c>
      <c r="B7719" s="1" t="str">
        <f ca="1">IFERROR(__xludf.DUMMYFUNCTION("GOOGLETRANSLATE(A7719, ""en"", ""fr"")"),"PLAUSIBILITÉ")</f>
        <v>PLAUSIBILITÉ</v>
      </c>
      <c r="C7719" s="1" t="s">
        <v>192</v>
      </c>
      <c r="D7719" s="1" t="s">
        <v>16612</v>
      </c>
      <c r="CI7719" s="1" t="s">
        <v>83</v>
      </c>
      <c r="CM7719" s="1" t="s">
        <v>87</v>
      </c>
      <c r="GD7719" s="1" t="s">
        <v>193</v>
      </c>
      <c r="GE7719" s="1" t="s">
        <v>190</v>
      </c>
    </row>
    <row r="7720" spans="1:187" ht="11.25" customHeight="1">
      <c r="A7720" s="1" t="s">
        <v>10874</v>
      </c>
      <c r="B7720" s="1" t="str">
        <f ca="1">IFERROR(__xludf.DUMMYFUNCTION("GOOGLETRANSLATE(A7720, ""en"", ""fr"")"),"PLAUSIBLE")</f>
        <v>PLAUSIBLE</v>
      </c>
      <c r="C7720" s="1" t="s">
        <v>185</v>
      </c>
      <c r="U7720" s="1" t="s">
        <v>17</v>
      </c>
      <c r="GD7720" s="1" t="s">
        <v>202</v>
      </c>
      <c r="GE7720" s="1" t="s">
        <v>190</v>
      </c>
    </row>
    <row r="7721" spans="1:187" ht="11.25" customHeight="1">
      <c r="A7721" s="1" t="s">
        <v>10875</v>
      </c>
      <c r="B7721" s="1" t="str">
        <f ca="1">IFERROR(__xludf.DUMMYFUNCTION("GOOGLETRANSLATE(A7721, ""en"", ""fr"")"),"Jouer # 1")</f>
        <v>Jouer # 1</v>
      </c>
      <c r="C7721" s="1" t="s">
        <v>185</v>
      </c>
      <c r="N7721" s="1" t="s">
        <v>10</v>
      </c>
      <c r="AD7721" s="1" t="s">
        <v>26</v>
      </c>
      <c r="CC7721" s="1" t="s">
        <v>77</v>
      </c>
      <c r="DO7721" s="1" t="s">
        <v>115</v>
      </c>
      <c r="FL7721" s="1" t="s">
        <v>164</v>
      </c>
      <c r="FM7721" s="1" t="s">
        <v>418</v>
      </c>
      <c r="GD7721" s="1" t="s">
        <v>189</v>
      </c>
      <c r="GE7721" s="1" t="s">
        <v>10876</v>
      </c>
    </row>
    <row r="7722" spans="1:187" ht="11.25" customHeight="1">
      <c r="A7722" s="1" t="s">
        <v>10877</v>
      </c>
      <c r="B7722" s="1" t="str">
        <f ca="1">IFERROR(__xludf.DUMMYFUNCTION("GOOGLETRANSLATE(A7722, ""en"", ""fr"")"),"Jouer # 2")</f>
        <v>Jouer # 2</v>
      </c>
      <c r="C7722" s="1" t="s">
        <v>185</v>
      </c>
      <c r="AD7722" s="1" t="s">
        <v>26</v>
      </c>
      <c r="AM7722" s="1" t="s">
        <v>35</v>
      </c>
      <c r="FJ7722" s="1" t="s">
        <v>162</v>
      </c>
      <c r="FM7722" s="1" t="s">
        <v>418</v>
      </c>
      <c r="GD7722" s="1" t="s">
        <v>193</v>
      </c>
      <c r="GE7722" s="1" t="s">
        <v>10878</v>
      </c>
    </row>
    <row r="7723" spans="1:187" ht="11.25" customHeight="1">
      <c r="A7723" s="1" t="s">
        <v>10879</v>
      </c>
      <c r="B7723" s="1" t="str">
        <f ca="1">IFERROR(__xludf.DUMMYFUNCTION("GOOGLETRANSLATE(A7723, ""en"", ""fr"")"),"Jouer # 3")</f>
        <v>Jouer # 3</v>
      </c>
      <c r="C7723" s="1" t="s">
        <v>185</v>
      </c>
      <c r="N7723" s="1" t="s">
        <v>10</v>
      </c>
      <c r="AL7723" s="1" t="s">
        <v>34</v>
      </c>
      <c r="DN7723" s="1" t="s">
        <v>114</v>
      </c>
      <c r="FL7723" s="1" t="s">
        <v>164</v>
      </c>
      <c r="FM7723" s="1" t="s">
        <v>418</v>
      </c>
      <c r="GD7723" s="1" t="s">
        <v>189</v>
      </c>
      <c r="GE7723" s="1" t="s">
        <v>10880</v>
      </c>
    </row>
    <row r="7724" spans="1:187" ht="11.25" customHeight="1">
      <c r="A7724" s="1" t="s">
        <v>10881</v>
      </c>
      <c r="B7724" s="1" t="str">
        <f ca="1">IFERROR(__xludf.DUMMYFUNCTION("GOOGLETRANSLATE(A7724, ""en"", ""fr"")"),"Jouer # 4")</f>
        <v>Jouer # 4</v>
      </c>
      <c r="C7724" s="1" t="s">
        <v>185</v>
      </c>
      <c r="N7724" s="1" t="s">
        <v>10</v>
      </c>
      <c r="AL7724" s="1" t="s">
        <v>34</v>
      </c>
      <c r="BP7724" s="1" t="s">
        <v>64</v>
      </c>
      <c r="DN7724" s="1" t="s">
        <v>114</v>
      </c>
      <c r="FL7724" s="1" t="s">
        <v>164</v>
      </c>
      <c r="FM7724" s="1" t="s">
        <v>418</v>
      </c>
      <c r="GD7724" s="1" t="s">
        <v>189</v>
      </c>
      <c r="GE7724" s="1" t="s">
        <v>10882</v>
      </c>
    </row>
    <row r="7725" spans="1:187" ht="11.25" customHeight="1">
      <c r="A7725" s="1" t="s">
        <v>10883</v>
      </c>
      <c r="B7725" s="1" t="str">
        <f ca="1">IFERROR(__xludf.DUMMYFUNCTION("GOOGLETRANSLATE(A7725, ""en"", ""fr"")"),"Jouer # 5")</f>
        <v>Jouer # 5</v>
      </c>
      <c r="C7725" s="1" t="s">
        <v>185</v>
      </c>
      <c r="GD7725" s="1" t="s">
        <v>225</v>
      </c>
      <c r="GE7725" s="1" t="s">
        <v>10884</v>
      </c>
    </row>
    <row r="7726" spans="1:187" ht="11.25" customHeight="1">
      <c r="A7726" s="1" t="s">
        <v>10885</v>
      </c>
      <c r="B7726" s="1" t="str">
        <f ca="1">IFERROR(__xludf.DUMMYFUNCTION("GOOGLETRANSLATE(A7726, ""en"", ""fr"")"),"JOUEUR")</f>
        <v>JOUEUR</v>
      </c>
      <c r="C7726" s="1" t="s">
        <v>185</v>
      </c>
      <c r="AD7726" s="1" t="s">
        <v>26</v>
      </c>
      <c r="AJ7726" s="1" t="s">
        <v>32</v>
      </c>
      <c r="AT7726" s="1" t="s">
        <v>42</v>
      </c>
      <c r="FK7726" s="1" t="s">
        <v>163</v>
      </c>
      <c r="FM7726" s="1" t="s">
        <v>418</v>
      </c>
      <c r="GD7726" s="1" t="s">
        <v>193</v>
      </c>
      <c r="GE7726" s="1" t="s">
        <v>10886</v>
      </c>
    </row>
    <row r="7727" spans="1:187" ht="11.25" customHeight="1">
      <c r="A7727" s="1" t="s">
        <v>10887</v>
      </c>
      <c r="B7727" s="1" t="str">
        <f ca="1">IFERROR(__xludf.DUMMYFUNCTION("GOOGLETRANSLATE(A7727, ""en"", ""fr"")"),"ESPIÈGLE")</f>
        <v>ESPIÈGLE</v>
      </c>
      <c r="C7727" s="1" t="s">
        <v>192</v>
      </c>
      <c r="D7727" s="1" t="s">
        <v>16612</v>
      </c>
      <c r="AS7727" s="1" t="s">
        <v>41</v>
      </c>
      <c r="DR7727" s="1" t="s">
        <v>118</v>
      </c>
      <c r="GD7727" s="1" t="s">
        <v>202</v>
      </c>
      <c r="GE7727" s="1" t="s">
        <v>190</v>
      </c>
    </row>
    <row r="7728" spans="1:187" ht="11.25" customHeight="1">
      <c r="A7728" s="1" t="s">
        <v>10888</v>
      </c>
      <c r="B7728" s="1" t="str">
        <f ca="1">IFERROR(__xludf.DUMMYFUNCTION("GOOGLETRANSLATE(A7728, ""en"", ""fr"")"),"CAMARADE DE JEU")</f>
        <v>CAMARADE DE JEU</v>
      </c>
      <c r="C7728" s="1" t="s">
        <v>192</v>
      </c>
      <c r="D7728" s="1" t="s">
        <v>16612</v>
      </c>
      <c r="AJ7728" s="1" t="s">
        <v>32</v>
      </c>
      <c r="AS7728" s="1" t="s">
        <v>41</v>
      </c>
      <c r="AT7728" s="1" t="s">
        <v>42</v>
      </c>
      <c r="GD7728" s="1" t="s">
        <v>193</v>
      </c>
      <c r="GE7728" s="1" t="s">
        <v>190</v>
      </c>
    </row>
    <row r="7729" spans="1:187" ht="11.25" customHeight="1">
      <c r="A7729" s="1" t="s">
        <v>10889</v>
      </c>
      <c r="B7729" s="1" t="str">
        <f ca="1">IFERROR(__xludf.DUMMYFUNCTION("GOOGLETRANSLATE(A7729, ""en"", ""fr"")"),"JOUET")</f>
        <v>JOUET</v>
      </c>
      <c r="C7729" s="1" t="s">
        <v>192</v>
      </c>
      <c r="D7729" s="1" t="s">
        <v>16612</v>
      </c>
      <c r="BC7729" s="1" t="s">
        <v>51</v>
      </c>
      <c r="GD7729" s="1" t="s">
        <v>193</v>
      </c>
      <c r="GE7729" s="1" t="s">
        <v>190</v>
      </c>
    </row>
    <row r="7730" spans="1:187" ht="11.25" customHeight="1">
      <c r="A7730" s="1" t="s">
        <v>10890</v>
      </c>
      <c r="B7730" s="1" t="str">
        <f ca="1">IFERROR(__xludf.DUMMYFUNCTION("GOOGLETRANSLATE(A7730, ""en"", ""fr"")"),"PLAIDOYER")</f>
        <v>PLAIDOYER</v>
      </c>
      <c r="C7730" s="1" t="s">
        <v>185</v>
      </c>
      <c r="L7730" s="1" t="s">
        <v>8</v>
      </c>
      <c r="M7730" s="1" t="s">
        <v>9</v>
      </c>
      <c r="O7730" s="1" t="s">
        <v>11</v>
      </c>
      <c r="BK7730" s="1" t="s">
        <v>59</v>
      </c>
      <c r="BL7730" s="1" t="s">
        <v>60</v>
      </c>
      <c r="GC7730" s="1" t="s">
        <v>181</v>
      </c>
      <c r="GD7730" s="1" t="s">
        <v>193</v>
      </c>
      <c r="GE7730" s="1" t="s">
        <v>190</v>
      </c>
    </row>
    <row r="7731" spans="1:187" ht="11.25" customHeight="1">
      <c r="A7731" s="1" t="s">
        <v>10891</v>
      </c>
      <c r="B7731" s="1" t="str">
        <f ca="1">IFERROR(__xludf.DUMMYFUNCTION("GOOGLETRANSLATE(A7731, ""en"", ""fr"")"),"PLAIDER")</f>
        <v>PLAIDER</v>
      </c>
      <c r="C7731" s="1" t="s">
        <v>185</v>
      </c>
      <c r="L7731" s="1" t="s">
        <v>8</v>
      </c>
      <c r="M7731" s="1" t="s">
        <v>9</v>
      </c>
      <c r="O7731" s="1" t="s">
        <v>11</v>
      </c>
      <c r="BK7731" s="1" t="s">
        <v>59</v>
      </c>
      <c r="DO7731" s="1" t="s">
        <v>115</v>
      </c>
      <c r="DU7731" s="1" t="s">
        <v>121</v>
      </c>
      <c r="ED7731" s="1" t="s">
        <v>130</v>
      </c>
      <c r="GD7731" s="1" t="s">
        <v>189</v>
      </c>
      <c r="GE7731" s="1" t="s">
        <v>190</v>
      </c>
    </row>
    <row r="7732" spans="1:187" ht="11.25" customHeight="1">
      <c r="A7732" s="1" t="s">
        <v>10892</v>
      </c>
      <c r="B7732" s="1" t="str">
        <f ca="1">IFERROR(__xludf.DUMMYFUNCTION("GOOGLETRANSLATE(A7732, ""en"", ""fr"")"),"Agréable # 1")</f>
        <v>Agréable # 1</v>
      </c>
      <c r="C7732" s="1" t="s">
        <v>185</v>
      </c>
      <c r="D7732" s="1" t="s">
        <v>16612</v>
      </c>
      <c r="F7732" s="1" t="s">
        <v>2</v>
      </c>
      <c r="P7732" s="1" t="s">
        <v>12</v>
      </c>
      <c r="CN7732" s="1" t="s">
        <v>88</v>
      </c>
      <c r="FX7732" s="1" t="s">
        <v>176</v>
      </c>
      <c r="GD7732" s="1" t="s">
        <v>202</v>
      </c>
      <c r="GE7732" s="1" t="s">
        <v>10893</v>
      </c>
    </row>
    <row r="7733" spans="1:187" ht="11.25" customHeight="1">
      <c r="A7733" s="1" t="s">
        <v>10894</v>
      </c>
      <c r="B7733" s="1" t="str">
        <f ca="1">IFERROR(__xludf.DUMMYFUNCTION("GOOGLETRANSLATE(A7733, ""en"", ""fr"")"),"Agréable # 2")</f>
        <v>Agréable # 2</v>
      </c>
      <c r="C7733" s="1" t="s">
        <v>185</v>
      </c>
      <c r="D7733" s="1" t="s">
        <v>16612</v>
      </c>
      <c r="F7733" s="1" t="s">
        <v>2</v>
      </c>
      <c r="U7733" s="1" t="s">
        <v>17</v>
      </c>
      <c r="FX7733" s="1" t="s">
        <v>176</v>
      </c>
      <c r="GD7733" s="1" t="s">
        <v>202</v>
      </c>
      <c r="GE7733" s="1" t="s">
        <v>10895</v>
      </c>
    </row>
    <row r="7734" spans="1:187" ht="11.25" customHeight="1">
      <c r="A7734" s="1" t="s">
        <v>10896</v>
      </c>
      <c r="B7734" s="1" t="str">
        <f ca="1">IFERROR(__xludf.DUMMYFUNCTION("GOOGLETRANSLATE(A7734, ""en"", ""fr"")"),"PLAISANTERIE")</f>
        <v>PLAISANTERIE</v>
      </c>
      <c r="C7734" s="1" t="s">
        <v>192</v>
      </c>
      <c r="D7734" s="1" t="s">
        <v>16612</v>
      </c>
      <c r="AM7734" s="1" t="s">
        <v>35</v>
      </c>
      <c r="BK7734" s="1" t="s">
        <v>59</v>
      </c>
      <c r="GD7734" s="1" t="s">
        <v>193</v>
      </c>
      <c r="GE7734" s="1" t="s">
        <v>190</v>
      </c>
    </row>
    <row r="7735" spans="1:187" ht="11.25" customHeight="1">
      <c r="A7735" s="1" t="s">
        <v>10897</v>
      </c>
      <c r="B7735" s="1" t="str">
        <f ca="1">IFERROR(__xludf.DUMMYFUNCTION("GOOGLETRANSLATE(A7735, ""en"", ""fr"")"),"S'il vous plaît # 1")</f>
        <v>S'il vous plaît # 1</v>
      </c>
      <c r="C7735" s="1" t="s">
        <v>185</v>
      </c>
      <c r="M7735" s="1" t="s">
        <v>9</v>
      </c>
      <c r="BK7735" s="1" t="s">
        <v>59</v>
      </c>
      <c r="EM7735" s="1" t="s">
        <v>139</v>
      </c>
      <c r="EN7735" s="1" t="s">
        <v>140</v>
      </c>
      <c r="GD7735" s="1" t="s">
        <v>236</v>
      </c>
      <c r="GE7735" s="1" t="s">
        <v>10898</v>
      </c>
    </row>
    <row r="7736" spans="1:187" ht="11.25" customHeight="1">
      <c r="A7736" s="1" t="s">
        <v>10899</v>
      </c>
      <c r="B7736" s="1" t="str">
        <f ca="1">IFERROR(__xludf.DUMMYFUNCTION("GOOGLETRANSLATE(A7736, ""en"", ""fr"")"),"S'il vous plaît # 2")</f>
        <v>S'il vous plaît # 2</v>
      </c>
      <c r="C7736" s="1" t="s">
        <v>185</v>
      </c>
      <c r="D7736" s="1" t="s">
        <v>16612</v>
      </c>
      <c r="F7736" s="1" t="s">
        <v>2</v>
      </c>
      <c r="G7736" s="1" t="s">
        <v>3</v>
      </c>
      <c r="AN7736" s="1" t="s">
        <v>36</v>
      </c>
      <c r="DN7736" s="1" t="s">
        <v>114</v>
      </c>
      <c r="FN7736" s="1" t="s">
        <v>166</v>
      </c>
      <c r="GD7736" s="1" t="s">
        <v>189</v>
      </c>
      <c r="GE7736" s="1" t="s">
        <v>10900</v>
      </c>
    </row>
    <row r="7737" spans="1:187" ht="11.25" customHeight="1">
      <c r="A7737" s="1" t="s">
        <v>10901</v>
      </c>
      <c r="B7737" s="1" t="str">
        <f ca="1">IFERROR(__xludf.DUMMYFUNCTION("GOOGLETRANSLATE(A7737, ""en"", ""fr"")"),"S'il vous plaît # 3")</f>
        <v>S'il vous plaît # 3</v>
      </c>
      <c r="C7737" s="1" t="s">
        <v>185</v>
      </c>
      <c r="D7737" s="1" t="s">
        <v>16612</v>
      </c>
      <c r="F7737" s="1" t="s">
        <v>2</v>
      </c>
      <c r="U7737" s="1" t="s">
        <v>17</v>
      </c>
      <c r="CN7737" s="1" t="s">
        <v>88</v>
      </c>
      <c r="FX7737" s="1" t="s">
        <v>176</v>
      </c>
      <c r="GD7737" s="1" t="s">
        <v>202</v>
      </c>
      <c r="GE7737" s="1" t="s">
        <v>10902</v>
      </c>
    </row>
    <row r="7738" spans="1:187" ht="11.25" customHeight="1">
      <c r="A7738" s="1" t="s">
        <v>10903</v>
      </c>
      <c r="B7738" s="1" t="str">
        <f ca="1">IFERROR(__xludf.DUMMYFUNCTION("GOOGLETRANSLATE(A7738, ""en"", ""fr"")"),"S'il vous plaît # 4")</f>
        <v>S'il vous plaît # 4</v>
      </c>
      <c r="C7738" s="1" t="s">
        <v>185</v>
      </c>
      <c r="J7738" s="1" t="s">
        <v>6</v>
      </c>
      <c r="K7738" s="1" t="s">
        <v>7</v>
      </c>
      <c r="N7738" s="1" t="s">
        <v>10</v>
      </c>
      <c r="P7738" s="1" t="s">
        <v>12</v>
      </c>
      <c r="DN7738" s="1" t="s">
        <v>114</v>
      </c>
      <c r="EC7738" s="1" t="s">
        <v>129</v>
      </c>
      <c r="ED7738" s="1" t="s">
        <v>130</v>
      </c>
      <c r="GD7738" s="1" t="s">
        <v>189</v>
      </c>
      <c r="GE7738" s="1" t="s">
        <v>10904</v>
      </c>
    </row>
    <row r="7739" spans="1:187" ht="11.25" customHeight="1">
      <c r="A7739" s="1" t="s">
        <v>10905</v>
      </c>
      <c r="B7739" s="1" t="str">
        <f ca="1">IFERROR(__xludf.DUMMYFUNCTION("GOOGLETRANSLATE(A7739, ""en"", ""fr"")"),"Ravi n ° 1")</f>
        <v>Ravi n ° 1</v>
      </c>
      <c r="C7739" s="1" t="s">
        <v>185</v>
      </c>
      <c r="D7739" s="1" t="s">
        <v>16612</v>
      </c>
      <c r="F7739" s="1" t="s">
        <v>2</v>
      </c>
      <c r="P7739" s="1" t="s">
        <v>12</v>
      </c>
      <c r="FX7739" s="1" t="s">
        <v>176</v>
      </c>
      <c r="GD7739" s="1" t="s">
        <v>202</v>
      </c>
      <c r="GE7739" s="1" t="s">
        <v>10906</v>
      </c>
    </row>
    <row r="7740" spans="1:187" ht="11.25" customHeight="1">
      <c r="A7740" s="1" t="s">
        <v>10907</v>
      </c>
      <c r="B7740" s="1" t="str">
        <f ca="1">IFERROR(__xludf.DUMMYFUNCTION("GOOGLETRANSLATE(A7740, ""en"", ""fr"")"),"Ravi n ° 2")</f>
        <v>Ravi n ° 2</v>
      </c>
      <c r="C7740" s="1" t="s">
        <v>185</v>
      </c>
      <c r="D7740" s="1" t="s">
        <v>16612</v>
      </c>
      <c r="F7740" s="1" t="s">
        <v>2</v>
      </c>
      <c r="G7740" s="1" t="s">
        <v>3</v>
      </c>
      <c r="AN7740" s="1" t="s">
        <v>36</v>
      </c>
      <c r="DN7740" s="1" t="s">
        <v>114</v>
      </c>
      <c r="FX7740" s="1" t="s">
        <v>176</v>
      </c>
      <c r="GD7740" s="1" t="s">
        <v>1076</v>
      </c>
      <c r="GE7740" s="1" t="s">
        <v>10908</v>
      </c>
    </row>
    <row r="7741" spans="1:187" ht="11.25" customHeight="1">
      <c r="A7741" s="1" t="s">
        <v>10909</v>
      </c>
      <c r="B7741" s="1" t="str">
        <f ca="1">IFERROR(__xludf.DUMMYFUNCTION("GOOGLETRANSLATE(A7741, ""en"", ""fr"")"),"Ravi n ° 3")</f>
        <v>Ravi n ° 3</v>
      </c>
      <c r="C7741" s="1" t="s">
        <v>185</v>
      </c>
      <c r="J7741" s="1" t="s">
        <v>6</v>
      </c>
      <c r="N7741" s="1" t="s">
        <v>10</v>
      </c>
      <c r="P7741" s="1" t="s">
        <v>12</v>
      </c>
      <c r="DN7741" s="1" t="s">
        <v>114</v>
      </c>
      <c r="EC7741" s="1" t="s">
        <v>129</v>
      </c>
      <c r="ED7741" s="1" t="s">
        <v>130</v>
      </c>
      <c r="GD7741" s="1" t="s">
        <v>1076</v>
      </c>
      <c r="GE7741" s="1" t="s">
        <v>10910</v>
      </c>
    </row>
    <row r="7742" spans="1:187" ht="11.25" customHeight="1">
      <c r="A7742" s="1" t="s">
        <v>10911</v>
      </c>
      <c r="B7742" s="1" t="str">
        <f ca="1">IFERROR(__xludf.DUMMYFUNCTION("GOOGLETRANSLATE(A7742, ""en"", ""fr"")"),"Très agréable")</f>
        <v>Très agréable</v>
      </c>
      <c r="C7742" s="1" t="s">
        <v>192</v>
      </c>
      <c r="D7742" s="1" t="s">
        <v>16612</v>
      </c>
      <c r="P7742" s="1" t="s">
        <v>12</v>
      </c>
      <c r="T7742" s="1" t="s">
        <v>16</v>
      </c>
      <c r="DR7742" s="1" t="s">
        <v>118</v>
      </c>
      <c r="GD7742" s="1" t="s">
        <v>202</v>
      </c>
      <c r="GE7742" s="1" t="s">
        <v>190</v>
      </c>
    </row>
    <row r="7743" spans="1:187" ht="11.25" customHeight="1">
      <c r="A7743" s="1" t="s">
        <v>10912</v>
      </c>
      <c r="B7743" s="1" t="str">
        <f ca="1">IFERROR(__xludf.DUMMYFUNCTION("GOOGLETRANSLATE(A7743, ""en"", ""fr"")"),"PLAISIR")</f>
        <v>PLAISIR</v>
      </c>
      <c r="C7743" s="1" t="s">
        <v>185</v>
      </c>
      <c r="D7743" s="1" t="s">
        <v>16612</v>
      </c>
      <c r="F7743" s="1" t="s">
        <v>2</v>
      </c>
      <c r="P7743" s="1" t="s">
        <v>12</v>
      </c>
      <c r="T7743" s="1" t="s">
        <v>16</v>
      </c>
      <c r="FX7743" s="1" t="s">
        <v>176</v>
      </c>
      <c r="GD7743" s="1" t="s">
        <v>193</v>
      </c>
      <c r="GE7743" s="1" t="s">
        <v>10913</v>
      </c>
    </row>
    <row r="7744" spans="1:187" ht="11.25" customHeight="1">
      <c r="A7744" s="1" t="s">
        <v>10914</v>
      </c>
      <c r="B7744" s="1" t="str">
        <f ca="1">IFERROR(__xludf.DUMMYFUNCTION("GOOGLETRANSLATE(A7744, ""en"", ""fr"")"),"GAGE")</f>
        <v>GAGE</v>
      </c>
      <c r="C7744" s="1" t="s">
        <v>185</v>
      </c>
      <c r="D7744" s="1" t="s">
        <v>16612</v>
      </c>
      <c r="G7744" s="1" t="s">
        <v>3</v>
      </c>
      <c r="N7744" s="1" t="s">
        <v>10</v>
      </c>
      <c r="AG7744" s="1" t="s">
        <v>29</v>
      </c>
      <c r="BK7744" s="1" t="s">
        <v>59</v>
      </c>
      <c r="DN7744" s="1" t="s">
        <v>114</v>
      </c>
      <c r="EE7744" s="1" t="s">
        <v>131</v>
      </c>
      <c r="EJ7744" s="1" t="s">
        <v>136</v>
      </c>
      <c r="GD7744" s="1" t="s">
        <v>189</v>
      </c>
      <c r="GE7744" s="1" t="s">
        <v>190</v>
      </c>
    </row>
    <row r="7745" spans="1:187" ht="11.25" customHeight="1">
      <c r="A7745" s="1" t="s">
        <v>10915</v>
      </c>
      <c r="B7745" s="1" t="str">
        <f ca="1">IFERROR(__xludf.DUMMYFUNCTION("GOOGLETRANSLATE(A7745, ""en"", ""fr"")"),"PLÉNIPOTENTIAIRE")</f>
        <v>PLÉNIPOTENTIAIRE</v>
      </c>
      <c r="C7745" s="1" t="s">
        <v>196</v>
      </c>
      <c r="DY7745" s="1" t="s">
        <v>125</v>
      </c>
      <c r="ED7745" s="1" t="s">
        <v>130</v>
      </c>
      <c r="GD7745" s="1" t="s">
        <v>4912</v>
      </c>
    </row>
    <row r="7746" spans="1:187" ht="11.25" customHeight="1">
      <c r="A7746" s="1" t="s">
        <v>10916</v>
      </c>
      <c r="B7746" s="1" t="str">
        <f ca="1">IFERROR(__xludf.DUMMYFUNCTION("GOOGLETRANSLATE(A7746, ""en"", ""fr"")"),"COPIEUX")</f>
        <v>COPIEUX</v>
      </c>
      <c r="C7746" s="1" t="s">
        <v>185</v>
      </c>
      <c r="D7746" s="1" t="s">
        <v>16612</v>
      </c>
      <c r="F7746" s="1" t="s">
        <v>2</v>
      </c>
      <c r="J7746" s="1" t="s">
        <v>6</v>
      </c>
      <c r="W7746" s="1" t="s">
        <v>19</v>
      </c>
      <c r="CS7746" s="1" t="s">
        <v>93</v>
      </c>
      <c r="GD7746" s="1" t="s">
        <v>202</v>
      </c>
      <c r="GE7746" s="1" t="s">
        <v>190</v>
      </c>
    </row>
    <row r="7747" spans="1:187" ht="11.25" customHeight="1">
      <c r="A7747" s="1" t="s">
        <v>10917</v>
      </c>
      <c r="B7747" s="1" t="str">
        <f ca="1">IFERROR(__xludf.DUMMYFUNCTION("GOOGLETRANSLATE(A7747, ""en"", ""fr"")"),"BEAUCOUP")</f>
        <v>BEAUCOUP</v>
      </c>
      <c r="C7747" s="1" t="s">
        <v>185</v>
      </c>
      <c r="D7747" s="1" t="s">
        <v>16612</v>
      </c>
      <c r="F7747" s="1" t="s">
        <v>2</v>
      </c>
      <c r="J7747" s="1" t="s">
        <v>6</v>
      </c>
      <c r="W7747" s="1" t="s">
        <v>19</v>
      </c>
      <c r="CS7747" s="1" t="s">
        <v>93</v>
      </c>
      <c r="GD7747" s="1" t="s">
        <v>193</v>
      </c>
      <c r="GE7747" s="1" t="s">
        <v>10918</v>
      </c>
    </row>
    <row r="7748" spans="1:187" ht="11.25" customHeight="1">
      <c r="A7748" s="1" t="s">
        <v>10919</v>
      </c>
      <c r="B7748" s="1" t="str">
        <f ca="1">IFERROR(__xludf.DUMMYFUNCTION("GOOGLETRANSLATE(A7748, ""en"", ""fr"")"),"SITUATION CRITIQUE")</f>
        <v>SITUATION CRITIQUE</v>
      </c>
      <c r="C7748" s="1" t="s">
        <v>192</v>
      </c>
      <c r="E7748" s="1" t="s">
        <v>16613</v>
      </c>
      <c r="I7748" s="1" t="s">
        <v>5</v>
      </c>
      <c r="Q7748" s="1" t="s">
        <v>13</v>
      </c>
      <c r="T7748" s="1" t="s">
        <v>16</v>
      </c>
      <c r="GD7748" s="1" t="s">
        <v>193</v>
      </c>
      <c r="GE7748" s="1" t="s">
        <v>190</v>
      </c>
    </row>
    <row r="7749" spans="1:187" ht="11.25" customHeight="1">
      <c r="A7749" s="1" t="s">
        <v>10920</v>
      </c>
      <c r="B7749" s="1" t="str">
        <f ca="1">IFERROR(__xludf.DUMMYFUNCTION("GOOGLETRANSLATE(A7749, ""en"", ""fr"")"),"CHEMINER")</f>
        <v>CHEMINER</v>
      </c>
      <c r="C7749" s="1" t="s">
        <v>192</v>
      </c>
      <c r="E7749" s="1" t="s">
        <v>16613</v>
      </c>
      <c r="L7749" s="1" t="s">
        <v>8</v>
      </c>
      <c r="N7749" s="1" t="s">
        <v>10</v>
      </c>
      <c r="CE7749" s="1" t="s">
        <v>79</v>
      </c>
      <c r="DN7749" s="1" t="s">
        <v>114</v>
      </c>
      <c r="GD7749" s="1" t="s">
        <v>189</v>
      </c>
      <c r="GE7749" s="1" t="s">
        <v>190</v>
      </c>
    </row>
    <row r="7750" spans="1:187" ht="11.25" customHeight="1">
      <c r="A7750" s="1" t="s">
        <v>10921</v>
      </c>
      <c r="B7750" s="1" t="str">
        <f ca="1">IFERROR(__xludf.DUMMYFUNCTION("GOOGLETRANSLATE(A7750, ""en"", ""fr"")"),"Terrain n ° 1")</f>
        <v>Terrain n ° 1</v>
      </c>
      <c r="C7750" s="1" t="s">
        <v>185</v>
      </c>
      <c r="BK7750" s="1" t="s">
        <v>59</v>
      </c>
      <c r="EC7750" s="1" t="s">
        <v>129</v>
      </c>
      <c r="ED7750" s="1" t="s">
        <v>130</v>
      </c>
      <c r="GC7750" s="1" t="s">
        <v>181</v>
      </c>
      <c r="GD7750" s="1" t="s">
        <v>193</v>
      </c>
      <c r="GE7750" s="1" t="s">
        <v>190</v>
      </c>
    </row>
    <row r="7751" spans="1:187" ht="11.25" customHeight="1">
      <c r="A7751" s="1" t="s">
        <v>10922</v>
      </c>
      <c r="B7751" s="1" t="str">
        <f ca="1">IFERROR(__xludf.DUMMYFUNCTION("GOOGLETRANSLATE(A7751, ""en"", ""fr"")"),"Terrain n ° 2")</f>
        <v>Terrain n ° 2</v>
      </c>
      <c r="C7751" s="1" t="s">
        <v>185</v>
      </c>
      <c r="E7751" s="1" t="s">
        <v>16613</v>
      </c>
      <c r="H7751" s="1" t="s">
        <v>4</v>
      </c>
      <c r="J7751" s="1" t="s">
        <v>6</v>
      </c>
      <c r="N7751" s="1" t="s">
        <v>10</v>
      </c>
      <c r="CO7751" s="1" t="s">
        <v>89</v>
      </c>
      <c r="DN7751" s="1" t="s">
        <v>114</v>
      </c>
      <c r="EC7751" s="1" t="s">
        <v>129</v>
      </c>
      <c r="ED7751" s="1" t="s">
        <v>130</v>
      </c>
      <c r="GD7751" s="1" t="s">
        <v>189</v>
      </c>
      <c r="GE7751" s="1" t="s">
        <v>190</v>
      </c>
    </row>
    <row r="7752" spans="1:187" ht="11.25" customHeight="1">
      <c r="A7752" s="1" t="s">
        <v>10923</v>
      </c>
      <c r="B7752" s="1" t="str">
        <f ca="1">IFERROR(__xludf.DUMMYFUNCTION("GOOGLETRANSLATE(A7752, ""en"", ""fr"")"),"Charrue n ° 1")</f>
        <v>Charrue n ° 1</v>
      </c>
      <c r="C7752" s="1" t="s">
        <v>185</v>
      </c>
      <c r="AA7752" s="1" t="s">
        <v>23</v>
      </c>
      <c r="BC7752" s="1" t="s">
        <v>51</v>
      </c>
      <c r="BD7752" s="1" t="s">
        <v>52</v>
      </c>
      <c r="GD7752" s="1" t="s">
        <v>193</v>
      </c>
      <c r="GE7752" s="1" t="s">
        <v>190</v>
      </c>
    </row>
    <row r="7753" spans="1:187" ht="11.25" customHeight="1">
      <c r="A7753" s="1" t="s">
        <v>10924</v>
      </c>
      <c r="B7753" s="1" t="str">
        <f ca="1">IFERROR(__xludf.DUMMYFUNCTION("GOOGLETRANSLATE(A7753, ""en"", ""fr"")"),"Charrue n ° 2")</f>
        <v>Charrue n ° 2</v>
      </c>
      <c r="C7753" s="1" t="s">
        <v>185</v>
      </c>
      <c r="N7753" s="1" t="s">
        <v>10</v>
      </c>
      <c r="AA7753" s="1" t="s">
        <v>23</v>
      </c>
      <c r="AL7753" s="1" t="s">
        <v>34</v>
      </c>
      <c r="DN7753" s="1" t="s">
        <v>114</v>
      </c>
      <c r="GD7753" s="1" t="s">
        <v>189</v>
      </c>
      <c r="GE7753" s="1" t="s">
        <v>190</v>
      </c>
    </row>
    <row r="7754" spans="1:187" ht="11.25" customHeight="1">
      <c r="A7754" s="1" t="s">
        <v>10925</v>
      </c>
      <c r="B7754" s="1" t="str">
        <f ca="1">IFERROR(__xludf.DUMMYFUNCTION("GOOGLETRANSLATE(A7754, ""en"", ""fr"")"),"Branche n ° 1")</f>
        <v>Branche n ° 1</v>
      </c>
      <c r="C7754" s="1" t="s">
        <v>185</v>
      </c>
      <c r="BC7754" s="1" t="s">
        <v>51</v>
      </c>
      <c r="BD7754" s="1" t="s">
        <v>52</v>
      </c>
      <c r="GD7754" s="1" t="s">
        <v>193</v>
      </c>
      <c r="GE7754" s="1" t="s">
        <v>190</v>
      </c>
    </row>
    <row r="7755" spans="1:187" ht="11.25" customHeight="1">
      <c r="A7755" s="1" t="s">
        <v>10926</v>
      </c>
      <c r="B7755" s="1" t="str">
        <f ca="1">IFERROR(__xludf.DUMMYFUNCTION("GOOGLETRANSLATE(A7755, ""en"", ""fr"")"),"Branche # 2")</f>
        <v>Branche # 2</v>
      </c>
      <c r="C7755" s="1" t="s">
        <v>185</v>
      </c>
      <c r="N7755" s="1" t="s">
        <v>10</v>
      </c>
      <c r="AL7755" s="1" t="s">
        <v>34</v>
      </c>
      <c r="DO7755" s="1" t="s">
        <v>115</v>
      </c>
      <c r="GD7755" s="1" t="s">
        <v>189</v>
      </c>
      <c r="GE7755" s="1" t="s">
        <v>190</v>
      </c>
    </row>
    <row r="7756" spans="1:187" ht="11.25" customHeight="1">
      <c r="A7756" s="1" t="s">
        <v>10927</v>
      </c>
      <c r="B7756" s="1" t="str">
        <f ca="1">IFERROR(__xludf.DUMMYFUNCTION("GOOGLETRANSLATE(A7756, ""en"", ""fr"")"),"PLOMBIER")</f>
        <v>PLOMBIER</v>
      </c>
      <c r="C7756" s="1" t="s">
        <v>185</v>
      </c>
      <c r="AA7756" s="1" t="s">
        <v>23</v>
      </c>
      <c r="AC7756" s="1" t="s">
        <v>25</v>
      </c>
      <c r="AJ7756" s="1" t="s">
        <v>32</v>
      </c>
      <c r="AT7756" s="1" t="s">
        <v>42</v>
      </c>
      <c r="FK7756" s="1" t="s">
        <v>163</v>
      </c>
      <c r="FM7756" s="1" t="s">
        <v>418</v>
      </c>
      <c r="GD7756" s="1" t="s">
        <v>193</v>
      </c>
      <c r="GE7756" s="1" t="s">
        <v>190</v>
      </c>
    </row>
    <row r="7757" spans="1:187" ht="11.25" customHeight="1">
      <c r="A7757" s="1" t="s">
        <v>10928</v>
      </c>
      <c r="B7757" s="1" t="str">
        <f ca="1">IFERROR(__xludf.DUMMYFUNCTION("GOOGLETRANSLATE(A7757, ""en"", ""fr"")"),"PILLAGE")</f>
        <v>PILLAGE</v>
      </c>
      <c r="C7757" s="1" t="s">
        <v>196</v>
      </c>
      <c r="EU7757" s="1" t="s">
        <v>147</v>
      </c>
      <c r="EW7757" s="1" t="s">
        <v>149</v>
      </c>
      <c r="GD7757" s="1" t="s">
        <v>189</v>
      </c>
    </row>
    <row r="7758" spans="1:187" ht="11.25" customHeight="1">
      <c r="A7758" s="1" t="s">
        <v>10929</v>
      </c>
      <c r="B7758" s="1" t="str">
        <f ca="1">IFERROR(__xludf.DUMMYFUNCTION("GOOGLETRANSLATE(A7758, ""en"", ""fr"")"),"Plonger # 1")</f>
        <v>Plonger # 1</v>
      </c>
      <c r="C7758" s="1" t="s">
        <v>185</v>
      </c>
      <c r="CE7758" s="1" t="s">
        <v>79</v>
      </c>
      <c r="GD7758" s="1" t="s">
        <v>193</v>
      </c>
      <c r="GE7758" s="1" t="s">
        <v>190</v>
      </c>
    </row>
    <row r="7759" spans="1:187" ht="11.25" customHeight="1">
      <c r="A7759" s="1" t="s">
        <v>10930</v>
      </c>
      <c r="B7759" s="1" t="str">
        <f ca="1">IFERROR(__xludf.DUMMYFUNCTION("GOOGLETRANSLATE(A7759, ""en"", ""fr"")"),"Plonger # 2")</f>
        <v>Plonger # 2</v>
      </c>
      <c r="C7759" s="1" t="s">
        <v>185</v>
      </c>
      <c r="O7759" s="1" t="s">
        <v>11</v>
      </c>
      <c r="CF7759" s="1" t="s">
        <v>80</v>
      </c>
      <c r="DO7759" s="1" t="s">
        <v>115</v>
      </c>
      <c r="GD7759" s="1" t="s">
        <v>189</v>
      </c>
      <c r="GE7759" s="1" t="s">
        <v>190</v>
      </c>
    </row>
    <row r="7760" spans="1:187" ht="11.25" customHeight="1">
      <c r="A7760" s="1" t="s">
        <v>10931</v>
      </c>
      <c r="B7760" s="1" t="str">
        <f ca="1">IFERROR(__xludf.DUMMYFUNCTION("GOOGLETRANSLATE(A7760, ""en"", ""fr"")"),"PLURIEL")</f>
        <v>PLURIEL</v>
      </c>
      <c r="C7760" s="1" t="s">
        <v>196</v>
      </c>
      <c r="GD7760" s="1" t="s">
        <v>202</v>
      </c>
    </row>
    <row r="7761" spans="1:187" ht="11.25" customHeight="1">
      <c r="A7761" s="1" t="s">
        <v>10932</v>
      </c>
      <c r="B7761" s="1" t="str">
        <f ca="1">IFERROR(__xludf.DUMMYFUNCTION("GOOGLETRANSLATE(A7761, ""en"", ""fr"")"),"PLUS")</f>
        <v>PLUS</v>
      </c>
      <c r="C7761" s="1" t="s">
        <v>185</v>
      </c>
      <c r="W7761" s="1" t="s">
        <v>19</v>
      </c>
      <c r="CS7761" s="1" t="s">
        <v>93</v>
      </c>
      <c r="GD7761" s="1" t="s">
        <v>215</v>
      </c>
      <c r="GE7761" s="1" t="s">
        <v>190</v>
      </c>
    </row>
    <row r="7762" spans="1:187" ht="11.25" customHeight="1">
      <c r="A7762" s="1" t="s">
        <v>10933</v>
      </c>
      <c r="B7762" s="1" t="str">
        <f ca="1">IFERROR(__xludf.DUMMYFUNCTION("GOOGLETRANSLATE(A7762, ""en"", ""fr"")"),"CONTRE-PLAQUÉ")</f>
        <v>CONTRE-PLAQUÉ</v>
      </c>
      <c r="C7762" s="1" t="s">
        <v>185</v>
      </c>
      <c r="BC7762" s="1" t="s">
        <v>51</v>
      </c>
      <c r="BD7762" s="1" t="s">
        <v>52</v>
      </c>
      <c r="GD7762" s="1" t="s">
        <v>193</v>
      </c>
      <c r="GE7762" s="1" t="s">
        <v>190</v>
      </c>
    </row>
    <row r="7763" spans="1:187" ht="11.25" customHeight="1">
      <c r="A7763" s="1" t="s">
        <v>10934</v>
      </c>
      <c r="B7763" s="1" t="str">
        <f ca="1">IFERROR(__xludf.DUMMYFUNCTION("GOOGLETRANSLATE(A7763, ""en"", ""fr"")"),"POCHE")</f>
        <v>POCHE</v>
      </c>
      <c r="C7763" s="1" t="s">
        <v>185</v>
      </c>
      <c r="BC7763" s="1" t="s">
        <v>51</v>
      </c>
      <c r="BD7763" s="1" t="s">
        <v>52</v>
      </c>
      <c r="GD7763" s="1" t="s">
        <v>193</v>
      </c>
      <c r="GE7763" s="1" t="s">
        <v>10935</v>
      </c>
    </row>
    <row r="7764" spans="1:187" ht="11.25" customHeight="1">
      <c r="A7764" s="1" t="s">
        <v>10936</v>
      </c>
      <c r="B7764" s="1" t="str">
        <f ca="1">IFERROR(__xludf.DUMMYFUNCTION("GOOGLETRANSLATE(A7764, ""en"", ""fr"")"),"COSSE")</f>
        <v>COSSE</v>
      </c>
      <c r="C7764" s="1" t="s">
        <v>185</v>
      </c>
      <c r="BC7764" s="1" t="s">
        <v>51</v>
      </c>
      <c r="BI7764" s="1" t="s">
        <v>57</v>
      </c>
      <c r="GD7764" s="1" t="s">
        <v>193</v>
      </c>
      <c r="GE7764" s="1" t="s">
        <v>190</v>
      </c>
    </row>
    <row r="7765" spans="1:187" ht="11.25" customHeight="1">
      <c r="A7765" s="1" t="s">
        <v>10937</v>
      </c>
      <c r="B7765" s="1" t="str">
        <f ca="1">IFERROR(__xludf.DUMMYFUNCTION("GOOGLETRANSLATE(A7765, ""en"", ""fr"")"),"POÈME")</f>
        <v>POÈME</v>
      </c>
      <c r="C7765" s="1" t="s">
        <v>185</v>
      </c>
      <c r="AD7765" s="1" t="s">
        <v>26</v>
      </c>
      <c r="BK7765" s="1" t="s">
        <v>59</v>
      </c>
      <c r="BL7765" s="1" t="s">
        <v>60</v>
      </c>
      <c r="FJ7765" s="1" t="s">
        <v>162</v>
      </c>
      <c r="FM7765" s="1" t="s">
        <v>418</v>
      </c>
      <c r="GD7765" s="1" t="s">
        <v>193</v>
      </c>
      <c r="GE7765" s="1" t="s">
        <v>190</v>
      </c>
    </row>
    <row r="7766" spans="1:187" ht="11.25" customHeight="1">
      <c r="A7766" s="1" t="s">
        <v>10938</v>
      </c>
      <c r="B7766" s="1" t="str">
        <f ca="1">IFERROR(__xludf.DUMMYFUNCTION("GOOGLETRANSLATE(A7766, ""en"", ""fr"")"),"POÈTE")</f>
        <v>POÈTE</v>
      </c>
      <c r="C7766" s="1" t="s">
        <v>185</v>
      </c>
      <c r="AD7766" s="1" t="s">
        <v>26</v>
      </c>
      <c r="AJ7766" s="1" t="s">
        <v>32</v>
      </c>
      <c r="AT7766" s="1" t="s">
        <v>42</v>
      </c>
      <c r="FK7766" s="1" t="s">
        <v>163</v>
      </c>
      <c r="FM7766" s="1" t="s">
        <v>418</v>
      </c>
      <c r="GD7766" s="1" t="s">
        <v>193</v>
      </c>
      <c r="GE7766" s="1" t="s">
        <v>190</v>
      </c>
    </row>
    <row r="7767" spans="1:187" ht="11.25" customHeight="1">
      <c r="A7767" s="1" t="s">
        <v>10939</v>
      </c>
      <c r="B7767" s="1" t="str">
        <f ca="1">IFERROR(__xludf.DUMMYFUNCTION("GOOGLETRANSLATE(A7767, ""en"", ""fr"")"),"POÉTIQUE")</f>
        <v>POÉTIQUE</v>
      </c>
      <c r="C7767" s="1" t="s">
        <v>185</v>
      </c>
      <c r="D7767" s="1" t="s">
        <v>16612</v>
      </c>
      <c r="P7767" s="1" t="s">
        <v>12</v>
      </c>
      <c r="AD7767" s="1" t="s">
        <v>26</v>
      </c>
      <c r="BK7767" s="1" t="s">
        <v>59</v>
      </c>
      <c r="DR7767" s="1" t="s">
        <v>118</v>
      </c>
      <c r="FJ7767" s="1" t="s">
        <v>162</v>
      </c>
      <c r="FM7767" s="1" t="s">
        <v>418</v>
      </c>
      <c r="GD7767" s="1" t="s">
        <v>202</v>
      </c>
      <c r="GE7767" s="1" t="s">
        <v>190</v>
      </c>
    </row>
    <row r="7768" spans="1:187" ht="11.25" customHeight="1">
      <c r="A7768" s="1" t="s">
        <v>10940</v>
      </c>
      <c r="B7768" s="1" t="str">
        <f ca="1">IFERROR(__xludf.DUMMYFUNCTION("GOOGLETRANSLATE(A7768, ""en"", ""fr"")"),"POÉSIE")</f>
        <v>POÉSIE</v>
      </c>
      <c r="C7768" s="1" t="s">
        <v>185</v>
      </c>
      <c r="AD7768" s="1" t="s">
        <v>26</v>
      </c>
      <c r="BK7768" s="1" t="s">
        <v>59</v>
      </c>
      <c r="BL7768" s="1" t="s">
        <v>60</v>
      </c>
      <c r="FJ7768" s="1" t="s">
        <v>162</v>
      </c>
      <c r="FM7768" s="1" t="s">
        <v>418</v>
      </c>
      <c r="GC7768" s="1" t="s">
        <v>181</v>
      </c>
      <c r="GD7768" s="1" t="s">
        <v>193</v>
      </c>
      <c r="GE7768" s="1" t="s">
        <v>190</v>
      </c>
    </row>
    <row r="7769" spans="1:187" ht="11.25" customHeight="1">
      <c r="A7769" s="1" t="s">
        <v>10941</v>
      </c>
      <c r="B7769" s="1" t="str">
        <f ca="1">IFERROR(__xludf.DUMMYFUNCTION("GOOGLETRANSLATE(A7769, ""en"", ""fr"")"),"POIGNANT")</f>
        <v>POIGNANT</v>
      </c>
      <c r="C7769" s="1" t="s">
        <v>192</v>
      </c>
      <c r="D7769" s="1" t="s">
        <v>16612</v>
      </c>
      <c r="J7769" s="1" t="s">
        <v>6</v>
      </c>
      <c r="W7769" s="1" t="s">
        <v>19</v>
      </c>
      <c r="BK7769" s="1" t="s">
        <v>59</v>
      </c>
      <c r="DR7769" s="1" t="s">
        <v>118</v>
      </c>
      <c r="GD7769" s="1" t="s">
        <v>202</v>
      </c>
      <c r="GE7769" s="1" t="s">
        <v>190</v>
      </c>
    </row>
    <row r="7770" spans="1:187" ht="11.25" customHeight="1">
      <c r="A7770" s="1" t="s">
        <v>10942</v>
      </c>
      <c r="B7770" s="1" t="str">
        <f ca="1">IFERROR(__xludf.DUMMYFUNCTION("GOOGLETRANSLATE(A7770, ""en"", ""fr"")"),"Point n ° 1")</f>
        <v>Point n ° 1</v>
      </c>
      <c r="C7770" s="1" t="s">
        <v>185</v>
      </c>
      <c r="CY7770" s="1" t="s">
        <v>99</v>
      </c>
      <c r="CZ7770" s="1" t="s">
        <v>100</v>
      </c>
      <c r="GB7770" s="1" t="s">
        <v>180</v>
      </c>
      <c r="GD7770" s="1" t="s">
        <v>193</v>
      </c>
      <c r="GE7770" s="1" t="s">
        <v>10943</v>
      </c>
    </row>
    <row r="7771" spans="1:187" ht="11.25" customHeight="1">
      <c r="A7771" s="1" t="s">
        <v>10944</v>
      </c>
      <c r="B7771" s="1" t="str">
        <f ca="1">IFERROR(__xludf.DUMMYFUNCTION("GOOGLETRANSLATE(A7771, ""en"", ""fr"")"),"Point n ° 2")</f>
        <v>Point n ° 2</v>
      </c>
      <c r="C7771" s="1" t="s">
        <v>185</v>
      </c>
      <c r="BL7771" s="1" t="s">
        <v>60</v>
      </c>
      <c r="CH7771" s="1" t="s">
        <v>82</v>
      </c>
      <c r="FH7771" s="1" t="s">
        <v>160</v>
      </c>
      <c r="FI7771" s="1" t="s">
        <v>161</v>
      </c>
      <c r="GC7771" s="1" t="s">
        <v>181</v>
      </c>
      <c r="GD7771" s="1" t="s">
        <v>193</v>
      </c>
      <c r="GE7771" s="1" t="s">
        <v>10945</v>
      </c>
    </row>
    <row r="7772" spans="1:187" ht="11.25" customHeight="1">
      <c r="A7772" s="1" t="s">
        <v>10946</v>
      </c>
      <c r="B7772" s="1" t="str">
        <f ca="1">IFERROR(__xludf.DUMMYFUNCTION("GOOGLETRANSLATE(A7772, ""en"", ""fr"")"),"Point n ° 3")</f>
        <v>Point n ° 3</v>
      </c>
      <c r="C7772" s="1" t="s">
        <v>185</v>
      </c>
      <c r="N7772" s="1" t="s">
        <v>10</v>
      </c>
      <c r="CK7772" s="1" t="s">
        <v>85</v>
      </c>
      <c r="DN7772" s="1" t="s">
        <v>114</v>
      </c>
      <c r="FH7772" s="1" t="s">
        <v>160</v>
      </c>
      <c r="FI7772" s="1" t="s">
        <v>161</v>
      </c>
      <c r="GD7772" s="1" t="s">
        <v>189</v>
      </c>
      <c r="GE7772" s="1" t="s">
        <v>10947</v>
      </c>
    </row>
    <row r="7773" spans="1:187" ht="11.25" customHeight="1">
      <c r="A7773" s="1" t="s">
        <v>10948</v>
      </c>
      <c r="B7773" s="1" t="str">
        <f ca="1">IFERROR(__xludf.DUMMYFUNCTION("GOOGLETRANSLATE(A7773, ""en"", ""fr"")"),"Point n ° 4")</f>
        <v>Point n ° 4</v>
      </c>
      <c r="C7773" s="1" t="s">
        <v>185</v>
      </c>
      <c r="N7773" s="1" t="s">
        <v>10</v>
      </c>
      <c r="DD7773" s="1" t="s">
        <v>104</v>
      </c>
      <c r="DO7773" s="1" t="s">
        <v>115</v>
      </c>
      <c r="FP7773" s="1" t="s">
        <v>168</v>
      </c>
      <c r="GD7773" s="1" t="s">
        <v>189</v>
      </c>
      <c r="GE7773" s="1" t="s">
        <v>10949</v>
      </c>
    </row>
    <row r="7774" spans="1:187" ht="11.25" customHeight="1">
      <c r="A7774" s="1" t="s">
        <v>10950</v>
      </c>
      <c r="B7774" s="1" t="str">
        <f ca="1">IFERROR(__xludf.DUMMYFUNCTION("GOOGLETRANSLATE(A7774, ""en"", ""fr"")"),"Point n ° 5")</f>
        <v>Point n ° 5</v>
      </c>
      <c r="C7774" s="1" t="s">
        <v>185</v>
      </c>
      <c r="W7774" s="1" t="s">
        <v>19</v>
      </c>
      <c r="CH7774" s="1" t="s">
        <v>82</v>
      </c>
      <c r="FY7774" s="1" t="s">
        <v>177</v>
      </c>
      <c r="GD7774" s="1" t="s">
        <v>5405</v>
      </c>
      <c r="GE7774" s="1" t="s">
        <v>10951</v>
      </c>
    </row>
    <row r="7775" spans="1:187" ht="11.25" customHeight="1">
      <c r="A7775" s="1" t="s">
        <v>10952</v>
      </c>
      <c r="B7775" s="1" t="str">
        <f ca="1">IFERROR(__xludf.DUMMYFUNCTION("GOOGLETRANSLATE(A7775, ""en"", ""fr"")"),"Point n ° 6")</f>
        <v>Point n ° 6</v>
      </c>
      <c r="C7775" s="1" t="s">
        <v>185</v>
      </c>
      <c r="E7775" s="1" t="s">
        <v>16613</v>
      </c>
      <c r="H7775" s="1" t="s">
        <v>4</v>
      </c>
      <c r="I7775" s="1" t="s">
        <v>5</v>
      </c>
      <c r="J7775" s="1" t="s">
        <v>6</v>
      </c>
      <c r="W7775" s="1" t="s">
        <v>19</v>
      </c>
      <c r="CH7775" s="1" t="s">
        <v>82</v>
      </c>
      <c r="FY7775" s="1" t="s">
        <v>177</v>
      </c>
      <c r="GC7775" s="1" t="s">
        <v>181</v>
      </c>
      <c r="GD7775" s="1" t="s">
        <v>202</v>
      </c>
      <c r="GE7775" s="1" t="s">
        <v>10953</v>
      </c>
    </row>
    <row r="7776" spans="1:187" ht="11.25" customHeight="1">
      <c r="A7776" s="1" t="s">
        <v>10954</v>
      </c>
      <c r="B7776" s="1" t="str">
        <f ca="1">IFERROR(__xludf.DUMMYFUNCTION("GOOGLETRANSLATE(A7776, ""en"", ""fr"")"),"Point n ° 7")</f>
        <v>Point n ° 7</v>
      </c>
      <c r="C7776" s="1" t="s">
        <v>185</v>
      </c>
      <c r="CR7776" s="1" t="s">
        <v>92</v>
      </c>
      <c r="GD7776" s="1" t="s">
        <v>202</v>
      </c>
      <c r="GE7776" s="1" t="s">
        <v>10955</v>
      </c>
    </row>
    <row r="7777" spans="1:187" ht="11.25" customHeight="1">
      <c r="A7777" s="1" t="s">
        <v>10956</v>
      </c>
      <c r="B7777" s="1" t="str">
        <f ca="1">IFERROR(__xludf.DUMMYFUNCTION("GOOGLETRANSLATE(A7777, ""en"", ""fr"")"),"Point n ° 8")</f>
        <v>Point n ° 8</v>
      </c>
      <c r="C7777" s="1" t="s">
        <v>185</v>
      </c>
      <c r="J7777" s="1" t="s">
        <v>6</v>
      </c>
      <c r="BK7777" s="1" t="s">
        <v>59</v>
      </c>
      <c r="FH7777" s="1" t="s">
        <v>160</v>
      </c>
      <c r="FI7777" s="1" t="s">
        <v>161</v>
      </c>
      <c r="GC7777" s="1" t="s">
        <v>181</v>
      </c>
      <c r="GD7777" s="1" t="s">
        <v>236</v>
      </c>
      <c r="GE7777" s="1" t="s">
        <v>10957</v>
      </c>
    </row>
    <row r="7778" spans="1:187" ht="11.25" customHeight="1">
      <c r="A7778" s="1" t="s">
        <v>10958</v>
      </c>
      <c r="B7778" s="1" t="str">
        <f ca="1">IFERROR(__xludf.DUMMYFUNCTION("GOOGLETRANSLATE(A7778, ""en"", ""fr"")"),"AIGUILLE")</f>
        <v>AIGUILLE</v>
      </c>
      <c r="C7778" s="1" t="s">
        <v>185</v>
      </c>
      <c r="BC7778" s="1" t="s">
        <v>51</v>
      </c>
      <c r="BH7778" s="1" t="s">
        <v>56</v>
      </c>
      <c r="BL7778" s="1" t="s">
        <v>60</v>
      </c>
      <c r="GD7778" s="1" t="s">
        <v>193</v>
      </c>
      <c r="GE7778" s="1" t="s">
        <v>190</v>
      </c>
    </row>
    <row r="7779" spans="1:187" ht="11.25" customHeight="1">
      <c r="A7779" s="1" t="s">
        <v>10959</v>
      </c>
      <c r="B7779" s="1" t="str">
        <f ca="1">IFERROR(__xludf.DUMMYFUNCTION("GOOGLETRANSLATE(A7779, ""en"", ""fr"")"),"INUTILE")</f>
        <v>INUTILE</v>
      </c>
      <c r="C7779" s="1" t="s">
        <v>192</v>
      </c>
      <c r="E7779" s="1" t="s">
        <v>16613</v>
      </c>
      <c r="L7779" s="1" t="s">
        <v>8</v>
      </c>
      <c r="X7779" s="1" t="s">
        <v>20</v>
      </c>
      <c r="DR7779" s="1" t="s">
        <v>118</v>
      </c>
      <c r="GD7779" s="1" t="s">
        <v>202</v>
      </c>
      <c r="GE7779" s="1" t="s">
        <v>190</v>
      </c>
    </row>
    <row r="7780" spans="1:187" ht="11.25" customHeight="1">
      <c r="A7780" s="1" t="s">
        <v>10960</v>
      </c>
      <c r="B7780" s="1" t="str">
        <f ca="1">IFERROR(__xludf.DUMMYFUNCTION("GOOGLETRANSLATE(A7780, ""en"", ""fr"")"),"Équilibre n ° 1")</f>
        <v>Équilibre n ° 1</v>
      </c>
      <c r="C7780" s="1" t="s">
        <v>185</v>
      </c>
      <c r="D7780" s="1" t="s">
        <v>16612</v>
      </c>
      <c r="F7780" s="1" t="s">
        <v>2</v>
      </c>
      <c r="J7780" s="1" t="s">
        <v>6</v>
      </c>
      <c r="CR7780" s="1" t="s">
        <v>92</v>
      </c>
      <c r="EM7780" s="1" t="s">
        <v>139</v>
      </c>
      <c r="EN7780" s="1" t="s">
        <v>140</v>
      </c>
      <c r="GD7780" s="1" t="s">
        <v>202</v>
      </c>
      <c r="GE7780" s="1" t="s">
        <v>190</v>
      </c>
    </row>
    <row r="7781" spans="1:187" ht="11.25" customHeight="1">
      <c r="A7781" s="1" t="s">
        <v>10961</v>
      </c>
      <c r="B7781" s="1" t="str">
        <f ca="1">IFERROR(__xludf.DUMMYFUNCTION("GOOGLETRANSLATE(A7781, ""en"", ""fr"")"),"Équilibre n ° 2")</f>
        <v>Équilibre n ° 2</v>
      </c>
      <c r="C7781" s="1" t="s">
        <v>185</v>
      </c>
      <c r="O7781" s="1" t="s">
        <v>11</v>
      </c>
      <c r="CA7781" s="1" t="s">
        <v>75</v>
      </c>
      <c r="DN7781" s="1" t="s">
        <v>114</v>
      </c>
      <c r="GD7781" s="1" t="s">
        <v>189</v>
      </c>
      <c r="GE7781" s="1" t="s">
        <v>190</v>
      </c>
    </row>
    <row r="7782" spans="1:187" ht="11.25" customHeight="1">
      <c r="A7782" s="1" t="s">
        <v>10962</v>
      </c>
      <c r="B7782" s="1" t="str">
        <f ca="1">IFERROR(__xludf.DUMMYFUNCTION("GOOGLETRANSLATE(A7782, ""en"", ""fr"")"),"POISON")</f>
        <v>POISON</v>
      </c>
      <c r="C7782" s="1" t="s">
        <v>192</v>
      </c>
      <c r="E7782" s="1" t="s">
        <v>16613</v>
      </c>
      <c r="BC7782" s="1" t="s">
        <v>51</v>
      </c>
      <c r="GD7782" s="1" t="s">
        <v>193</v>
      </c>
      <c r="GE7782" s="1" t="s">
        <v>190</v>
      </c>
    </row>
    <row r="7783" spans="1:187" ht="11.25" customHeight="1">
      <c r="A7783" s="1" t="s">
        <v>10963</v>
      </c>
      <c r="B7783" s="1" t="str">
        <f ca="1">IFERROR(__xludf.DUMMYFUNCTION("GOOGLETRANSLATE(A7783, ""en"", ""fr"")"),"TOXIQUE")</f>
        <v>TOXIQUE</v>
      </c>
      <c r="C7783" s="1" t="s">
        <v>192</v>
      </c>
      <c r="E7783" s="1" t="s">
        <v>16613</v>
      </c>
      <c r="I7783" s="1" t="s">
        <v>5</v>
      </c>
      <c r="DQ7783" s="1" t="s">
        <v>117</v>
      </c>
      <c r="GD7783" s="1" t="s">
        <v>202</v>
      </c>
      <c r="GE7783" s="1" t="s">
        <v>190</v>
      </c>
    </row>
    <row r="7784" spans="1:187" ht="11.25" customHeight="1">
      <c r="A7784" s="1" t="s">
        <v>10964</v>
      </c>
      <c r="B7784" s="1" t="str">
        <f ca="1">IFERROR(__xludf.DUMMYFUNCTION("GOOGLETRANSLATE(A7784, ""en"", ""fr"")"),"POLOGNE")</f>
        <v>POLOGNE</v>
      </c>
      <c r="C7784" s="1" t="s">
        <v>185</v>
      </c>
      <c r="AC7784" s="1" t="s">
        <v>25</v>
      </c>
      <c r="AH7784" s="1" t="s">
        <v>30</v>
      </c>
      <c r="DI7784" s="1" t="s">
        <v>109</v>
      </c>
      <c r="FU7784" s="1" t="s">
        <v>173</v>
      </c>
      <c r="GD7784" s="1" t="s">
        <v>193</v>
      </c>
      <c r="GE7784" s="1" t="s">
        <v>190</v>
      </c>
    </row>
    <row r="7785" spans="1:187" ht="11.25" customHeight="1">
      <c r="A7785" s="1" t="s">
        <v>10965</v>
      </c>
      <c r="B7785" s="1" t="str">
        <f ca="1">IFERROR(__xludf.DUMMYFUNCTION("GOOGLETRANSLATE(A7785, ""en"", ""fr"")"),"Polaria")</f>
        <v>Polaria</v>
      </c>
      <c r="C7785" s="1" t="s">
        <v>196</v>
      </c>
      <c r="DX7785" s="1" t="s">
        <v>124</v>
      </c>
      <c r="ED7785" s="1" t="s">
        <v>130</v>
      </c>
      <c r="GD7785" s="1" t="s">
        <v>193</v>
      </c>
    </row>
    <row r="7786" spans="1:187" ht="11.25" customHeight="1">
      <c r="A7786" s="1" t="s">
        <v>10966</v>
      </c>
      <c r="B7786" s="1" t="str">
        <f ca="1">IFERROR(__xludf.DUMMYFUNCTION("GOOGLETRANSLATE(A7786, ""en"", ""fr"")"),"POLARISER")</f>
        <v>POLARISER</v>
      </c>
      <c r="C7786" s="1" t="s">
        <v>196</v>
      </c>
      <c r="DX7786" s="1" t="s">
        <v>124</v>
      </c>
      <c r="ED7786" s="1" t="s">
        <v>130</v>
      </c>
      <c r="GD7786" s="1" t="s">
        <v>189</v>
      </c>
    </row>
    <row r="7787" spans="1:187" ht="11.25" customHeight="1">
      <c r="A7787" s="1" t="s">
        <v>10967</v>
      </c>
      <c r="B7787" s="1" t="str">
        <f ca="1">IFERROR(__xludf.DUMMYFUNCTION("GOOGLETRANSLATE(A7787, ""en"", ""fr"")"),"Pole n ° 1")</f>
        <v>Pole n ° 1</v>
      </c>
      <c r="C7787" s="1" t="s">
        <v>185</v>
      </c>
      <c r="BC7787" s="1" t="s">
        <v>51</v>
      </c>
      <c r="BD7787" s="1" t="s">
        <v>52</v>
      </c>
      <c r="GD7787" s="1" t="s">
        <v>849</v>
      </c>
      <c r="GE7787" s="1" t="s">
        <v>10968</v>
      </c>
    </row>
    <row r="7788" spans="1:187" ht="11.25" customHeight="1">
      <c r="A7788" s="1" t="s">
        <v>10969</v>
      </c>
      <c r="B7788" s="1" t="str">
        <f ca="1">IFERROR(__xludf.DUMMYFUNCTION("GOOGLETRANSLATE(A7788, ""en"", ""fr"")"),"Pole n ° 2")</f>
        <v>Pole n ° 2</v>
      </c>
      <c r="C7788" s="1" t="s">
        <v>185</v>
      </c>
      <c r="CP7788" s="1" t="s">
        <v>90</v>
      </c>
      <c r="CQ7788" s="1" t="s">
        <v>91</v>
      </c>
      <c r="DA7788" s="1" t="s">
        <v>101</v>
      </c>
      <c r="GD7788" s="1" t="s">
        <v>193</v>
      </c>
      <c r="GE7788" s="1" t="s">
        <v>10970</v>
      </c>
    </row>
    <row r="7789" spans="1:187" ht="11.25" customHeight="1">
      <c r="A7789" s="1" t="s">
        <v>10971</v>
      </c>
      <c r="B7789" s="1" t="str">
        <f ca="1">IFERROR(__xludf.DUMMYFUNCTION("GOOGLETRANSLATE(A7789, ""en"", ""fr"")"),"POLICE")</f>
        <v>POLICE</v>
      </c>
      <c r="C7789" s="1" t="s">
        <v>185</v>
      </c>
      <c r="J7789" s="1" t="s">
        <v>6</v>
      </c>
      <c r="K7789" s="1" t="s">
        <v>7</v>
      </c>
      <c r="AE7789" s="1" t="s">
        <v>27</v>
      </c>
      <c r="AH7789" s="1" t="s">
        <v>30</v>
      </c>
      <c r="AK7789" s="1" t="s">
        <v>33</v>
      </c>
      <c r="AT7789" s="1" t="s">
        <v>42</v>
      </c>
      <c r="DY7789" s="1" t="s">
        <v>125</v>
      </c>
      <c r="ED7789" s="1" t="s">
        <v>130</v>
      </c>
      <c r="GD7789" s="1" t="s">
        <v>193</v>
      </c>
      <c r="GE7789" s="1" t="s">
        <v>10972</v>
      </c>
    </row>
    <row r="7790" spans="1:187" ht="11.25" customHeight="1">
      <c r="A7790" s="1" t="s">
        <v>10973</v>
      </c>
      <c r="B7790" s="1" t="str">
        <f ca="1">IFERROR(__xludf.DUMMYFUNCTION("GOOGLETRANSLATE(A7790, ""en"", ""fr"")"),"POLICIER")</f>
        <v>POLICIER</v>
      </c>
      <c r="C7790" s="1" t="s">
        <v>185</v>
      </c>
      <c r="J7790" s="1" t="s">
        <v>6</v>
      </c>
      <c r="K7790" s="1" t="s">
        <v>7</v>
      </c>
      <c r="AE7790" s="1" t="s">
        <v>27</v>
      </c>
      <c r="AH7790" s="1" t="s">
        <v>30</v>
      </c>
      <c r="AJ7790" s="1" t="s">
        <v>32</v>
      </c>
      <c r="AQ7790" s="1" t="s">
        <v>39</v>
      </c>
      <c r="AT7790" s="1" t="s">
        <v>42</v>
      </c>
      <c r="DY7790" s="1" t="s">
        <v>125</v>
      </c>
      <c r="ED7790" s="1" t="s">
        <v>130</v>
      </c>
      <c r="GD7790" s="1" t="s">
        <v>193</v>
      </c>
      <c r="GE7790" s="1" t="s">
        <v>190</v>
      </c>
    </row>
    <row r="7791" spans="1:187" ht="11.25" customHeight="1">
      <c r="A7791" s="1" t="s">
        <v>10974</v>
      </c>
      <c r="B7791" s="1" t="str">
        <f ca="1">IFERROR(__xludf.DUMMYFUNCTION("GOOGLETRANSLATE(A7791, ""en"", ""fr"")"),"Policiers")</f>
        <v>Policiers</v>
      </c>
      <c r="C7791" s="1" t="s">
        <v>185</v>
      </c>
      <c r="J7791" s="1" t="s">
        <v>6</v>
      </c>
      <c r="K7791" s="1" t="s">
        <v>7</v>
      </c>
      <c r="AE7791" s="1" t="s">
        <v>27</v>
      </c>
      <c r="AH7791" s="1" t="s">
        <v>30</v>
      </c>
      <c r="AJ7791" s="1" t="s">
        <v>32</v>
      </c>
      <c r="AQ7791" s="1" t="s">
        <v>39</v>
      </c>
      <c r="AT7791" s="1" t="s">
        <v>42</v>
      </c>
      <c r="DY7791" s="1" t="s">
        <v>125</v>
      </c>
      <c r="ED7791" s="1" t="s">
        <v>130</v>
      </c>
      <c r="GD7791" s="1" t="s">
        <v>576</v>
      </c>
      <c r="GE7791" s="1" t="s">
        <v>190</v>
      </c>
    </row>
    <row r="7792" spans="1:187" ht="11.25" customHeight="1">
      <c r="A7792" s="1" t="s">
        <v>10975</v>
      </c>
      <c r="B7792" s="1" t="str">
        <f ca="1">IFERROR(__xludf.DUMMYFUNCTION("GOOGLETRANSLATE(A7792, ""en"", ""fr"")"),"POLITIQUE")</f>
        <v>POLITIQUE</v>
      </c>
      <c r="C7792" s="1" t="s">
        <v>185</v>
      </c>
      <c r="J7792" s="1" t="s">
        <v>6</v>
      </c>
      <c r="Z7792" s="1" t="s">
        <v>22</v>
      </c>
      <c r="AC7792" s="1" t="s">
        <v>25</v>
      </c>
      <c r="AH7792" s="1" t="s">
        <v>30</v>
      </c>
      <c r="DU7792" s="1" t="s">
        <v>121</v>
      </c>
      <c r="ED7792" s="1" t="s">
        <v>130</v>
      </c>
      <c r="GD7792" s="1" t="s">
        <v>193</v>
      </c>
      <c r="GE7792" s="1" t="s">
        <v>10976</v>
      </c>
    </row>
    <row r="7793" spans="1:187" ht="11.25" customHeight="1">
      <c r="A7793" s="1" t="s">
        <v>10977</v>
      </c>
      <c r="B7793" s="1" t="str">
        <f ca="1">IFERROR(__xludf.DUMMYFUNCTION("GOOGLETRANSLATE(A7793, ""en"", ""fr"")"),"POLONAIS")</f>
        <v>POLONAIS</v>
      </c>
      <c r="C7793" s="1" t="s">
        <v>192</v>
      </c>
      <c r="D7793" s="1" t="s">
        <v>16612</v>
      </c>
      <c r="N7793" s="1" t="s">
        <v>10</v>
      </c>
      <c r="AL7793" s="1" t="s">
        <v>34</v>
      </c>
      <c r="BP7793" s="1" t="s">
        <v>64</v>
      </c>
      <c r="DN7793" s="1" t="s">
        <v>114</v>
      </c>
      <c r="GD7793" s="1" t="s">
        <v>189</v>
      </c>
      <c r="GE7793" s="1" t="s">
        <v>190</v>
      </c>
    </row>
    <row r="7794" spans="1:187" ht="11.25" customHeight="1">
      <c r="A7794" s="1" t="s">
        <v>10978</v>
      </c>
      <c r="B7794" s="1" t="str">
        <f ca="1">IFERROR(__xludf.DUMMYFUNCTION("GOOGLETRANSLATE(A7794, ""en"", ""fr"")"),"POLI")</f>
        <v>POLI</v>
      </c>
      <c r="C7794" s="1" t="s">
        <v>185</v>
      </c>
      <c r="D7794" s="1" t="s">
        <v>16612</v>
      </c>
      <c r="F7794" s="1" t="s">
        <v>2</v>
      </c>
      <c r="G7794" s="1" t="s">
        <v>3</v>
      </c>
      <c r="L7794" s="1" t="s">
        <v>8</v>
      </c>
      <c r="U7794" s="1" t="s">
        <v>17</v>
      </c>
      <c r="EM7794" s="1" t="s">
        <v>139</v>
      </c>
      <c r="EN7794" s="1" t="s">
        <v>140</v>
      </c>
      <c r="GC7794" s="1" t="s">
        <v>181</v>
      </c>
      <c r="GD7794" s="1" t="s">
        <v>202</v>
      </c>
      <c r="GE7794" s="1" t="s">
        <v>190</v>
      </c>
    </row>
    <row r="7795" spans="1:187" ht="11.25" customHeight="1">
      <c r="A7795" s="1" t="s">
        <v>10979</v>
      </c>
      <c r="B7795" s="1" t="str">
        <f ca="1">IFERROR(__xludf.DUMMYFUNCTION("GOOGLETRANSLATE(A7795, ""en"", ""fr"")"),"POLITESSE")</f>
        <v>POLITESSE</v>
      </c>
      <c r="C7795" s="1" t="s">
        <v>192</v>
      </c>
      <c r="D7795" s="1" t="s">
        <v>16612</v>
      </c>
      <c r="U7795" s="1" t="s">
        <v>17</v>
      </c>
      <c r="CJ7795" s="1" t="s">
        <v>84</v>
      </c>
      <c r="GD7795" s="1" t="s">
        <v>193</v>
      </c>
      <c r="GE7795" s="1" t="s">
        <v>190</v>
      </c>
    </row>
    <row r="7796" spans="1:187" ht="11.25" customHeight="1">
      <c r="A7796" s="1" t="s">
        <v>10980</v>
      </c>
      <c r="B7796" s="1" t="str">
        <f ca="1">IFERROR(__xludf.DUMMYFUNCTION("GOOGLETRANSLATE(A7796, ""en"", ""fr"")"),"POLITIQUE")</f>
        <v>POLITIQUE</v>
      </c>
      <c r="C7796" s="1" t="s">
        <v>185</v>
      </c>
      <c r="Z7796" s="1" t="s">
        <v>22</v>
      </c>
      <c r="AG7796" s="1" t="s">
        <v>29</v>
      </c>
      <c r="AH7796" s="1" t="s">
        <v>30</v>
      </c>
      <c r="EC7796" s="1" t="s">
        <v>129</v>
      </c>
      <c r="ED7796" s="1" t="s">
        <v>130</v>
      </c>
      <c r="GD7796" s="1" t="s">
        <v>202</v>
      </c>
      <c r="GE7796" s="1" t="s">
        <v>10981</v>
      </c>
    </row>
    <row r="7797" spans="1:187" ht="11.25" customHeight="1">
      <c r="A7797" s="1" t="s">
        <v>10982</v>
      </c>
      <c r="B7797" s="1" t="str">
        <f ca="1">IFERROR(__xludf.DUMMYFUNCTION("GOOGLETRANSLATE(A7797, ""en"", ""fr"")"),"POLITICIEN")</f>
        <v>POLITICIEN</v>
      </c>
      <c r="C7797" s="1" t="s">
        <v>185</v>
      </c>
      <c r="J7797" s="1" t="s">
        <v>6</v>
      </c>
      <c r="K7797" s="1" t="s">
        <v>7</v>
      </c>
      <c r="AG7797" s="1" t="s">
        <v>29</v>
      </c>
      <c r="AH7797" s="1" t="s">
        <v>30</v>
      </c>
      <c r="AJ7797" s="1" t="s">
        <v>32</v>
      </c>
      <c r="AT7797" s="1" t="s">
        <v>42</v>
      </c>
      <c r="DY7797" s="1" t="s">
        <v>125</v>
      </c>
      <c r="ED7797" s="1" t="s">
        <v>130</v>
      </c>
      <c r="GD7797" s="1" t="s">
        <v>193</v>
      </c>
      <c r="GE7797" s="1" t="s">
        <v>10983</v>
      </c>
    </row>
    <row r="7798" spans="1:187" ht="11.25" customHeight="1">
      <c r="A7798" s="1" t="s">
        <v>10984</v>
      </c>
      <c r="B7798" s="1" t="str">
        <f ca="1">IFERROR(__xludf.DUMMYFUNCTION("GOOGLETRANSLATE(A7798, ""en"", ""fr"")"),"POLITIQUE")</f>
        <v>POLITIQUE</v>
      </c>
      <c r="C7798" s="1" t="s">
        <v>185</v>
      </c>
      <c r="Z7798" s="1" t="s">
        <v>22</v>
      </c>
      <c r="AG7798" s="1" t="s">
        <v>29</v>
      </c>
      <c r="AH7798" s="1" t="s">
        <v>30</v>
      </c>
      <c r="DU7798" s="1" t="s">
        <v>121</v>
      </c>
      <c r="ED7798" s="1" t="s">
        <v>130</v>
      </c>
      <c r="GD7798" s="1" t="s">
        <v>193</v>
      </c>
      <c r="GE7798" s="1" t="s">
        <v>10985</v>
      </c>
    </row>
    <row r="7799" spans="1:187" ht="11.25" customHeight="1">
      <c r="A7799" s="1" t="s">
        <v>10986</v>
      </c>
      <c r="B7799" s="1" t="str">
        <f ca="1">IFERROR(__xludf.DUMMYFUNCTION("GOOGLETRANSLATE(A7799, ""en"", ""fr"")"),"SONDAGE")</f>
        <v>SONDAGE</v>
      </c>
      <c r="C7799" s="1" t="s">
        <v>185</v>
      </c>
      <c r="AG7799" s="1" t="s">
        <v>29</v>
      </c>
      <c r="AH7799" s="1" t="s">
        <v>30</v>
      </c>
      <c r="AM7799" s="1" t="s">
        <v>35</v>
      </c>
      <c r="BL7799" s="1" t="s">
        <v>60</v>
      </c>
      <c r="GD7799" s="1" t="s">
        <v>193</v>
      </c>
      <c r="GE7799" s="1" t="s">
        <v>190</v>
      </c>
    </row>
    <row r="7800" spans="1:187" ht="11.25" customHeight="1">
      <c r="A7800" s="1" t="s">
        <v>10987</v>
      </c>
      <c r="B7800" s="1" t="str">
        <f ca="1">IFERROR(__xludf.DUMMYFUNCTION("GOOGLETRANSLATE(A7800, ""en"", ""fr"")"),"POLLUER")</f>
        <v>POLLUER</v>
      </c>
      <c r="C7800" s="1" t="s">
        <v>192</v>
      </c>
      <c r="E7800" s="1" t="s">
        <v>16613</v>
      </c>
      <c r="I7800" s="1" t="s">
        <v>5</v>
      </c>
      <c r="N7800" s="1" t="s">
        <v>10</v>
      </c>
      <c r="AE7800" s="1" t="s">
        <v>27</v>
      </c>
      <c r="DN7800" s="1" t="s">
        <v>114</v>
      </c>
      <c r="GD7800" s="1" t="s">
        <v>189</v>
      </c>
      <c r="GE7800" s="1" t="s">
        <v>190</v>
      </c>
    </row>
    <row r="7801" spans="1:187" ht="11.25" customHeight="1">
      <c r="A7801" s="1" t="s">
        <v>10988</v>
      </c>
      <c r="B7801" s="1" t="str">
        <f ca="1">IFERROR(__xludf.DUMMYFUNCTION("GOOGLETRANSLATE(A7801, ""en"", ""fr"")"),"POLLUTION")</f>
        <v>POLLUTION</v>
      </c>
      <c r="C7801" s="1" t="s">
        <v>185</v>
      </c>
      <c r="E7801" s="1" t="s">
        <v>16613</v>
      </c>
      <c r="H7801" s="1" t="s">
        <v>4</v>
      </c>
      <c r="V7801" s="1" t="s">
        <v>18</v>
      </c>
      <c r="AC7801" s="1" t="s">
        <v>25</v>
      </c>
      <c r="AH7801" s="1" t="s">
        <v>30</v>
      </c>
      <c r="GD7801" s="1" t="s">
        <v>193</v>
      </c>
      <c r="GE7801" s="1" t="s">
        <v>190</v>
      </c>
    </row>
    <row r="7802" spans="1:187" ht="11.25" customHeight="1">
      <c r="A7802" s="1" t="s">
        <v>10989</v>
      </c>
      <c r="B7802" s="1" t="str">
        <f ca="1">IFERROR(__xludf.DUMMYFUNCTION("GOOGLETRANSLATE(A7802, ""en"", ""fr"")"),"POMPE")</f>
        <v>POMPE</v>
      </c>
      <c r="C7802" s="1" t="s">
        <v>192</v>
      </c>
      <c r="D7802" s="1" t="s">
        <v>16612</v>
      </c>
      <c r="AM7802" s="1" t="s">
        <v>35</v>
      </c>
      <c r="GD7802" s="1" t="s">
        <v>193</v>
      </c>
      <c r="GE7802" s="1" t="s">
        <v>190</v>
      </c>
    </row>
    <row r="7803" spans="1:187" ht="11.25" customHeight="1">
      <c r="A7803" s="1" t="s">
        <v>10990</v>
      </c>
      <c r="B7803" s="1" t="str">
        <f ca="1">IFERROR(__xludf.DUMMYFUNCTION("GOOGLETRANSLATE(A7803, ""en"", ""fr"")"),"POMPEUX")</f>
        <v>POMPEUX</v>
      </c>
      <c r="C7803" s="1" t="s">
        <v>192</v>
      </c>
      <c r="E7803" s="1" t="s">
        <v>16613</v>
      </c>
      <c r="K7803" s="1" t="s">
        <v>7</v>
      </c>
      <c r="DR7803" s="1" t="s">
        <v>118</v>
      </c>
      <c r="GD7803" s="1" t="s">
        <v>202</v>
      </c>
      <c r="GE7803" s="1" t="s">
        <v>190</v>
      </c>
    </row>
    <row r="7804" spans="1:187" ht="11.25" customHeight="1">
      <c r="A7804" s="1" t="s">
        <v>10991</v>
      </c>
      <c r="B7804" s="1" t="str">
        <f ca="1">IFERROR(__xludf.DUMMYFUNCTION("GOOGLETRANSLATE(A7804, ""en"", ""fr"")"),"ÉTANG")</f>
        <v>ÉTANG</v>
      </c>
      <c r="C7804" s="1" t="s">
        <v>196</v>
      </c>
      <c r="GD7804" s="1" t="s">
        <v>193</v>
      </c>
    </row>
    <row r="7805" spans="1:187" ht="11.25" customHeight="1">
      <c r="A7805" s="1" t="s">
        <v>10992</v>
      </c>
      <c r="B7805" s="1" t="str">
        <f ca="1">IFERROR(__xludf.DUMMYFUNCTION("GOOGLETRANSLATE(A7805, ""en"", ""fr"")"),"RÉFLECHIR")</f>
        <v>RÉFLECHIR</v>
      </c>
      <c r="C7805" s="1" t="s">
        <v>185</v>
      </c>
      <c r="O7805" s="1" t="s">
        <v>11</v>
      </c>
      <c r="CO7805" s="1" t="s">
        <v>89</v>
      </c>
      <c r="DN7805" s="1" t="s">
        <v>114</v>
      </c>
      <c r="FD7805" s="1" t="s">
        <v>156</v>
      </c>
      <c r="FI7805" s="1" t="s">
        <v>161</v>
      </c>
      <c r="GD7805" s="1" t="s">
        <v>189</v>
      </c>
      <c r="GE7805" s="1" t="s">
        <v>190</v>
      </c>
    </row>
    <row r="7806" spans="1:187" ht="11.25" customHeight="1">
      <c r="A7806" s="1" t="s">
        <v>10993</v>
      </c>
      <c r="B7806" s="1" t="str">
        <f ca="1">IFERROR(__xludf.DUMMYFUNCTION("GOOGLETRANSLATE(A7806, ""en"", ""fr"")"),"PONEY")</f>
        <v>PONEY</v>
      </c>
      <c r="C7806" s="1" t="s">
        <v>185</v>
      </c>
      <c r="AU7806" s="1" t="s">
        <v>43</v>
      </c>
      <c r="GD7806" s="1" t="s">
        <v>193</v>
      </c>
      <c r="GE7806" s="1" t="s">
        <v>190</v>
      </c>
    </row>
    <row r="7807" spans="1:187" ht="11.25" customHeight="1">
      <c r="A7807" s="1" t="s">
        <v>10994</v>
      </c>
      <c r="B7807" s="1" t="str">
        <f ca="1">IFERROR(__xludf.DUMMYFUNCTION("GOOGLETRANSLATE(A7807, ""en"", ""fr"")"),"Piscine n ° 1")</f>
        <v>Piscine n ° 1</v>
      </c>
      <c r="C7807" s="1" t="s">
        <v>185</v>
      </c>
      <c r="AD7807" s="1" t="s">
        <v>26</v>
      </c>
      <c r="AV7807" s="1" t="s">
        <v>44</v>
      </c>
      <c r="AZ7807" s="1" t="s">
        <v>48</v>
      </c>
      <c r="GD7807" s="1" t="s">
        <v>193</v>
      </c>
      <c r="GE7807" s="1" t="s">
        <v>190</v>
      </c>
    </row>
    <row r="7808" spans="1:187" ht="11.25" customHeight="1">
      <c r="A7808" s="1" t="s">
        <v>10995</v>
      </c>
      <c r="B7808" s="1" t="str">
        <f ca="1">IFERROR(__xludf.DUMMYFUNCTION("GOOGLETRANSLATE(A7808, ""en"", ""fr"")"),"Piscine n ° 2")</f>
        <v>Piscine n ° 2</v>
      </c>
      <c r="C7808" s="1" t="s">
        <v>185</v>
      </c>
      <c r="G7808" s="1" t="s">
        <v>3</v>
      </c>
      <c r="DD7808" s="1" t="s">
        <v>104</v>
      </c>
      <c r="DN7808" s="1" t="s">
        <v>114</v>
      </c>
      <c r="FP7808" s="1" t="s">
        <v>168</v>
      </c>
      <c r="GD7808" s="1" t="s">
        <v>189</v>
      </c>
      <c r="GE7808" s="1" t="s">
        <v>190</v>
      </c>
    </row>
    <row r="7809" spans="1:187" ht="11.25" customHeight="1">
      <c r="A7809" s="1" t="s">
        <v>10996</v>
      </c>
      <c r="B7809" s="1" t="str">
        <f ca="1">IFERROR(__xludf.DUMMYFUNCTION("GOOGLETRANSLATE(A7809, ""en"", ""fr"")"),"Pauvre # 1")</f>
        <v>Pauvre # 1</v>
      </c>
      <c r="C7809" s="1" t="s">
        <v>185</v>
      </c>
      <c r="E7809" s="1" t="s">
        <v>16613</v>
      </c>
      <c r="H7809" s="1" t="s">
        <v>4</v>
      </c>
      <c r="L7809" s="1" t="s">
        <v>8</v>
      </c>
      <c r="O7809" s="1" t="s">
        <v>11</v>
      </c>
      <c r="V7809" s="1" t="s">
        <v>18</v>
      </c>
      <c r="AC7809" s="1" t="s">
        <v>25</v>
      </c>
      <c r="CN7809" s="1" t="s">
        <v>88</v>
      </c>
      <c r="FW7809" s="1" t="s">
        <v>175</v>
      </c>
      <c r="GD7809" s="1" t="s">
        <v>202</v>
      </c>
      <c r="GE7809" s="1" t="s">
        <v>10997</v>
      </c>
    </row>
    <row r="7810" spans="1:187" ht="11.25" customHeight="1">
      <c r="A7810" s="1" t="s">
        <v>10998</v>
      </c>
      <c r="B7810" s="1" t="str">
        <f ca="1">IFERROR(__xludf.DUMMYFUNCTION("GOOGLETRANSLATE(A7810, ""en"", ""fr"")"),"Pauvre # 2")</f>
        <v>Pauvre # 2</v>
      </c>
      <c r="C7810" s="1" t="s">
        <v>185</v>
      </c>
      <c r="E7810" s="1" t="s">
        <v>16613</v>
      </c>
      <c r="H7810" s="1" t="s">
        <v>4</v>
      </c>
      <c r="L7810" s="1" t="s">
        <v>8</v>
      </c>
      <c r="O7810" s="1" t="s">
        <v>11</v>
      </c>
      <c r="V7810" s="1" t="s">
        <v>18</v>
      </c>
      <c r="AA7810" s="1" t="s">
        <v>23</v>
      </c>
      <c r="EV7810" s="1" t="s">
        <v>148</v>
      </c>
      <c r="EW7810" s="1" t="s">
        <v>149</v>
      </c>
      <c r="GD7810" s="1" t="s">
        <v>202</v>
      </c>
      <c r="GE7810" s="1" t="s">
        <v>10999</v>
      </c>
    </row>
    <row r="7811" spans="1:187" ht="11.25" customHeight="1">
      <c r="A7811" s="1" t="s">
        <v>11000</v>
      </c>
      <c r="B7811" s="1" t="str">
        <f ca="1">IFERROR(__xludf.DUMMYFUNCTION("GOOGLETRANSLATE(A7811, ""en"", ""fr"")"),"Pauvre # 3")</f>
        <v>Pauvre # 3</v>
      </c>
      <c r="C7811" s="1" t="s">
        <v>185</v>
      </c>
      <c r="E7811" s="1" t="s">
        <v>16613</v>
      </c>
      <c r="H7811" s="1" t="s">
        <v>4</v>
      </c>
      <c r="L7811" s="1" t="s">
        <v>8</v>
      </c>
      <c r="O7811" s="1" t="s">
        <v>11</v>
      </c>
      <c r="V7811" s="1" t="s">
        <v>18</v>
      </c>
      <c r="AA7811" s="1" t="s">
        <v>23</v>
      </c>
      <c r="CN7811" s="1" t="s">
        <v>88</v>
      </c>
      <c r="FW7811" s="1" t="s">
        <v>175</v>
      </c>
      <c r="GD7811" s="1" t="s">
        <v>202</v>
      </c>
      <c r="GE7811" s="1" t="s">
        <v>11001</v>
      </c>
    </row>
    <row r="7812" spans="1:187" ht="11.25" customHeight="1">
      <c r="A7812" s="1" t="s">
        <v>11002</v>
      </c>
      <c r="B7812" s="1" t="str">
        <f ca="1">IFERROR(__xludf.DUMMYFUNCTION("GOOGLETRANSLATE(A7812, ""en"", ""fr"")"),"Pauvre # 4")</f>
        <v>Pauvre # 4</v>
      </c>
      <c r="C7812" s="1" t="s">
        <v>185</v>
      </c>
      <c r="E7812" s="1" t="s">
        <v>16613</v>
      </c>
      <c r="H7812" s="1" t="s">
        <v>4</v>
      </c>
      <c r="L7812" s="1" t="s">
        <v>8</v>
      </c>
      <c r="O7812" s="1" t="s">
        <v>11</v>
      </c>
      <c r="V7812" s="1" t="s">
        <v>18</v>
      </c>
      <c r="AA7812" s="1" t="s">
        <v>23</v>
      </c>
      <c r="CN7812" s="1" t="s">
        <v>88</v>
      </c>
      <c r="FW7812" s="1" t="s">
        <v>175</v>
      </c>
      <c r="GD7812" s="1" t="s">
        <v>202</v>
      </c>
      <c r="GE7812" s="1" t="s">
        <v>11003</v>
      </c>
    </row>
    <row r="7813" spans="1:187" ht="11.25" customHeight="1">
      <c r="A7813" s="1" t="s">
        <v>11004</v>
      </c>
      <c r="B7813" s="1" t="str">
        <f ca="1">IFERROR(__xludf.DUMMYFUNCTION("GOOGLETRANSLATE(A7813, ""en"", ""fr"")"),"Pauvre # 5")</f>
        <v>Pauvre # 5</v>
      </c>
      <c r="C7813" s="1" t="s">
        <v>185</v>
      </c>
      <c r="E7813" s="1" t="s">
        <v>16613</v>
      </c>
      <c r="H7813" s="1" t="s">
        <v>4</v>
      </c>
      <c r="L7813" s="1" t="s">
        <v>8</v>
      </c>
      <c r="O7813" s="1" t="s">
        <v>11</v>
      </c>
      <c r="AC7813" s="1" t="s">
        <v>25</v>
      </c>
      <c r="AH7813" s="1" t="s">
        <v>30</v>
      </c>
      <c r="AK7813" s="1" t="s">
        <v>33</v>
      </c>
      <c r="AT7813" s="1" t="s">
        <v>42</v>
      </c>
      <c r="EV7813" s="1" t="s">
        <v>148</v>
      </c>
      <c r="EW7813" s="1" t="s">
        <v>149</v>
      </c>
      <c r="GD7813" s="1" t="s">
        <v>193</v>
      </c>
      <c r="GE7813" s="1" t="s">
        <v>11005</v>
      </c>
    </row>
    <row r="7814" spans="1:187" ht="11.25" customHeight="1">
      <c r="A7814" s="1" t="s">
        <v>11006</v>
      </c>
      <c r="B7814" s="1" t="str">
        <f ca="1">IFERROR(__xludf.DUMMYFUNCTION("GOOGLETRANSLATE(A7814, ""en"", ""fr"")"),"Pauvre # 6")</f>
        <v>Pauvre # 6</v>
      </c>
      <c r="C7814" s="1" t="s">
        <v>185</v>
      </c>
      <c r="E7814" s="1" t="s">
        <v>16613</v>
      </c>
      <c r="H7814" s="1" t="s">
        <v>4</v>
      </c>
      <c r="V7814" s="1" t="s">
        <v>18</v>
      </c>
      <c r="FW7814" s="1" t="s">
        <v>175</v>
      </c>
      <c r="GD7814" s="1" t="s">
        <v>236</v>
      </c>
      <c r="GE7814" s="1" t="s">
        <v>11007</v>
      </c>
    </row>
    <row r="7815" spans="1:187" ht="11.25" customHeight="1">
      <c r="A7815" s="1" t="s">
        <v>11008</v>
      </c>
      <c r="B7815" s="1" t="str">
        <f ca="1">IFERROR(__xludf.DUMMYFUNCTION("GOOGLETRANSLATE(A7815, ""en"", ""fr"")"),"LE PAPE")</f>
        <v>LE PAPE</v>
      </c>
      <c r="C7815" s="1" t="s">
        <v>185</v>
      </c>
      <c r="K7815" s="1" t="s">
        <v>7</v>
      </c>
      <c r="AC7815" s="1" t="s">
        <v>25</v>
      </c>
      <c r="AH7815" s="1" t="s">
        <v>30</v>
      </c>
      <c r="AI7815" s="1" t="s">
        <v>31</v>
      </c>
      <c r="AJ7815" s="1" t="s">
        <v>32</v>
      </c>
      <c r="AQ7815" s="1" t="s">
        <v>39</v>
      </c>
      <c r="AT7815" s="1" t="s">
        <v>42</v>
      </c>
      <c r="EF7815" s="1" t="s">
        <v>132</v>
      </c>
      <c r="EJ7815" s="1" t="s">
        <v>136</v>
      </c>
      <c r="GD7815" s="1" t="s">
        <v>193</v>
      </c>
      <c r="GE7815" s="1" t="s">
        <v>190</v>
      </c>
    </row>
    <row r="7816" spans="1:187" ht="11.25" customHeight="1">
      <c r="A7816" s="1" t="s">
        <v>11009</v>
      </c>
      <c r="B7816" s="1" t="str">
        <f ca="1">IFERROR(__xludf.DUMMYFUNCTION("GOOGLETRANSLATE(A7816, ""en"", ""fr"")"),"POPULAIRE")</f>
        <v>POPULAIRE</v>
      </c>
      <c r="C7816" s="1" t="s">
        <v>185</v>
      </c>
      <c r="D7816" s="1" t="s">
        <v>16612</v>
      </c>
      <c r="F7816" s="1" t="s">
        <v>2</v>
      </c>
      <c r="J7816" s="1" t="s">
        <v>6</v>
      </c>
      <c r="U7816" s="1" t="s">
        <v>17</v>
      </c>
      <c r="ER7816" s="1" t="s">
        <v>144</v>
      </c>
      <c r="ES7816" s="1" t="s">
        <v>145</v>
      </c>
      <c r="GD7816" s="1" t="s">
        <v>202</v>
      </c>
      <c r="GE7816" s="1" t="s">
        <v>190</v>
      </c>
    </row>
    <row r="7817" spans="1:187" ht="11.25" customHeight="1">
      <c r="A7817" s="1" t="s">
        <v>11010</v>
      </c>
      <c r="B7817" s="1" t="str">
        <f ca="1">IFERROR(__xludf.DUMMYFUNCTION("GOOGLETRANSLATE(A7817, ""en"", ""fr"")"),"POPULARITÉ")</f>
        <v>POPULARITÉ</v>
      </c>
      <c r="C7817" s="1" t="s">
        <v>192</v>
      </c>
      <c r="D7817" s="1" t="s">
        <v>16612</v>
      </c>
      <c r="G7817" s="1" t="s">
        <v>3</v>
      </c>
      <c r="U7817" s="1" t="s">
        <v>17</v>
      </c>
      <c r="AN7817" s="1" t="s">
        <v>36</v>
      </c>
      <c r="GD7817" s="1" t="s">
        <v>193</v>
      </c>
      <c r="GE7817" s="1" t="s">
        <v>190</v>
      </c>
    </row>
    <row r="7818" spans="1:187" ht="11.25" customHeight="1">
      <c r="A7818" s="1" t="s">
        <v>11011</v>
      </c>
      <c r="B7818" s="1" t="str">
        <f ca="1">IFERROR(__xludf.DUMMYFUNCTION("GOOGLETRANSLATE(A7818, ""en"", ""fr"")"),"PEUPLER")</f>
        <v>PEUPLER</v>
      </c>
      <c r="C7818" s="1" t="s">
        <v>185</v>
      </c>
      <c r="BU7818" s="1" t="s">
        <v>69</v>
      </c>
      <c r="DO7818" s="1" t="s">
        <v>115</v>
      </c>
      <c r="EV7818" s="1" t="s">
        <v>148</v>
      </c>
      <c r="EW7818" s="1" t="s">
        <v>149</v>
      </c>
      <c r="GD7818" s="1" t="s">
        <v>189</v>
      </c>
      <c r="GE7818" s="1" t="s">
        <v>190</v>
      </c>
    </row>
    <row r="7819" spans="1:187" ht="11.25" customHeight="1">
      <c r="A7819" s="1" t="s">
        <v>11012</v>
      </c>
      <c r="B7819" s="1" t="str">
        <f ca="1">IFERROR(__xludf.DUMMYFUNCTION("GOOGLETRANSLATE(A7819, ""en"", ""fr"")"),"POPULATION")</f>
        <v>POPULATION</v>
      </c>
      <c r="C7819" s="1" t="s">
        <v>185</v>
      </c>
      <c r="AH7819" s="1" t="s">
        <v>30</v>
      </c>
      <c r="AK7819" s="1" t="s">
        <v>33</v>
      </c>
      <c r="AT7819" s="1" t="s">
        <v>42</v>
      </c>
      <c r="EV7819" s="1" t="s">
        <v>148</v>
      </c>
      <c r="EW7819" s="1" t="s">
        <v>149</v>
      </c>
      <c r="GD7819" s="1" t="s">
        <v>193</v>
      </c>
      <c r="GE7819" s="1" t="s">
        <v>11013</v>
      </c>
    </row>
    <row r="7820" spans="1:187" ht="11.25" customHeight="1">
      <c r="A7820" s="1" t="s">
        <v>11014</v>
      </c>
      <c r="B7820" s="1" t="str">
        <f ca="1">IFERROR(__xludf.DUMMYFUNCTION("GOOGLETRANSLATE(A7820, ""en"", ""fr"")"),"Peuplé")</f>
        <v>Peuplé</v>
      </c>
      <c r="C7820" s="1" t="s">
        <v>192</v>
      </c>
      <c r="D7820" s="1" t="s">
        <v>16612</v>
      </c>
      <c r="AK7820" s="1" t="s">
        <v>33</v>
      </c>
      <c r="AT7820" s="1" t="s">
        <v>42</v>
      </c>
      <c r="GD7820" s="1" t="s">
        <v>193</v>
      </c>
      <c r="GE7820" s="1" t="s">
        <v>190</v>
      </c>
    </row>
    <row r="7821" spans="1:187" ht="11.25" customHeight="1">
      <c r="A7821" s="1" t="s">
        <v>11015</v>
      </c>
      <c r="B7821" s="1" t="str">
        <f ca="1">IFERROR(__xludf.DUMMYFUNCTION("GOOGLETRANSLATE(A7821, ""en"", ""fr"")"),"PORCHE")</f>
        <v>PORCHE</v>
      </c>
      <c r="C7821" s="1" t="s">
        <v>185</v>
      </c>
      <c r="BC7821" s="1" t="s">
        <v>51</v>
      </c>
      <c r="BG7821" s="1" t="s">
        <v>55</v>
      </c>
      <c r="GD7821" s="1" t="s">
        <v>193</v>
      </c>
      <c r="GE7821" s="1" t="s">
        <v>190</v>
      </c>
    </row>
    <row r="7822" spans="1:187" ht="11.25" customHeight="1">
      <c r="A7822" s="1" t="s">
        <v>11016</v>
      </c>
      <c r="B7822" s="1" t="str">
        <f ca="1">IFERROR(__xludf.DUMMYFUNCTION("GOOGLETRANSLATE(A7822, ""en"", ""fr"")"),"PORT")</f>
        <v>PORT</v>
      </c>
      <c r="C7822" s="1" t="s">
        <v>185</v>
      </c>
      <c r="AA7822" s="1" t="s">
        <v>23</v>
      </c>
      <c r="AC7822" s="1" t="s">
        <v>25</v>
      </c>
      <c r="AV7822" s="1" t="s">
        <v>44</v>
      </c>
      <c r="BA7822" s="1" t="s">
        <v>49</v>
      </c>
      <c r="EV7822" s="1" t="s">
        <v>148</v>
      </c>
      <c r="EW7822" s="1" t="s">
        <v>149</v>
      </c>
      <c r="GD7822" s="1" t="s">
        <v>193</v>
      </c>
      <c r="GE7822" s="1" t="s">
        <v>190</v>
      </c>
    </row>
    <row r="7823" spans="1:187" ht="11.25" customHeight="1">
      <c r="A7823" s="1" t="s">
        <v>11017</v>
      </c>
      <c r="B7823" s="1" t="str">
        <f ca="1">IFERROR(__xludf.DUMMYFUNCTION("GOOGLETRANSLATE(A7823, ""en"", ""fr"")"),"PORTABLE")</f>
        <v>PORTABLE</v>
      </c>
      <c r="C7823" s="1" t="s">
        <v>192</v>
      </c>
      <c r="D7823" s="1" t="s">
        <v>16612</v>
      </c>
      <c r="CD7823" s="1" t="s">
        <v>78</v>
      </c>
      <c r="CR7823" s="1" t="s">
        <v>92</v>
      </c>
      <c r="DR7823" s="1" t="s">
        <v>118</v>
      </c>
      <c r="GD7823" s="1" t="s">
        <v>202</v>
      </c>
      <c r="GE7823" s="1" t="s">
        <v>190</v>
      </c>
    </row>
    <row r="7824" spans="1:187" ht="11.25" customHeight="1">
      <c r="A7824" s="1" t="s">
        <v>11018</v>
      </c>
      <c r="B7824" s="1" t="str">
        <f ca="1">IFERROR(__xludf.DUMMYFUNCTION("GOOGLETRANSLATE(A7824, ""en"", ""fr"")"),"PORTER")</f>
        <v>PORTER</v>
      </c>
      <c r="C7824" s="1" t="s">
        <v>185</v>
      </c>
      <c r="M7824" s="1" t="s">
        <v>9</v>
      </c>
      <c r="AA7824" s="1" t="s">
        <v>23</v>
      </c>
      <c r="AJ7824" s="1" t="s">
        <v>32</v>
      </c>
      <c r="AT7824" s="1" t="s">
        <v>42</v>
      </c>
      <c r="FT7824" s="1" t="s">
        <v>172</v>
      </c>
      <c r="GD7824" s="1" t="s">
        <v>193</v>
      </c>
      <c r="GE7824" s="1" t="s">
        <v>190</v>
      </c>
    </row>
    <row r="7825" spans="1:187" ht="11.25" customHeight="1">
      <c r="A7825" s="1" t="s">
        <v>11019</v>
      </c>
      <c r="B7825" s="1" t="str">
        <f ca="1">IFERROR(__xludf.DUMMYFUNCTION("GOOGLETRANSLATE(A7825, ""en"", ""fr"")"),"PORTION")</f>
        <v>PORTION</v>
      </c>
      <c r="C7825" s="1" t="s">
        <v>185</v>
      </c>
      <c r="CS7825" s="1" t="s">
        <v>93</v>
      </c>
      <c r="GD7825" s="1" t="s">
        <v>193</v>
      </c>
      <c r="GE7825" s="1" t="s">
        <v>190</v>
      </c>
    </row>
    <row r="7826" spans="1:187" ht="11.25" customHeight="1">
      <c r="A7826" s="1" t="s">
        <v>11020</v>
      </c>
      <c r="B7826" s="1" t="str">
        <f ca="1">IFERROR(__xludf.DUMMYFUNCTION("GOOGLETRANSLATE(A7826, ""en"", ""fr"")"),"PORTRAIT")</f>
        <v>PORTRAIT</v>
      </c>
      <c r="C7826" s="1" t="s">
        <v>185</v>
      </c>
      <c r="AD7826" s="1" t="s">
        <v>26</v>
      </c>
      <c r="BC7826" s="1" t="s">
        <v>51</v>
      </c>
      <c r="BH7826" s="1" t="s">
        <v>56</v>
      </c>
      <c r="BL7826" s="1" t="s">
        <v>60</v>
      </c>
      <c r="GD7826" s="1" t="s">
        <v>193</v>
      </c>
      <c r="GE7826" s="1" t="s">
        <v>190</v>
      </c>
    </row>
    <row r="7827" spans="1:187" ht="11.25" customHeight="1">
      <c r="A7827" s="1" t="s">
        <v>11021</v>
      </c>
      <c r="B7827" s="1" t="str">
        <f ca="1">IFERROR(__xludf.DUMMYFUNCTION("GOOGLETRANSLATE(A7827, ""en"", ""fr"")"),"LE PORTUGAL")</f>
        <v>LE PORTUGAL</v>
      </c>
      <c r="C7827" s="1" t="s">
        <v>196</v>
      </c>
      <c r="FU7827" s="1" t="s">
        <v>173</v>
      </c>
      <c r="GD7827" s="1" t="s">
        <v>666</v>
      </c>
    </row>
    <row r="7828" spans="1:187" ht="11.25" customHeight="1">
      <c r="A7828" s="1" t="s">
        <v>11022</v>
      </c>
      <c r="B7828" s="1" t="str">
        <f ca="1">IFERROR(__xludf.DUMMYFUNCTION("GOOGLETRANSLATE(A7828, ""en"", ""fr"")"),"PORTUGAIS")</f>
        <v>PORTUGAIS</v>
      </c>
      <c r="C7828" s="1" t="s">
        <v>196</v>
      </c>
      <c r="FU7828" s="1" t="s">
        <v>173</v>
      </c>
      <c r="GD7828" s="1" t="s">
        <v>11023</v>
      </c>
    </row>
    <row r="7829" spans="1:187" ht="11.25" customHeight="1">
      <c r="A7829" s="1" t="s">
        <v>11024</v>
      </c>
      <c r="B7829" s="1" t="str">
        <f ca="1">IFERROR(__xludf.DUMMYFUNCTION("GOOGLETRANSLATE(A7829, ""en"", ""fr"")"),"Pose # 1")</f>
        <v>Pose # 1</v>
      </c>
      <c r="C7829" s="1" t="s">
        <v>185</v>
      </c>
      <c r="O7829" s="1" t="s">
        <v>11</v>
      </c>
      <c r="BK7829" s="1" t="s">
        <v>59</v>
      </c>
      <c r="GD7829" s="1" t="s">
        <v>193</v>
      </c>
      <c r="GE7829" s="1" t="s">
        <v>190</v>
      </c>
    </row>
    <row r="7830" spans="1:187" ht="11.25" customHeight="1">
      <c r="A7830" s="1" t="s">
        <v>11025</v>
      </c>
      <c r="B7830" s="1" t="str">
        <f ca="1">IFERROR(__xludf.DUMMYFUNCTION("GOOGLETRANSLATE(A7830, ""en"", ""fr"")"),"Pose # 2")</f>
        <v>Pose # 2</v>
      </c>
      <c r="C7830" s="1" t="s">
        <v>185</v>
      </c>
      <c r="O7830" s="1" t="s">
        <v>11</v>
      </c>
      <c r="CA7830" s="1" t="s">
        <v>75</v>
      </c>
      <c r="DN7830" s="1" t="s">
        <v>114</v>
      </c>
      <c r="GD7830" s="1" t="s">
        <v>189</v>
      </c>
      <c r="GE7830" s="1" t="s">
        <v>190</v>
      </c>
    </row>
    <row r="7831" spans="1:187" ht="11.25" customHeight="1">
      <c r="A7831" s="1" t="s">
        <v>11026</v>
      </c>
      <c r="B7831" s="1" t="str">
        <f ca="1">IFERROR(__xludf.DUMMYFUNCTION("GOOGLETRANSLATE(A7831, ""en"", ""fr"")"),"Position n ° 1")</f>
        <v>Position n ° 1</v>
      </c>
      <c r="C7831" s="1" t="s">
        <v>185</v>
      </c>
      <c r="AJ7831" s="1" t="s">
        <v>32</v>
      </c>
      <c r="AT7831" s="1" t="s">
        <v>42</v>
      </c>
      <c r="EC7831" s="1" t="s">
        <v>129</v>
      </c>
      <c r="ED7831" s="1" t="s">
        <v>130</v>
      </c>
      <c r="GD7831" s="1" t="s">
        <v>849</v>
      </c>
      <c r="GE7831" s="1" t="s">
        <v>11027</v>
      </c>
    </row>
    <row r="7832" spans="1:187" ht="11.25" customHeight="1">
      <c r="A7832" s="1" t="s">
        <v>11028</v>
      </c>
      <c r="B7832" s="1" t="str">
        <f ca="1">IFERROR(__xludf.DUMMYFUNCTION("GOOGLETRANSLATE(A7832, ""en"", ""fr"")"),"Position n ° 2")</f>
        <v>Position n ° 2</v>
      </c>
      <c r="C7832" s="1" t="s">
        <v>185</v>
      </c>
      <c r="DA7832" s="1" t="s">
        <v>101</v>
      </c>
      <c r="EC7832" s="1" t="s">
        <v>129</v>
      </c>
      <c r="ED7832" s="1" t="s">
        <v>130</v>
      </c>
      <c r="GD7832" s="1" t="s">
        <v>193</v>
      </c>
      <c r="GE7832" s="1" t="s">
        <v>11029</v>
      </c>
    </row>
    <row r="7833" spans="1:187" ht="11.25" customHeight="1">
      <c r="A7833" s="1" t="s">
        <v>11030</v>
      </c>
      <c r="B7833" s="1" t="str">
        <f ca="1">IFERROR(__xludf.DUMMYFUNCTION("GOOGLETRANSLATE(A7833, ""en"", ""fr"")"),"POSITIF")</f>
        <v>POSITIF</v>
      </c>
      <c r="C7833" s="1" t="s">
        <v>185</v>
      </c>
      <c r="D7833" s="1" t="s">
        <v>16612</v>
      </c>
      <c r="F7833" s="1" t="s">
        <v>2</v>
      </c>
      <c r="U7833" s="1" t="s">
        <v>17</v>
      </c>
      <c r="W7833" s="1" t="s">
        <v>19</v>
      </c>
      <c r="FY7833" s="1" t="s">
        <v>177</v>
      </c>
      <c r="GD7833" s="1" t="s">
        <v>202</v>
      </c>
      <c r="GE7833" s="1" t="s">
        <v>190</v>
      </c>
    </row>
    <row r="7834" spans="1:187" ht="11.25" customHeight="1">
      <c r="A7834" s="1" t="s">
        <v>11031</v>
      </c>
      <c r="B7834" s="1" t="str">
        <f ca="1">IFERROR(__xludf.DUMMYFUNCTION("GOOGLETRANSLATE(A7834, ""en"", ""fr"")"),"POSITIVITÉ")</f>
        <v>POSITIVITÉ</v>
      </c>
      <c r="C7834" s="1" t="s">
        <v>192</v>
      </c>
      <c r="D7834" s="1" t="s">
        <v>16612</v>
      </c>
      <c r="R7834" s="1" t="s">
        <v>14</v>
      </c>
      <c r="S7834" s="1" t="s">
        <v>15</v>
      </c>
      <c r="Z7834" s="1" t="s">
        <v>22</v>
      </c>
      <c r="GD7834" s="1" t="s">
        <v>193</v>
      </c>
      <c r="GE7834" s="1" t="s">
        <v>190</v>
      </c>
    </row>
    <row r="7835" spans="1:187" ht="11.25" customHeight="1">
      <c r="A7835" s="1" t="s">
        <v>11032</v>
      </c>
      <c r="B7835" s="1" t="str">
        <f ca="1">IFERROR(__xludf.DUMMYFUNCTION("GOOGLETRANSLATE(A7835, ""en"", ""fr"")"),"Positivité")</f>
        <v>Positivité</v>
      </c>
      <c r="C7835" s="1" t="s">
        <v>192</v>
      </c>
      <c r="D7835" s="1" t="s">
        <v>16612</v>
      </c>
      <c r="R7835" s="1" t="s">
        <v>14</v>
      </c>
      <c r="S7835" s="1" t="s">
        <v>15</v>
      </c>
      <c r="Z7835" s="1" t="s">
        <v>22</v>
      </c>
      <c r="GD7835" s="1" t="s">
        <v>193</v>
      </c>
      <c r="GE7835" s="1" t="s">
        <v>190</v>
      </c>
    </row>
    <row r="7836" spans="1:187" ht="11.25" customHeight="1">
      <c r="A7836" s="1" t="s">
        <v>11033</v>
      </c>
      <c r="B7836" s="1" t="str">
        <f ca="1">IFERROR(__xludf.DUMMYFUNCTION("GOOGLETRANSLATE(A7836, ""en"", ""fr"")"),"DÉTACHEMENT")</f>
        <v>DÉTACHEMENT</v>
      </c>
      <c r="C7836" s="1" t="s">
        <v>185</v>
      </c>
      <c r="I7836" s="1" t="s">
        <v>5</v>
      </c>
      <c r="J7836" s="1" t="s">
        <v>6</v>
      </c>
      <c r="K7836" s="1" t="s">
        <v>7</v>
      </c>
      <c r="AE7836" s="1" t="s">
        <v>27</v>
      </c>
      <c r="AK7836" s="1" t="s">
        <v>33</v>
      </c>
      <c r="AT7836" s="1" t="s">
        <v>42</v>
      </c>
      <c r="DZ7836" s="1" t="s">
        <v>126</v>
      </c>
      <c r="ED7836" s="1" t="s">
        <v>130</v>
      </c>
      <c r="GD7836" s="1" t="s">
        <v>193</v>
      </c>
      <c r="GE7836" s="1" t="s">
        <v>190</v>
      </c>
    </row>
    <row r="7837" spans="1:187" ht="11.25" customHeight="1">
      <c r="A7837" s="1" t="s">
        <v>11034</v>
      </c>
      <c r="B7837" s="1" t="str">
        <f ca="1">IFERROR(__xludf.DUMMYFUNCTION("GOOGLETRANSLATE(A7837, ""en"", ""fr"")"),"POSSÉDER")</f>
        <v>POSSÉDER</v>
      </c>
      <c r="C7837" s="1" t="s">
        <v>185</v>
      </c>
      <c r="J7837" s="1" t="s">
        <v>6</v>
      </c>
      <c r="K7837" s="1" t="s">
        <v>7</v>
      </c>
      <c r="DD7837" s="1" t="s">
        <v>104</v>
      </c>
      <c r="DO7837" s="1" t="s">
        <v>115</v>
      </c>
      <c r="EC7837" s="1" t="s">
        <v>129</v>
      </c>
      <c r="ED7837" s="1" t="s">
        <v>130</v>
      </c>
      <c r="GD7837" s="1" t="s">
        <v>189</v>
      </c>
      <c r="GE7837" s="1" t="s">
        <v>190</v>
      </c>
    </row>
    <row r="7838" spans="1:187" ht="11.25" customHeight="1">
      <c r="A7838" s="1" t="s">
        <v>11035</v>
      </c>
      <c r="B7838" s="1" t="str">
        <f ca="1">IFERROR(__xludf.DUMMYFUNCTION("GOOGLETRANSLATE(A7838, ""en"", ""fr"")"),"POSSESSION")</f>
        <v>POSSESSION</v>
      </c>
      <c r="C7838" s="1" t="s">
        <v>185</v>
      </c>
      <c r="AA7838" s="1" t="s">
        <v>23</v>
      </c>
      <c r="AC7838" s="1" t="s">
        <v>25</v>
      </c>
      <c r="DD7838" s="1" t="s">
        <v>104</v>
      </c>
      <c r="EC7838" s="1" t="s">
        <v>129</v>
      </c>
      <c r="ED7838" s="1" t="s">
        <v>130</v>
      </c>
      <c r="GD7838" s="1" t="s">
        <v>193</v>
      </c>
      <c r="GE7838" s="1" t="s">
        <v>190</v>
      </c>
    </row>
    <row r="7839" spans="1:187" ht="11.25" customHeight="1">
      <c r="A7839" s="1" t="s">
        <v>11036</v>
      </c>
      <c r="B7839" s="1" t="str">
        <f ca="1">IFERROR(__xludf.DUMMYFUNCTION("GOOGLETRANSLATE(A7839, ""en"", ""fr"")"),"POSSESSIF")</f>
        <v>POSSESSIF</v>
      </c>
      <c r="C7839" s="1" t="s">
        <v>196</v>
      </c>
      <c r="EC7839" s="1" t="s">
        <v>129</v>
      </c>
      <c r="ED7839" s="1" t="s">
        <v>130</v>
      </c>
      <c r="GD7839" s="1" t="s">
        <v>202</v>
      </c>
    </row>
    <row r="7840" spans="1:187" ht="11.25" customHeight="1">
      <c r="A7840" s="1" t="s">
        <v>11037</v>
      </c>
      <c r="B7840" s="1" t="str">
        <f ca="1">IFERROR(__xludf.DUMMYFUNCTION("GOOGLETRANSLATE(A7840, ""en"", ""fr"")"),"POSSESSEUR")</f>
        <v>POSSESSEUR</v>
      </c>
      <c r="C7840" s="1" t="s">
        <v>196</v>
      </c>
      <c r="DZ7840" s="1" t="s">
        <v>126</v>
      </c>
      <c r="ED7840" s="1" t="s">
        <v>130</v>
      </c>
      <c r="GD7840" s="1" t="s">
        <v>193</v>
      </c>
    </row>
    <row r="7841" spans="1:187" ht="11.25" customHeight="1">
      <c r="A7841" s="1" t="s">
        <v>11038</v>
      </c>
      <c r="B7841" s="1" t="str">
        <f ca="1">IFERROR(__xludf.DUMMYFUNCTION("GOOGLETRANSLATE(A7841, ""en"", ""fr"")"),"POSSIBILITÉ")</f>
        <v>POSSIBILITÉ</v>
      </c>
      <c r="C7841" s="1" t="s">
        <v>185</v>
      </c>
      <c r="W7841" s="1" t="s">
        <v>19</v>
      </c>
      <c r="CI7841" s="1" t="s">
        <v>83</v>
      </c>
      <c r="CP7841" s="1" t="s">
        <v>90</v>
      </c>
      <c r="CQ7841" s="1" t="s">
        <v>91</v>
      </c>
      <c r="FZ7841" s="1" t="s">
        <v>178</v>
      </c>
      <c r="GD7841" s="1" t="s">
        <v>193</v>
      </c>
      <c r="GE7841" s="1" t="s">
        <v>11039</v>
      </c>
    </row>
    <row r="7842" spans="1:187" ht="11.25" customHeight="1">
      <c r="A7842" s="1" t="s">
        <v>11040</v>
      </c>
      <c r="B7842" s="1" t="str">
        <f ca="1">IFERROR(__xludf.DUMMYFUNCTION("GOOGLETRANSLATE(A7842, ""en"", ""fr"")"),"POSSIBLE")</f>
        <v>POSSIBLE</v>
      </c>
      <c r="C7842" s="1" t="s">
        <v>185</v>
      </c>
      <c r="J7842" s="1" t="s">
        <v>6</v>
      </c>
      <c r="W7842" s="1" t="s">
        <v>19</v>
      </c>
      <c r="CI7842" s="1" t="s">
        <v>83</v>
      </c>
      <c r="FZ7842" s="1" t="s">
        <v>178</v>
      </c>
      <c r="GD7842" s="1" t="s">
        <v>202</v>
      </c>
      <c r="GE7842" s="1" t="s">
        <v>11041</v>
      </c>
    </row>
    <row r="7843" spans="1:187" ht="11.25" customHeight="1">
      <c r="A7843" s="1" t="s">
        <v>11042</v>
      </c>
      <c r="B7843" s="1" t="str">
        <f ca="1">IFERROR(__xludf.DUMMYFUNCTION("GOOGLETRANSLATE(A7843, ""en"", ""fr"")"),"PEUT-ÊTRE")</f>
        <v>PEUT-ÊTRE</v>
      </c>
      <c r="C7843" s="1" t="s">
        <v>196</v>
      </c>
      <c r="FZ7843" s="1" t="s">
        <v>178</v>
      </c>
      <c r="GD7843" s="1" t="s">
        <v>202</v>
      </c>
    </row>
    <row r="7844" spans="1:187" ht="11.25" customHeight="1">
      <c r="A7844" s="1" t="s">
        <v>11043</v>
      </c>
      <c r="B7844" s="1" t="str">
        <f ca="1">IFERROR(__xludf.DUMMYFUNCTION("GOOGLETRANSLATE(A7844, ""en"", ""fr"")"),"Post n ° 1")</f>
        <v>Post n ° 1</v>
      </c>
      <c r="C7844" s="1" t="s">
        <v>185</v>
      </c>
      <c r="BC7844" s="1" t="s">
        <v>51</v>
      </c>
      <c r="BD7844" s="1" t="s">
        <v>52</v>
      </c>
      <c r="EC7844" s="1" t="s">
        <v>129</v>
      </c>
      <c r="ED7844" s="1" t="s">
        <v>130</v>
      </c>
      <c r="GD7844" s="1" t="s">
        <v>193</v>
      </c>
      <c r="GE7844" s="1" t="s">
        <v>11044</v>
      </c>
    </row>
    <row r="7845" spans="1:187" ht="11.25" customHeight="1">
      <c r="A7845" s="1" t="s">
        <v>11045</v>
      </c>
      <c r="B7845" s="1" t="str">
        <f ca="1">IFERROR(__xludf.DUMMYFUNCTION("GOOGLETRANSLATE(A7845, ""en"", ""fr"")"),"Post n ° 2")</f>
        <v>Post n ° 2</v>
      </c>
      <c r="C7845" s="1" t="s">
        <v>185</v>
      </c>
      <c r="AH7845" s="1" t="s">
        <v>30</v>
      </c>
      <c r="AV7845" s="1" t="s">
        <v>44</v>
      </c>
      <c r="AW7845" s="1" t="s">
        <v>45</v>
      </c>
      <c r="DY7845" s="1" t="s">
        <v>125</v>
      </c>
      <c r="ED7845" s="1" t="s">
        <v>130</v>
      </c>
      <c r="GD7845" s="1" t="s">
        <v>193</v>
      </c>
      <c r="GE7845" s="1" t="s">
        <v>11046</v>
      </c>
    </row>
    <row r="7846" spans="1:187" ht="11.25" customHeight="1">
      <c r="A7846" s="1" t="s">
        <v>11047</v>
      </c>
      <c r="B7846" s="1" t="str">
        <f ca="1">IFERROR(__xludf.DUMMYFUNCTION("GOOGLETRANSLATE(A7846, ""en"", ""fr"")"),"Post # 3")</f>
        <v>Post # 3</v>
      </c>
      <c r="C7846" s="1" t="s">
        <v>185</v>
      </c>
      <c r="AA7846" s="1" t="s">
        <v>23</v>
      </c>
      <c r="AC7846" s="1" t="s">
        <v>25</v>
      </c>
      <c r="AH7846" s="1" t="s">
        <v>30</v>
      </c>
      <c r="AJ7846" s="1" t="s">
        <v>32</v>
      </c>
      <c r="AT7846" s="1" t="s">
        <v>42</v>
      </c>
      <c r="DY7846" s="1" t="s">
        <v>125</v>
      </c>
      <c r="ED7846" s="1" t="s">
        <v>130</v>
      </c>
      <c r="GD7846" s="1" t="s">
        <v>193</v>
      </c>
      <c r="GE7846" s="1" t="s">
        <v>11048</v>
      </c>
    </row>
    <row r="7847" spans="1:187" ht="11.25" customHeight="1">
      <c r="A7847" s="1" t="s">
        <v>11049</v>
      </c>
      <c r="B7847" s="1" t="str">
        <f ca="1">IFERROR(__xludf.DUMMYFUNCTION("GOOGLETRANSLATE(A7847, ""en"", ""fr"")"),"Post n ° 4")</f>
        <v>Post n ° 4</v>
      </c>
      <c r="C7847" s="1" t="s">
        <v>185</v>
      </c>
      <c r="N7847" s="1" t="s">
        <v>10</v>
      </c>
      <c r="BK7847" s="1" t="s">
        <v>59</v>
      </c>
      <c r="DO7847" s="1" t="s">
        <v>115</v>
      </c>
      <c r="FH7847" s="1" t="s">
        <v>160</v>
      </c>
      <c r="FI7847" s="1" t="s">
        <v>161</v>
      </c>
      <c r="GD7847" s="1" t="s">
        <v>189</v>
      </c>
      <c r="GE7847" s="1" t="s">
        <v>11050</v>
      </c>
    </row>
    <row r="7848" spans="1:187" ht="11.25" customHeight="1">
      <c r="A7848" s="1" t="s">
        <v>11051</v>
      </c>
      <c r="B7848" s="1" t="str">
        <f ca="1">IFERROR(__xludf.DUMMYFUNCTION("GOOGLETRANSLATE(A7848, ""en"", ""fr"")"),"AFFICHE")</f>
        <v>AFFICHE</v>
      </c>
      <c r="C7848" s="1" t="s">
        <v>185</v>
      </c>
      <c r="BC7848" s="1" t="s">
        <v>51</v>
      </c>
      <c r="BH7848" s="1" t="s">
        <v>56</v>
      </c>
      <c r="BL7848" s="1" t="s">
        <v>60</v>
      </c>
      <c r="FH7848" s="1" t="s">
        <v>160</v>
      </c>
      <c r="FI7848" s="1" t="s">
        <v>161</v>
      </c>
      <c r="GD7848" s="1" t="s">
        <v>193</v>
      </c>
      <c r="GE7848" s="1" t="s">
        <v>190</v>
      </c>
    </row>
    <row r="7849" spans="1:187" ht="11.25" customHeight="1">
      <c r="A7849" s="1" t="s">
        <v>11052</v>
      </c>
      <c r="B7849" s="1" t="str">
        <f ca="1">IFERROR(__xludf.DUMMYFUNCTION("GOOGLETRANSLATE(A7849, ""en"", ""fr"")"),"POSTÉRITÉ")</f>
        <v>POSTÉRITÉ</v>
      </c>
      <c r="C7849" s="1" t="s">
        <v>185</v>
      </c>
      <c r="D7849" s="1" t="s">
        <v>16612</v>
      </c>
      <c r="AK7849" s="1" t="s">
        <v>33</v>
      </c>
      <c r="AT7849" s="1" t="s">
        <v>42</v>
      </c>
      <c r="CY7849" s="1" t="s">
        <v>99</v>
      </c>
      <c r="GD7849" s="1" t="s">
        <v>193</v>
      </c>
      <c r="GE7849" s="1" t="s">
        <v>190</v>
      </c>
    </row>
    <row r="7850" spans="1:187" ht="11.25" customHeight="1">
      <c r="A7850" s="1" t="s">
        <v>11053</v>
      </c>
      <c r="B7850" s="1" t="str">
        <f ca="1">IFERROR(__xludf.DUMMYFUNCTION("GOOGLETRANSLATE(A7850, ""en"", ""fr"")"),"Reporter n ° 1")</f>
        <v>Reporter n ° 1</v>
      </c>
      <c r="C7850" s="1" t="s">
        <v>185</v>
      </c>
      <c r="N7850" s="1" t="s">
        <v>10</v>
      </c>
      <c r="CY7850" s="1" t="s">
        <v>99</v>
      </c>
      <c r="FZ7850" s="1" t="s">
        <v>178</v>
      </c>
      <c r="GD7850" s="1" t="s">
        <v>202</v>
      </c>
      <c r="GE7850" s="1" t="s">
        <v>190</v>
      </c>
    </row>
    <row r="7851" spans="1:187" ht="11.25" customHeight="1">
      <c r="A7851" s="1" t="s">
        <v>11054</v>
      </c>
      <c r="B7851" s="1" t="str">
        <f ca="1">IFERROR(__xludf.DUMMYFUNCTION("GOOGLETRANSLATE(A7851, ""en"", ""fr"")"),"Reporter # 2")</f>
        <v>Reporter # 2</v>
      </c>
      <c r="C7851" s="1" t="s">
        <v>185</v>
      </c>
      <c r="N7851" s="1" t="s">
        <v>10</v>
      </c>
      <c r="BW7851" s="1" t="s">
        <v>71</v>
      </c>
      <c r="DN7851" s="1" t="s">
        <v>114</v>
      </c>
      <c r="FZ7851" s="1" t="s">
        <v>178</v>
      </c>
      <c r="GD7851" s="1" t="s">
        <v>189</v>
      </c>
      <c r="GE7851" s="1" t="s">
        <v>190</v>
      </c>
    </row>
    <row r="7852" spans="1:187" ht="11.25" customHeight="1">
      <c r="A7852" s="1" t="s">
        <v>11055</v>
      </c>
      <c r="B7852" s="1" t="str">
        <f ca="1">IFERROR(__xludf.DUMMYFUNCTION("GOOGLETRANSLATE(A7852, ""en"", ""fr"")"),"REPORT")</f>
        <v>REPORT</v>
      </c>
      <c r="C7852" s="1" t="s">
        <v>196</v>
      </c>
      <c r="GB7852" s="1" t="s">
        <v>180</v>
      </c>
      <c r="GD7852" s="1" t="s">
        <v>193</v>
      </c>
    </row>
    <row r="7853" spans="1:187" ht="11.25" customHeight="1">
      <c r="A7853" s="1" t="s">
        <v>11056</v>
      </c>
      <c r="B7853" s="1" t="str">
        <f ca="1">IFERROR(__xludf.DUMMYFUNCTION("GOOGLETRANSLATE(A7853, ""en"", ""fr"")"),"POSTURE")</f>
        <v>POSTURE</v>
      </c>
      <c r="C7853" s="1" t="s">
        <v>185</v>
      </c>
      <c r="DA7853" s="1" t="s">
        <v>101</v>
      </c>
      <c r="FS7853" s="1" t="s">
        <v>171</v>
      </c>
      <c r="GD7853" s="1" t="s">
        <v>193</v>
      </c>
      <c r="GE7853" s="1" t="s">
        <v>190</v>
      </c>
    </row>
    <row r="7854" spans="1:187" ht="11.25" customHeight="1">
      <c r="A7854" s="1" t="s">
        <v>11057</v>
      </c>
      <c r="B7854" s="1" t="str">
        <f ca="1">IFERROR(__xludf.DUMMYFUNCTION("GOOGLETRANSLATE(A7854, ""en"", ""fr"")"),"APRÈS LA GUERRE")</f>
        <v>APRÈS LA GUERRE</v>
      </c>
      <c r="C7854" s="1" t="s">
        <v>185</v>
      </c>
      <c r="CY7854" s="1" t="s">
        <v>99</v>
      </c>
      <c r="DX7854" s="1" t="s">
        <v>124</v>
      </c>
      <c r="ED7854" s="1" t="s">
        <v>130</v>
      </c>
      <c r="GD7854" s="1" t="s">
        <v>202</v>
      </c>
      <c r="GE7854" s="1" t="s">
        <v>190</v>
      </c>
    </row>
    <row r="7855" spans="1:187" ht="11.25" customHeight="1">
      <c r="A7855" s="1" t="s">
        <v>11058</v>
      </c>
      <c r="B7855" s="1" t="str">
        <f ca="1">IFERROR(__xludf.DUMMYFUNCTION("GOOGLETRANSLATE(A7855, ""en"", ""fr"")"),"POT")</f>
        <v>POT</v>
      </c>
      <c r="C7855" s="1" t="s">
        <v>185</v>
      </c>
      <c r="BC7855" s="1" t="s">
        <v>51</v>
      </c>
      <c r="BD7855" s="1" t="s">
        <v>52</v>
      </c>
      <c r="GD7855" s="1" t="s">
        <v>193</v>
      </c>
      <c r="GE7855" s="1" t="s">
        <v>11059</v>
      </c>
    </row>
    <row r="7856" spans="1:187" ht="11.25" customHeight="1">
      <c r="A7856" s="1" t="s">
        <v>11060</v>
      </c>
      <c r="B7856" s="1" t="str">
        <f ca="1">IFERROR(__xludf.DUMMYFUNCTION("GOOGLETRANSLATE(A7856, ""en"", ""fr"")"),"PUISSANCE")</f>
        <v>PUISSANCE</v>
      </c>
      <c r="C7856" s="1" t="s">
        <v>192</v>
      </c>
      <c r="D7856" s="1" t="s">
        <v>16612</v>
      </c>
      <c r="J7856" s="1" t="s">
        <v>6</v>
      </c>
      <c r="K7856" s="1" t="s">
        <v>7</v>
      </c>
      <c r="CR7856" s="1" t="s">
        <v>92</v>
      </c>
      <c r="CS7856" s="1" t="s">
        <v>93</v>
      </c>
      <c r="GD7856" s="1" t="s">
        <v>193</v>
      </c>
      <c r="GE7856" s="1" t="s">
        <v>190</v>
      </c>
    </row>
    <row r="7857" spans="1:187" ht="11.25" customHeight="1">
      <c r="A7857" s="1" t="s">
        <v>11061</v>
      </c>
      <c r="B7857" s="1" t="str">
        <f ca="1">IFERROR(__xludf.DUMMYFUNCTION("GOOGLETRANSLATE(A7857, ""en"", ""fr"")"),"PUISSANT")</f>
        <v>PUISSANT</v>
      </c>
      <c r="C7857" s="1" t="s">
        <v>185</v>
      </c>
      <c r="D7857" s="1" t="s">
        <v>16612</v>
      </c>
      <c r="J7857" s="1" t="s">
        <v>6</v>
      </c>
      <c r="CR7857" s="1" t="s">
        <v>92</v>
      </c>
      <c r="DR7857" s="1" t="s">
        <v>118</v>
      </c>
      <c r="EC7857" s="1" t="s">
        <v>129</v>
      </c>
      <c r="ED7857" s="1" t="s">
        <v>130</v>
      </c>
      <c r="GD7857" s="1" t="s">
        <v>202</v>
      </c>
      <c r="GE7857" s="1" t="s">
        <v>190</v>
      </c>
    </row>
    <row r="7858" spans="1:187" ht="11.25" customHeight="1">
      <c r="A7858" s="1" t="s">
        <v>11062</v>
      </c>
      <c r="B7858" s="1" t="str">
        <f ca="1">IFERROR(__xludf.DUMMYFUNCTION("GOOGLETRANSLATE(A7858, ""en"", ""fr"")"),"POTENTIEL")</f>
        <v>POTENTIEL</v>
      </c>
      <c r="C7858" s="1" t="s">
        <v>185</v>
      </c>
      <c r="J7858" s="1" t="s">
        <v>6</v>
      </c>
      <c r="U7858" s="1" t="s">
        <v>17</v>
      </c>
      <c r="FR7858" s="1" t="s">
        <v>170</v>
      </c>
      <c r="GD7858" s="1" t="s">
        <v>193</v>
      </c>
      <c r="GE7858" s="1" t="s">
        <v>11063</v>
      </c>
    </row>
    <row r="7859" spans="1:187" ht="11.25" customHeight="1">
      <c r="A7859" s="1" t="s">
        <v>11064</v>
      </c>
      <c r="B7859" s="1" t="str">
        <f ca="1">IFERROR(__xludf.DUMMYFUNCTION("GOOGLETRANSLATE(A7859, ""en"", ""fr"")"),"POTENTIALITÉ")</f>
        <v>POTENTIALITÉ</v>
      </c>
      <c r="C7859" s="1" t="s">
        <v>185</v>
      </c>
      <c r="J7859" s="1" t="s">
        <v>6</v>
      </c>
      <c r="U7859" s="1" t="s">
        <v>17</v>
      </c>
      <c r="FR7859" s="1" t="s">
        <v>170</v>
      </c>
      <c r="GD7859" s="1" t="s">
        <v>193</v>
      </c>
      <c r="GE7859" s="1" t="s">
        <v>190</v>
      </c>
    </row>
    <row r="7860" spans="1:187" ht="11.25" customHeight="1">
      <c r="A7860" s="1" t="s">
        <v>11065</v>
      </c>
      <c r="B7860" s="1" t="str">
        <f ca="1">IFERROR(__xludf.DUMMYFUNCTION("GOOGLETRANSLATE(A7860, ""en"", ""fr"")"),"LA VOLAILLE")</f>
        <v>LA VOLAILLE</v>
      </c>
      <c r="C7860" s="1" t="s">
        <v>185</v>
      </c>
      <c r="AU7860" s="1" t="s">
        <v>43</v>
      </c>
      <c r="EV7860" s="1" t="s">
        <v>148</v>
      </c>
      <c r="EW7860" s="1" t="s">
        <v>149</v>
      </c>
      <c r="GD7860" s="1" t="s">
        <v>193</v>
      </c>
      <c r="GE7860" s="1" t="s">
        <v>190</v>
      </c>
    </row>
    <row r="7861" spans="1:187" ht="11.25" customHeight="1">
      <c r="A7861" s="1" t="s">
        <v>11066</v>
      </c>
      <c r="B7861" s="1" t="str">
        <f ca="1">IFERROR(__xludf.DUMMYFUNCTION("GOOGLETRANSLATE(A7861, ""en"", ""fr"")"),"Livre n ° 1")</f>
        <v>Livre n ° 1</v>
      </c>
      <c r="C7861" s="1" t="s">
        <v>185</v>
      </c>
      <c r="AC7861" s="1" t="s">
        <v>25</v>
      </c>
      <c r="CS7861" s="1" t="s">
        <v>93</v>
      </c>
      <c r="EV7861" s="1" t="s">
        <v>148</v>
      </c>
      <c r="EW7861" s="1" t="s">
        <v>149</v>
      </c>
      <c r="GD7861" s="1" t="s">
        <v>193</v>
      </c>
      <c r="GE7861" s="1" t="s">
        <v>11067</v>
      </c>
    </row>
    <row r="7862" spans="1:187" ht="11.25" customHeight="1">
      <c r="A7862" s="1" t="s">
        <v>11068</v>
      </c>
      <c r="B7862" s="1" t="str">
        <f ca="1">IFERROR(__xludf.DUMMYFUNCTION("GOOGLETRANSLATE(A7862, ""en"", ""fr"")"),"Livre n ° 2")</f>
        <v>Livre n ° 2</v>
      </c>
      <c r="C7862" s="1" t="s">
        <v>185</v>
      </c>
      <c r="E7862" s="1" t="s">
        <v>16613</v>
      </c>
      <c r="H7862" s="1" t="s">
        <v>4</v>
      </c>
      <c r="I7862" s="1" t="s">
        <v>5</v>
      </c>
      <c r="J7862" s="1" t="s">
        <v>6</v>
      </c>
      <c r="N7862" s="1" t="s">
        <v>10</v>
      </c>
      <c r="CC7862" s="1" t="s">
        <v>77</v>
      </c>
      <c r="DO7862" s="1" t="s">
        <v>115</v>
      </c>
      <c r="DW7862" s="1" t="s">
        <v>123</v>
      </c>
      <c r="ED7862" s="1" t="s">
        <v>130</v>
      </c>
      <c r="GD7862" s="1" t="s">
        <v>189</v>
      </c>
      <c r="GE7862" s="1" t="s">
        <v>11069</v>
      </c>
    </row>
    <row r="7863" spans="1:187" ht="11.25" customHeight="1">
      <c r="A7863" s="1" t="s">
        <v>11070</v>
      </c>
      <c r="B7863" s="1" t="str">
        <f ca="1">IFERROR(__xludf.DUMMYFUNCTION("GOOGLETRANSLATE(A7863, ""en"", ""fr"")"),"Livre n ° 3")</f>
        <v>Livre n ° 3</v>
      </c>
      <c r="C7863" s="1" t="s">
        <v>185</v>
      </c>
      <c r="AV7863" s="1" t="s">
        <v>44</v>
      </c>
      <c r="AW7863" s="1" t="s">
        <v>45</v>
      </c>
      <c r="GD7863" s="1" t="s">
        <v>193</v>
      </c>
      <c r="GE7863" s="1" t="s">
        <v>11071</v>
      </c>
    </row>
    <row r="7864" spans="1:187" ht="11.25" customHeight="1">
      <c r="A7864" s="1" t="s">
        <v>11072</v>
      </c>
      <c r="B7864" s="1" t="str">
        <f ca="1">IFERROR(__xludf.DUMMYFUNCTION("GOOGLETRANSLATE(A7864, ""en"", ""fr"")"),"VERSER")</f>
        <v>VERSER</v>
      </c>
      <c r="C7864" s="1" t="s">
        <v>185</v>
      </c>
      <c r="N7864" s="1" t="s">
        <v>10</v>
      </c>
      <c r="AL7864" s="1" t="s">
        <v>34</v>
      </c>
      <c r="DO7864" s="1" t="s">
        <v>115</v>
      </c>
      <c r="GD7864" s="1" t="s">
        <v>189</v>
      </c>
      <c r="GE7864" s="1" t="s">
        <v>11073</v>
      </c>
    </row>
    <row r="7865" spans="1:187" ht="11.25" customHeight="1">
      <c r="A7865" s="1" t="s">
        <v>11074</v>
      </c>
      <c r="B7865" s="1" t="str">
        <f ca="1">IFERROR(__xludf.DUMMYFUNCTION("GOOGLETRANSLATE(A7865, ""en"", ""fr"")"),"MOUE")</f>
        <v>MOUE</v>
      </c>
      <c r="C7865" s="1" t="s">
        <v>192</v>
      </c>
      <c r="E7865" s="1" t="s">
        <v>16613</v>
      </c>
      <c r="Q7865" s="1" t="s">
        <v>13</v>
      </c>
      <c r="T7865" s="1" t="s">
        <v>16</v>
      </c>
      <c r="BK7865" s="1" t="s">
        <v>59</v>
      </c>
      <c r="DP7865" s="1" t="s">
        <v>116</v>
      </c>
      <c r="GD7865" s="1" t="s">
        <v>189</v>
      </c>
      <c r="GE7865" s="1" t="s">
        <v>190</v>
      </c>
    </row>
    <row r="7866" spans="1:187" ht="11.25" customHeight="1">
      <c r="A7866" s="1" t="s">
        <v>11075</v>
      </c>
      <c r="B7866" s="1" t="str">
        <f ca="1">IFERROR(__xludf.DUMMYFUNCTION("GOOGLETRANSLATE(A7866, ""en"", ""fr"")"),"PAUVRETÉ")</f>
        <v>PAUVRETÉ</v>
      </c>
      <c r="C7866" s="1" t="s">
        <v>185</v>
      </c>
      <c r="E7866" s="1" t="s">
        <v>16613</v>
      </c>
      <c r="H7866" s="1" t="s">
        <v>4</v>
      </c>
      <c r="L7866" s="1" t="s">
        <v>8</v>
      </c>
      <c r="O7866" s="1" t="s">
        <v>11</v>
      </c>
      <c r="V7866" s="1" t="s">
        <v>18</v>
      </c>
      <c r="AA7866" s="1" t="s">
        <v>23</v>
      </c>
      <c r="AC7866" s="1" t="s">
        <v>25</v>
      </c>
      <c r="AH7866" s="1" t="s">
        <v>30</v>
      </c>
      <c r="EV7866" s="1" t="s">
        <v>148</v>
      </c>
      <c r="EW7866" s="1" t="s">
        <v>149</v>
      </c>
      <c r="GD7866" s="1" t="s">
        <v>193</v>
      </c>
      <c r="GE7866" s="1" t="s">
        <v>11076</v>
      </c>
    </row>
    <row r="7867" spans="1:187" ht="11.25" customHeight="1">
      <c r="A7867" s="1" t="s">
        <v>11077</v>
      </c>
      <c r="B7867" s="1" t="str">
        <f ca="1">IFERROR(__xludf.DUMMYFUNCTION("GOOGLETRANSLATE(A7867, ""en"", ""fr"")"),"POUDRE")</f>
        <v>POUDRE</v>
      </c>
      <c r="C7867" s="1" t="s">
        <v>185</v>
      </c>
      <c r="BC7867" s="1" t="s">
        <v>51</v>
      </c>
      <c r="BD7867" s="1" t="s">
        <v>52</v>
      </c>
      <c r="GD7867" s="1" t="s">
        <v>193</v>
      </c>
      <c r="GE7867" s="1" t="s">
        <v>190</v>
      </c>
    </row>
    <row r="7868" spans="1:187" ht="11.25" customHeight="1">
      <c r="A7868" s="1" t="s">
        <v>11078</v>
      </c>
      <c r="B7868" s="1" t="str">
        <f ca="1">IFERROR(__xludf.DUMMYFUNCTION("GOOGLETRANSLATE(A7868, ""en"", ""fr"")"),"Puissance n ° 1")</f>
        <v>Puissance n ° 1</v>
      </c>
      <c r="C7868" s="1" t="s">
        <v>185</v>
      </c>
      <c r="J7868" s="1" t="s">
        <v>6</v>
      </c>
      <c r="K7868" s="1" t="s">
        <v>7</v>
      </c>
      <c r="U7868" s="1" t="s">
        <v>17</v>
      </c>
      <c r="EC7868" s="1" t="s">
        <v>129</v>
      </c>
      <c r="ED7868" s="1" t="s">
        <v>130</v>
      </c>
      <c r="GD7868" s="1" t="s">
        <v>193</v>
      </c>
      <c r="GE7868" s="1" t="s">
        <v>11079</v>
      </c>
    </row>
    <row r="7869" spans="1:187" ht="11.25" customHeight="1">
      <c r="A7869" s="1" t="s">
        <v>11080</v>
      </c>
      <c r="B7869" s="1" t="str">
        <f ca="1">IFERROR(__xludf.DUMMYFUNCTION("GOOGLETRANSLATE(A7869, ""en"", ""fr"")"),"Puissance n ° 2")</f>
        <v>Puissance n ° 2</v>
      </c>
      <c r="C7869" s="1" t="s">
        <v>185</v>
      </c>
      <c r="J7869" s="1" t="s">
        <v>6</v>
      </c>
      <c r="K7869" s="1" t="s">
        <v>7</v>
      </c>
      <c r="AG7869" s="1" t="s">
        <v>29</v>
      </c>
      <c r="AH7869" s="1" t="s">
        <v>30</v>
      </c>
      <c r="AK7869" s="1" t="s">
        <v>33</v>
      </c>
      <c r="AT7869" s="1" t="s">
        <v>42</v>
      </c>
      <c r="DZ7869" s="1" t="s">
        <v>126</v>
      </c>
      <c r="ED7869" s="1" t="s">
        <v>130</v>
      </c>
      <c r="GD7869" s="1" t="s">
        <v>193</v>
      </c>
      <c r="GE7869" s="1" t="s">
        <v>11081</v>
      </c>
    </row>
    <row r="7870" spans="1:187" ht="11.25" customHeight="1">
      <c r="A7870" s="1" t="s">
        <v>11082</v>
      </c>
      <c r="B7870" s="1" t="str">
        <f ca="1">IFERROR(__xludf.DUMMYFUNCTION("GOOGLETRANSLATE(A7870, ""en"", ""fr"")"),"PUISSANT")</f>
        <v>PUISSANT</v>
      </c>
      <c r="C7870" s="1" t="s">
        <v>185</v>
      </c>
      <c r="J7870" s="1" t="s">
        <v>6</v>
      </c>
      <c r="K7870" s="1" t="s">
        <v>7</v>
      </c>
      <c r="U7870" s="1" t="s">
        <v>17</v>
      </c>
      <c r="AG7870" s="1" t="s">
        <v>29</v>
      </c>
      <c r="EC7870" s="1" t="s">
        <v>129</v>
      </c>
      <c r="ED7870" s="1" t="s">
        <v>130</v>
      </c>
      <c r="GD7870" s="1" t="s">
        <v>202</v>
      </c>
      <c r="GE7870" s="1" t="s">
        <v>11083</v>
      </c>
    </row>
    <row r="7871" spans="1:187" ht="11.25" customHeight="1">
      <c r="A7871" s="1" t="s">
        <v>11084</v>
      </c>
      <c r="B7871" s="1" t="str">
        <f ca="1">IFERROR(__xludf.DUMMYFUNCTION("GOOGLETRANSLATE(A7871, ""en"", ""fr"")"),"IMPUISSANT")</f>
        <v>IMPUISSANT</v>
      </c>
      <c r="C7871" s="1" t="s">
        <v>192</v>
      </c>
      <c r="E7871" s="1" t="s">
        <v>16613</v>
      </c>
      <c r="L7871" s="1" t="s">
        <v>8</v>
      </c>
      <c r="M7871" s="1" t="s">
        <v>9</v>
      </c>
      <c r="DR7871" s="1" t="s">
        <v>118</v>
      </c>
      <c r="GD7871" s="1" t="s">
        <v>202</v>
      </c>
      <c r="GE7871" s="1" t="s">
        <v>190</v>
      </c>
    </row>
    <row r="7872" spans="1:187" ht="11.25" customHeight="1">
      <c r="A7872" s="1" t="s">
        <v>11085</v>
      </c>
      <c r="B7872" s="1" t="str">
        <f ca="1">IFERROR(__xludf.DUMMYFUNCTION("GOOGLETRANSLATE(A7872, ""en"", ""fr"")"),"PRATICABLE")</f>
        <v>PRATICABLE</v>
      </c>
      <c r="C7872" s="1" t="s">
        <v>185</v>
      </c>
      <c r="D7872" s="1" t="s">
        <v>16612</v>
      </c>
      <c r="F7872" s="1" t="s">
        <v>2</v>
      </c>
      <c r="U7872" s="1" t="s">
        <v>17</v>
      </c>
      <c r="FL7872" s="1" t="s">
        <v>164</v>
      </c>
      <c r="FM7872" s="1" t="s">
        <v>418</v>
      </c>
      <c r="GD7872" s="1" t="s">
        <v>202</v>
      </c>
      <c r="GE7872" s="1" t="s">
        <v>190</v>
      </c>
    </row>
    <row r="7873" spans="1:187" ht="11.25" customHeight="1">
      <c r="A7873" s="1" t="s">
        <v>11086</v>
      </c>
      <c r="B7873" s="1" t="str">
        <f ca="1">IFERROR(__xludf.DUMMYFUNCTION("GOOGLETRANSLATE(A7873, ""en"", ""fr"")"),"Pratique n ° 1")</f>
        <v>Pratique n ° 1</v>
      </c>
      <c r="C7873" s="1" t="s">
        <v>185</v>
      </c>
      <c r="D7873" s="1" t="s">
        <v>16612</v>
      </c>
      <c r="F7873" s="1" t="s">
        <v>2</v>
      </c>
      <c r="U7873" s="1" t="s">
        <v>17</v>
      </c>
      <c r="FL7873" s="1" t="s">
        <v>164</v>
      </c>
      <c r="FM7873" s="1" t="s">
        <v>418</v>
      </c>
      <c r="GD7873" s="1" t="s">
        <v>202</v>
      </c>
      <c r="GE7873" s="1" t="s">
        <v>11087</v>
      </c>
    </row>
    <row r="7874" spans="1:187" ht="11.25" customHeight="1">
      <c r="A7874" s="1" t="s">
        <v>11088</v>
      </c>
      <c r="B7874" s="1" t="str">
        <f ca="1">IFERROR(__xludf.DUMMYFUNCTION("GOOGLETRANSLATE(A7874, ""en"", ""fr"")"),"Pratique n ° 2")</f>
        <v>Pratique n ° 2</v>
      </c>
      <c r="C7874" s="1" t="s">
        <v>185</v>
      </c>
      <c r="W7874" s="1" t="s">
        <v>19</v>
      </c>
      <c r="CS7874" s="1" t="s">
        <v>93</v>
      </c>
      <c r="FZ7874" s="1" t="s">
        <v>178</v>
      </c>
      <c r="GD7874" s="1" t="s">
        <v>236</v>
      </c>
      <c r="GE7874" s="1" t="s">
        <v>11089</v>
      </c>
    </row>
    <row r="7875" spans="1:187" ht="11.25" customHeight="1">
      <c r="A7875" s="1" t="s">
        <v>11090</v>
      </c>
      <c r="B7875" s="1" t="str">
        <f ca="1">IFERROR(__xludf.DUMMYFUNCTION("GOOGLETRANSLATE(A7875, ""en"", ""fr"")"),"Pratique n ° 1")</f>
        <v>Pratique n ° 1</v>
      </c>
      <c r="C7875" s="1" t="s">
        <v>185</v>
      </c>
      <c r="N7875" s="1" t="s">
        <v>10</v>
      </c>
      <c r="BP7875" s="1" t="s">
        <v>64</v>
      </c>
      <c r="DN7875" s="1" t="s">
        <v>114</v>
      </c>
      <c r="FL7875" s="1" t="s">
        <v>164</v>
      </c>
      <c r="FM7875" s="1" t="s">
        <v>418</v>
      </c>
      <c r="GD7875" s="1" t="s">
        <v>189</v>
      </c>
      <c r="GE7875" s="1" t="s">
        <v>11091</v>
      </c>
    </row>
    <row r="7876" spans="1:187" ht="11.25" customHeight="1">
      <c r="A7876" s="1" t="s">
        <v>11092</v>
      </c>
      <c r="B7876" s="1" t="str">
        <f ca="1">IFERROR(__xludf.DUMMYFUNCTION("GOOGLETRANSLATE(A7876, ""en"", ""fr"")"),"Pratique n ° 2")</f>
        <v>Pratique n ° 2</v>
      </c>
      <c r="C7876" s="1" t="s">
        <v>185</v>
      </c>
      <c r="N7876" s="1" t="s">
        <v>10</v>
      </c>
      <c r="AM7876" s="1" t="s">
        <v>35</v>
      </c>
      <c r="FR7876" s="1" t="s">
        <v>170</v>
      </c>
      <c r="GD7876" s="1" t="s">
        <v>193</v>
      </c>
      <c r="GE7876" s="1" t="s">
        <v>11093</v>
      </c>
    </row>
    <row r="7877" spans="1:187" ht="11.25" customHeight="1">
      <c r="A7877" s="1" t="s">
        <v>11094</v>
      </c>
      <c r="B7877" s="1" t="str">
        <f ca="1">IFERROR(__xludf.DUMMYFUNCTION("GOOGLETRANSLATE(A7877, ""en"", ""fr"")"),"Pratique n ° 1")</f>
        <v>Pratique n ° 1</v>
      </c>
      <c r="C7877" s="1" t="s">
        <v>192</v>
      </c>
      <c r="GE7877" s="1" t="s">
        <v>190</v>
      </c>
    </row>
    <row r="7878" spans="1:187" ht="11.25" customHeight="1">
      <c r="A7878" s="1" t="s">
        <v>11095</v>
      </c>
      <c r="B7878" s="1" t="str">
        <f ca="1">IFERROR(__xludf.DUMMYFUNCTION("GOOGLETRANSLATE(A7878, ""en"", ""fr"")"),"PRAIRIE")</f>
        <v>PRAIRIE</v>
      </c>
      <c r="C7878" s="1" t="s">
        <v>185</v>
      </c>
      <c r="AV7878" s="1" t="s">
        <v>44</v>
      </c>
      <c r="BA7878" s="1" t="s">
        <v>49</v>
      </c>
      <c r="GD7878" s="1" t="s">
        <v>193</v>
      </c>
      <c r="GE7878" s="1" t="s">
        <v>190</v>
      </c>
    </row>
    <row r="7879" spans="1:187" ht="11.25" customHeight="1">
      <c r="A7879" s="1" t="s">
        <v>11096</v>
      </c>
      <c r="B7879" s="1" t="str">
        <f ca="1">IFERROR(__xludf.DUMMYFUNCTION("GOOGLETRANSLATE(A7879, ""en"", ""fr"")"),"Louange # 1")</f>
        <v>Louange # 1</v>
      </c>
      <c r="C7879" s="1" t="s">
        <v>185</v>
      </c>
      <c r="D7879" s="1" t="s">
        <v>16612</v>
      </c>
      <c r="F7879" s="1" t="s">
        <v>2</v>
      </c>
      <c r="G7879" s="1" t="s">
        <v>3</v>
      </c>
      <c r="BK7879" s="1" t="s">
        <v>59</v>
      </c>
      <c r="BL7879" s="1" t="s">
        <v>60</v>
      </c>
      <c r="FN7879" s="1" t="s">
        <v>166</v>
      </c>
      <c r="GC7879" s="1" t="s">
        <v>181</v>
      </c>
      <c r="GD7879" s="1" t="s">
        <v>193</v>
      </c>
      <c r="GE7879" s="1" t="s">
        <v>190</v>
      </c>
    </row>
    <row r="7880" spans="1:187" ht="11.25" customHeight="1">
      <c r="A7880" s="1" t="s">
        <v>11097</v>
      </c>
      <c r="B7880" s="1" t="str">
        <f ca="1">IFERROR(__xludf.DUMMYFUNCTION("GOOGLETRANSLATE(A7880, ""en"", ""fr"")"),"Louange n ° 2")</f>
        <v>Louange n ° 2</v>
      </c>
      <c r="C7880" s="1" t="s">
        <v>185</v>
      </c>
      <c r="D7880" s="1" t="s">
        <v>16612</v>
      </c>
      <c r="F7880" s="1" t="s">
        <v>2</v>
      </c>
      <c r="G7880" s="1" t="s">
        <v>3</v>
      </c>
      <c r="N7880" s="1" t="s">
        <v>10</v>
      </c>
      <c r="BK7880" s="1" t="s">
        <v>59</v>
      </c>
      <c r="DN7880" s="1" t="s">
        <v>114</v>
      </c>
      <c r="FN7880" s="1" t="s">
        <v>166</v>
      </c>
      <c r="GD7880" s="1" t="s">
        <v>189</v>
      </c>
      <c r="GE7880" s="1" t="s">
        <v>190</v>
      </c>
    </row>
    <row r="7881" spans="1:187" ht="11.25" customHeight="1">
      <c r="A7881" s="1" t="s">
        <v>11098</v>
      </c>
      <c r="B7881" s="1" t="str">
        <f ca="1">IFERROR(__xludf.DUMMYFUNCTION("GOOGLETRANSLATE(A7881, ""en"", ""fr"")"),"CARACOLER")</f>
        <v>CARACOLER</v>
      </c>
      <c r="C7881" s="1" t="s">
        <v>192</v>
      </c>
      <c r="D7881" s="1" t="s">
        <v>16612</v>
      </c>
      <c r="N7881" s="1" t="s">
        <v>10</v>
      </c>
      <c r="CE7881" s="1" t="s">
        <v>79</v>
      </c>
      <c r="DN7881" s="1" t="s">
        <v>114</v>
      </c>
      <c r="GD7881" s="1" t="s">
        <v>189</v>
      </c>
      <c r="GE7881" s="1" t="s">
        <v>190</v>
      </c>
    </row>
    <row r="7882" spans="1:187" ht="11.25" customHeight="1">
      <c r="A7882" s="1" t="s">
        <v>11099</v>
      </c>
      <c r="B7882" s="1" t="str">
        <f ca="1">IFERROR(__xludf.DUMMYFUNCTION("GOOGLETRANSLATE(A7882, ""en"", ""fr"")"),"PRIER")</f>
        <v>PRIER</v>
      </c>
      <c r="C7882" s="1" t="s">
        <v>185</v>
      </c>
      <c r="M7882" s="1" t="s">
        <v>9</v>
      </c>
      <c r="AI7882" s="1" t="s">
        <v>31</v>
      </c>
      <c r="BK7882" s="1" t="s">
        <v>59</v>
      </c>
      <c r="DO7882" s="1" t="s">
        <v>115</v>
      </c>
      <c r="EI7882" s="1" t="s">
        <v>135</v>
      </c>
      <c r="EJ7882" s="1" t="s">
        <v>136</v>
      </c>
      <c r="GD7882" s="1" t="s">
        <v>189</v>
      </c>
      <c r="GE7882" s="1" t="s">
        <v>11100</v>
      </c>
    </row>
    <row r="7883" spans="1:187" ht="11.25" customHeight="1">
      <c r="A7883" s="1" t="s">
        <v>11101</v>
      </c>
      <c r="B7883" s="1" t="str">
        <f ca="1">IFERROR(__xludf.DUMMYFUNCTION("GOOGLETRANSLATE(A7883, ""en"", ""fr"")"),"PRIÈRE")</f>
        <v>PRIÈRE</v>
      </c>
      <c r="C7883" s="1" t="s">
        <v>185</v>
      </c>
      <c r="M7883" s="1" t="s">
        <v>9</v>
      </c>
      <c r="AI7883" s="1" t="s">
        <v>31</v>
      </c>
      <c r="BK7883" s="1" t="s">
        <v>59</v>
      </c>
      <c r="BL7883" s="1" t="s">
        <v>60</v>
      </c>
      <c r="EF7883" s="1" t="s">
        <v>132</v>
      </c>
      <c r="EJ7883" s="1" t="s">
        <v>136</v>
      </c>
      <c r="GC7883" s="1" t="s">
        <v>181</v>
      </c>
      <c r="GD7883" s="1" t="s">
        <v>193</v>
      </c>
      <c r="GE7883" s="1" t="s">
        <v>11102</v>
      </c>
    </row>
    <row r="7884" spans="1:187" ht="11.25" customHeight="1">
      <c r="A7884" s="1" t="s">
        <v>11103</v>
      </c>
      <c r="B7884" s="1" t="str">
        <f ca="1">IFERROR(__xludf.DUMMYFUNCTION("GOOGLETRANSLATE(A7884, ""en"", ""fr"")"),"AVANT LA GUERRE")</f>
        <v>AVANT LA GUERRE</v>
      </c>
      <c r="C7884" s="1" t="s">
        <v>196</v>
      </c>
      <c r="GD7884" s="1" t="s">
        <v>202</v>
      </c>
    </row>
    <row r="7885" spans="1:187" ht="11.25" customHeight="1">
      <c r="A7885" s="1" t="s">
        <v>11104</v>
      </c>
      <c r="B7885" s="1" t="str">
        <f ca="1">IFERROR(__xludf.DUMMYFUNCTION("GOOGLETRANSLATE(A7885, ""en"", ""fr"")"),"PRÊCHER")</f>
        <v>PRÊCHER</v>
      </c>
      <c r="C7885" s="1" t="s">
        <v>185</v>
      </c>
      <c r="N7885" s="1" t="s">
        <v>10</v>
      </c>
      <c r="AI7885" s="1" t="s">
        <v>31</v>
      </c>
      <c r="BK7885" s="1" t="s">
        <v>59</v>
      </c>
      <c r="BL7885" s="1" t="s">
        <v>60</v>
      </c>
      <c r="EI7885" s="1" t="s">
        <v>135</v>
      </c>
      <c r="EJ7885" s="1" t="s">
        <v>136</v>
      </c>
      <c r="GC7885" s="1" t="s">
        <v>181</v>
      </c>
      <c r="GD7885" s="1" t="s">
        <v>193</v>
      </c>
      <c r="GE7885" s="1" t="s">
        <v>190</v>
      </c>
    </row>
    <row r="7886" spans="1:187" ht="11.25" customHeight="1">
      <c r="A7886" s="1" t="s">
        <v>11105</v>
      </c>
      <c r="B7886" s="1" t="str">
        <f ca="1">IFERROR(__xludf.DUMMYFUNCTION("GOOGLETRANSLATE(A7886, ""en"", ""fr"")"),"PRÉDICATEUR")</f>
        <v>PRÉDICATEUR</v>
      </c>
      <c r="C7886" s="1" t="s">
        <v>185</v>
      </c>
      <c r="K7886" s="1" t="s">
        <v>7</v>
      </c>
      <c r="AI7886" s="1" t="s">
        <v>31</v>
      </c>
      <c r="AJ7886" s="1" t="s">
        <v>32</v>
      </c>
      <c r="AT7886" s="1" t="s">
        <v>42</v>
      </c>
      <c r="EF7886" s="1" t="s">
        <v>132</v>
      </c>
      <c r="EJ7886" s="1" t="s">
        <v>136</v>
      </c>
      <c r="GD7886" s="1" t="s">
        <v>193</v>
      </c>
      <c r="GE7886" s="1" t="s">
        <v>190</v>
      </c>
    </row>
    <row r="7887" spans="1:187" ht="11.25" customHeight="1">
      <c r="A7887" s="1" t="s">
        <v>11106</v>
      </c>
      <c r="B7887" s="1" t="str">
        <f ca="1">IFERROR(__xludf.DUMMYFUNCTION("GOOGLETRANSLATE(A7887, ""en"", ""fr"")"),"PRÉCAIRE")</f>
        <v>PRÉCAIRE</v>
      </c>
      <c r="C7887" s="1" t="s">
        <v>185</v>
      </c>
      <c r="E7887" s="1" t="s">
        <v>16613</v>
      </c>
      <c r="H7887" s="1" t="s">
        <v>4</v>
      </c>
      <c r="L7887" s="1" t="s">
        <v>8</v>
      </c>
      <c r="O7887" s="1" t="s">
        <v>11</v>
      </c>
      <c r="V7887" s="1" t="s">
        <v>18</v>
      </c>
      <c r="X7887" s="1" t="s">
        <v>20</v>
      </c>
      <c r="FR7887" s="1" t="s">
        <v>170</v>
      </c>
      <c r="GD7887" s="1" t="s">
        <v>202</v>
      </c>
      <c r="GE7887" s="1" t="s">
        <v>190</v>
      </c>
    </row>
    <row r="7888" spans="1:187" ht="11.25" customHeight="1">
      <c r="A7888" s="1" t="s">
        <v>11107</v>
      </c>
      <c r="B7888" s="1" t="str">
        <f ca="1">IFERROR(__xludf.DUMMYFUNCTION("GOOGLETRANSLATE(A7888, ""en"", ""fr"")"),"PRÉCAUTION")</f>
        <v>PRÉCAUTION</v>
      </c>
      <c r="C7888" s="1" t="s">
        <v>185</v>
      </c>
      <c r="D7888" s="1" t="s">
        <v>16612</v>
      </c>
      <c r="J7888" s="1" t="s">
        <v>6</v>
      </c>
      <c r="CG7888" s="1" t="s">
        <v>81</v>
      </c>
      <c r="FQ7888" s="1" t="s">
        <v>169</v>
      </c>
      <c r="GD7888" s="1" t="s">
        <v>193</v>
      </c>
      <c r="GE7888" s="1" t="s">
        <v>190</v>
      </c>
    </row>
    <row r="7889" spans="1:187" ht="11.25" customHeight="1">
      <c r="A7889" s="1" t="s">
        <v>11108</v>
      </c>
      <c r="B7889" s="1" t="str">
        <f ca="1">IFERROR(__xludf.DUMMYFUNCTION("GOOGLETRANSLATE(A7889, ""en"", ""fr"")"),"Précéder # 1")</f>
        <v>Précéder # 1</v>
      </c>
      <c r="C7889" s="1" t="s">
        <v>185</v>
      </c>
      <c r="CY7889" s="1" t="s">
        <v>99</v>
      </c>
      <c r="GB7889" s="1" t="s">
        <v>180</v>
      </c>
      <c r="GD7889" s="1" t="s">
        <v>202</v>
      </c>
      <c r="GE7889" s="1" t="s">
        <v>190</v>
      </c>
    </row>
    <row r="7890" spans="1:187" ht="11.25" customHeight="1">
      <c r="A7890" s="1" t="s">
        <v>11109</v>
      </c>
      <c r="B7890" s="1" t="str">
        <f ca="1">IFERROR(__xludf.DUMMYFUNCTION("GOOGLETRANSLATE(A7890, ""en"", ""fr"")"),"Précéder # 2")</f>
        <v>Précéder # 2</v>
      </c>
      <c r="C7890" s="1" t="s">
        <v>185</v>
      </c>
      <c r="DD7890" s="1" t="s">
        <v>104</v>
      </c>
      <c r="DN7890" s="1" t="s">
        <v>114</v>
      </c>
      <c r="GB7890" s="1" t="s">
        <v>180</v>
      </c>
      <c r="GD7890" s="1" t="s">
        <v>189</v>
      </c>
      <c r="GE7890" s="1" t="s">
        <v>190</v>
      </c>
    </row>
    <row r="7891" spans="1:187" ht="11.25" customHeight="1">
      <c r="A7891" s="1" t="s">
        <v>11110</v>
      </c>
      <c r="B7891" s="1" t="str">
        <f ca="1">IFERROR(__xludf.DUMMYFUNCTION("GOOGLETRANSLATE(A7891, ""en"", ""fr"")"),"PRÉCÉDENT")</f>
        <v>PRÉCÉDENT</v>
      </c>
      <c r="C7891" s="1" t="s">
        <v>185</v>
      </c>
      <c r="D7891" s="1" t="s">
        <v>16612</v>
      </c>
      <c r="AE7891" s="1" t="s">
        <v>27</v>
      </c>
      <c r="CI7891" s="1" t="s">
        <v>83</v>
      </c>
      <c r="EC7891" s="1" t="s">
        <v>129</v>
      </c>
      <c r="ED7891" s="1" t="s">
        <v>130</v>
      </c>
      <c r="GD7891" s="1" t="s">
        <v>193</v>
      </c>
      <c r="GE7891" s="1" t="s">
        <v>190</v>
      </c>
    </row>
    <row r="7892" spans="1:187" ht="11.25" customHeight="1">
      <c r="A7892" s="1" t="s">
        <v>11111</v>
      </c>
      <c r="B7892" s="1" t="str">
        <f ca="1">IFERROR(__xludf.DUMMYFUNCTION("GOOGLETRANSLATE(A7892, ""en"", ""fr"")"),"PRÉCEPTE")</f>
        <v>PRÉCEPTE</v>
      </c>
      <c r="C7892" s="1" t="s">
        <v>192</v>
      </c>
      <c r="D7892" s="1" t="s">
        <v>16612</v>
      </c>
      <c r="Z7892" s="1" t="s">
        <v>22</v>
      </c>
      <c r="GD7892" s="1" t="s">
        <v>193</v>
      </c>
      <c r="GE7892" s="1" t="s">
        <v>190</v>
      </c>
    </row>
    <row r="7893" spans="1:187" ht="11.25" customHeight="1">
      <c r="A7893" s="1" t="s">
        <v>11112</v>
      </c>
      <c r="B7893" s="1" t="str">
        <f ca="1">IFERROR(__xludf.DUMMYFUNCTION("GOOGLETRANSLATE(A7893, ""en"", ""fr"")"),"ENCEINTE")</f>
        <v>ENCEINTE</v>
      </c>
      <c r="C7893" s="1" t="s">
        <v>185</v>
      </c>
      <c r="AG7893" s="1" t="s">
        <v>29</v>
      </c>
      <c r="AH7893" s="1" t="s">
        <v>30</v>
      </c>
      <c r="AV7893" s="1" t="s">
        <v>44</v>
      </c>
      <c r="AX7893" s="1" t="s">
        <v>46</v>
      </c>
      <c r="EC7893" s="1" t="s">
        <v>129</v>
      </c>
      <c r="ED7893" s="1" t="s">
        <v>130</v>
      </c>
      <c r="GD7893" s="1" t="s">
        <v>193</v>
      </c>
      <c r="GE7893" s="1" t="s">
        <v>190</v>
      </c>
    </row>
    <row r="7894" spans="1:187" ht="11.25" customHeight="1">
      <c r="A7894" s="1" t="s">
        <v>11113</v>
      </c>
      <c r="B7894" s="1" t="str">
        <f ca="1">IFERROR(__xludf.DUMMYFUNCTION("GOOGLETRANSLATE(A7894, ""en"", ""fr"")"),"PRÉCIEUX")</f>
        <v>PRÉCIEUX</v>
      </c>
      <c r="C7894" s="1" t="s">
        <v>185</v>
      </c>
      <c r="D7894" s="1" t="s">
        <v>16612</v>
      </c>
      <c r="F7894" s="1" t="s">
        <v>2</v>
      </c>
      <c r="J7894" s="1" t="s">
        <v>6</v>
      </c>
      <c r="U7894" s="1" t="s">
        <v>17</v>
      </c>
      <c r="AA7894" s="1" t="s">
        <v>23</v>
      </c>
      <c r="CN7894" s="1" t="s">
        <v>88</v>
      </c>
      <c r="EV7894" s="1" t="s">
        <v>148</v>
      </c>
      <c r="EW7894" s="1" t="s">
        <v>149</v>
      </c>
      <c r="GD7894" s="1" t="s">
        <v>202</v>
      </c>
      <c r="GE7894" s="1" t="s">
        <v>190</v>
      </c>
    </row>
    <row r="7895" spans="1:187" ht="11.25" customHeight="1">
      <c r="A7895" s="1" t="s">
        <v>11114</v>
      </c>
      <c r="B7895" s="1" t="str">
        <f ca="1">IFERROR(__xludf.DUMMYFUNCTION("GOOGLETRANSLATE(A7895, ""en"", ""fr"")"),"PRÉCIPITÉ")</f>
        <v>PRÉCIPITÉ</v>
      </c>
      <c r="C7895" s="1" t="s">
        <v>192</v>
      </c>
      <c r="E7895" s="1" t="s">
        <v>16613</v>
      </c>
      <c r="CI7895" s="1" t="s">
        <v>83</v>
      </c>
      <c r="DN7895" s="1" t="s">
        <v>114</v>
      </c>
      <c r="GD7895" s="1" t="s">
        <v>189</v>
      </c>
      <c r="GE7895" s="1" t="s">
        <v>190</v>
      </c>
    </row>
    <row r="7896" spans="1:187" ht="11.25" customHeight="1">
      <c r="A7896" s="1" t="s">
        <v>11115</v>
      </c>
      <c r="B7896" s="1" t="str">
        <f ca="1">IFERROR(__xludf.DUMMYFUNCTION("GOOGLETRANSLATE(A7896, ""en"", ""fr"")"),"PRÉCIS")</f>
        <v>PRÉCIS</v>
      </c>
      <c r="C7896" s="1" t="s">
        <v>185</v>
      </c>
      <c r="D7896" s="1" t="s">
        <v>16612</v>
      </c>
      <c r="F7896" s="1" t="s">
        <v>2</v>
      </c>
      <c r="U7896" s="1" t="s">
        <v>17</v>
      </c>
      <c r="W7896" s="1" t="s">
        <v>19</v>
      </c>
      <c r="FY7896" s="1" t="s">
        <v>177</v>
      </c>
      <c r="GD7896" s="1" t="s">
        <v>202</v>
      </c>
      <c r="GE7896" s="1" t="s">
        <v>190</v>
      </c>
    </row>
    <row r="7897" spans="1:187" ht="11.25" customHeight="1">
      <c r="A7897" s="1" t="s">
        <v>11116</v>
      </c>
      <c r="B7897" s="1" t="str">
        <f ca="1">IFERROR(__xludf.DUMMYFUNCTION("GOOGLETRANSLATE(A7897, ""en"", ""fr"")"),"PRÉCISION")</f>
        <v>PRÉCISION</v>
      </c>
      <c r="C7897" s="1" t="s">
        <v>185</v>
      </c>
      <c r="D7897" s="1" t="s">
        <v>16612</v>
      </c>
      <c r="F7897" s="1" t="s">
        <v>2</v>
      </c>
      <c r="U7897" s="1" t="s">
        <v>17</v>
      </c>
      <c r="W7897" s="1" t="s">
        <v>19</v>
      </c>
      <c r="CP7897" s="1" t="s">
        <v>90</v>
      </c>
      <c r="CQ7897" s="1" t="s">
        <v>91</v>
      </c>
      <c r="FL7897" s="1" t="s">
        <v>164</v>
      </c>
      <c r="FM7897" s="1" t="s">
        <v>418</v>
      </c>
      <c r="GD7897" s="1" t="s">
        <v>193</v>
      </c>
      <c r="GE7897" s="1" t="s">
        <v>190</v>
      </c>
    </row>
    <row r="7898" spans="1:187" ht="11.25" customHeight="1">
      <c r="A7898" s="1" t="s">
        <v>11117</v>
      </c>
      <c r="B7898" s="1" t="str">
        <f ca="1">IFERROR(__xludf.DUMMYFUNCTION("GOOGLETRANSLATE(A7898, ""en"", ""fr"")"),"PRÉDÉCESSEUR")</f>
        <v>PRÉDÉCESSEUR</v>
      </c>
      <c r="C7898" s="1" t="s">
        <v>196</v>
      </c>
      <c r="DZ7898" s="1" t="s">
        <v>126</v>
      </c>
      <c r="ED7898" s="1" t="s">
        <v>130</v>
      </c>
      <c r="GD7898" s="1" t="s">
        <v>448</v>
      </c>
    </row>
    <row r="7899" spans="1:187" ht="11.25" customHeight="1">
      <c r="A7899" s="1" t="s">
        <v>11118</v>
      </c>
      <c r="B7899" s="1" t="str">
        <f ca="1">IFERROR(__xludf.DUMMYFUNCTION("GOOGLETRANSLATE(A7899, ""en"", ""fr"")"),"SITUATION DIFFICILE")</f>
        <v>SITUATION DIFFICILE</v>
      </c>
      <c r="C7899" s="1" t="s">
        <v>192</v>
      </c>
      <c r="E7899" s="1" t="s">
        <v>16613</v>
      </c>
      <c r="V7899" s="1" t="s">
        <v>18</v>
      </c>
      <c r="CM7899" s="1" t="s">
        <v>87</v>
      </c>
      <c r="GD7899" s="1" t="s">
        <v>193</v>
      </c>
      <c r="GE7899" s="1" t="s">
        <v>190</v>
      </c>
    </row>
    <row r="7900" spans="1:187" ht="11.25" customHeight="1">
      <c r="A7900" s="1" t="s">
        <v>11119</v>
      </c>
      <c r="B7900" s="1" t="str">
        <f ca="1">IFERROR(__xludf.DUMMYFUNCTION("GOOGLETRANSLATE(A7900, ""en"", ""fr"")"),"PRÉDIRE")</f>
        <v>PRÉDIRE</v>
      </c>
      <c r="C7900" s="1" t="s">
        <v>185</v>
      </c>
      <c r="O7900" s="1" t="s">
        <v>11</v>
      </c>
      <c r="CO7900" s="1" t="s">
        <v>89</v>
      </c>
      <c r="DN7900" s="1" t="s">
        <v>114</v>
      </c>
      <c r="FH7900" s="1" t="s">
        <v>160</v>
      </c>
      <c r="FI7900" s="1" t="s">
        <v>161</v>
      </c>
      <c r="GD7900" s="1" t="s">
        <v>189</v>
      </c>
      <c r="GE7900" s="1" t="s">
        <v>190</v>
      </c>
    </row>
    <row r="7901" spans="1:187" ht="11.25" customHeight="1">
      <c r="A7901" s="1" t="s">
        <v>11120</v>
      </c>
      <c r="B7901" s="1" t="str">
        <f ca="1">IFERROR(__xludf.DUMMYFUNCTION("GOOGLETRANSLATE(A7901, ""en"", ""fr"")"),"PRÉVISIBLE")</f>
        <v>PRÉVISIBLE</v>
      </c>
      <c r="C7901" s="1" t="s">
        <v>185</v>
      </c>
      <c r="W7901" s="1" t="s">
        <v>19</v>
      </c>
      <c r="CI7901" s="1" t="s">
        <v>83</v>
      </c>
      <c r="FH7901" s="1" t="s">
        <v>160</v>
      </c>
      <c r="FI7901" s="1" t="s">
        <v>161</v>
      </c>
      <c r="GD7901" s="1" t="s">
        <v>202</v>
      </c>
      <c r="GE7901" s="1" t="s">
        <v>190</v>
      </c>
    </row>
    <row r="7902" spans="1:187" ht="11.25" customHeight="1">
      <c r="A7902" s="1" t="s">
        <v>11121</v>
      </c>
      <c r="B7902" s="1" t="str">
        <f ca="1">IFERROR(__xludf.DUMMYFUNCTION("GOOGLETRANSLATE(A7902, ""en"", ""fr"")"),"PRÉDICTION")</f>
        <v>PRÉDICTION</v>
      </c>
      <c r="C7902" s="1" t="s">
        <v>185</v>
      </c>
      <c r="CI7902" s="1" t="s">
        <v>83</v>
      </c>
      <c r="FH7902" s="1" t="s">
        <v>160</v>
      </c>
      <c r="FI7902" s="1" t="s">
        <v>161</v>
      </c>
      <c r="GD7902" s="1" t="s">
        <v>193</v>
      </c>
      <c r="GE7902" s="1" t="s">
        <v>190</v>
      </c>
    </row>
    <row r="7903" spans="1:187" ht="11.25" customHeight="1">
      <c r="A7903" s="1" t="s">
        <v>11122</v>
      </c>
      <c r="B7903" s="1" t="str">
        <f ca="1">IFERROR(__xludf.DUMMYFUNCTION("GOOGLETRANSLATE(A7903, ""en"", ""fr"")"),"PRÉDOMINANT")</f>
        <v>PRÉDOMINANT</v>
      </c>
      <c r="C7903" s="1" t="s">
        <v>185</v>
      </c>
      <c r="J7903" s="1" t="s">
        <v>6</v>
      </c>
      <c r="W7903" s="1" t="s">
        <v>19</v>
      </c>
      <c r="CH7903" s="1" t="s">
        <v>82</v>
      </c>
      <c r="EC7903" s="1" t="s">
        <v>129</v>
      </c>
      <c r="ED7903" s="1" t="s">
        <v>130</v>
      </c>
      <c r="GD7903" s="1" t="s">
        <v>202</v>
      </c>
      <c r="GE7903" s="1" t="s">
        <v>190</v>
      </c>
    </row>
    <row r="7904" spans="1:187" ht="11.25" customHeight="1">
      <c r="A7904" s="1" t="s">
        <v>11123</v>
      </c>
      <c r="B7904" s="1" t="str">
        <f ca="1">IFERROR(__xludf.DUMMYFUNCTION("GOOGLETRANSLATE(A7904, ""en"", ""fr"")"),"PRÉDOMINER")</f>
        <v>PRÉDOMINER</v>
      </c>
      <c r="C7904" s="1" t="s">
        <v>185</v>
      </c>
      <c r="J7904" s="1" t="s">
        <v>6</v>
      </c>
      <c r="K7904" s="1" t="s">
        <v>7</v>
      </c>
      <c r="W7904" s="1" t="s">
        <v>19</v>
      </c>
      <c r="AN7904" s="1" t="s">
        <v>36</v>
      </c>
      <c r="DN7904" s="1" t="s">
        <v>114</v>
      </c>
      <c r="EC7904" s="1" t="s">
        <v>129</v>
      </c>
      <c r="ED7904" s="1" t="s">
        <v>130</v>
      </c>
      <c r="GD7904" s="1" t="s">
        <v>189</v>
      </c>
      <c r="GE7904" s="1" t="s">
        <v>190</v>
      </c>
    </row>
    <row r="7905" spans="1:187" ht="11.25" customHeight="1">
      <c r="A7905" s="1" t="s">
        <v>11124</v>
      </c>
      <c r="B7905" s="1" t="str">
        <f ca="1">IFERROR(__xludf.DUMMYFUNCTION("GOOGLETRANSLATE(A7905, ""en"", ""fr"")"),"PRÉÉMINENT")</f>
        <v>PRÉÉMINENT</v>
      </c>
      <c r="C7905" s="1" t="s">
        <v>192</v>
      </c>
      <c r="D7905" s="1" t="s">
        <v>16612</v>
      </c>
      <c r="J7905" s="1" t="s">
        <v>6</v>
      </c>
      <c r="K7905" s="1" t="s">
        <v>7</v>
      </c>
      <c r="CM7905" s="1" t="s">
        <v>87</v>
      </c>
      <c r="DR7905" s="1" t="s">
        <v>118</v>
      </c>
      <c r="GD7905" s="1" t="s">
        <v>202</v>
      </c>
      <c r="GE7905" s="1" t="s">
        <v>190</v>
      </c>
    </row>
    <row r="7906" spans="1:187" ht="11.25" customHeight="1">
      <c r="A7906" s="1" t="s">
        <v>11125</v>
      </c>
      <c r="B7906" s="1" t="str">
        <f ca="1">IFERROR(__xludf.DUMMYFUNCTION("GOOGLETRANSLATE(A7906, ""en"", ""fr"")"),"PRÉFÉRER")</f>
        <v>PRÉFÉRER</v>
      </c>
      <c r="C7906" s="1" t="s">
        <v>185</v>
      </c>
      <c r="O7906" s="1" t="s">
        <v>11</v>
      </c>
      <c r="BN7906" s="1" t="s">
        <v>62</v>
      </c>
      <c r="DN7906" s="1" t="s">
        <v>114</v>
      </c>
      <c r="FX7906" s="1" t="s">
        <v>176</v>
      </c>
      <c r="GD7906" s="1" t="s">
        <v>189</v>
      </c>
      <c r="GE7906" s="1" t="s">
        <v>11126</v>
      </c>
    </row>
    <row r="7907" spans="1:187" ht="11.25" customHeight="1">
      <c r="A7907" s="1" t="s">
        <v>11127</v>
      </c>
      <c r="B7907" s="1" t="str">
        <f ca="1">IFERROR(__xludf.DUMMYFUNCTION("GOOGLETRANSLATE(A7907, ""en"", ""fr"")"),"PRÉFÉRABLE")</f>
        <v>PRÉFÉRABLE</v>
      </c>
      <c r="C7907" s="1" t="s">
        <v>196</v>
      </c>
      <c r="FX7907" s="1" t="s">
        <v>176</v>
      </c>
      <c r="GD7907" s="1" t="s">
        <v>202</v>
      </c>
    </row>
    <row r="7908" spans="1:187" ht="11.25" customHeight="1">
      <c r="A7908" s="1" t="s">
        <v>11128</v>
      </c>
      <c r="B7908" s="1" t="str">
        <f ca="1">IFERROR(__xludf.DUMMYFUNCTION("GOOGLETRANSLATE(A7908, ""en"", ""fr"")"),"DE PRÉFÉRENCE")</f>
        <v>DE PRÉFÉRENCE</v>
      </c>
      <c r="C7908" s="1" t="s">
        <v>185</v>
      </c>
      <c r="U7908" s="1" t="s">
        <v>17</v>
      </c>
      <c r="FX7908" s="1" t="s">
        <v>176</v>
      </c>
      <c r="GD7908" s="1" t="s">
        <v>236</v>
      </c>
      <c r="GE7908" s="1" t="s">
        <v>190</v>
      </c>
    </row>
    <row r="7909" spans="1:187" ht="11.25" customHeight="1">
      <c r="A7909" s="1" t="s">
        <v>11129</v>
      </c>
      <c r="B7909" s="1" t="str">
        <f ca="1">IFERROR(__xludf.DUMMYFUNCTION("GOOGLETRANSLATE(A7909, ""en"", ""fr"")"),"PRÉFÉRENCE")</f>
        <v>PRÉFÉRENCE</v>
      </c>
      <c r="C7909" s="1" t="s">
        <v>185</v>
      </c>
      <c r="D7909" s="1" t="s">
        <v>16612</v>
      </c>
      <c r="R7909" s="1" t="s">
        <v>14</v>
      </c>
      <c r="S7909" s="1" t="s">
        <v>15</v>
      </c>
      <c r="FX7909" s="1" t="s">
        <v>176</v>
      </c>
      <c r="GD7909" s="1" t="s">
        <v>193</v>
      </c>
      <c r="GE7909" s="1" t="s">
        <v>190</v>
      </c>
    </row>
    <row r="7910" spans="1:187" ht="11.25" customHeight="1">
      <c r="A7910" s="1" t="s">
        <v>11130</v>
      </c>
      <c r="B7910" s="1" t="str">
        <f ca="1">IFERROR(__xludf.DUMMYFUNCTION("GOOGLETRANSLATE(A7910, ""en"", ""fr"")"),"GROSSESSE")</f>
        <v>GROSSESSE</v>
      </c>
      <c r="C7910" s="1" t="s">
        <v>185</v>
      </c>
      <c r="BU7910" s="1" t="s">
        <v>69</v>
      </c>
      <c r="EZ7910" s="1" t="s">
        <v>152</v>
      </c>
      <c r="FC7910" s="1" t="s">
        <v>155</v>
      </c>
      <c r="GD7910" s="1" t="s">
        <v>193</v>
      </c>
      <c r="GE7910" s="1" t="s">
        <v>190</v>
      </c>
    </row>
    <row r="7911" spans="1:187" ht="11.25" customHeight="1">
      <c r="A7911" s="1" t="s">
        <v>11131</v>
      </c>
      <c r="B7911" s="1" t="str">
        <f ca="1">IFERROR(__xludf.DUMMYFUNCTION("GOOGLETRANSLATE(A7911, ""en"", ""fr"")"),"ENCEINTE")</f>
        <v>ENCEINTE</v>
      </c>
      <c r="C7911" s="1" t="s">
        <v>185</v>
      </c>
      <c r="BU7911" s="1" t="s">
        <v>69</v>
      </c>
      <c r="EZ7911" s="1" t="s">
        <v>152</v>
      </c>
      <c r="FC7911" s="1" t="s">
        <v>155</v>
      </c>
      <c r="GD7911" s="1" t="s">
        <v>202</v>
      </c>
      <c r="GE7911" s="1" t="s">
        <v>11132</v>
      </c>
    </row>
    <row r="7912" spans="1:187" ht="11.25" customHeight="1">
      <c r="A7912" s="1" t="s">
        <v>11133</v>
      </c>
      <c r="B7912" s="1" t="str">
        <f ca="1">IFERROR(__xludf.DUMMYFUNCTION("GOOGLETRANSLATE(A7912, ""en"", ""fr"")"),"PRÉJUGÉ")</f>
        <v>PRÉJUGÉ</v>
      </c>
      <c r="C7912" s="1" t="s">
        <v>185</v>
      </c>
      <c r="E7912" s="1" t="s">
        <v>16613</v>
      </c>
      <c r="H7912" s="1" t="s">
        <v>4</v>
      </c>
      <c r="I7912" s="1" t="s">
        <v>5</v>
      </c>
      <c r="S7912" s="1" t="s">
        <v>15</v>
      </c>
      <c r="T7912" s="1" t="s">
        <v>16</v>
      </c>
      <c r="AO7912" s="1" t="s">
        <v>37</v>
      </c>
      <c r="EM7912" s="1" t="s">
        <v>139</v>
      </c>
      <c r="EN7912" s="1" t="s">
        <v>140</v>
      </c>
      <c r="GD7912" s="1" t="s">
        <v>193</v>
      </c>
      <c r="GE7912" s="1" t="s">
        <v>190</v>
      </c>
    </row>
    <row r="7913" spans="1:187" ht="11.25" customHeight="1">
      <c r="A7913" s="1" t="s">
        <v>11134</v>
      </c>
      <c r="B7913" s="1" t="str">
        <f ca="1">IFERROR(__xludf.DUMMYFUNCTION("GOOGLETRANSLATE(A7913, ""en"", ""fr"")"),"PRÉJUDICIABLE")</f>
        <v>PRÉJUDICIABLE</v>
      </c>
      <c r="C7913" s="1" t="s">
        <v>185</v>
      </c>
      <c r="E7913" s="1" t="s">
        <v>16613</v>
      </c>
      <c r="R7913" s="1" t="s">
        <v>14</v>
      </c>
      <c r="CI7913" s="1" t="s">
        <v>83</v>
      </c>
      <c r="DR7913" s="1" t="s">
        <v>118</v>
      </c>
      <c r="FW7913" s="1" t="s">
        <v>175</v>
      </c>
      <c r="GD7913" s="1" t="s">
        <v>202</v>
      </c>
      <c r="GE7913" s="1" t="s">
        <v>190</v>
      </c>
    </row>
    <row r="7914" spans="1:187" ht="11.25" customHeight="1">
      <c r="A7914" s="1" t="s">
        <v>11135</v>
      </c>
      <c r="B7914" s="1" t="str">
        <f ca="1">IFERROR(__xludf.DUMMYFUNCTION("GOOGLETRANSLATE(A7914, ""en"", ""fr"")"),"PRÉLIMINAIRE")</f>
        <v>PRÉLIMINAIRE</v>
      </c>
      <c r="C7914" s="1" t="s">
        <v>185</v>
      </c>
      <c r="CY7914" s="1" t="s">
        <v>99</v>
      </c>
      <c r="GD7914" s="1" t="s">
        <v>202</v>
      </c>
      <c r="GE7914" s="1" t="s">
        <v>190</v>
      </c>
    </row>
    <row r="7915" spans="1:187" ht="11.25" customHeight="1">
      <c r="A7915" s="1" t="s">
        <v>11136</v>
      </c>
      <c r="B7915" s="1" t="str">
        <f ca="1">IFERROR(__xludf.DUMMYFUNCTION("GOOGLETRANSLATE(A7915, ""en"", ""fr"")"),"PRÉLUDE")</f>
        <v>PRÉLUDE</v>
      </c>
      <c r="C7915" s="1" t="s">
        <v>196</v>
      </c>
      <c r="GB7915" s="1" t="s">
        <v>180</v>
      </c>
      <c r="GD7915" s="1" t="s">
        <v>193</v>
      </c>
    </row>
    <row r="7916" spans="1:187" ht="11.25" customHeight="1">
      <c r="A7916" s="1" t="s">
        <v>11137</v>
      </c>
      <c r="B7916" s="1" t="str">
        <f ca="1">IFERROR(__xludf.DUMMYFUNCTION("GOOGLETRANSLATE(A7916, ""en"", ""fr"")"),"PRÉMATURÉ")</f>
        <v>PRÉMATURÉ</v>
      </c>
      <c r="C7916" s="1" t="s">
        <v>185</v>
      </c>
      <c r="L7916" s="1" t="s">
        <v>8</v>
      </c>
      <c r="CY7916" s="1" t="s">
        <v>99</v>
      </c>
      <c r="GB7916" s="1" t="s">
        <v>180</v>
      </c>
      <c r="GD7916" s="1" t="s">
        <v>236</v>
      </c>
      <c r="GE7916" s="1" t="s">
        <v>190</v>
      </c>
    </row>
    <row r="7917" spans="1:187" ht="11.25" customHeight="1">
      <c r="A7917" s="1" t="s">
        <v>11138</v>
      </c>
      <c r="B7917" s="1" t="str">
        <f ca="1">IFERROR(__xludf.DUMMYFUNCTION("GOOGLETRANSLATE(A7917, ""en"", ""fr"")"),"PREMIER")</f>
        <v>PREMIER</v>
      </c>
      <c r="C7917" s="1" t="s">
        <v>192</v>
      </c>
      <c r="D7917" s="1" t="s">
        <v>16612</v>
      </c>
      <c r="BV7917" s="1" t="s">
        <v>70</v>
      </c>
      <c r="GD7917" s="1" t="s">
        <v>193</v>
      </c>
      <c r="GE7917" s="1" t="s">
        <v>190</v>
      </c>
    </row>
    <row r="7918" spans="1:187" ht="11.25" customHeight="1">
      <c r="A7918" s="1" t="s">
        <v>11139</v>
      </c>
      <c r="B7918" s="1" t="str">
        <f ca="1">IFERROR(__xludf.DUMMYFUNCTION("GOOGLETRANSLATE(A7918, ""en"", ""fr"")"),"PRÉMISSE")</f>
        <v>PRÉMISSE</v>
      </c>
      <c r="C7918" s="1" t="s">
        <v>192</v>
      </c>
      <c r="D7918" s="1" t="s">
        <v>16612</v>
      </c>
      <c r="G7918" s="1" t="s">
        <v>3</v>
      </c>
      <c r="CI7918" s="1" t="s">
        <v>83</v>
      </c>
      <c r="GD7918" s="1" t="s">
        <v>193</v>
      </c>
      <c r="GE7918" s="1" t="s">
        <v>190</v>
      </c>
    </row>
    <row r="7919" spans="1:187" ht="11.25" customHeight="1">
      <c r="A7919" s="1" t="s">
        <v>11140</v>
      </c>
      <c r="B7919" s="1" t="str">
        <f ca="1">IFERROR(__xludf.DUMMYFUNCTION("GOOGLETRANSLATE(A7919, ""en"", ""fr"")"),"LOCAUX")</f>
        <v>LOCAUX</v>
      </c>
      <c r="C7919" s="1" t="s">
        <v>196</v>
      </c>
      <c r="GD7919" s="1" t="s">
        <v>193</v>
      </c>
    </row>
    <row r="7920" spans="1:187" ht="11.25" customHeight="1">
      <c r="A7920" s="1" t="s">
        <v>11141</v>
      </c>
      <c r="B7920" s="1" t="str">
        <f ca="1">IFERROR(__xludf.DUMMYFUNCTION("GOOGLETRANSLATE(A7920, ""en"", ""fr"")"),"PRIME")</f>
        <v>PRIME</v>
      </c>
      <c r="C7920" s="1" t="s">
        <v>192</v>
      </c>
      <c r="D7920" s="1" t="s">
        <v>16612</v>
      </c>
      <c r="U7920" s="1" t="s">
        <v>17</v>
      </c>
      <c r="CM7920" s="1" t="s">
        <v>87</v>
      </c>
      <c r="DR7920" s="1" t="s">
        <v>118</v>
      </c>
      <c r="GD7920" s="1" t="s">
        <v>202</v>
      </c>
      <c r="GE7920" s="1" t="s">
        <v>190</v>
      </c>
    </row>
    <row r="7921" spans="1:187" ht="11.25" customHeight="1">
      <c r="A7921" s="1" t="s">
        <v>11142</v>
      </c>
      <c r="B7921" s="1" t="str">
        <f ca="1">IFERROR(__xludf.DUMMYFUNCTION("GOOGLETRANSLATE(A7921, ""en"", ""fr"")"),"PRÉOCCUPATION")</f>
        <v>PRÉOCCUPATION</v>
      </c>
      <c r="C7921" s="1" t="s">
        <v>185</v>
      </c>
      <c r="S7921" s="1" t="s">
        <v>15</v>
      </c>
      <c r="FH7921" s="1" t="s">
        <v>160</v>
      </c>
      <c r="FI7921" s="1" t="s">
        <v>161</v>
      </c>
      <c r="GD7921" s="1" t="s">
        <v>193</v>
      </c>
      <c r="GE7921" s="1" t="s">
        <v>190</v>
      </c>
    </row>
    <row r="7922" spans="1:187" ht="11.25" customHeight="1">
      <c r="A7922" s="1" t="s">
        <v>11143</v>
      </c>
      <c r="B7922" s="1" t="str">
        <f ca="1">IFERROR(__xludf.DUMMYFUNCTION("GOOGLETRANSLATE(A7922, ""en"", ""fr"")"),"PRÉOCCUPER")</f>
        <v>PRÉOCCUPER</v>
      </c>
      <c r="C7922" s="1" t="s">
        <v>185</v>
      </c>
      <c r="S7922" s="1" t="s">
        <v>15</v>
      </c>
      <c r="DN7922" s="1" t="s">
        <v>114</v>
      </c>
      <c r="FH7922" s="1" t="s">
        <v>160</v>
      </c>
      <c r="FI7922" s="1" t="s">
        <v>161</v>
      </c>
      <c r="GD7922" s="1" t="s">
        <v>189</v>
      </c>
      <c r="GE7922" s="1" t="s">
        <v>190</v>
      </c>
    </row>
    <row r="7923" spans="1:187" ht="11.25" customHeight="1">
      <c r="A7923" s="1" t="s">
        <v>11144</v>
      </c>
      <c r="B7923" s="1" t="str">
        <f ca="1">IFERROR(__xludf.DUMMYFUNCTION("GOOGLETRANSLATE(A7923, ""en"", ""fr"")"),"PRÉPARATION")</f>
        <v>PRÉPARATION</v>
      </c>
      <c r="C7923" s="1" t="s">
        <v>185</v>
      </c>
      <c r="N7923" s="1" t="s">
        <v>10</v>
      </c>
      <c r="BW7923" s="1" t="s">
        <v>71</v>
      </c>
      <c r="GD7923" s="1" t="s">
        <v>193</v>
      </c>
      <c r="GE7923" s="1" t="s">
        <v>190</v>
      </c>
    </row>
    <row r="7924" spans="1:187" ht="11.25" customHeight="1">
      <c r="A7924" s="1" t="s">
        <v>11145</v>
      </c>
      <c r="B7924" s="1" t="str">
        <f ca="1">IFERROR(__xludf.DUMMYFUNCTION("GOOGLETRANSLATE(A7924, ""en"", ""fr"")"),"PRÉPARATOIRE")</f>
        <v>PRÉPARATOIRE</v>
      </c>
      <c r="C7924" s="1" t="s">
        <v>192</v>
      </c>
      <c r="D7924" s="1" t="s">
        <v>16612</v>
      </c>
      <c r="G7924" s="1" t="s">
        <v>3</v>
      </c>
      <c r="CI7924" s="1" t="s">
        <v>83</v>
      </c>
      <c r="DR7924" s="1" t="s">
        <v>118</v>
      </c>
      <c r="GD7924" s="1" t="s">
        <v>202</v>
      </c>
      <c r="GE7924" s="1" t="s">
        <v>190</v>
      </c>
    </row>
    <row r="7925" spans="1:187" ht="11.25" customHeight="1">
      <c r="A7925" s="1" t="s">
        <v>11146</v>
      </c>
      <c r="B7925" s="1" t="str">
        <f ca="1">IFERROR(__xludf.DUMMYFUNCTION("GOOGLETRANSLATE(A7925, ""en"", ""fr"")"),"Préparer le n ° 1")</f>
        <v>Préparer le n ° 1</v>
      </c>
      <c r="C7925" s="1" t="s">
        <v>185</v>
      </c>
      <c r="J7925" s="1" t="s">
        <v>6</v>
      </c>
      <c r="N7925" s="1" t="s">
        <v>10</v>
      </c>
      <c r="BV7925" s="1" t="s">
        <v>70</v>
      </c>
      <c r="DN7925" s="1" t="s">
        <v>114</v>
      </c>
      <c r="FP7925" s="1" t="s">
        <v>168</v>
      </c>
      <c r="GD7925" s="1" t="s">
        <v>189</v>
      </c>
      <c r="GE7925" s="1" t="s">
        <v>11147</v>
      </c>
    </row>
    <row r="7926" spans="1:187" ht="11.25" customHeight="1">
      <c r="A7926" s="1" t="s">
        <v>11148</v>
      </c>
      <c r="B7926" s="1" t="str">
        <f ca="1">IFERROR(__xludf.DUMMYFUNCTION("GOOGLETRANSLATE(A7926, ""en"", ""fr"")"),"Préparer le n ° 2")</f>
        <v>Préparer le n ° 2</v>
      </c>
      <c r="C7926" s="1" t="s">
        <v>185</v>
      </c>
      <c r="J7926" s="1" t="s">
        <v>6</v>
      </c>
      <c r="BQ7926" s="1" t="s">
        <v>65</v>
      </c>
      <c r="FL7926" s="1" t="s">
        <v>164</v>
      </c>
      <c r="FM7926" s="1" t="s">
        <v>418</v>
      </c>
      <c r="GD7926" s="1" t="s">
        <v>202</v>
      </c>
      <c r="GE7926" s="1" t="s">
        <v>11149</v>
      </c>
    </row>
    <row r="7927" spans="1:187" ht="11.25" customHeight="1">
      <c r="A7927" s="1" t="s">
        <v>11150</v>
      </c>
      <c r="B7927" s="1" t="str">
        <f ca="1">IFERROR(__xludf.DUMMYFUNCTION("GOOGLETRANSLATE(A7927, ""en"", ""fr"")"),"ABSURDE")</f>
        <v>ABSURDE</v>
      </c>
      <c r="C7927" s="1" t="s">
        <v>192</v>
      </c>
      <c r="E7927" s="1" t="s">
        <v>16613</v>
      </c>
      <c r="V7927" s="1" t="s">
        <v>18</v>
      </c>
      <c r="CM7927" s="1" t="s">
        <v>87</v>
      </c>
      <c r="DR7927" s="1" t="s">
        <v>118</v>
      </c>
      <c r="GD7927" s="1" t="s">
        <v>202</v>
      </c>
      <c r="GE7927" s="1" t="s">
        <v>190</v>
      </c>
    </row>
    <row r="7928" spans="1:187" ht="11.25" customHeight="1">
      <c r="A7928" s="1" t="s">
        <v>11151</v>
      </c>
      <c r="B7928" s="1" t="str">
        <f ca="1">IFERROR(__xludf.DUMMYFUNCTION("GOOGLETRANSLATE(A7928, ""en"", ""fr"")"),"PRÉREQUIS")</f>
        <v>PRÉREQUIS</v>
      </c>
      <c r="C7928" s="1" t="s">
        <v>185</v>
      </c>
      <c r="BQ7928" s="1" t="s">
        <v>65</v>
      </c>
      <c r="FL7928" s="1" t="s">
        <v>164</v>
      </c>
      <c r="FM7928" s="1" t="s">
        <v>418</v>
      </c>
      <c r="GD7928" s="1" t="s">
        <v>193</v>
      </c>
      <c r="GE7928" s="1" t="s">
        <v>190</v>
      </c>
    </row>
    <row r="7929" spans="1:187" ht="11.25" customHeight="1">
      <c r="A7929" s="1" t="s">
        <v>11152</v>
      </c>
      <c r="B7929" s="1" t="str">
        <f ca="1">IFERROR(__xludf.DUMMYFUNCTION("GOOGLETRANSLATE(A7929, ""en"", ""fr"")"),"PRESCRIRE")</f>
        <v>PRESCRIRE</v>
      </c>
      <c r="C7929" s="1" t="s">
        <v>196</v>
      </c>
      <c r="EB7929" s="1" t="s">
        <v>128</v>
      </c>
      <c r="ED7929" s="1" t="s">
        <v>130</v>
      </c>
      <c r="GD7929" s="1" t="s">
        <v>189</v>
      </c>
    </row>
    <row r="7930" spans="1:187" ht="11.25" customHeight="1">
      <c r="A7930" s="1" t="s">
        <v>11153</v>
      </c>
      <c r="B7930" s="1" t="str">
        <f ca="1">IFERROR(__xludf.DUMMYFUNCTION("GOOGLETRANSLATE(A7930, ""en"", ""fr"")"),"ORDONNANCE")</f>
        <v>ORDONNANCE</v>
      </c>
      <c r="C7930" s="1" t="s">
        <v>185</v>
      </c>
      <c r="BK7930" s="1" t="s">
        <v>59</v>
      </c>
      <c r="BL7930" s="1" t="s">
        <v>60</v>
      </c>
      <c r="EZ7930" s="1" t="s">
        <v>152</v>
      </c>
      <c r="FC7930" s="1" t="s">
        <v>155</v>
      </c>
      <c r="GC7930" s="1" t="s">
        <v>181</v>
      </c>
      <c r="GD7930" s="1" t="s">
        <v>193</v>
      </c>
      <c r="GE7930" s="1" t="s">
        <v>190</v>
      </c>
    </row>
    <row r="7931" spans="1:187" ht="11.25" customHeight="1">
      <c r="A7931" s="1" t="s">
        <v>11154</v>
      </c>
      <c r="B7931" s="1" t="str">
        <f ca="1">IFERROR(__xludf.DUMMYFUNCTION("GOOGLETRANSLATE(A7931, ""en"", ""fr"")"),"PRÉSENCE")</f>
        <v>PRÉSENCE</v>
      </c>
      <c r="C7931" s="1" t="s">
        <v>185</v>
      </c>
      <c r="CH7931" s="1" t="s">
        <v>82</v>
      </c>
      <c r="GD7931" s="1" t="s">
        <v>193</v>
      </c>
      <c r="GE7931" s="1" t="s">
        <v>190</v>
      </c>
    </row>
    <row r="7932" spans="1:187" ht="11.25" customHeight="1">
      <c r="A7932" s="1" t="s">
        <v>11155</v>
      </c>
      <c r="B7932" s="1" t="str">
        <f ca="1">IFERROR(__xludf.DUMMYFUNCTION("GOOGLETRANSLATE(A7932, ""en"", ""fr"")"),"Présent # 1")</f>
        <v>Présent # 1</v>
      </c>
      <c r="C7932" s="1" t="s">
        <v>185</v>
      </c>
      <c r="CY7932" s="1" t="s">
        <v>99</v>
      </c>
      <c r="GB7932" s="1" t="s">
        <v>180</v>
      </c>
      <c r="GD7932" s="1" t="s">
        <v>202</v>
      </c>
      <c r="GE7932" s="1" t="s">
        <v>11156</v>
      </c>
    </row>
    <row r="7933" spans="1:187" ht="11.25" customHeight="1">
      <c r="A7933" s="1" t="s">
        <v>11157</v>
      </c>
      <c r="B7933" s="1" t="str">
        <f ca="1">IFERROR(__xludf.DUMMYFUNCTION("GOOGLETRANSLATE(A7933, ""en"", ""fr"")"),"Présent # 2")</f>
        <v>Présent # 2</v>
      </c>
      <c r="C7933" s="1" t="s">
        <v>185</v>
      </c>
      <c r="W7933" s="1" t="s">
        <v>19</v>
      </c>
      <c r="CY7933" s="1" t="s">
        <v>99</v>
      </c>
      <c r="GB7933" s="1" t="s">
        <v>180</v>
      </c>
      <c r="GD7933" s="1" t="s">
        <v>236</v>
      </c>
      <c r="GE7933" s="1" t="s">
        <v>11158</v>
      </c>
    </row>
    <row r="7934" spans="1:187" ht="11.25" customHeight="1">
      <c r="A7934" s="1" t="s">
        <v>11159</v>
      </c>
      <c r="B7934" s="1" t="str">
        <f ca="1">IFERROR(__xludf.DUMMYFUNCTION("GOOGLETRANSLATE(A7934, ""en"", ""fr"")"),"Présent # 3")</f>
        <v>Présent # 3</v>
      </c>
      <c r="C7934" s="1" t="s">
        <v>185</v>
      </c>
      <c r="G7934" s="1" t="s">
        <v>3</v>
      </c>
      <c r="N7934" s="1" t="s">
        <v>10</v>
      </c>
      <c r="AN7934" s="1" t="s">
        <v>36</v>
      </c>
      <c r="DN7934" s="1" t="s">
        <v>114</v>
      </c>
      <c r="FN7934" s="1" t="s">
        <v>166</v>
      </c>
      <c r="GD7934" s="1" t="s">
        <v>189</v>
      </c>
      <c r="GE7934" s="1" t="s">
        <v>11160</v>
      </c>
    </row>
    <row r="7935" spans="1:187" ht="11.25" customHeight="1">
      <c r="A7935" s="1" t="s">
        <v>11161</v>
      </c>
      <c r="B7935" s="1" t="str">
        <f ca="1">IFERROR(__xludf.DUMMYFUNCTION("GOOGLETRANSLATE(A7935, ""en"", ""fr"")"),"Présent # 4")</f>
        <v>Présent # 4</v>
      </c>
      <c r="C7935" s="1" t="s">
        <v>185</v>
      </c>
      <c r="DA7935" s="1" t="s">
        <v>101</v>
      </c>
      <c r="GB7935" s="1" t="s">
        <v>180</v>
      </c>
      <c r="GD7935" s="1" t="s">
        <v>202</v>
      </c>
      <c r="GE7935" s="1" t="s">
        <v>11162</v>
      </c>
    </row>
    <row r="7936" spans="1:187" ht="11.25" customHeight="1">
      <c r="A7936" s="1" t="s">
        <v>11163</v>
      </c>
      <c r="B7936" s="1" t="str">
        <f ca="1">IFERROR(__xludf.DUMMYFUNCTION("GOOGLETRANSLATE(A7936, ""en"", ""fr"")"),"Présent # 5")</f>
        <v>Présent # 5</v>
      </c>
      <c r="C7936" s="1" t="s">
        <v>185</v>
      </c>
      <c r="G7936" s="1" t="s">
        <v>3</v>
      </c>
      <c r="BC7936" s="1" t="s">
        <v>51</v>
      </c>
      <c r="BH7936" s="1" t="s">
        <v>56</v>
      </c>
      <c r="EV7936" s="1" t="s">
        <v>148</v>
      </c>
      <c r="EW7936" s="1" t="s">
        <v>149</v>
      </c>
      <c r="GD7936" s="1" t="s">
        <v>193</v>
      </c>
      <c r="GE7936" s="1" t="s">
        <v>11164</v>
      </c>
    </row>
    <row r="7937" spans="1:187" ht="11.25" customHeight="1">
      <c r="A7937" s="1" t="s">
        <v>11165</v>
      </c>
      <c r="B7937" s="1" t="str">
        <f ca="1">IFERROR(__xludf.DUMMYFUNCTION("GOOGLETRANSLATE(A7937, ""en"", ""fr"")"),"Présent # 6")</f>
        <v>Présent # 6</v>
      </c>
      <c r="C7937" s="1" t="s">
        <v>185</v>
      </c>
      <c r="CY7937" s="1" t="s">
        <v>99</v>
      </c>
      <c r="GB7937" s="1" t="s">
        <v>180</v>
      </c>
      <c r="GD7937" s="1" t="s">
        <v>193</v>
      </c>
      <c r="GE7937" s="1" t="s">
        <v>11166</v>
      </c>
    </row>
    <row r="7938" spans="1:187" ht="11.25" customHeight="1">
      <c r="A7938" s="1" t="s">
        <v>11167</v>
      </c>
      <c r="B7938" s="1" t="str">
        <f ca="1">IFERROR(__xludf.DUMMYFUNCTION("GOOGLETRANSLATE(A7938, ""en"", ""fr"")"),"AUJOURD'HUI")</f>
        <v>AUJOURD'HUI</v>
      </c>
      <c r="C7938" s="1" t="s">
        <v>196</v>
      </c>
      <c r="GB7938" s="1" t="s">
        <v>180</v>
      </c>
      <c r="GD7938" s="1" t="s">
        <v>202</v>
      </c>
    </row>
    <row r="7939" spans="1:187" ht="11.25" customHeight="1">
      <c r="A7939" s="1" t="s">
        <v>11168</v>
      </c>
      <c r="B7939" s="1" t="str">
        <f ca="1">IFERROR(__xludf.DUMMYFUNCTION("GOOGLETRANSLATE(A7939, ""en"", ""fr"")"),"PRÉSENTATION")</f>
        <v>PRÉSENTATION</v>
      </c>
      <c r="C7939" s="1" t="s">
        <v>185</v>
      </c>
      <c r="BK7939" s="1" t="s">
        <v>59</v>
      </c>
      <c r="BL7939" s="1" t="s">
        <v>60</v>
      </c>
      <c r="GC7939" s="1" t="s">
        <v>181</v>
      </c>
      <c r="GD7939" s="1" t="s">
        <v>193</v>
      </c>
      <c r="GE7939" s="1" t="s">
        <v>190</v>
      </c>
    </row>
    <row r="7940" spans="1:187" ht="11.25" customHeight="1">
      <c r="A7940" s="1" t="s">
        <v>11169</v>
      </c>
      <c r="B7940" s="1" t="str">
        <f ca="1">IFERROR(__xludf.DUMMYFUNCTION("GOOGLETRANSLATE(A7940, ""en"", ""fr"")"),"PRÉSERVATION")</f>
        <v>PRÉSERVATION</v>
      </c>
      <c r="C7940" s="1" t="s">
        <v>185</v>
      </c>
      <c r="BQ7940" s="1" t="s">
        <v>65</v>
      </c>
      <c r="GD7940" s="1" t="s">
        <v>193</v>
      </c>
      <c r="GE7940" s="1" t="s">
        <v>190</v>
      </c>
    </row>
    <row r="7941" spans="1:187" ht="11.25" customHeight="1">
      <c r="A7941" s="1" t="s">
        <v>11170</v>
      </c>
      <c r="B7941" s="1" t="str">
        <f ca="1">IFERROR(__xludf.DUMMYFUNCTION("GOOGLETRANSLATE(A7941, ""en"", ""fr"")"),"PRÉSERVER")</f>
        <v>PRÉSERVER</v>
      </c>
      <c r="C7941" s="1" t="s">
        <v>185</v>
      </c>
      <c r="J7941" s="1" t="s">
        <v>6</v>
      </c>
      <c r="N7941" s="1" t="s">
        <v>10</v>
      </c>
      <c r="AL7941" s="1" t="s">
        <v>34</v>
      </c>
      <c r="DN7941" s="1" t="s">
        <v>114</v>
      </c>
      <c r="FP7941" s="1" t="s">
        <v>168</v>
      </c>
      <c r="GD7941" s="1" t="s">
        <v>189</v>
      </c>
      <c r="GE7941" s="1" t="s">
        <v>190</v>
      </c>
    </row>
    <row r="7942" spans="1:187" ht="11.25" customHeight="1">
      <c r="A7942" s="1" t="s">
        <v>11171</v>
      </c>
      <c r="B7942" s="1" t="str">
        <f ca="1">IFERROR(__xludf.DUMMYFUNCTION("GOOGLETRANSLATE(A7942, ""en"", ""fr"")"),"PRÉSIDER")</f>
        <v>PRÉSIDER</v>
      </c>
      <c r="C7942" s="1" t="s">
        <v>185</v>
      </c>
      <c r="J7942" s="1" t="s">
        <v>6</v>
      </c>
      <c r="K7942" s="1" t="s">
        <v>7</v>
      </c>
      <c r="N7942" s="1" t="s">
        <v>10</v>
      </c>
      <c r="AN7942" s="1" t="s">
        <v>36</v>
      </c>
      <c r="DN7942" s="1" t="s">
        <v>114</v>
      </c>
      <c r="EB7942" s="1" t="s">
        <v>128</v>
      </c>
      <c r="ED7942" s="1" t="s">
        <v>130</v>
      </c>
      <c r="GD7942" s="1" t="s">
        <v>189</v>
      </c>
      <c r="GE7942" s="1" t="s">
        <v>190</v>
      </c>
    </row>
    <row r="7943" spans="1:187" ht="11.25" customHeight="1">
      <c r="A7943" s="1" t="s">
        <v>11172</v>
      </c>
      <c r="B7943" s="1" t="str">
        <f ca="1">IFERROR(__xludf.DUMMYFUNCTION("GOOGLETRANSLATE(A7943, ""en"", ""fr"")"),"PRÉSIDENCE")</f>
        <v>PRÉSIDENCE</v>
      </c>
      <c r="C7943" s="1" t="s">
        <v>185</v>
      </c>
      <c r="J7943" s="1" t="s">
        <v>6</v>
      </c>
      <c r="K7943" s="1" t="s">
        <v>7</v>
      </c>
      <c r="Z7943" s="1" t="s">
        <v>22</v>
      </c>
      <c r="AG7943" s="1" t="s">
        <v>29</v>
      </c>
      <c r="AH7943" s="1" t="s">
        <v>30</v>
      </c>
      <c r="DY7943" s="1" t="s">
        <v>125</v>
      </c>
      <c r="ED7943" s="1" t="s">
        <v>130</v>
      </c>
      <c r="GD7943" s="1" t="s">
        <v>193</v>
      </c>
      <c r="GE7943" s="1" t="s">
        <v>190</v>
      </c>
    </row>
    <row r="7944" spans="1:187" ht="11.25" customHeight="1">
      <c r="A7944" s="1" t="s">
        <v>11173</v>
      </c>
      <c r="B7944" s="1" t="str">
        <f ca="1">IFERROR(__xludf.DUMMYFUNCTION("GOOGLETRANSLATE(A7944, ""en"", ""fr"")"),"PRÉSIDENT")</f>
        <v>PRÉSIDENT</v>
      </c>
      <c r="C7944" s="1" t="s">
        <v>185</v>
      </c>
      <c r="J7944" s="1" t="s">
        <v>6</v>
      </c>
      <c r="K7944" s="1" t="s">
        <v>7</v>
      </c>
      <c r="AG7944" s="1" t="s">
        <v>29</v>
      </c>
      <c r="AH7944" s="1" t="s">
        <v>30</v>
      </c>
      <c r="AJ7944" s="1" t="s">
        <v>32</v>
      </c>
      <c r="AT7944" s="1" t="s">
        <v>42</v>
      </c>
      <c r="DY7944" s="1" t="s">
        <v>125</v>
      </c>
      <c r="ED7944" s="1" t="s">
        <v>130</v>
      </c>
      <c r="GD7944" s="1" t="s">
        <v>193</v>
      </c>
      <c r="GE7944" s="1" t="s">
        <v>11174</v>
      </c>
    </row>
    <row r="7945" spans="1:187" ht="11.25" customHeight="1">
      <c r="A7945" s="1" t="s">
        <v>11175</v>
      </c>
      <c r="B7945" s="1" t="str">
        <f ca="1">IFERROR(__xludf.DUMMYFUNCTION("GOOGLETRANSLATE(A7945, ""en"", ""fr"")"),"Président élu")</f>
        <v>Président élu</v>
      </c>
      <c r="C7945" s="1" t="s">
        <v>196</v>
      </c>
      <c r="DY7945" s="1" t="s">
        <v>125</v>
      </c>
      <c r="ED7945" s="1" t="s">
        <v>130</v>
      </c>
      <c r="GD7945" s="1" t="s">
        <v>4912</v>
      </c>
    </row>
    <row r="7946" spans="1:187" ht="11.25" customHeight="1">
      <c r="A7946" s="1" t="s">
        <v>11176</v>
      </c>
      <c r="B7946" s="1" t="str">
        <f ca="1">IFERROR(__xludf.DUMMYFUNCTION("GOOGLETRANSLATE(A7946, ""en"", ""fr"")"),"PRÉSIDENTIEL")</f>
        <v>PRÉSIDENTIEL</v>
      </c>
      <c r="C7946" s="1" t="s">
        <v>185</v>
      </c>
      <c r="J7946" s="1" t="s">
        <v>6</v>
      </c>
      <c r="K7946" s="1" t="s">
        <v>7</v>
      </c>
      <c r="AG7946" s="1" t="s">
        <v>29</v>
      </c>
      <c r="AH7946" s="1" t="s">
        <v>30</v>
      </c>
      <c r="AJ7946" s="1" t="s">
        <v>32</v>
      </c>
      <c r="AT7946" s="1" t="s">
        <v>42</v>
      </c>
      <c r="DY7946" s="1" t="s">
        <v>125</v>
      </c>
      <c r="ED7946" s="1" t="s">
        <v>130</v>
      </c>
      <c r="GD7946" s="1" t="s">
        <v>202</v>
      </c>
      <c r="GE7946" s="1" t="s">
        <v>190</v>
      </c>
    </row>
    <row r="7947" spans="1:187" ht="11.25" customHeight="1">
      <c r="A7947" s="1" t="s">
        <v>11177</v>
      </c>
      <c r="B7947" s="1" t="str">
        <f ca="1">IFERROR(__xludf.DUMMYFUNCTION("GOOGLETRANSLATE(A7947, ""en"", ""fr"")"),"Presse n ° 1")</f>
        <v>Presse n ° 1</v>
      </c>
      <c r="C7947" s="1" t="s">
        <v>185</v>
      </c>
      <c r="AA7947" s="1" t="s">
        <v>23</v>
      </c>
      <c r="AC7947" s="1" t="s">
        <v>25</v>
      </c>
      <c r="AK7947" s="1" t="s">
        <v>33</v>
      </c>
      <c r="AT7947" s="1" t="s">
        <v>42</v>
      </c>
      <c r="BL7947" s="1" t="s">
        <v>60</v>
      </c>
      <c r="FG7947" s="1" t="s">
        <v>159</v>
      </c>
      <c r="FI7947" s="1" t="s">
        <v>161</v>
      </c>
      <c r="GD7947" s="1" t="s">
        <v>193</v>
      </c>
      <c r="GE7947" s="1" t="s">
        <v>11178</v>
      </c>
    </row>
    <row r="7948" spans="1:187" ht="11.25" customHeight="1">
      <c r="A7948" s="1" t="s">
        <v>11179</v>
      </c>
      <c r="B7948" s="1" t="str">
        <f ca="1">IFERROR(__xludf.DUMMYFUNCTION("GOOGLETRANSLATE(A7948, ""en"", ""fr"")"),"Presse n ° 2")</f>
        <v>Presse n ° 2</v>
      </c>
      <c r="C7948" s="1" t="s">
        <v>185</v>
      </c>
      <c r="K7948" s="1" t="s">
        <v>7</v>
      </c>
      <c r="BC7948" s="1" t="s">
        <v>51</v>
      </c>
      <c r="BD7948" s="1" t="s">
        <v>52</v>
      </c>
      <c r="GD7948" s="1" t="s">
        <v>193</v>
      </c>
      <c r="GE7948" s="1" t="s">
        <v>11180</v>
      </c>
    </row>
    <row r="7949" spans="1:187" ht="11.25" customHeight="1">
      <c r="A7949" s="1" t="s">
        <v>11181</v>
      </c>
      <c r="B7949" s="1" t="str">
        <f ca="1">IFERROR(__xludf.DUMMYFUNCTION("GOOGLETRANSLATE(A7949, ""en"", ""fr"")"),"Presse # 3")</f>
        <v>Presse # 3</v>
      </c>
      <c r="C7949" s="1" t="s">
        <v>185</v>
      </c>
      <c r="J7949" s="1" t="s">
        <v>6</v>
      </c>
      <c r="N7949" s="1" t="s">
        <v>10</v>
      </c>
      <c r="CC7949" s="1" t="s">
        <v>77</v>
      </c>
      <c r="DO7949" s="1" t="s">
        <v>115</v>
      </c>
      <c r="EC7949" s="1" t="s">
        <v>129</v>
      </c>
      <c r="ED7949" s="1" t="s">
        <v>130</v>
      </c>
      <c r="GD7949" s="1" t="s">
        <v>189</v>
      </c>
      <c r="GE7949" s="1" t="s">
        <v>11182</v>
      </c>
    </row>
    <row r="7950" spans="1:187" ht="11.25" customHeight="1">
      <c r="A7950" s="1" t="s">
        <v>11183</v>
      </c>
      <c r="B7950" s="1" t="str">
        <f ca="1">IFERROR(__xludf.DUMMYFUNCTION("GOOGLETRANSLATE(A7950, ""en"", ""fr"")"),"Presse n ° 4")</f>
        <v>Presse n ° 4</v>
      </c>
      <c r="C7950" s="1" t="s">
        <v>185</v>
      </c>
      <c r="E7950" s="1" t="s">
        <v>16613</v>
      </c>
      <c r="H7950" s="1" t="s">
        <v>4</v>
      </c>
      <c r="L7950" s="1" t="s">
        <v>8</v>
      </c>
      <c r="O7950" s="1" t="s">
        <v>11</v>
      </c>
      <c r="Q7950" s="1" t="s">
        <v>13</v>
      </c>
      <c r="FA7950" s="1" t="s">
        <v>153</v>
      </c>
      <c r="FC7950" s="1" t="s">
        <v>155</v>
      </c>
      <c r="GD7950" s="1" t="s">
        <v>202</v>
      </c>
      <c r="GE7950" s="1" t="s">
        <v>11184</v>
      </c>
    </row>
    <row r="7951" spans="1:187" ht="11.25" customHeight="1">
      <c r="A7951" s="1" t="s">
        <v>11185</v>
      </c>
      <c r="B7951" s="1" t="str">
        <f ca="1">IFERROR(__xludf.DUMMYFUNCTION("GOOGLETRANSLATE(A7951, ""en"", ""fr"")"),"Presse n ° 5")</f>
        <v>Presse n ° 5</v>
      </c>
      <c r="C7951" s="1" t="s">
        <v>185</v>
      </c>
      <c r="J7951" s="1" t="s">
        <v>6</v>
      </c>
      <c r="BQ7951" s="1" t="s">
        <v>65</v>
      </c>
      <c r="FR7951" s="1" t="s">
        <v>170</v>
      </c>
      <c r="GD7951" s="1" t="s">
        <v>202</v>
      </c>
      <c r="GE7951" s="1" t="s">
        <v>11186</v>
      </c>
    </row>
    <row r="7952" spans="1:187" ht="11.25" customHeight="1">
      <c r="A7952" s="1" t="s">
        <v>11187</v>
      </c>
      <c r="B7952" s="1" t="str">
        <f ca="1">IFERROR(__xludf.DUMMYFUNCTION("GOOGLETRANSLATE(A7952, ""en"", ""fr"")"),"Pression n ° 1")</f>
        <v>Pression n ° 1</v>
      </c>
      <c r="C7952" s="1" t="s">
        <v>185</v>
      </c>
      <c r="J7952" s="1" t="s">
        <v>6</v>
      </c>
      <c r="K7952" s="1" t="s">
        <v>7</v>
      </c>
      <c r="BU7952" s="1" t="s">
        <v>69</v>
      </c>
      <c r="EC7952" s="1" t="s">
        <v>129</v>
      </c>
      <c r="ED7952" s="1" t="s">
        <v>130</v>
      </c>
      <c r="GD7952" s="1" t="s">
        <v>849</v>
      </c>
      <c r="GE7952" s="1" t="s">
        <v>11188</v>
      </c>
    </row>
    <row r="7953" spans="1:187" ht="11.25" customHeight="1">
      <c r="A7953" s="1" t="s">
        <v>11189</v>
      </c>
      <c r="B7953" s="1" t="str">
        <f ca="1">IFERROR(__xludf.DUMMYFUNCTION("GOOGLETRANSLATE(A7953, ""en"", ""fr"")"),"Pression n ° 2")</f>
        <v>Pression n ° 2</v>
      </c>
      <c r="C7953" s="1" t="s">
        <v>185</v>
      </c>
      <c r="J7953" s="1" t="s">
        <v>6</v>
      </c>
      <c r="K7953" s="1" t="s">
        <v>7</v>
      </c>
      <c r="N7953" s="1" t="s">
        <v>10</v>
      </c>
      <c r="CC7953" s="1" t="s">
        <v>77</v>
      </c>
      <c r="DN7953" s="1" t="s">
        <v>114</v>
      </c>
      <c r="EC7953" s="1" t="s">
        <v>129</v>
      </c>
      <c r="ED7953" s="1" t="s">
        <v>130</v>
      </c>
      <c r="GD7953" s="1" t="s">
        <v>189</v>
      </c>
      <c r="GE7953" s="1" t="s">
        <v>11190</v>
      </c>
    </row>
    <row r="7954" spans="1:187" ht="11.25" customHeight="1">
      <c r="A7954" s="1" t="s">
        <v>11191</v>
      </c>
      <c r="B7954" s="1" t="str">
        <f ca="1">IFERROR(__xludf.DUMMYFUNCTION("GOOGLETRANSLATE(A7954, ""en"", ""fr"")"),"PRESTIGE")</f>
        <v>PRESTIGE</v>
      </c>
      <c r="C7954" s="1" t="s">
        <v>185</v>
      </c>
      <c r="D7954" s="1" t="s">
        <v>16612</v>
      </c>
      <c r="F7954" s="1" t="s">
        <v>2</v>
      </c>
      <c r="J7954" s="1" t="s">
        <v>6</v>
      </c>
      <c r="K7954" s="1" t="s">
        <v>7</v>
      </c>
      <c r="U7954" s="1" t="s">
        <v>17</v>
      </c>
      <c r="EM7954" s="1" t="s">
        <v>139</v>
      </c>
      <c r="EN7954" s="1" t="s">
        <v>140</v>
      </c>
      <c r="GD7954" s="1" t="s">
        <v>193</v>
      </c>
      <c r="GE7954" s="1" t="s">
        <v>190</v>
      </c>
    </row>
    <row r="7955" spans="1:187" ht="11.25" customHeight="1">
      <c r="A7955" s="1" t="s">
        <v>11192</v>
      </c>
      <c r="B7955" s="1" t="str">
        <f ca="1">IFERROR(__xludf.DUMMYFUNCTION("GOOGLETRANSLATE(A7955, ""en"", ""fr"")"),"PROBABLEMENT")</f>
        <v>PROBABLEMENT</v>
      </c>
      <c r="C7955" s="1" t="s">
        <v>185</v>
      </c>
      <c r="W7955" s="1" t="s">
        <v>19</v>
      </c>
      <c r="CH7955" s="1" t="s">
        <v>82</v>
      </c>
      <c r="FH7955" s="1" t="s">
        <v>160</v>
      </c>
      <c r="FI7955" s="1" t="s">
        <v>161</v>
      </c>
      <c r="GD7955" s="1" t="s">
        <v>236</v>
      </c>
      <c r="GE7955" s="1" t="s">
        <v>190</v>
      </c>
    </row>
    <row r="7956" spans="1:187" ht="11.25" customHeight="1">
      <c r="A7956" s="1" t="s">
        <v>11193</v>
      </c>
      <c r="B7956" s="1" t="str">
        <f ca="1">IFERROR(__xludf.DUMMYFUNCTION("GOOGLETRANSLATE(A7956, ""en"", ""fr"")"),"PRÉSUMER")</f>
        <v>PRÉSUMER</v>
      </c>
      <c r="C7956" s="1" t="s">
        <v>185</v>
      </c>
      <c r="O7956" s="1" t="s">
        <v>11</v>
      </c>
      <c r="CO7956" s="1" t="s">
        <v>89</v>
      </c>
      <c r="DN7956" s="1" t="s">
        <v>114</v>
      </c>
      <c r="FH7956" s="1" t="s">
        <v>160</v>
      </c>
      <c r="FI7956" s="1" t="s">
        <v>161</v>
      </c>
      <c r="GD7956" s="1" t="s">
        <v>189</v>
      </c>
      <c r="GE7956" s="1" t="s">
        <v>190</v>
      </c>
    </row>
    <row r="7957" spans="1:187" ht="11.25" customHeight="1">
      <c r="A7957" s="1" t="s">
        <v>11194</v>
      </c>
      <c r="B7957" s="1" t="str">
        <f ca="1">IFERROR(__xludf.DUMMYFUNCTION("GOOGLETRANSLATE(A7957, ""en"", ""fr"")"),"PRÉSOMPTION")</f>
        <v>PRÉSOMPTION</v>
      </c>
      <c r="C7957" s="1" t="s">
        <v>185</v>
      </c>
      <c r="O7957" s="1" t="s">
        <v>11</v>
      </c>
      <c r="CH7957" s="1" t="s">
        <v>82</v>
      </c>
      <c r="FH7957" s="1" t="s">
        <v>160</v>
      </c>
      <c r="FI7957" s="1" t="s">
        <v>161</v>
      </c>
      <c r="GD7957" s="1" t="s">
        <v>193</v>
      </c>
      <c r="GE7957" s="1" t="s">
        <v>190</v>
      </c>
    </row>
    <row r="7958" spans="1:187" ht="11.25" customHeight="1">
      <c r="A7958" s="1" t="s">
        <v>11195</v>
      </c>
      <c r="B7958" s="1" t="str">
        <f ca="1">IFERROR(__xludf.DUMMYFUNCTION("GOOGLETRANSLATE(A7958, ""en"", ""fr"")"),"PRÉSOMPTUEUX")</f>
        <v>PRÉSOMPTUEUX</v>
      </c>
      <c r="C7958" s="1" t="s">
        <v>185</v>
      </c>
      <c r="E7958" s="1" t="s">
        <v>16613</v>
      </c>
      <c r="H7958" s="1" t="s">
        <v>4</v>
      </c>
      <c r="V7958" s="1" t="s">
        <v>18</v>
      </c>
      <c r="GD7958" s="1" t="s">
        <v>202</v>
      </c>
      <c r="GE7958" s="1" t="s">
        <v>190</v>
      </c>
    </row>
    <row r="7959" spans="1:187" ht="11.25" customHeight="1">
      <c r="A7959" s="1" t="s">
        <v>11196</v>
      </c>
      <c r="B7959" s="1" t="str">
        <f ca="1">IFERROR(__xludf.DUMMYFUNCTION("GOOGLETRANSLATE(A7959, ""en"", ""fr"")"),"PRÉTEXTE")</f>
        <v>PRÉTEXTE</v>
      </c>
      <c r="C7959" s="1" t="s">
        <v>196</v>
      </c>
      <c r="EE7959" s="1" t="s">
        <v>131</v>
      </c>
      <c r="EJ7959" s="1" t="s">
        <v>136</v>
      </c>
      <c r="GD7959" s="1" t="s">
        <v>193</v>
      </c>
    </row>
    <row r="7960" spans="1:187" ht="11.25" customHeight="1">
      <c r="A7960" s="1" t="s">
        <v>11197</v>
      </c>
      <c r="B7960" s="1" t="str">
        <f ca="1">IFERROR(__xludf.DUMMYFUNCTION("GOOGLETRANSLATE(A7960, ""en"", ""fr"")"),"PRÉTENDRE")</f>
        <v>PRÉTENDRE</v>
      </c>
      <c r="C7960" s="1" t="s">
        <v>185</v>
      </c>
      <c r="E7960" s="1" t="s">
        <v>16613</v>
      </c>
      <c r="H7960" s="1" t="s">
        <v>4</v>
      </c>
      <c r="I7960" s="1" t="s">
        <v>5</v>
      </c>
      <c r="N7960" s="1" t="s">
        <v>10</v>
      </c>
      <c r="BK7960" s="1" t="s">
        <v>59</v>
      </c>
      <c r="DN7960" s="1" t="s">
        <v>114</v>
      </c>
      <c r="FP7960" s="1" t="s">
        <v>168</v>
      </c>
      <c r="GD7960" s="1" t="s">
        <v>189</v>
      </c>
      <c r="GE7960" s="1" t="s">
        <v>11198</v>
      </c>
    </row>
    <row r="7961" spans="1:187" ht="11.25" customHeight="1">
      <c r="A7961" s="1" t="s">
        <v>11199</v>
      </c>
      <c r="B7961" s="1" t="str">
        <f ca="1">IFERROR(__xludf.DUMMYFUNCTION("GOOGLETRANSLATE(A7961, ""en"", ""fr"")"),"PRÉTEXTE")</f>
        <v>PRÉTEXTE</v>
      </c>
      <c r="C7961" s="1" t="s">
        <v>192</v>
      </c>
      <c r="E7961" s="1" t="s">
        <v>16613</v>
      </c>
      <c r="I7961" s="1" t="s">
        <v>5</v>
      </c>
      <c r="BK7961" s="1" t="s">
        <v>59</v>
      </c>
      <c r="BT7961" s="1" t="s">
        <v>68</v>
      </c>
      <c r="GD7961" s="1" t="s">
        <v>193</v>
      </c>
      <c r="GE7961" s="1" t="s">
        <v>190</v>
      </c>
    </row>
    <row r="7962" spans="1:187" ht="11.25" customHeight="1">
      <c r="A7962" s="1" t="s">
        <v>11200</v>
      </c>
      <c r="B7962" s="1" t="str">
        <f ca="1">IFERROR(__xludf.DUMMYFUNCTION("GOOGLETRANSLATE(A7962, ""en"", ""fr"")"),"PRÉTENTION")</f>
        <v>PRÉTENTION</v>
      </c>
      <c r="C7962" s="1" t="s">
        <v>196</v>
      </c>
      <c r="EE7962" s="1" t="s">
        <v>131</v>
      </c>
      <c r="EJ7962" s="1" t="s">
        <v>136</v>
      </c>
      <c r="GD7962" s="1" t="s">
        <v>193</v>
      </c>
    </row>
    <row r="7963" spans="1:187" ht="11.25" customHeight="1">
      <c r="A7963" s="1" t="s">
        <v>11201</v>
      </c>
      <c r="B7963" s="1" t="str">
        <f ca="1">IFERROR(__xludf.DUMMYFUNCTION("GOOGLETRANSLATE(A7963, ""en"", ""fr"")"),"PRÉTENTIEUX")</f>
        <v>PRÉTENTIEUX</v>
      </c>
      <c r="C7963" s="1" t="s">
        <v>192</v>
      </c>
      <c r="E7963" s="1" t="s">
        <v>16613</v>
      </c>
      <c r="V7963" s="1" t="s">
        <v>18</v>
      </c>
      <c r="CM7963" s="1" t="s">
        <v>87</v>
      </c>
      <c r="DR7963" s="1" t="s">
        <v>118</v>
      </c>
      <c r="GD7963" s="1" t="s">
        <v>202</v>
      </c>
      <c r="GE7963" s="1" t="s">
        <v>190</v>
      </c>
    </row>
    <row r="7964" spans="1:187" ht="11.25" customHeight="1">
      <c r="A7964" s="1" t="s">
        <v>11202</v>
      </c>
      <c r="B7964" s="1" t="str">
        <f ca="1">IFERROR(__xludf.DUMMYFUNCTION("GOOGLETRANSLATE(A7964, ""en"", ""fr"")"),"PRÉTEXTE")</f>
        <v>PRÉTEXTE</v>
      </c>
      <c r="C7964" s="1" t="s">
        <v>196</v>
      </c>
      <c r="GD7964" s="1" t="s">
        <v>193</v>
      </c>
    </row>
    <row r="7965" spans="1:187" ht="11.25" customHeight="1">
      <c r="A7965" s="1" t="s">
        <v>11203</v>
      </c>
      <c r="B7965" s="1" t="str">
        <f ca="1">IFERROR(__xludf.DUMMYFUNCTION("GOOGLETRANSLATE(A7965, ""en"", ""fr"")"),"JOLIMENT")</f>
        <v>JOLIMENT</v>
      </c>
      <c r="C7965" s="1" t="s">
        <v>192</v>
      </c>
      <c r="D7965" s="1" t="s">
        <v>16612</v>
      </c>
      <c r="U7965" s="1" t="s">
        <v>17</v>
      </c>
      <c r="GD7965" s="1" t="s">
        <v>202</v>
      </c>
      <c r="GE7965" s="1" t="s">
        <v>190</v>
      </c>
    </row>
    <row r="7966" spans="1:187" ht="11.25" customHeight="1">
      <c r="A7966" s="1" t="s">
        <v>11204</v>
      </c>
      <c r="B7966" s="1" t="str">
        <f ca="1">IFERROR(__xludf.DUMMYFUNCTION("GOOGLETRANSLATE(A7966, ""en"", ""fr"")"),"Joli # 1")</f>
        <v>Joli # 1</v>
      </c>
      <c r="C7966" s="1" t="s">
        <v>185</v>
      </c>
      <c r="X7966" s="1" t="s">
        <v>20</v>
      </c>
      <c r="CS7966" s="1" t="s">
        <v>93</v>
      </c>
      <c r="GD7966" s="1" t="s">
        <v>1357</v>
      </c>
      <c r="GE7966" s="1" t="s">
        <v>11205</v>
      </c>
    </row>
    <row r="7967" spans="1:187" ht="11.25" customHeight="1">
      <c r="A7967" s="1" t="s">
        <v>11206</v>
      </c>
      <c r="B7967" s="1" t="str">
        <f ca="1">IFERROR(__xludf.DUMMYFUNCTION("GOOGLETRANSLATE(A7967, ""en"", ""fr"")"),"Pretty # 2")</f>
        <v>Pretty # 2</v>
      </c>
      <c r="C7967" s="1" t="s">
        <v>185</v>
      </c>
      <c r="D7967" s="1" t="s">
        <v>16612</v>
      </c>
      <c r="F7967" s="1" t="s">
        <v>2</v>
      </c>
      <c r="U7967" s="1" t="s">
        <v>17</v>
      </c>
      <c r="CN7967" s="1" t="s">
        <v>88</v>
      </c>
      <c r="GD7967" s="1" t="s">
        <v>202</v>
      </c>
      <c r="GE7967" s="1" t="s">
        <v>11207</v>
      </c>
    </row>
    <row r="7968" spans="1:187" ht="11.25" customHeight="1">
      <c r="A7968" s="1" t="s">
        <v>11208</v>
      </c>
      <c r="B7968" s="1" t="str">
        <f ca="1">IFERROR(__xludf.DUMMYFUNCTION("GOOGLETRANSLATE(A7968, ""en"", ""fr"")"),"Joli # 3")</f>
        <v>Joli # 3</v>
      </c>
      <c r="C7968" s="1" t="s">
        <v>185</v>
      </c>
      <c r="D7968" s="1" t="s">
        <v>16612</v>
      </c>
      <c r="F7968" s="1" t="s">
        <v>2</v>
      </c>
      <c r="U7968" s="1" t="s">
        <v>17</v>
      </c>
      <c r="GD7968" s="1" t="s">
        <v>236</v>
      </c>
      <c r="GE7968" s="1" t="s">
        <v>11209</v>
      </c>
    </row>
    <row r="7969" spans="1:187" ht="11.25" customHeight="1">
      <c r="A7969" s="1" t="s">
        <v>11210</v>
      </c>
      <c r="B7969" s="1" t="str">
        <f ca="1">IFERROR(__xludf.DUMMYFUNCTION("GOOGLETRANSLATE(A7969, ""en"", ""fr"")"),"Joli # 4")</f>
        <v>Joli # 4</v>
      </c>
      <c r="C7969" s="1" t="s">
        <v>185</v>
      </c>
      <c r="D7969" s="1" t="s">
        <v>16612</v>
      </c>
      <c r="F7969" s="1" t="s">
        <v>2</v>
      </c>
      <c r="U7969" s="1" t="s">
        <v>17</v>
      </c>
      <c r="CN7969" s="1" t="s">
        <v>88</v>
      </c>
      <c r="GD7969" s="1" t="s">
        <v>202</v>
      </c>
      <c r="GE7969" s="1" t="s">
        <v>11211</v>
      </c>
    </row>
    <row r="7970" spans="1:187" ht="11.25" customHeight="1">
      <c r="A7970" s="1" t="s">
        <v>11212</v>
      </c>
      <c r="B7970" s="1" t="str">
        <f ca="1">IFERROR(__xludf.DUMMYFUNCTION("GOOGLETRANSLATE(A7970, ""en"", ""fr"")"),"Pretty # 5")</f>
        <v>Pretty # 5</v>
      </c>
      <c r="C7970" s="1" t="s">
        <v>185</v>
      </c>
      <c r="D7970" s="1" t="s">
        <v>16612</v>
      </c>
      <c r="F7970" s="1" t="s">
        <v>2</v>
      </c>
      <c r="U7970" s="1" t="s">
        <v>17</v>
      </c>
      <c r="CN7970" s="1" t="s">
        <v>88</v>
      </c>
      <c r="GD7970" s="1" t="s">
        <v>202</v>
      </c>
      <c r="GE7970" s="1" t="s">
        <v>11213</v>
      </c>
    </row>
    <row r="7971" spans="1:187" ht="11.25" customHeight="1">
      <c r="A7971" s="1" t="s">
        <v>11214</v>
      </c>
      <c r="B7971" s="1" t="str">
        <f ca="1">IFERROR(__xludf.DUMMYFUNCTION("GOOGLETRANSLATE(A7971, ""en"", ""fr"")"),"PRÉVALOIR")</f>
        <v>PRÉVALOIR</v>
      </c>
      <c r="C7971" s="1" t="s">
        <v>185</v>
      </c>
      <c r="J7971" s="1" t="s">
        <v>6</v>
      </c>
      <c r="N7971" s="1" t="s">
        <v>10</v>
      </c>
      <c r="BR7971" s="1" t="s">
        <v>66</v>
      </c>
      <c r="DN7971" s="1" t="s">
        <v>114</v>
      </c>
      <c r="DU7971" s="1" t="s">
        <v>121</v>
      </c>
      <c r="ED7971" s="1" t="s">
        <v>130</v>
      </c>
      <c r="GD7971" s="1" t="s">
        <v>189</v>
      </c>
      <c r="GE7971" s="1" t="s">
        <v>190</v>
      </c>
    </row>
    <row r="7972" spans="1:187" ht="11.25" customHeight="1">
      <c r="A7972" s="1" t="s">
        <v>11215</v>
      </c>
      <c r="B7972" s="1" t="str">
        <f ca="1">IFERROR(__xludf.DUMMYFUNCTION("GOOGLETRANSLATE(A7972, ""en"", ""fr"")"),"PRÉVALENCE")</f>
        <v>PRÉVALENCE</v>
      </c>
      <c r="C7972" s="1" t="s">
        <v>196</v>
      </c>
      <c r="GD7972" s="1" t="s">
        <v>193</v>
      </c>
    </row>
    <row r="7973" spans="1:187" ht="11.25" customHeight="1">
      <c r="A7973" s="1" t="s">
        <v>11216</v>
      </c>
      <c r="B7973" s="1" t="str">
        <f ca="1">IFERROR(__xludf.DUMMYFUNCTION("GOOGLETRANSLATE(A7973, ""en"", ""fr"")"),"FRÉQUENT")</f>
        <v>FRÉQUENT</v>
      </c>
      <c r="C7973" s="1" t="s">
        <v>185</v>
      </c>
      <c r="J7973" s="1" t="s">
        <v>6</v>
      </c>
      <c r="CS7973" s="1" t="s">
        <v>93</v>
      </c>
      <c r="GD7973" s="1" t="s">
        <v>202</v>
      </c>
      <c r="GE7973" s="1" t="s">
        <v>190</v>
      </c>
    </row>
    <row r="7974" spans="1:187" ht="11.25" customHeight="1">
      <c r="A7974" s="1" t="s">
        <v>11217</v>
      </c>
      <c r="B7974" s="1" t="str">
        <f ca="1">IFERROR(__xludf.DUMMYFUNCTION("GOOGLETRANSLATE(A7974, ""en"", ""fr"")"),"PRÉVENIR")</f>
        <v>PRÉVENIR</v>
      </c>
      <c r="C7974" s="1" t="s">
        <v>185</v>
      </c>
      <c r="J7974" s="1" t="s">
        <v>6</v>
      </c>
      <c r="K7974" s="1" t="s">
        <v>7</v>
      </c>
      <c r="N7974" s="1" t="s">
        <v>10</v>
      </c>
      <c r="AN7974" s="1" t="s">
        <v>36</v>
      </c>
      <c r="DN7974" s="1" t="s">
        <v>114</v>
      </c>
      <c r="DT7974" s="1" t="s">
        <v>120</v>
      </c>
      <c r="ED7974" s="1" t="s">
        <v>130</v>
      </c>
      <c r="GD7974" s="1" t="s">
        <v>189</v>
      </c>
      <c r="GE7974" s="1" t="s">
        <v>11218</v>
      </c>
    </row>
    <row r="7975" spans="1:187" ht="11.25" customHeight="1">
      <c r="A7975" s="1" t="s">
        <v>11219</v>
      </c>
      <c r="B7975" s="1" t="str">
        <f ca="1">IFERROR(__xludf.DUMMYFUNCTION("GOOGLETRANSLATE(A7975, ""en"", ""fr"")"),"LA PRÉVENTION")</f>
        <v>LA PRÉVENTION</v>
      </c>
      <c r="C7975" s="1" t="s">
        <v>185</v>
      </c>
      <c r="J7975" s="1" t="s">
        <v>6</v>
      </c>
      <c r="K7975" s="1" t="s">
        <v>7</v>
      </c>
      <c r="AN7975" s="1" t="s">
        <v>36</v>
      </c>
      <c r="DN7975" s="1" t="s">
        <v>114</v>
      </c>
      <c r="GD7975" s="1" t="s">
        <v>189</v>
      </c>
      <c r="GE7975" s="1" t="s">
        <v>190</v>
      </c>
    </row>
    <row r="7976" spans="1:187" ht="11.25" customHeight="1">
      <c r="A7976" s="1" t="s">
        <v>11220</v>
      </c>
      <c r="B7976" s="1" t="str">
        <f ca="1">IFERROR(__xludf.DUMMYFUNCTION("GOOGLETRANSLATE(A7976, ""en"", ""fr"")"),"PRÉVENTIF")</f>
        <v>PRÉVENTIF</v>
      </c>
      <c r="C7976" s="1" t="s">
        <v>185</v>
      </c>
      <c r="J7976" s="1" t="s">
        <v>6</v>
      </c>
      <c r="K7976" s="1" t="s">
        <v>7</v>
      </c>
      <c r="CI7976" s="1" t="s">
        <v>83</v>
      </c>
      <c r="DT7976" s="1" t="s">
        <v>120</v>
      </c>
      <c r="ED7976" s="1" t="s">
        <v>130</v>
      </c>
      <c r="GD7976" s="1" t="s">
        <v>193</v>
      </c>
      <c r="GE7976" s="1" t="s">
        <v>190</v>
      </c>
    </row>
    <row r="7977" spans="1:187" ht="11.25" customHeight="1">
      <c r="A7977" s="1" t="s">
        <v>11221</v>
      </c>
      <c r="B7977" s="1" t="str">
        <f ca="1">IFERROR(__xludf.DUMMYFUNCTION("GOOGLETRANSLATE(A7977, ""en"", ""fr"")"),"PRÉCÉDENT")</f>
        <v>PRÉCÉDENT</v>
      </c>
      <c r="C7977" s="1" t="s">
        <v>185</v>
      </c>
      <c r="CY7977" s="1" t="s">
        <v>99</v>
      </c>
      <c r="DB7977" s="1" t="s">
        <v>102</v>
      </c>
      <c r="GB7977" s="1" t="s">
        <v>180</v>
      </c>
      <c r="GD7977" s="1" t="s">
        <v>202</v>
      </c>
      <c r="GE7977" s="1" t="s">
        <v>11222</v>
      </c>
    </row>
    <row r="7978" spans="1:187" ht="11.25" customHeight="1">
      <c r="A7978" s="1" t="s">
        <v>11223</v>
      </c>
      <c r="B7978" s="1" t="str">
        <f ca="1">IFERROR(__xludf.DUMMYFUNCTION("GOOGLETRANSLATE(A7978, ""en"", ""fr"")"),"PROIE")</f>
        <v>PROIE</v>
      </c>
      <c r="C7978" s="1" t="s">
        <v>185</v>
      </c>
      <c r="L7978" s="1" t="s">
        <v>8</v>
      </c>
      <c r="AU7978" s="1" t="s">
        <v>43</v>
      </c>
      <c r="GD7978" s="1" t="s">
        <v>193</v>
      </c>
      <c r="GE7978" s="1" t="s">
        <v>190</v>
      </c>
    </row>
    <row r="7979" spans="1:187" ht="11.25" customHeight="1">
      <c r="A7979" s="1" t="s">
        <v>11224</v>
      </c>
      <c r="B7979" s="1" t="str">
        <f ca="1">IFERROR(__xludf.DUMMYFUNCTION("GOOGLETRANSLATE(A7979, ""en"", ""fr"")"),"PRIX")</f>
        <v>PRIX</v>
      </c>
      <c r="C7979" s="1" t="s">
        <v>185</v>
      </c>
      <c r="AA7979" s="1" t="s">
        <v>23</v>
      </c>
      <c r="AC7979" s="1" t="s">
        <v>25</v>
      </c>
      <c r="BK7979" s="1" t="s">
        <v>59</v>
      </c>
      <c r="BL7979" s="1" t="s">
        <v>60</v>
      </c>
      <c r="EV7979" s="1" t="s">
        <v>148</v>
      </c>
      <c r="EW7979" s="1" t="s">
        <v>149</v>
      </c>
      <c r="GC7979" s="1" t="s">
        <v>181</v>
      </c>
      <c r="GD7979" s="1" t="s">
        <v>849</v>
      </c>
      <c r="GE7979" s="1" t="s">
        <v>11225</v>
      </c>
    </row>
    <row r="7980" spans="1:187" ht="11.25" customHeight="1">
      <c r="A7980" s="1" t="s">
        <v>11226</v>
      </c>
      <c r="B7980" s="1" t="str">
        <f ca="1">IFERROR(__xludf.DUMMYFUNCTION("GOOGLETRANSLATE(A7980, ""en"", ""fr"")"),"INESTIMABLE")</f>
        <v>INESTIMABLE</v>
      </c>
      <c r="C7980" s="1" t="s">
        <v>192</v>
      </c>
      <c r="D7980" s="1" t="s">
        <v>16612</v>
      </c>
      <c r="U7980" s="1" t="s">
        <v>17</v>
      </c>
      <c r="W7980" s="1" t="s">
        <v>19</v>
      </c>
      <c r="AA7980" s="1" t="s">
        <v>23</v>
      </c>
      <c r="CM7980" s="1" t="s">
        <v>87</v>
      </c>
      <c r="DR7980" s="1" t="s">
        <v>118</v>
      </c>
      <c r="GD7980" s="1" t="s">
        <v>202</v>
      </c>
      <c r="GE7980" s="1" t="s">
        <v>190</v>
      </c>
    </row>
    <row r="7981" spans="1:187" ht="11.25" customHeight="1">
      <c r="A7981" s="1" t="s">
        <v>11227</v>
      </c>
      <c r="B7981" s="1" t="str">
        <f ca="1">IFERROR(__xludf.DUMMYFUNCTION("GOOGLETRANSLATE(A7981, ""en"", ""fr"")"),"FIERTÉ")</f>
        <v>FIERTÉ</v>
      </c>
      <c r="C7981" s="1" t="s">
        <v>185</v>
      </c>
      <c r="D7981" s="1" t="s">
        <v>16612</v>
      </c>
      <c r="F7981" s="1" t="s">
        <v>2</v>
      </c>
      <c r="J7981" s="1" t="s">
        <v>6</v>
      </c>
      <c r="P7981" s="1" t="s">
        <v>12</v>
      </c>
      <c r="T7981" s="1" t="s">
        <v>16</v>
      </c>
      <c r="EM7981" s="1" t="s">
        <v>139</v>
      </c>
      <c r="EN7981" s="1" t="s">
        <v>140</v>
      </c>
      <c r="GD7981" s="1" t="s">
        <v>193</v>
      </c>
      <c r="GE7981" s="1" t="s">
        <v>190</v>
      </c>
    </row>
    <row r="7982" spans="1:187" ht="11.25" customHeight="1">
      <c r="A7982" s="1" t="s">
        <v>11228</v>
      </c>
      <c r="B7982" s="1" t="str">
        <f ca="1">IFERROR(__xludf.DUMMYFUNCTION("GOOGLETRANSLATE(A7982, ""en"", ""fr"")"),"PRÊTRE")</f>
        <v>PRÊTRE</v>
      </c>
      <c r="C7982" s="1" t="s">
        <v>185</v>
      </c>
      <c r="K7982" s="1" t="s">
        <v>7</v>
      </c>
      <c r="AI7982" s="1" t="s">
        <v>31</v>
      </c>
      <c r="AJ7982" s="1" t="s">
        <v>32</v>
      </c>
      <c r="AT7982" s="1" t="s">
        <v>42</v>
      </c>
      <c r="EF7982" s="1" t="s">
        <v>132</v>
      </c>
      <c r="EJ7982" s="1" t="s">
        <v>136</v>
      </c>
      <c r="GD7982" s="1" t="s">
        <v>193</v>
      </c>
      <c r="GE7982" s="1" t="s">
        <v>11229</v>
      </c>
    </row>
    <row r="7983" spans="1:187" ht="11.25" customHeight="1">
      <c r="A7983" s="1" t="s">
        <v>11230</v>
      </c>
      <c r="B7983" s="1" t="str">
        <f ca="1">IFERROR(__xludf.DUMMYFUNCTION("GOOGLETRANSLATE(A7983, ""en"", ""fr"")"),"PRINCIPALEMENT")</f>
        <v>PRINCIPALEMENT</v>
      </c>
      <c r="C7983" s="1" t="s">
        <v>192</v>
      </c>
      <c r="D7983" s="1" t="s">
        <v>16612</v>
      </c>
      <c r="W7983" s="1" t="s">
        <v>19</v>
      </c>
      <c r="CS7983" s="1" t="s">
        <v>93</v>
      </c>
      <c r="DR7983" s="1" t="s">
        <v>118</v>
      </c>
      <c r="GD7983" s="1" t="s">
        <v>202</v>
      </c>
      <c r="GE7983" s="1" t="s">
        <v>190</v>
      </c>
    </row>
    <row r="7984" spans="1:187" ht="11.25" customHeight="1">
      <c r="A7984" s="1" t="s">
        <v>11231</v>
      </c>
      <c r="B7984" s="1" t="str">
        <f ca="1">IFERROR(__xludf.DUMMYFUNCTION("GOOGLETRANSLATE(A7984, ""en"", ""fr"")"),"Primaire n ° 1")</f>
        <v>Primaire n ° 1</v>
      </c>
      <c r="C7984" s="1" t="s">
        <v>185</v>
      </c>
      <c r="J7984" s="1" t="s">
        <v>6</v>
      </c>
      <c r="W7984" s="1" t="s">
        <v>19</v>
      </c>
      <c r="CH7984" s="1" t="s">
        <v>82</v>
      </c>
      <c r="GD7984" s="1" t="s">
        <v>202</v>
      </c>
      <c r="GE7984" s="1" t="s">
        <v>11232</v>
      </c>
    </row>
    <row r="7985" spans="1:187" ht="11.25" customHeight="1">
      <c r="A7985" s="1" t="s">
        <v>11233</v>
      </c>
      <c r="B7985" s="1" t="str">
        <f ca="1">IFERROR(__xludf.DUMMYFUNCTION("GOOGLETRANSLATE(A7985, ""en"", ""fr"")"),"Primaire n ° 2")</f>
        <v>Primaire n ° 2</v>
      </c>
      <c r="C7985" s="1" t="s">
        <v>185</v>
      </c>
      <c r="J7985" s="1" t="s">
        <v>6</v>
      </c>
      <c r="W7985" s="1" t="s">
        <v>19</v>
      </c>
      <c r="CH7985" s="1" t="s">
        <v>82</v>
      </c>
      <c r="GD7985" s="1" t="s">
        <v>236</v>
      </c>
      <c r="GE7985" s="1" t="s">
        <v>11234</v>
      </c>
    </row>
    <row r="7986" spans="1:187" ht="11.25" customHeight="1">
      <c r="A7986" s="1" t="s">
        <v>11235</v>
      </c>
      <c r="B7986" s="1" t="str">
        <f ca="1">IFERROR(__xludf.DUMMYFUNCTION("GOOGLETRANSLATE(A7986, ""en"", ""fr"")"),"Primaire n ° 3")</f>
        <v>Primaire n ° 3</v>
      </c>
      <c r="C7986" s="1" t="s">
        <v>185</v>
      </c>
      <c r="AG7986" s="1" t="s">
        <v>29</v>
      </c>
      <c r="AH7986" s="1" t="s">
        <v>30</v>
      </c>
      <c r="AM7986" s="1" t="s">
        <v>35</v>
      </c>
      <c r="EC7986" s="1" t="s">
        <v>129</v>
      </c>
      <c r="ED7986" s="1" t="s">
        <v>130</v>
      </c>
      <c r="GD7986" s="1" t="s">
        <v>193</v>
      </c>
      <c r="GE7986" s="1" t="s">
        <v>11236</v>
      </c>
    </row>
    <row r="7987" spans="1:187" ht="11.25" customHeight="1">
      <c r="A7987" s="1" t="s">
        <v>11237</v>
      </c>
      <c r="B7987" s="1" t="str">
        <f ca="1">IFERROR(__xludf.DUMMYFUNCTION("GOOGLETRANSLATE(A7987, ""en"", ""fr"")"),"PRIME")</f>
        <v>PRIME</v>
      </c>
      <c r="C7987" s="1" t="s">
        <v>192</v>
      </c>
      <c r="D7987" s="1" t="s">
        <v>16612</v>
      </c>
      <c r="U7987" s="1" t="s">
        <v>17</v>
      </c>
      <c r="CM7987" s="1" t="s">
        <v>87</v>
      </c>
      <c r="DR7987" s="1" t="s">
        <v>118</v>
      </c>
      <c r="GD7987" s="1" t="s">
        <v>202</v>
      </c>
      <c r="GE7987" s="1" t="s">
        <v>190</v>
      </c>
    </row>
    <row r="7988" spans="1:187" ht="11.25" customHeight="1">
      <c r="A7988" s="1" t="s">
        <v>11238</v>
      </c>
      <c r="B7988" s="1" t="str">
        <f ca="1">IFERROR(__xludf.DUMMYFUNCTION("GOOGLETRANSLATE(A7988, ""en"", ""fr"")"),"PRIMITIF")</f>
        <v>PRIMITIF</v>
      </c>
      <c r="C7988" s="1" t="s">
        <v>185</v>
      </c>
      <c r="V7988" s="1" t="s">
        <v>18</v>
      </c>
      <c r="GD7988" s="1" t="s">
        <v>202</v>
      </c>
      <c r="GE7988" s="1" t="s">
        <v>190</v>
      </c>
    </row>
    <row r="7989" spans="1:187" ht="11.25" customHeight="1">
      <c r="A7989" s="1" t="s">
        <v>11239</v>
      </c>
      <c r="B7989" s="1" t="str">
        <f ca="1">IFERROR(__xludf.DUMMYFUNCTION("GOOGLETRANSLATE(A7989, ""en"", ""fr"")"),"PRINCE")</f>
        <v>PRINCE</v>
      </c>
      <c r="C7989" s="1" t="s">
        <v>185</v>
      </c>
      <c r="J7989" s="1" t="s">
        <v>6</v>
      </c>
      <c r="K7989" s="1" t="s">
        <v>7</v>
      </c>
      <c r="AG7989" s="1" t="s">
        <v>29</v>
      </c>
      <c r="AH7989" s="1" t="s">
        <v>30</v>
      </c>
      <c r="AJ7989" s="1" t="s">
        <v>32</v>
      </c>
      <c r="AQ7989" s="1" t="s">
        <v>39</v>
      </c>
      <c r="AT7989" s="1" t="s">
        <v>42</v>
      </c>
      <c r="DY7989" s="1" t="s">
        <v>125</v>
      </c>
      <c r="ED7989" s="1" t="s">
        <v>130</v>
      </c>
      <c r="GD7989" s="1" t="s">
        <v>193</v>
      </c>
      <c r="GE7989" s="1" t="s">
        <v>11240</v>
      </c>
    </row>
    <row r="7990" spans="1:187" ht="11.25" customHeight="1">
      <c r="A7990" s="1" t="s">
        <v>11241</v>
      </c>
      <c r="B7990" s="1" t="str">
        <f ca="1">IFERROR(__xludf.DUMMYFUNCTION("GOOGLETRANSLATE(A7990, ""en"", ""fr"")"),"PRINCESSE")</f>
        <v>PRINCESSE</v>
      </c>
      <c r="C7990" s="1" t="s">
        <v>196</v>
      </c>
      <c r="DY7990" s="1" t="s">
        <v>125</v>
      </c>
      <c r="ED7990" s="1" t="s">
        <v>130</v>
      </c>
      <c r="GD7990" s="1" t="s">
        <v>4912</v>
      </c>
    </row>
    <row r="7991" spans="1:187" ht="11.25" customHeight="1">
      <c r="A7991" s="1" t="s">
        <v>11242</v>
      </c>
      <c r="B7991" s="1" t="str">
        <f ca="1">IFERROR(__xludf.DUMMYFUNCTION("GOOGLETRANSLATE(A7991, ""en"", ""fr"")"),"Principal # 1")</f>
        <v>Principal # 1</v>
      </c>
      <c r="C7991" s="1" t="s">
        <v>185</v>
      </c>
      <c r="D7991" s="1" t="s">
        <v>16612</v>
      </c>
      <c r="F7991" s="1" t="s">
        <v>2</v>
      </c>
      <c r="J7991" s="1" t="s">
        <v>6</v>
      </c>
      <c r="W7991" s="1" t="s">
        <v>19</v>
      </c>
      <c r="CH7991" s="1" t="s">
        <v>82</v>
      </c>
      <c r="CN7991" s="1" t="s">
        <v>88</v>
      </c>
      <c r="FY7991" s="1" t="s">
        <v>177</v>
      </c>
      <c r="GD7991" s="1" t="s">
        <v>421</v>
      </c>
      <c r="GE7991" s="1" t="s">
        <v>11243</v>
      </c>
    </row>
    <row r="7992" spans="1:187" ht="11.25" customHeight="1">
      <c r="A7992" s="1" t="s">
        <v>11244</v>
      </c>
      <c r="B7992" s="1" t="str">
        <f ca="1">IFERROR(__xludf.DUMMYFUNCTION("GOOGLETRANSLATE(A7992, ""en"", ""fr"")"),"Principal # 2")</f>
        <v>Principal # 2</v>
      </c>
      <c r="C7992" s="1" t="s">
        <v>185</v>
      </c>
      <c r="J7992" s="1" t="s">
        <v>6</v>
      </c>
      <c r="K7992" s="1" t="s">
        <v>7</v>
      </c>
      <c r="AJ7992" s="1" t="s">
        <v>32</v>
      </c>
      <c r="AT7992" s="1" t="s">
        <v>42</v>
      </c>
      <c r="DY7992" s="1" t="s">
        <v>125</v>
      </c>
      <c r="ED7992" s="1" t="s">
        <v>130</v>
      </c>
      <c r="GD7992" s="1" t="s">
        <v>193</v>
      </c>
      <c r="GE7992" s="1" t="s">
        <v>11245</v>
      </c>
    </row>
    <row r="7993" spans="1:187" ht="11.25" customHeight="1">
      <c r="A7993" s="1" t="s">
        <v>11246</v>
      </c>
      <c r="B7993" s="1" t="str">
        <f ca="1">IFERROR(__xludf.DUMMYFUNCTION("GOOGLETRANSLATE(A7993, ""en"", ""fr"")"),"Principal # 3")</f>
        <v>Principal # 3</v>
      </c>
      <c r="C7993" s="1" t="s">
        <v>185</v>
      </c>
      <c r="J7993" s="1" t="s">
        <v>6</v>
      </c>
      <c r="W7993" s="1" t="s">
        <v>19</v>
      </c>
      <c r="CH7993" s="1" t="s">
        <v>82</v>
      </c>
      <c r="FY7993" s="1" t="s">
        <v>177</v>
      </c>
      <c r="GD7993" s="1" t="s">
        <v>236</v>
      </c>
      <c r="GE7993" s="1" t="s">
        <v>11247</v>
      </c>
    </row>
    <row r="7994" spans="1:187" ht="11.25" customHeight="1">
      <c r="A7994" s="1" t="s">
        <v>11248</v>
      </c>
      <c r="B7994" s="1" t="str">
        <f ca="1">IFERROR(__xludf.DUMMYFUNCTION("GOOGLETRANSLATE(A7994, ""en"", ""fr"")"),"Principe n ° 1")</f>
        <v>Principe n ° 1</v>
      </c>
      <c r="C7994" s="1" t="s">
        <v>185</v>
      </c>
      <c r="D7994" s="1" t="s">
        <v>16612</v>
      </c>
      <c r="F7994" s="1" t="s">
        <v>2</v>
      </c>
      <c r="Z7994" s="1" t="s">
        <v>22</v>
      </c>
      <c r="AE7994" s="1" t="s">
        <v>27</v>
      </c>
      <c r="EI7994" s="1" t="s">
        <v>135</v>
      </c>
      <c r="EJ7994" s="1" t="s">
        <v>136</v>
      </c>
      <c r="GD7994" s="1" t="s">
        <v>193</v>
      </c>
      <c r="GE7994" s="1" t="s">
        <v>11249</v>
      </c>
    </row>
    <row r="7995" spans="1:187" ht="11.25" customHeight="1">
      <c r="A7995" s="1" t="s">
        <v>11250</v>
      </c>
      <c r="B7995" s="1" t="str">
        <f ca="1">IFERROR(__xludf.DUMMYFUNCTION("GOOGLETRANSLATE(A7995, ""en"", ""fr"")"),"Principe n ° 2")</f>
        <v>Principe n ° 2</v>
      </c>
      <c r="C7995" s="1" t="s">
        <v>185</v>
      </c>
      <c r="D7995" s="1" t="s">
        <v>16612</v>
      </c>
      <c r="F7995" s="1" t="s">
        <v>2</v>
      </c>
      <c r="U7995" s="1" t="s">
        <v>17</v>
      </c>
      <c r="EE7995" s="1" t="s">
        <v>131</v>
      </c>
      <c r="EJ7995" s="1" t="s">
        <v>136</v>
      </c>
      <c r="GD7995" s="1" t="s">
        <v>202</v>
      </c>
      <c r="GE7995" s="1" t="s">
        <v>11251</v>
      </c>
    </row>
    <row r="7996" spans="1:187" ht="11.25" customHeight="1">
      <c r="A7996" s="1" t="s">
        <v>11252</v>
      </c>
      <c r="B7996" s="1" t="str">
        <f ca="1">IFERROR(__xludf.DUMMYFUNCTION("GOOGLETRANSLATE(A7996, ""en"", ""fr"")"),"Principe n ° 3")</f>
        <v>Principe n ° 3</v>
      </c>
      <c r="C7996" s="1" t="s">
        <v>185</v>
      </c>
      <c r="CH7996" s="1" t="s">
        <v>82</v>
      </c>
      <c r="GD7996" s="1" t="s">
        <v>236</v>
      </c>
      <c r="GE7996" s="1" t="s">
        <v>11253</v>
      </c>
    </row>
    <row r="7997" spans="1:187" ht="11.25" customHeight="1">
      <c r="A7997" s="1" t="s">
        <v>11254</v>
      </c>
      <c r="B7997" s="1" t="str">
        <f ca="1">IFERROR(__xludf.DUMMYFUNCTION("GOOGLETRANSLATE(A7997, ""en"", ""fr"")"),"Principe n ° 4")</f>
        <v>Principe n ° 4</v>
      </c>
      <c r="C7997" s="1" t="s">
        <v>185</v>
      </c>
      <c r="D7997" s="1" t="s">
        <v>16612</v>
      </c>
      <c r="F7997" s="1" t="s">
        <v>2</v>
      </c>
      <c r="U7997" s="1" t="s">
        <v>17</v>
      </c>
      <c r="EI7997" s="1" t="s">
        <v>135</v>
      </c>
      <c r="EJ7997" s="1" t="s">
        <v>136</v>
      </c>
      <c r="GD7997" s="1" t="s">
        <v>202</v>
      </c>
      <c r="GE7997" s="1" t="s">
        <v>11255</v>
      </c>
    </row>
    <row r="7998" spans="1:187" ht="11.25" customHeight="1">
      <c r="A7998" s="1" t="s">
        <v>11256</v>
      </c>
      <c r="B7998" s="1" t="str">
        <f ca="1">IFERROR(__xludf.DUMMYFUNCTION("GOOGLETRANSLATE(A7998, ""en"", ""fr"")"),"Imprimer # 1")</f>
        <v>Imprimer # 1</v>
      </c>
      <c r="C7998" s="1" t="s">
        <v>185</v>
      </c>
      <c r="N7998" s="1" t="s">
        <v>10</v>
      </c>
      <c r="BC7998" s="1" t="s">
        <v>51</v>
      </c>
      <c r="BH7998" s="1" t="s">
        <v>56</v>
      </c>
      <c r="BL7998" s="1" t="s">
        <v>60</v>
      </c>
      <c r="GD7998" s="1" t="s">
        <v>193</v>
      </c>
      <c r="GE7998" s="1" t="s">
        <v>190</v>
      </c>
    </row>
    <row r="7999" spans="1:187" ht="11.25" customHeight="1">
      <c r="A7999" s="1" t="s">
        <v>11257</v>
      </c>
      <c r="B7999" s="1" t="str">
        <f ca="1">IFERROR(__xludf.DUMMYFUNCTION("GOOGLETRANSLATE(A7999, ""en"", ""fr"")"),"Imprimer # 2")</f>
        <v>Imprimer # 2</v>
      </c>
      <c r="C7999" s="1" t="s">
        <v>185</v>
      </c>
      <c r="N7999" s="1" t="s">
        <v>10</v>
      </c>
      <c r="BK7999" s="1" t="s">
        <v>59</v>
      </c>
      <c r="DO7999" s="1" t="s">
        <v>115</v>
      </c>
      <c r="GD7999" s="1" t="s">
        <v>189</v>
      </c>
      <c r="GE7999" s="1" t="s">
        <v>190</v>
      </c>
    </row>
    <row r="8000" spans="1:187" ht="11.25" customHeight="1">
      <c r="A8000" s="1" t="s">
        <v>11258</v>
      </c>
      <c r="B8000" s="1" t="str">
        <f ca="1">IFERROR(__xludf.DUMMYFUNCTION("GOOGLETRANSLATE(A8000, ""en"", ""fr"")"),"AVANT")</f>
        <v>AVANT</v>
      </c>
      <c r="C8000" s="1" t="s">
        <v>185</v>
      </c>
      <c r="CT8000" s="1" t="s">
        <v>94</v>
      </c>
      <c r="CU8000" s="1" t="s">
        <v>95</v>
      </c>
      <c r="CY8000" s="1" t="s">
        <v>99</v>
      </c>
      <c r="GB8000" s="1" t="s">
        <v>180</v>
      </c>
      <c r="GD8000" s="1" t="s">
        <v>5766</v>
      </c>
      <c r="GE8000" s="1" t="s">
        <v>190</v>
      </c>
    </row>
    <row r="8001" spans="1:187" ht="11.25" customHeight="1">
      <c r="A8001" s="1" t="s">
        <v>11259</v>
      </c>
      <c r="B8001" s="1" t="str">
        <f ca="1">IFERROR(__xludf.DUMMYFUNCTION("GOOGLETRANSLATE(A8001, ""en"", ""fr"")"),"PRIORITÉ")</f>
        <v>PRIORITÉ</v>
      </c>
      <c r="C8001" s="1" t="s">
        <v>185</v>
      </c>
      <c r="J8001" s="1" t="s">
        <v>6</v>
      </c>
      <c r="BQ8001" s="1" t="s">
        <v>65</v>
      </c>
      <c r="FR8001" s="1" t="s">
        <v>170</v>
      </c>
      <c r="GD8001" s="1" t="s">
        <v>193</v>
      </c>
      <c r="GE8001" s="1" t="s">
        <v>190</v>
      </c>
    </row>
    <row r="8002" spans="1:187" ht="11.25" customHeight="1">
      <c r="A8002" s="1" t="s">
        <v>11260</v>
      </c>
      <c r="B8002" s="1" t="str">
        <f ca="1">IFERROR(__xludf.DUMMYFUNCTION("GOOGLETRANSLATE(A8002, ""en"", ""fr"")"),"Prison n ° 1")</f>
        <v>Prison n ° 1</v>
      </c>
      <c r="C8002" s="1" t="s">
        <v>185</v>
      </c>
      <c r="E8002" s="1" t="s">
        <v>16613</v>
      </c>
      <c r="H8002" s="1" t="s">
        <v>4</v>
      </c>
      <c r="AE8002" s="1" t="s">
        <v>27</v>
      </c>
      <c r="AH8002" s="1" t="s">
        <v>30</v>
      </c>
      <c r="AV8002" s="1" t="s">
        <v>44</v>
      </c>
      <c r="AW8002" s="1" t="s">
        <v>45</v>
      </c>
      <c r="EC8002" s="1" t="s">
        <v>129</v>
      </c>
      <c r="ED8002" s="1" t="s">
        <v>130</v>
      </c>
      <c r="GD8002" s="1" t="s">
        <v>849</v>
      </c>
      <c r="GE8002" s="1" t="s">
        <v>11261</v>
      </c>
    </row>
    <row r="8003" spans="1:187" ht="11.25" customHeight="1">
      <c r="A8003" s="1" t="s">
        <v>11262</v>
      </c>
      <c r="B8003" s="1" t="str">
        <f ca="1">IFERROR(__xludf.DUMMYFUNCTION("GOOGLETRANSLATE(A8003, ""en"", ""fr"")"),"Prison n ° 2")</f>
        <v>Prison n ° 2</v>
      </c>
      <c r="C8003" s="1" t="s">
        <v>185</v>
      </c>
      <c r="E8003" s="1" t="s">
        <v>16613</v>
      </c>
      <c r="H8003" s="1" t="s">
        <v>4</v>
      </c>
      <c r="AE8003" s="1" t="s">
        <v>27</v>
      </c>
      <c r="AH8003" s="1" t="s">
        <v>30</v>
      </c>
      <c r="AV8003" s="1" t="s">
        <v>44</v>
      </c>
      <c r="AW8003" s="1" t="s">
        <v>45</v>
      </c>
      <c r="DW8003" s="1" t="s">
        <v>123</v>
      </c>
      <c r="ED8003" s="1" t="s">
        <v>130</v>
      </c>
      <c r="GD8003" s="1" t="s">
        <v>193</v>
      </c>
      <c r="GE8003" s="1" t="s">
        <v>11263</v>
      </c>
    </row>
    <row r="8004" spans="1:187" ht="11.25" customHeight="1">
      <c r="A8004" s="1" t="s">
        <v>11264</v>
      </c>
      <c r="B8004" s="1" t="str">
        <f ca="1">IFERROR(__xludf.DUMMYFUNCTION("GOOGLETRANSLATE(A8004, ""en"", ""fr"")"),"PRISONNIER")</f>
        <v>PRISONNIER</v>
      </c>
      <c r="C8004" s="1" t="s">
        <v>185</v>
      </c>
      <c r="E8004" s="1" t="s">
        <v>16613</v>
      </c>
      <c r="H8004" s="1" t="s">
        <v>4</v>
      </c>
      <c r="L8004" s="1" t="s">
        <v>8</v>
      </c>
      <c r="M8004" s="1" t="s">
        <v>9</v>
      </c>
      <c r="O8004" s="1" t="s">
        <v>11</v>
      </c>
      <c r="AE8004" s="1" t="s">
        <v>27</v>
      </c>
      <c r="AJ8004" s="1" t="s">
        <v>32</v>
      </c>
      <c r="AT8004" s="1" t="s">
        <v>42</v>
      </c>
      <c r="DZ8004" s="1" t="s">
        <v>126</v>
      </c>
      <c r="ED8004" s="1" t="s">
        <v>130</v>
      </c>
      <c r="GD8004" s="1" t="s">
        <v>193</v>
      </c>
      <c r="GE8004" s="1" t="s">
        <v>190</v>
      </c>
    </row>
    <row r="8005" spans="1:187" ht="11.25" customHeight="1">
      <c r="A8005" s="1" t="s">
        <v>11265</v>
      </c>
      <c r="B8005" s="1" t="str">
        <f ca="1">IFERROR(__xludf.DUMMYFUNCTION("GOOGLETRANSLATE(A8005, ""en"", ""fr"")"),"CONFIDENTIALITÉ")</f>
        <v>CONFIDENTIALITÉ</v>
      </c>
      <c r="C8005" s="1" t="s">
        <v>185</v>
      </c>
      <c r="D8005" s="1" t="s">
        <v>16612</v>
      </c>
      <c r="W8005" s="1" t="s">
        <v>19</v>
      </c>
      <c r="EM8005" s="1" t="s">
        <v>139</v>
      </c>
      <c r="EN8005" s="1" t="s">
        <v>140</v>
      </c>
      <c r="GD8005" s="1" t="s">
        <v>193</v>
      </c>
      <c r="GE8005" s="1" t="s">
        <v>190</v>
      </c>
    </row>
    <row r="8006" spans="1:187" ht="11.25" customHeight="1">
      <c r="A8006" s="1" t="s">
        <v>11266</v>
      </c>
      <c r="B8006" s="1" t="str">
        <f ca="1">IFERROR(__xludf.DUMMYFUNCTION("GOOGLETRANSLATE(A8006, ""en"", ""fr"")"),"Privé n ° 1")</f>
        <v>Privé n ° 1</v>
      </c>
      <c r="C8006" s="1" t="s">
        <v>185</v>
      </c>
      <c r="AK8006" s="1" t="s">
        <v>33</v>
      </c>
      <c r="AT8006" s="1" t="s">
        <v>42</v>
      </c>
      <c r="EM8006" s="1" t="s">
        <v>139</v>
      </c>
      <c r="EN8006" s="1" t="s">
        <v>140</v>
      </c>
      <c r="GD8006" s="1" t="s">
        <v>421</v>
      </c>
      <c r="GE8006" s="1" t="s">
        <v>11267</v>
      </c>
    </row>
    <row r="8007" spans="1:187" ht="11.25" customHeight="1">
      <c r="A8007" s="1" t="s">
        <v>11268</v>
      </c>
      <c r="B8007" s="1" t="str">
        <f ca="1">IFERROR(__xludf.DUMMYFUNCTION("GOOGLETRANSLATE(A8007, ""en"", ""fr"")"),"Privé n ° 2")</f>
        <v>Privé n ° 2</v>
      </c>
      <c r="C8007" s="1" t="s">
        <v>185</v>
      </c>
      <c r="AE8007" s="1" t="s">
        <v>27</v>
      </c>
      <c r="AJ8007" s="1" t="s">
        <v>32</v>
      </c>
      <c r="AT8007" s="1" t="s">
        <v>42</v>
      </c>
      <c r="DZ8007" s="1" t="s">
        <v>126</v>
      </c>
      <c r="ED8007" s="1" t="s">
        <v>130</v>
      </c>
      <c r="GD8007" s="1" t="s">
        <v>193</v>
      </c>
      <c r="GE8007" s="1" t="s">
        <v>11269</v>
      </c>
    </row>
    <row r="8008" spans="1:187" ht="11.25" customHeight="1">
      <c r="A8008" s="1" t="s">
        <v>11270</v>
      </c>
      <c r="B8008" s="1" t="str">
        <f ca="1">IFERROR(__xludf.DUMMYFUNCTION("GOOGLETRANSLATE(A8008, ""en"", ""fr"")"),"Privé n ° 3")</f>
        <v>Privé n ° 3</v>
      </c>
      <c r="C8008" s="1" t="s">
        <v>185</v>
      </c>
      <c r="BJ8008" s="1" t="s">
        <v>58</v>
      </c>
      <c r="GD8008" s="1" t="s">
        <v>193</v>
      </c>
      <c r="GE8008" s="1" t="s">
        <v>11271</v>
      </c>
    </row>
    <row r="8009" spans="1:187" ht="11.25" customHeight="1">
      <c r="A8009" s="1" t="s">
        <v>11272</v>
      </c>
      <c r="B8009" s="1" t="str">
        <f ca="1">IFERROR(__xludf.DUMMYFUNCTION("GOOGLETRANSLATE(A8009, ""en"", ""fr"")"),"Privé n ° 4")</f>
        <v>Privé n ° 4</v>
      </c>
      <c r="C8009" s="1" t="s">
        <v>185</v>
      </c>
      <c r="BK8009" s="1" t="s">
        <v>59</v>
      </c>
      <c r="EC8009" s="1" t="s">
        <v>129</v>
      </c>
      <c r="ED8009" s="1" t="s">
        <v>130</v>
      </c>
      <c r="GD8009" s="1" t="s">
        <v>236</v>
      </c>
      <c r="GE8009" s="1" t="s">
        <v>11273</v>
      </c>
    </row>
    <row r="8010" spans="1:187" ht="11.25" customHeight="1">
      <c r="A8010" s="1" t="s">
        <v>11274</v>
      </c>
      <c r="B8010" s="1" t="str">
        <f ca="1">IFERROR(__xludf.DUMMYFUNCTION("GOOGLETRANSLATE(A8010, ""en"", ""fr"")"),"Privé n ° 5")</f>
        <v>Privé n ° 5</v>
      </c>
      <c r="C8010" s="1" t="s">
        <v>185</v>
      </c>
      <c r="L8010" s="1" t="s">
        <v>8</v>
      </c>
      <c r="M8010" s="1" t="s">
        <v>9</v>
      </c>
      <c r="AF8010" s="1" t="s">
        <v>28</v>
      </c>
      <c r="AJ8010" s="1" t="s">
        <v>32</v>
      </c>
      <c r="AT8010" s="1" t="s">
        <v>42</v>
      </c>
      <c r="DY8010" s="1" t="s">
        <v>125</v>
      </c>
      <c r="ED8010" s="1" t="s">
        <v>130</v>
      </c>
      <c r="GD8010" s="1" t="s">
        <v>193</v>
      </c>
      <c r="GE8010" s="1" t="s">
        <v>11275</v>
      </c>
    </row>
    <row r="8011" spans="1:187" ht="11.25" customHeight="1">
      <c r="A8011" s="1" t="s">
        <v>11276</v>
      </c>
      <c r="B8011" s="1" t="str">
        <f ca="1">IFERROR(__xludf.DUMMYFUNCTION("GOOGLETRANSLATE(A8011, ""en"", ""fr"")"),"PRIVILÈGE")</f>
        <v>PRIVILÈGE</v>
      </c>
      <c r="C8011" s="1" t="s">
        <v>185</v>
      </c>
      <c r="J8011" s="1" t="s">
        <v>6</v>
      </c>
      <c r="K8011" s="1" t="s">
        <v>7</v>
      </c>
      <c r="U8011" s="1" t="s">
        <v>17</v>
      </c>
      <c r="EM8011" s="1" t="s">
        <v>139</v>
      </c>
      <c r="EN8011" s="1" t="s">
        <v>140</v>
      </c>
      <c r="GD8011" s="1" t="s">
        <v>193</v>
      </c>
      <c r="GE8011" s="1" t="s">
        <v>190</v>
      </c>
    </row>
    <row r="8012" spans="1:187" ht="11.25" customHeight="1">
      <c r="A8012" s="1" t="s">
        <v>11277</v>
      </c>
      <c r="B8012" s="1" t="str">
        <f ca="1">IFERROR(__xludf.DUMMYFUNCTION("GOOGLETRANSLATE(A8012, ""en"", ""fr"")"),"PRIVILÉGIÉ")</f>
        <v>PRIVILÉGIÉ</v>
      </c>
      <c r="C8012" s="1" t="s">
        <v>192</v>
      </c>
      <c r="D8012" s="1" t="s">
        <v>16612</v>
      </c>
      <c r="J8012" s="1" t="s">
        <v>6</v>
      </c>
      <c r="W8012" s="1" t="s">
        <v>19</v>
      </c>
      <c r="AA8012" s="1" t="s">
        <v>23</v>
      </c>
      <c r="DR8012" s="1" t="s">
        <v>118</v>
      </c>
      <c r="GD8012" s="1" t="s">
        <v>202</v>
      </c>
      <c r="GE8012" s="1" t="s">
        <v>190</v>
      </c>
    </row>
    <row r="8013" spans="1:187" ht="11.25" customHeight="1">
      <c r="A8013" s="1" t="s">
        <v>11278</v>
      </c>
      <c r="B8013" s="1" t="str">
        <f ca="1">IFERROR(__xludf.DUMMYFUNCTION("GOOGLETRANSLATE(A8013, ""en"", ""fr"")"),"PRIVÉ")</f>
        <v>PRIVÉ</v>
      </c>
      <c r="C8013" s="1" t="s">
        <v>192</v>
      </c>
      <c r="D8013" s="1" t="s">
        <v>16612</v>
      </c>
      <c r="W8013" s="1" t="s">
        <v>19</v>
      </c>
      <c r="BK8013" s="1" t="s">
        <v>59</v>
      </c>
      <c r="DR8013" s="1" t="s">
        <v>118</v>
      </c>
      <c r="GD8013" s="1" t="s">
        <v>202</v>
      </c>
      <c r="GE8013" s="1" t="s">
        <v>190</v>
      </c>
    </row>
    <row r="8014" spans="1:187" ht="11.25" customHeight="1">
      <c r="A8014" s="1" t="s">
        <v>11279</v>
      </c>
      <c r="B8014" s="1" t="str">
        <f ca="1">IFERROR(__xludf.DUMMYFUNCTION("GOOGLETRANSLATE(A8014, ""en"", ""fr"")"),"PRIX")</f>
        <v>PRIX</v>
      </c>
      <c r="C8014" s="1" t="s">
        <v>185</v>
      </c>
      <c r="D8014" s="1" t="s">
        <v>16612</v>
      </c>
      <c r="F8014" s="1" t="s">
        <v>2</v>
      </c>
      <c r="J8014" s="1" t="s">
        <v>6</v>
      </c>
      <c r="BO8014" s="1" t="s">
        <v>63</v>
      </c>
      <c r="EM8014" s="1" t="s">
        <v>139</v>
      </c>
      <c r="EN8014" s="1" t="s">
        <v>140</v>
      </c>
      <c r="GD8014" s="1" t="s">
        <v>193</v>
      </c>
      <c r="GE8014" s="1" t="s">
        <v>190</v>
      </c>
    </row>
    <row r="8015" spans="1:187" ht="11.25" customHeight="1">
      <c r="A8015" s="1" t="s">
        <v>11280</v>
      </c>
      <c r="B8015" s="1" t="str">
        <f ca="1">IFERROR(__xludf.DUMMYFUNCTION("GOOGLETRANSLATE(A8015, ""en"", ""fr"")"),"PRO")</f>
        <v>PRO</v>
      </c>
      <c r="C8015" s="1" t="s">
        <v>192</v>
      </c>
      <c r="D8015" s="1" t="s">
        <v>16612</v>
      </c>
      <c r="AJ8015" s="1" t="s">
        <v>32</v>
      </c>
      <c r="AT8015" s="1" t="s">
        <v>42</v>
      </c>
      <c r="CH8015" s="1" t="s">
        <v>82</v>
      </c>
      <c r="GD8015" s="1" t="s">
        <v>193</v>
      </c>
      <c r="GE8015" s="1" t="s">
        <v>190</v>
      </c>
    </row>
    <row r="8016" spans="1:187" ht="11.25" customHeight="1">
      <c r="A8016" s="1" t="s">
        <v>11281</v>
      </c>
      <c r="B8016" s="1" t="str">
        <f ca="1">IFERROR(__xludf.DUMMYFUNCTION("GOOGLETRANSLATE(A8016, ""en"", ""fr"")"),"PROACTIF")</f>
        <v>PROACTIF</v>
      </c>
      <c r="C8016" s="1" t="s">
        <v>192</v>
      </c>
      <c r="D8016" s="1" t="s">
        <v>16612</v>
      </c>
      <c r="J8016" s="1" t="s">
        <v>6</v>
      </c>
      <c r="N8016" s="1" t="s">
        <v>10</v>
      </c>
      <c r="CC8016" s="1" t="s">
        <v>77</v>
      </c>
      <c r="DR8016" s="1" t="s">
        <v>118</v>
      </c>
      <c r="GD8016" s="1" t="s">
        <v>202</v>
      </c>
      <c r="GE8016" s="1" t="s">
        <v>190</v>
      </c>
    </row>
    <row r="8017" spans="1:187" ht="11.25" customHeight="1">
      <c r="A8017" s="1" t="s">
        <v>11282</v>
      </c>
      <c r="B8017" s="1" t="str">
        <f ca="1">IFERROR(__xludf.DUMMYFUNCTION("GOOGLETRANSLATE(A8017, ""en"", ""fr"")"),"PROBABILITÉ")</f>
        <v>PROBABILITÉ</v>
      </c>
      <c r="C8017" s="1" t="s">
        <v>185</v>
      </c>
      <c r="W8017" s="1" t="s">
        <v>19</v>
      </c>
      <c r="CI8017" s="1" t="s">
        <v>83</v>
      </c>
      <c r="CP8017" s="1" t="s">
        <v>90</v>
      </c>
      <c r="CQ8017" s="1" t="s">
        <v>91</v>
      </c>
      <c r="GD8017" s="1" t="s">
        <v>193</v>
      </c>
      <c r="GE8017" s="1" t="s">
        <v>190</v>
      </c>
    </row>
    <row r="8018" spans="1:187" ht="11.25" customHeight="1">
      <c r="A8018" s="1" t="s">
        <v>11283</v>
      </c>
      <c r="B8018" s="1" t="str">
        <f ca="1">IFERROR(__xludf.DUMMYFUNCTION("GOOGLETRANSLATE(A8018, ""en"", ""fr"")"),"PROBABLE")</f>
        <v>PROBABLE</v>
      </c>
      <c r="C8018" s="1" t="s">
        <v>185</v>
      </c>
      <c r="W8018" s="1" t="s">
        <v>19</v>
      </c>
      <c r="CI8018" s="1" t="s">
        <v>83</v>
      </c>
      <c r="FZ8018" s="1" t="s">
        <v>178</v>
      </c>
      <c r="GD8018" s="1" t="s">
        <v>202</v>
      </c>
      <c r="GE8018" s="1" t="s">
        <v>11284</v>
      </c>
    </row>
    <row r="8019" spans="1:187" ht="11.25" customHeight="1">
      <c r="A8019" s="1" t="s">
        <v>11285</v>
      </c>
      <c r="B8019" s="1" t="str">
        <f ca="1">IFERROR(__xludf.DUMMYFUNCTION("GOOGLETRANSLATE(A8019, ""en"", ""fr"")"),"PROBATION")</f>
        <v>PROBATION</v>
      </c>
      <c r="C8019" s="1" t="s">
        <v>185</v>
      </c>
      <c r="Z8019" s="1" t="s">
        <v>22</v>
      </c>
      <c r="AE8019" s="1" t="s">
        <v>27</v>
      </c>
      <c r="GD8019" s="1" t="s">
        <v>193</v>
      </c>
      <c r="GE8019" s="1" t="s">
        <v>190</v>
      </c>
    </row>
    <row r="8020" spans="1:187" ht="11.25" customHeight="1">
      <c r="A8020" s="1" t="s">
        <v>11286</v>
      </c>
      <c r="B8020" s="1" t="str">
        <f ca="1">IFERROR(__xludf.DUMMYFUNCTION("GOOGLETRANSLATE(A8020, ""en"", ""fr"")"),"Probatoire")</f>
        <v>Probatoire</v>
      </c>
      <c r="C8020" s="1" t="s">
        <v>196</v>
      </c>
      <c r="GD8020" s="1" t="s">
        <v>202</v>
      </c>
    </row>
    <row r="8021" spans="1:187" ht="11.25" customHeight="1">
      <c r="A8021" s="1" t="s">
        <v>11287</v>
      </c>
      <c r="B8021" s="1" t="str">
        <f ca="1">IFERROR(__xludf.DUMMYFUNCTION("GOOGLETRANSLATE(A8021, ""en"", ""fr"")"),"SONDE")</f>
        <v>SONDE</v>
      </c>
      <c r="C8021" s="1" t="s">
        <v>185</v>
      </c>
      <c r="J8021" s="1" t="s">
        <v>6</v>
      </c>
      <c r="N8021" s="1" t="s">
        <v>10</v>
      </c>
      <c r="BQ8021" s="1" t="s">
        <v>65</v>
      </c>
      <c r="GD8021" s="1" t="s">
        <v>193</v>
      </c>
      <c r="GE8021" s="1" t="s">
        <v>190</v>
      </c>
    </row>
    <row r="8022" spans="1:187" ht="11.25" customHeight="1">
      <c r="A8022" s="1" t="s">
        <v>11288</v>
      </c>
      <c r="B8022" s="1" t="str">
        <f ca="1">IFERROR(__xludf.DUMMYFUNCTION("GOOGLETRANSLATE(A8022, ""en"", ""fr"")"),"PROBLÈME")</f>
        <v>PROBLÈME</v>
      </c>
      <c r="C8022" s="1" t="s">
        <v>185</v>
      </c>
      <c r="E8022" s="1" t="s">
        <v>16613</v>
      </c>
      <c r="H8022" s="1" t="s">
        <v>4</v>
      </c>
      <c r="CH8022" s="1" t="s">
        <v>82</v>
      </c>
      <c r="EC8022" s="1" t="s">
        <v>129</v>
      </c>
      <c r="ED8022" s="1" t="s">
        <v>130</v>
      </c>
      <c r="GD8022" s="1" t="s">
        <v>193</v>
      </c>
      <c r="GE8022" s="1" t="s">
        <v>11289</v>
      </c>
    </row>
    <row r="8023" spans="1:187" ht="11.25" customHeight="1">
      <c r="A8023" s="1" t="s">
        <v>11290</v>
      </c>
      <c r="B8023" s="1" t="str">
        <f ca="1">IFERROR(__xludf.DUMMYFUNCTION("GOOGLETRANSLATE(A8023, ""en"", ""fr"")"),"DE PROCÉDURE")</f>
        <v>DE PROCÉDURE</v>
      </c>
      <c r="C8023" s="1" t="s">
        <v>185</v>
      </c>
      <c r="BQ8023" s="1" t="s">
        <v>65</v>
      </c>
      <c r="GD8023" s="1" t="s">
        <v>202</v>
      </c>
      <c r="GE8023" s="1" t="s">
        <v>190</v>
      </c>
    </row>
    <row r="8024" spans="1:187" ht="11.25" customHeight="1">
      <c r="A8024" s="1" t="s">
        <v>11291</v>
      </c>
      <c r="B8024" s="1" t="str">
        <f ca="1">IFERROR(__xludf.DUMMYFUNCTION("GOOGLETRANSLATE(A8024, ""en"", ""fr"")"),"PROCÉDURE")</f>
        <v>PROCÉDURE</v>
      </c>
      <c r="C8024" s="1" t="s">
        <v>185</v>
      </c>
      <c r="BQ8024" s="1" t="s">
        <v>65</v>
      </c>
      <c r="CP8024" s="1" t="s">
        <v>90</v>
      </c>
      <c r="CQ8024" s="1" t="s">
        <v>91</v>
      </c>
      <c r="GD8024" s="1" t="s">
        <v>193</v>
      </c>
      <c r="GE8024" s="1" t="s">
        <v>190</v>
      </c>
    </row>
    <row r="8025" spans="1:187" ht="11.25" customHeight="1">
      <c r="A8025" s="1" t="s">
        <v>11292</v>
      </c>
      <c r="B8025" s="1" t="str">
        <f ca="1">IFERROR(__xludf.DUMMYFUNCTION("GOOGLETRANSLATE(A8025, ""en"", ""fr"")"),"Procéder au n ° 1")</f>
        <v>Procéder au n ° 1</v>
      </c>
      <c r="C8025" s="1" t="s">
        <v>185</v>
      </c>
      <c r="N8025" s="1" t="s">
        <v>10</v>
      </c>
      <c r="CE8025" s="1" t="s">
        <v>79</v>
      </c>
      <c r="DN8025" s="1" t="s">
        <v>114</v>
      </c>
      <c r="FR8025" s="1" t="s">
        <v>170</v>
      </c>
      <c r="GD8025" s="1" t="s">
        <v>400</v>
      </c>
      <c r="GE8025" s="1" t="s">
        <v>11293</v>
      </c>
    </row>
    <row r="8026" spans="1:187" ht="11.25" customHeight="1">
      <c r="A8026" s="1" t="s">
        <v>11294</v>
      </c>
      <c r="B8026" s="1" t="str">
        <f ca="1">IFERROR(__xludf.DUMMYFUNCTION("GOOGLETRANSLATE(A8026, ""en"", ""fr"")"),"Procéder au n ° 2")</f>
        <v>Procéder au n ° 2</v>
      </c>
      <c r="C8026" s="1" t="s">
        <v>185</v>
      </c>
      <c r="AE8026" s="1" t="s">
        <v>27</v>
      </c>
      <c r="AM8026" s="1" t="s">
        <v>35</v>
      </c>
      <c r="FR8026" s="1" t="s">
        <v>170</v>
      </c>
      <c r="GD8026" s="1" t="s">
        <v>193</v>
      </c>
      <c r="GE8026" s="1" t="s">
        <v>11295</v>
      </c>
    </row>
    <row r="8027" spans="1:187" ht="11.25" customHeight="1">
      <c r="A8027" s="1" t="s">
        <v>11296</v>
      </c>
      <c r="B8027" s="1" t="str">
        <f ca="1">IFERROR(__xludf.DUMMYFUNCTION("GOOGLETRANSLATE(A8027, ""en"", ""fr"")"),"Procéder au n ° 3")</f>
        <v>Procéder au n ° 3</v>
      </c>
      <c r="C8027" s="1" t="s">
        <v>185</v>
      </c>
      <c r="AA8027" s="1" t="s">
        <v>23</v>
      </c>
      <c r="AC8027" s="1" t="s">
        <v>25</v>
      </c>
      <c r="BO8027" s="1" t="s">
        <v>63</v>
      </c>
      <c r="EV8027" s="1" t="s">
        <v>148</v>
      </c>
      <c r="EW8027" s="1" t="s">
        <v>149</v>
      </c>
      <c r="GD8027" s="1" t="s">
        <v>193</v>
      </c>
      <c r="GE8027" s="1" t="s">
        <v>11297</v>
      </c>
    </row>
    <row r="8028" spans="1:187" ht="11.25" customHeight="1">
      <c r="A8028" s="1" t="s">
        <v>11298</v>
      </c>
      <c r="B8028" s="1" t="str">
        <f ca="1">IFERROR(__xludf.DUMMYFUNCTION("GOOGLETRANSLATE(A8028, ""en"", ""fr"")"),"Processus n ° 1")</f>
        <v>Processus n ° 1</v>
      </c>
      <c r="C8028" s="1" t="s">
        <v>185</v>
      </c>
      <c r="N8028" s="1" t="s">
        <v>10</v>
      </c>
      <c r="BW8028" s="1" t="s">
        <v>71</v>
      </c>
      <c r="GD8028" s="1" t="s">
        <v>849</v>
      </c>
      <c r="GE8028" s="1" t="s">
        <v>11299</v>
      </c>
    </row>
    <row r="8029" spans="1:187" ht="11.25" customHeight="1">
      <c r="A8029" s="1" t="s">
        <v>11300</v>
      </c>
      <c r="B8029" s="1" t="str">
        <f ca="1">IFERROR(__xludf.DUMMYFUNCTION("GOOGLETRANSLATE(A8029, ""en"", ""fr"")"),"Processus n ° 2")</f>
        <v>Processus n ° 2</v>
      </c>
      <c r="C8029" s="1" t="s">
        <v>185</v>
      </c>
      <c r="N8029" s="1" t="s">
        <v>10</v>
      </c>
      <c r="AL8029" s="1" t="s">
        <v>34</v>
      </c>
      <c r="DN8029" s="1" t="s">
        <v>114</v>
      </c>
      <c r="GD8029" s="1" t="s">
        <v>189</v>
      </c>
      <c r="GE8029" s="1" t="s">
        <v>11301</v>
      </c>
    </row>
    <row r="8030" spans="1:187" ht="11.25" customHeight="1">
      <c r="A8030" s="1" t="s">
        <v>11302</v>
      </c>
      <c r="B8030" s="1" t="str">
        <f ca="1">IFERROR(__xludf.DUMMYFUNCTION("GOOGLETRANSLATE(A8030, ""en"", ""fr"")"),"PROCLAMER")</f>
        <v>PROCLAMER</v>
      </c>
      <c r="C8030" s="1" t="s">
        <v>185</v>
      </c>
      <c r="J8030" s="1" t="s">
        <v>6</v>
      </c>
      <c r="K8030" s="1" t="s">
        <v>7</v>
      </c>
      <c r="BK8030" s="1" t="s">
        <v>59</v>
      </c>
      <c r="DN8030" s="1" t="s">
        <v>114</v>
      </c>
      <c r="EC8030" s="1" t="s">
        <v>129</v>
      </c>
      <c r="ED8030" s="1" t="s">
        <v>130</v>
      </c>
      <c r="GD8030" s="1" t="s">
        <v>189</v>
      </c>
      <c r="GE8030" s="1" t="s">
        <v>190</v>
      </c>
    </row>
    <row r="8031" spans="1:187" ht="11.25" customHeight="1">
      <c r="A8031" s="1" t="s">
        <v>11303</v>
      </c>
      <c r="B8031" s="1" t="str">
        <f ca="1">IFERROR(__xludf.DUMMYFUNCTION("GOOGLETRANSLATE(A8031, ""en"", ""fr"")"),"PROCLAMATION")</f>
        <v>PROCLAMATION</v>
      </c>
      <c r="C8031" s="1" t="s">
        <v>185</v>
      </c>
      <c r="J8031" s="1" t="s">
        <v>6</v>
      </c>
      <c r="K8031" s="1" t="s">
        <v>7</v>
      </c>
      <c r="AH8031" s="1" t="s">
        <v>30</v>
      </c>
      <c r="BK8031" s="1" t="s">
        <v>59</v>
      </c>
      <c r="BL8031" s="1" t="s">
        <v>60</v>
      </c>
      <c r="EB8031" s="1" t="s">
        <v>128</v>
      </c>
      <c r="ED8031" s="1" t="s">
        <v>130</v>
      </c>
      <c r="GC8031" s="1" t="s">
        <v>181</v>
      </c>
      <c r="GD8031" s="1" t="s">
        <v>193</v>
      </c>
      <c r="GE8031" s="1" t="s">
        <v>190</v>
      </c>
    </row>
    <row r="8032" spans="1:187" ht="11.25" customHeight="1">
      <c r="A8032" s="1" t="s">
        <v>11304</v>
      </c>
      <c r="B8032" s="1" t="str">
        <f ca="1">IFERROR(__xludf.DUMMYFUNCTION("GOOGLETRANSLATE(A8032, ""en"", ""fr"")"),"REMETTRE À PLUS TARD")</f>
        <v>REMETTRE À PLUS TARD</v>
      </c>
      <c r="C8032" s="1" t="s">
        <v>192</v>
      </c>
      <c r="E8032" s="1" t="s">
        <v>16613</v>
      </c>
      <c r="L8032" s="1" t="s">
        <v>8</v>
      </c>
      <c r="N8032" s="1" t="s">
        <v>10</v>
      </c>
      <c r="AL8032" s="1" t="s">
        <v>34</v>
      </c>
      <c r="CA8032" s="1" t="s">
        <v>75</v>
      </c>
      <c r="DN8032" s="1" t="s">
        <v>114</v>
      </c>
      <c r="GD8032" s="1" t="s">
        <v>189</v>
      </c>
      <c r="GE8032" s="1" t="s">
        <v>190</v>
      </c>
    </row>
    <row r="8033" spans="1:187" ht="11.25" customHeight="1">
      <c r="A8033" s="1" t="s">
        <v>11305</v>
      </c>
      <c r="B8033" s="1" t="str">
        <f ca="1">IFERROR(__xludf.DUMMYFUNCTION("GOOGLETRANSLATE(A8033, ""en"", ""fr"")"),"PROCRASTINATION")</f>
        <v>PROCRASTINATION</v>
      </c>
      <c r="C8033" s="1" t="s">
        <v>192</v>
      </c>
      <c r="E8033" s="1" t="s">
        <v>16613</v>
      </c>
      <c r="L8033" s="1" t="s">
        <v>8</v>
      </c>
      <c r="AL8033" s="1" t="s">
        <v>34</v>
      </c>
      <c r="CA8033" s="1" t="s">
        <v>75</v>
      </c>
      <c r="GD8033" s="1" t="s">
        <v>193</v>
      </c>
      <c r="GE8033" s="1" t="s">
        <v>190</v>
      </c>
    </row>
    <row r="8034" spans="1:187" ht="11.25" customHeight="1">
      <c r="A8034" s="1" t="s">
        <v>11306</v>
      </c>
      <c r="B8034" s="1" t="str">
        <f ca="1">IFERROR(__xludf.DUMMYFUNCTION("GOOGLETRANSLATE(A8034, ""en"", ""fr"")"),"PROCUREUR")</f>
        <v>PROCUREUR</v>
      </c>
      <c r="C8034" s="1" t="s">
        <v>185</v>
      </c>
      <c r="J8034" s="1" t="s">
        <v>6</v>
      </c>
      <c r="K8034" s="1" t="s">
        <v>7</v>
      </c>
      <c r="Y8034" s="1" t="s">
        <v>21</v>
      </c>
      <c r="AJ8034" s="1" t="s">
        <v>32</v>
      </c>
      <c r="AT8034" s="1" t="s">
        <v>42</v>
      </c>
      <c r="EE8034" s="1" t="s">
        <v>131</v>
      </c>
      <c r="EJ8034" s="1" t="s">
        <v>136</v>
      </c>
      <c r="GD8034" s="1" t="s">
        <v>193</v>
      </c>
      <c r="GE8034" s="1" t="s">
        <v>190</v>
      </c>
    </row>
    <row r="8035" spans="1:187" ht="11.25" customHeight="1">
      <c r="A8035" s="1" t="s">
        <v>11307</v>
      </c>
      <c r="B8035" s="1" t="str">
        <f ca="1">IFERROR(__xludf.DUMMYFUNCTION("GOOGLETRANSLATE(A8035, ""en"", ""fr"")"),"PROCURER")</f>
        <v>PROCURER</v>
      </c>
      <c r="C8035" s="1" t="s">
        <v>185</v>
      </c>
      <c r="J8035" s="1" t="s">
        <v>6</v>
      </c>
      <c r="N8035" s="1" t="s">
        <v>10</v>
      </c>
      <c r="CD8035" s="1" t="s">
        <v>78</v>
      </c>
      <c r="DN8035" s="1" t="s">
        <v>114</v>
      </c>
      <c r="FN8035" s="1" t="s">
        <v>166</v>
      </c>
      <c r="GD8035" s="1" t="s">
        <v>189</v>
      </c>
      <c r="GE8035" s="1" t="s">
        <v>190</v>
      </c>
    </row>
    <row r="8036" spans="1:187" ht="11.25" customHeight="1">
      <c r="A8036" s="1" t="s">
        <v>11308</v>
      </c>
      <c r="B8036" s="1" t="str">
        <f ca="1">IFERROR(__xludf.DUMMYFUNCTION("GOOGLETRANSLATE(A8036, ""en"", ""fr"")"),"APPROVISIONNEMENT")</f>
        <v>APPROVISIONNEMENT</v>
      </c>
      <c r="C8036" s="1" t="s">
        <v>185</v>
      </c>
      <c r="J8036" s="1" t="s">
        <v>6</v>
      </c>
      <c r="AC8036" s="1" t="s">
        <v>25</v>
      </c>
      <c r="BQ8036" s="1" t="s">
        <v>65</v>
      </c>
      <c r="GD8036" s="1" t="s">
        <v>193</v>
      </c>
      <c r="GE8036" s="1" t="s">
        <v>190</v>
      </c>
    </row>
    <row r="8037" spans="1:187" ht="11.25" customHeight="1">
      <c r="A8037" s="1" t="s">
        <v>11309</v>
      </c>
      <c r="B8037" s="1" t="str">
        <f ca="1">IFERROR(__xludf.DUMMYFUNCTION("GOOGLETRANSLATE(A8037, ""en"", ""fr"")"),"Faire un coup de pouce")</f>
        <v>Faire un coup de pouce</v>
      </c>
      <c r="C8037" s="1" t="s">
        <v>192</v>
      </c>
      <c r="E8037" s="1" t="s">
        <v>16613</v>
      </c>
      <c r="J8037" s="1" t="s">
        <v>6</v>
      </c>
      <c r="BK8037" s="1" t="s">
        <v>59</v>
      </c>
      <c r="DN8037" s="1" t="s">
        <v>114</v>
      </c>
      <c r="GD8037" s="1" t="s">
        <v>189</v>
      </c>
      <c r="GE8037" s="1" t="s">
        <v>190</v>
      </c>
    </row>
    <row r="8038" spans="1:187" ht="11.25" customHeight="1">
      <c r="A8038" s="1" t="s">
        <v>11310</v>
      </c>
      <c r="B8038" s="1" t="str">
        <f ca="1">IFERROR(__xludf.DUMMYFUNCTION("GOOGLETRANSLATE(A8038, ""en"", ""fr"")"),"PRODIGIEUX")</f>
        <v>PRODIGIEUX</v>
      </c>
      <c r="C8038" s="1" t="s">
        <v>192</v>
      </c>
      <c r="D8038" s="1" t="s">
        <v>16612</v>
      </c>
      <c r="W8038" s="1" t="s">
        <v>19</v>
      </c>
      <c r="CM8038" s="1" t="s">
        <v>87</v>
      </c>
      <c r="CR8038" s="1" t="s">
        <v>92</v>
      </c>
      <c r="DR8038" s="1" t="s">
        <v>118</v>
      </c>
      <c r="GD8038" s="1" t="s">
        <v>202</v>
      </c>
      <c r="GE8038" s="1" t="s">
        <v>190</v>
      </c>
    </row>
    <row r="8039" spans="1:187" ht="11.25" customHeight="1">
      <c r="A8039" s="1" t="s">
        <v>11311</v>
      </c>
      <c r="B8039" s="1" t="str">
        <f ca="1">IFERROR(__xludf.DUMMYFUNCTION("GOOGLETRANSLATE(A8039, ""en"", ""fr"")"),"PRODIGE")</f>
        <v>PRODIGE</v>
      </c>
      <c r="C8039" s="1" t="s">
        <v>192</v>
      </c>
      <c r="D8039" s="1" t="s">
        <v>16612</v>
      </c>
      <c r="AJ8039" s="1" t="s">
        <v>32</v>
      </c>
      <c r="AT8039" s="1" t="s">
        <v>42</v>
      </c>
      <c r="CH8039" s="1" t="s">
        <v>82</v>
      </c>
      <c r="GD8039" s="1" t="s">
        <v>193</v>
      </c>
      <c r="GE8039" s="1" t="s">
        <v>190</v>
      </c>
    </row>
    <row r="8040" spans="1:187" ht="11.25" customHeight="1">
      <c r="A8040" s="1" t="s">
        <v>11312</v>
      </c>
      <c r="B8040" s="1" t="str">
        <f ca="1">IFERROR(__xludf.DUMMYFUNCTION("GOOGLETRANSLATE(A8040, ""en"", ""fr"")"),"Produire n ° 1")</f>
        <v>Produire n ° 1</v>
      </c>
      <c r="C8040" s="1" t="s">
        <v>185</v>
      </c>
      <c r="J8040" s="1" t="s">
        <v>6</v>
      </c>
      <c r="N8040" s="1" t="s">
        <v>10</v>
      </c>
      <c r="AL8040" s="1" t="s">
        <v>34</v>
      </c>
      <c r="DN8040" s="1" t="s">
        <v>114</v>
      </c>
      <c r="FR8040" s="1" t="s">
        <v>170</v>
      </c>
      <c r="GD8040" s="1" t="s">
        <v>400</v>
      </c>
      <c r="GE8040" s="1" t="s">
        <v>11313</v>
      </c>
    </row>
    <row r="8041" spans="1:187" ht="11.25" customHeight="1">
      <c r="A8041" s="1" t="s">
        <v>11314</v>
      </c>
      <c r="B8041" s="1" t="str">
        <f ca="1">IFERROR(__xludf.DUMMYFUNCTION("GOOGLETRANSLATE(A8041, ""en"", ""fr"")"),"Produire # 2")</f>
        <v>Produire # 2</v>
      </c>
      <c r="C8041" s="1" t="s">
        <v>185</v>
      </c>
      <c r="AA8041" s="1" t="s">
        <v>23</v>
      </c>
      <c r="AC8041" s="1" t="s">
        <v>25</v>
      </c>
      <c r="BC8041" s="1" t="s">
        <v>51</v>
      </c>
      <c r="BE8041" s="1" t="s">
        <v>53</v>
      </c>
      <c r="EV8041" s="1" t="s">
        <v>148</v>
      </c>
      <c r="EW8041" s="1" t="s">
        <v>149</v>
      </c>
      <c r="GD8041" s="1" t="s">
        <v>193</v>
      </c>
      <c r="GE8041" s="1" t="s">
        <v>11315</v>
      </c>
    </row>
    <row r="8042" spans="1:187" ht="11.25" customHeight="1">
      <c r="A8042" s="1" t="s">
        <v>11316</v>
      </c>
      <c r="B8042" s="1" t="str">
        <f ca="1">IFERROR(__xludf.DUMMYFUNCTION("GOOGLETRANSLATE(A8042, ""en"", ""fr"")"),"PRODUCTEUR")</f>
        <v>PRODUCTEUR</v>
      </c>
      <c r="C8042" s="1" t="s">
        <v>185</v>
      </c>
      <c r="AA8042" s="1" t="s">
        <v>23</v>
      </c>
      <c r="AC8042" s="1" t="s">
        <v>25</v>
      </c>
      <c r="AJ8042" s="1" t="s">
        <v>32</v>
      </c>
      <c r="AT8042" s="1" t="s">
        <v>42</v>
      </c>
      <c r="EV8042" s="1" t="s">
        <v>148</v>
      </c>
      <c r="EW8042" s="1" t="s">
        <v>149</v>
      </c>
      <c r="GD8042" s="1" t="s">
        <v>193</v>
      </c>
      <c r="GE8042" s="1" t="s">
        <v>190</v>
      </c>
    </row>
    <row r="8043" spans="1:187" ht="11.25" customHeight="1">
      <c r="A8043" s="1" t="s">
        <v>11317</v>
      </c>
      <c r="B8043" s="1" t="str">
        <f ca="1">IFERROR(__xludf.DUMMYFUNCTION("GOOGLETRANSLATE(A8043, ""en"", ""fr"")"),"PRODUIT")</f>
        <v>PRODUIT</v>
      </c>
      <c r="C8043" s="1" t="s">
        <v>185</v>
      </c>
      <c r="AA8043" s="1" t="s">
        <v>23</v>
      </c>
      <c r="AC8043" s="1" t="s">
        <v>25</v>
      </c>
      <c r="BC8043" s="1" t="s">
        <v>51</v>
      </c>
      <c r="BD8043" s="1" t="s">
        <v>52</v>
      </c>
      <c r="FL8043" s="1" t="s">
        <v>164</v>
      </c>
      <c r="FM8043" s="1" t="s">
        <v>418</v>
      </c>
      <c r="GD8043" s="1" t="s">
        <v>193</v>
      </c>
      <c r="GE8043" s="1" t="s">
        <v>11318</v>
      </c>
    </row>
    <row r="8044" spans="1:187" ht="11.25" customHeight="1">
      <c r="A8044" s="1" t="s">
        <v>11319</v>
      </c>
      <c r="B8044" s="1" t="str">
        <f ca="1">IFERROR(__xludf.DUMMYFUNCTION("GOOGLETRANSLATE(A8044, ""en"", ""fr"")"),"PRODUCTION")</f>
        <v>PRODUCTION</v>
      </c>
      <c r="C8044" s="1" t="s">
        <v>185</v>
      </c>
      <c r="AC8044" s="1" t="s">
        <v>25</v>
      </c>
      <c r="BQ8044" s="1" t="s">
        <v>65</v>
      </c>
      <c r="FR8044" s="1" t="s">
        <v>170</v>
      </c>
      <c r="GD8044" s="1" t="s">
        <v>193</v>
      </c>
      <c r="GE8044" s="1" t="s">
        <v>11320</v>
      </c>
    </row>
    <row r="8045" spans="1:187" ht="11.25" customHeight="1">
      <c r="A8045" s="1" t="s">
        <v>11321</v>
      </c>
      <c r="B8045" s="1" t="str">
        <f ca="1">IFERROR(__xludf.DUMMYFUNCTION("GOOGLETRANSLATE(A8045, ""en"", ""fr"")"),"PRODUCTIF")</f>
        <v>PRODUCTIF</v>
      </c>
      <c r="C8045" s="1" t="s">
        <v>185</v>
      </c>
      <c r="D8045" s="1" t="s">
        <v>16612</v>
      </c>
      <c r="F8045" s="1" t="s">
        <v>2</v>
      </c>
      <c r="J8045" s="1" t="s">
        <v>6</v>
      </c>
      <c r="U8045" s="1" t="s">
        <v>17</v>
      </c>
      <c r="AA8045" s="1" t="s">
        <v>23</v>
      </c>
      <c r="FR8045" s="1" t="s">
        <v>170</v>
      </c>
      <c r="GD8045" s="1" t="s">
        <v>202</v>
      </c>
      <c r="GE8045" s="1" t="s">
        <v>190</v>
      </c>
    </row>
    <row r="8046" spans="1:187" ht="11.25" customHeight="1">
      <c r="A8046" s="1" t="s">
        <v>11322</v>
      </c>
      <c r="B8046" s="1" t="str">
        <f ca="1">IFERROR(__xludf.DUMMYFUNCTION("GOOGLETRANSLATE(A8046, ""en"", ""fr"")"),"PRODUCTIVITÉ")</f>
        <v>PRODUCTIVITÉ</v>
      </c>
      <c r="C8046" s="1" t="s">
        <v>185</v>
      </c>
      <c r="D8046" s="1" t="s">
        <v>16612</v>
      </c>
      <c r="F8046" s="1" t="s">
        <v>2</v>
      </c>
      <c r="U8046" s="1" t="s">
        <v>17</v>
      </c>
      <c r="AA8046" s="1" t="s">
        <v>23</v>
      </c>
      <c r="AC8046" s="1" t="s">
        <v>25</v>
      </c>
      <c r="EV8046" s="1" t="s">
        <v>148</v>
      </c>
      <c r="EW8046" s="1" t="s">
        <v>149</v>
      </c>
      <c r="GD8046" s="1" t="s">
        <v>193</v>
      </c>
      <c r="GE8046" s="1" t="s">
        <v>190</v>
      </c>
    </row>
    <row r="8047" spans="1:187" ht="11.25" customHeight="1">
      <c r="A8047" s="1" t="s">
        <v>11323</v>
      </c>
      <c r="B8047" s="1" t="str">
        <f ca="1">IFERROR(__xludf.DUMMYFUNCTION("GOOGLETRANSLATE(A8047, ""en"", ""fr"")"),"PROFESSER")</f>
        <v>PROFESSER</v>
      </c>
      <c r="C8047" s="1" t="s">
        <v>185</v>
      </c>
      <c r="D8047" s="1" t="s">
        <v>16612</v>
      </c>
      <c r="N8047" s="1" t="s">
        <v>10</v>
      </c>
      <c r="BK8047" s="1" t="s">
        <v>59</v>
      </c>
      <c r="DN8047" s="1" t="s">
        <v>114</v>
      </c>
      <c r="FH8047" s="1" t="s">
        <v>160</v>
      </c>
      <c r="FI8047" s="1" t="s">
        <v>161</v>
      </c>
      <c r="GD8047" s="1" t="s">
        <v>189</v>
      </c>
      <c r="GE8047" s="1" t="s">
        <v>190</v>
      </c>
    </row>
    <row r="8048" spans="1:187" ht="11.25" customHeight="1">
      <c r="A8048" s="1" t="s">
        <v>11324</v>
      </c>
      <c r="B8048" s="1" t="str">
        <f ca="1">IFERROR(__xludf.DUMMYFUNCTION("GOOGLETRANSLATE(A8048, ""en"", ""fr"")"),"PROFESSION")</f>
        <v>PROFESSION</v>
      </c>
      <c r="C8048" s="1" t="s">
        <v>185</v>
      </c>
      <c r="AA8048" s="1" t="s">
        <v>23</v>
      </c>
      <c r="AC8048" s="1" t="s">
        <v>25</v>
      </c>
      <c r="AK8048" s="1" t="s">
        <v>33</v>
      </c>
      <c r="AT8048" s="1" t="s">
        <v>42</v>
      </c>
      <c r="FK8048" s="1" t="s">
        <v>163</v>
      </c>
      <c r="FM8048" s="1" t="s">
        <v>418</v>
      </c>
      <c r="GD8048" s="1" t="s">
        <v>193</v>
      </c>
      <c r="GE8048" s="1" t="s">
        <v>11325</v>
      </c>
    </row>
    <row r="8049" spans="1:187" ht="11.25" customHeight="1">
      <c r="A8049" s="1" t="s">
        <v>11326</v>
      </c>
      <c r="B8049" s="1" t="str">
        <f ca="1">IFERROR(__xludf.DUMMYFUNCTION("GOOGLETRANSLATE(A8049, ""en"", ""fr"")"),"PROFESSIONNEL")</f>
        <v>PROFESSIONNEL</v>
      </c>
      <c r="C8049" s="1" t="s">
        <v>185</v>
      </c>
      <c r="AA8049" s="1" t="s">
        <v>23</v>
      </c>
      <c r="AC8049" s="1" t="s">
        <v>25</v>
      </c>
      <c r="AJ8049" s="1" t="s">
        <v>32</v>
      </c>
      <c r="AT8049" s="1" t="s">
        <v>42</v>
      </c>
      <c r="CN8049" s="1" t="s">
        <v>88</v>
      </c>
      <c r="FK8049" s="1" t="s">
        <v>163</v>
      </c>
      <c r="FM8049" s="1" t="s">
        <v>418</v>
      </c>
      <c r="GD8049" s="1" t="s">
        <v>202</v>
      </c>
      <c r="GE8049" s="1" t="s">
        <v>190</v>
      </c>
    </row>
    <row r="8050" spans="1:187" ht="11.25" customHeight="1">
      <c r="A8050" s="1" t="s">
        <v>11327</v>
      </c>
      <c r="B8050" s="1" t="str">
        <f ca="1">IFERROR(__xludf.DUMMYFUNCTION("GOOGLETRANSLATE(A8050, ""en"", ""fr"")"),"PROFESSEUR")</f>
        <v>PROFESSEUR</v>
      </c>
      <c r="C8050" s="1" t="s">
        <v>185</v>
      </c>
      <c r="K8050" s="1" t="s">
        <v>7</v>
      </c>
      <c r="Y8050" s="1" t="s">
        <v>21</v>
      </c>
      <c r="AJ8050" s="1" t="s">
        <v>32</v>
      </c>
      <c r="AT8050" s="1" t="s">
        <v>42</v>
      </c>
      <c r="FG8050" s="1" t="s">
        <v>159</v>
      </c>
      <c r="FI8050" s="1" t="s">
        <v>161</v>
      </c>
      <c r="GD8050" s="1" t="s">
        <v>193</v>
      </c>
      <c r="GE8050" s="1" t="s">
        <v>11328</v>
      </c>
    </row>
    <row r="8051" spans="1:187" ht="11.25" customHeight="1">
      <c r="A8051" s="1" t="s">
        <v>11329</v>
      </c>
      <c r="B8051" s="1" t="str">
        <f ca="1">IFERROR(__xludf.DUMMYFUNCTION("GOOGLETRANSLATE(A8051, ""en"", ""fr"")"),"PRÉSENTATION")</f>
        <v>PRÉSENTATION</v>
      </c>
      <c r="C8051" s="1" t="s">
        <v>192</v>
      </c>
      <c r="D8051" s="1" t="s">
        <v>16612</v>
      </c>
      <c r="N8051" s="1" t="s">
        <v>10</v>
      </c>
      <c r="BK8051" s="1" t="s">
        <v>59</v>
      </c>
      <c r="DN8051" s="1" t="s">
        <v>114</v>
      </c>
      <c r="GD8051" s="1" t="s">
        <v>189</v>
      </c>
      <c r="GE8051" s="1" t="s">
        <v>190</v>
      </c>
    </row>
    <row r="8052" spans="1:187" ht="11.25" customHeight="1">
      <c r="A8052" s="1" t="s">
        <v>11330</v>
      </c>
      <c r="B8052" s="1" t="str">
        <f ca="1">IFERROR(__xludf.DUMMYFUNCTION("GOOGLETRANSLATE(A8052, ""en"", ""fr"")"),"COMPÉTENT")</f>
        <v>COMPÉTENT</v>
      </c>
      <c r="C8052" s="1" t="s">
        <v>192</v>
      </c>
      <c r="D8052" s="1" t="s">
        <v>16612</v>
      </c>
      <c r="J8052" s="1" t="s">
        <v>6</v>
      </c>
      <c r="CH8052" s="1" t="s">
        <v>82</v>
      </c>
      <c r="DR8052" s="1" t="s">
        <v>118</v>
      </c>
      <c r="GD8052" s="1" t="s">
        <v>202</v>
      </c>
      <c r="GE8052" s="1" t="s">
        <v>190</v>
      </c>
    </row>
    <row r="8053" spans="1:187" ht="11.25" customHeight="1">
      <c r="A8053" s="1" t="s">
        <v>11331</v>
      </c>
      <c r="B8053" s="1" t="str">
        <f ca="1">IFERROR(__xludf.DUMMYFUNCTION("GOOGLETRANSLATE(A8053, ""en"", ""fr"")"),"Bénéfice n ° 1")</f>
        <v>Bénéfice n ° 1</v>
      </c>
      <c r="C8053" s="1" t="s">
        <v>185</v>
      </c>
      <c r="D8053" s="1" t="s">
        <v>16612</v>
      </c>
      <c r="F8053" s="1" t="s">
        <v>2</v>
      </c>
      <c r="J8053" s="1" t="s">
        <v>6</v>
      </c>
      <c r="AA8053" s="1" t="s">
        <v>23</v>
      </c>
      <c r="AC8053" s="1" t="s">
        <v>25</v>
      </c>
      <c r="BO8053" s="1" t="s">
        <v>63</v>
      </c>
      <c r="EU8053" s="1" t="s">
        <v>147</v>
      </c>
      <c r="EW8053" s="1" t="s">
        <v>149</v>
      </c>
      <c r="GD8053" s="1" t="s">
        <v>193</v>
      </c>
      <c r="GE8053" s="1" t="s">
        <v>190</v>
      </c>
    </row>
    <row r="8054" spans="1:187" ht="11.25" customHeight="1">
      <c r="A8054" s="1" t="s">
        <v>11332</v>
      </c>
      <c r="B8054" s="1" t="str">
        <f ca="1">IFERROR(__xludf.DUMMYFUNCTION("GOOGLETRANSLATE(A8054, ""en"", ""fr"")"),"Bénéfice n ° 2")</f>
        <v>Bénéfice n ° 2</v>
      </c>
      <c r="C8054" s="1" t="s">
        <v>185</v>
      </c>
      <c r="D8054" s="1" t="s">
        <v>16612</v>
      </c>
      <c r="F8054" s="1" t="s">
        <v>2</v>
      </c>
      <c r="J8054" s="1" t="s">
        <v>6</v>
      </c>
      <c r="AA8054" s="1" t="s">
        <v>23</v>
      </c>
      <c r="AB8054" s="1" t="s">
        <v>24</v>
      </c>
      <c r="DN8054" s="1" t="s">
        <v>114</v>
      </c>
      <c r="EU8054" s="1" t="s">
        <v>147</v>
      </c>
      <c r="EW8054" s="1" t="s">
        <v>149</v>
      </c>
      <c r="GD8054" s="1" t="s">
        <v>189</v>
      </c>
      <c r="GE8054" s="1" t="s">
        <v>190</v>
      </c>
    </row>
    <row r="8055" spans="1:187" ht="11.25" customHeight="1">
      <c r="A8055" s="1" t="s">
        <v>11333</v>
      </c>
      <c r="B8055" s="1" t="str">
        <f ca="1">IFERROR(__xludf.DUMMYFUNCTION("GOOGLETRANSLATE(A8055, ""en"", ""fr"")"),"RENTABLE")</f>
        <v>RENTABLE</v>
      </c>
      <c r="C8055" s="1" t="s">
        <v>185</v>
      </c>
      <c r="D8055" s="1" t="s">
        <v>16612</v>
      </c>
      <c r="F8055" s="1" t="s">
        <v>2</v>
      </c>
      <c r="J8055" s="1" t="s">
        <v>6</v>
      </c>
      <c r="U8055" s="1" t="s">
        <v>17</v>
      </c>
      <c r="AA8055" s="1" t="s">
        <v>23</v>
      </c>
      <c r="FN8055" s="1" t="s">
        <v>166</v>
      </c>
      <c r="GD8055" s="1" t="s">
        <v>202</v>
      </c>
      <c r="GE8055" s="1" t="s">
        <v>190</v>
      </c>
    </row>
    <row r="8056" spans="1:187" ht="11.25" customHeight="1">
      <c r="A8056" s="1" t="s">
        <v>11334</v>
      </c>
      <c r="B8056" s="1" t="str">
        <f ca="1">IFERROR(__xludf.DUMMYFUNCTION("GOOGLETRANSLATE(A8056, ""en"", ""fr"")"),"PROFITEUR")</f>
        <v>PROFITEUR</v>
      </c>
      <c r="C8056" s="1" t="s">
        <v>196</v>
      </c>
      <c r="ET8056" s="1" t="s">
        <v>146</v>
      </c>
      <c r="EW8056" s="1" t="s">
        <v>149</v>
      </c>
      <c r="GD8056" s="1" t="s">
        <v>193</v>
      </c>
    </row>
    <row r="8057" spans="1:187" ht="11.25" customHeight="1">
      <c r="A8057" s="1" t="s">
        <v>11335</v>
      </c>
      <c r="B8057" s="1" t="str">
        <f ca="1">IFERROR(__xludf.DUMMYFUNCTION("GOOGLETRANSLATE(A8057, ""en"", ""fr"")"),"PROFOND")</f>
        <v>PROFOND</v>
      </c>
      <c r="C8057" s="1" t="s">
        <v>185</v>
      </c>
      <c r="D8057" s="1" t="s">
        <v>16612</v>
      </c>
      <c r="F8057" s="1" t="s">
        <v>2</v>
      </c>
      <c r="J8057" s="1" t="s">
        <v>6</v>
      </c>
      <c r="U8057" s="1" t="s">
        <v>17</v>
      </c>
      <c r="CN8057" s="1" t="s">
        <v>88</v>
      </c>
      <c r="GD8057" s="1" t="s">
        <v>202</v>
      </c>
      <c r="GE8057" s="1" t="s">
        <v>190</v>
      </c>
    </row>
    <row r="8058" spans="1:187" ht="11.25" customHeight="1">
      <c r="A8058" s="1" t="s">
        <v>11336</v>
      </c>
      <c r="B8058" s="1" t="str">
        <f ca="1">IFERROR(__xludf.DUMMYFUNCTION("GOOGLETRANSLATE(A8058, ""en"", ""fr"")"),"Programme n ° 1")</f>
        <v>Programme n ° 1</v>
      </c>
      <c r="C8058" s="1" t="s">
        <v>185</v>
      </c>
      <c r="AH8058" s="1" t="s">
        <v>30</v>
      </c>
      <c r="BQ8058" s="1" t="s">
        <v>65</v>
      </c>
      <c r="FR8058" s="1" t="s">
        <v>170</v>
      </c>
      <c r="GD8058" s="1" t="s">
        <v>849</v>
      </c>
      <c r="GE8058" s="1" t="s">
        <v>11337</v>
      </c>
    </row>
    <row r="8059" spans="1:187" ht="11.25" customHeight="1">
      <c r="A8059" s="1" t="s">
        <v>11338</v>
      </c>
      <c r="B8059" s="1" t="str">
        <f ca="1">IFERROR(__xludf.DUMMYFUNCTION("GOOGLETRANSLATE(A8059, ""en"", ""fr"")"),"Programme n ° 2")</f>
        <v>Programme n ° 2</v>
      </c>
      <c r="C8059" s="1" t="s">
        <v>185</v>
      </c>
      <c r="N8059" s="1" t="s">
        <v>10</v>
      </c>
      <c r="AL8059" s="1" t="s">
        <v>34</v>
      </c>
      <c r="DN8059" s="1" t="s">
        <v>114</v>
      </c>
      <c r="FR8059" s="1" t="s">
        <v>170</v>
      </c>
      <c r="GD8059" s="1" t="s">
        <v>189</v>
      </c>
      <c r="GE8059" s="1" t="s">
        <v>11339</v>
      </c>
    </row>
    <row r="8060" spans="1:187" ht="11.25" customHeight="1">
      <c r="A8060" s="1" t="s">
        <v>11340</v>
      </c>
      <c r="B8060" s="1" t="str">
        <f ca="1">IFERROR(__xludf.DUMMYFUNCTION("GOOGLETRANSLATE(A8060, ""en"", ""fr"")"),"Programme n ° 3")</f>
        <v>Programme n ° 3</v>
      </c>
      <c r="C8060" s="1" t="s">
        <v>185</v>
      </c>
      <c r="BQ8060" s="1" t="s">
        <v>65</v>
      </c>
      <c r="FR8060" s="1" t="s">
        <v>170</v>
      </c>
      <c r="GD8060" s="1" t="s">
        <v>193</v>
      </c>
      <c r="GE8060" s="1" t="s">
        <v>11341</v>
      </c>
    </row>
    <row r="8061" spans="1:187" ht="11.25" customHeight="1">
      <c r="A8061" s="1" t="s">
        <v>11342</v>
      </c>
      <c r="B8061" s="1" t="str">
        <f ca="1">IFERROR(__xludf.DUMMYFUNCTION("GOOGLETRANSLATE(A8061, ""en"", ""fr"")"),"Programme n ° 1")</f>
        <v>Programme n ° 1</v>
      </c>
      <c r="C8061" s="1" t="s">
        <v>192</v>
      </c>
      <c r="GE8061" s="1" t="s">
        <v>190</v>
      </c>
    </row>
    <row r="8062" spans="1:187" ht="11.25" customHeight="1">
      <c r="A8062" s="1" t="s">
        <v>11343</v>
      </c>
      <c r="B8062" s="1" t="str">
        <f ca="1">IFERROR(__xludf.DUMMYFUNCTION("GOOGLETRANSLATE(A8062, ""en"", ""fr"")"),"PROGRAMMEUR")</f>
        <v>PROGRAMMEUR</v>
      </c>
      <c r="C8062" s="1" t="s">
        <v>185</v>
      </c>
      <c r="AA8062" s="1" t="s">
        <v>23</v>
      </c>
      <c r="AJ8062" s="1" t="s">
        <v>32</v>
      </c>
      <c r="AT8062" s="1" t="s">
        <v>42</v>
      </c>
      <c r="FK8062" s="1" t="s">
        <v>163</v>
      </c>
      <c r="FM8062" s="1" t="s">
        <v>418</v>
      </c>
      <c r="GD8062" s="1" t="s">
        <v>193</v>
      </c>
      <c r="GE8062" s="1" t="s">
        <v>190</v>
      </c>
    </row>
    <row r="8063" spans="1:187" ht="11.25" customHeight="1">
      <c r="A8063" s="1" t="s">
        <v>11344</v>
      </c>
      <c r="B8063" s="1" t="str">
        <f ca="1">IFERROR(__xludf.DUMMYFUNCTION("GOOGLETRANSLATE(A8063, ""en"", ""fr"")"),"Progrès n ° 1")</f>
        <v>Progrès n ° 1</v>
      </c>
      <c r="C8063" s="1" t="s">
        <v>185</v>
      </c>
      <c r="D8063" s="1" t="s">
        <v>16612</v>
      </c>
      <c r="F8063" s="1" t="s">
        <v>2</v>
      </c>
      <c r="J8063" s="1" t="s">
        <v>6</v>
      </c>
      <c r="N8063" s="1" t="s">
        <v>10</v>
      </c>
      <c r="U8063" s="1" t="s">
        <v>17</v>
      </c>
      <c r="CP8063" s="1" t="s">
        <v>90</v>
      </c>
      <c r="CQ8063" s="1" t="s">
        <v>91</v>
      </c>
      <c r="FR8063" s="1" t="s">
        <v>170</v>
      </c>
      <c r="GD8063" s="1" t="s">
        <v>193</v>
      </c>
      <c r="GE8063" s="1" t="s">
        <v>11345</v>
      </c>
    </row>
    <row r="8064" spans="1:187" ht="11.25" customHeight="1">
      <c r="A8064" s="1" t="s">
        <v>11346</v>
      </c>
      <c r="B8064" s="1" t="str">
        <f ca="1">IFERROR(__xludf.DUMMYFUNCTION("GOOGLETRANSLATE(A8064, ""en"", ""fr"")"),"Progrès n ° 2")</f>
        <v>Progrès n ° 2</v>
      </c>
      <c r="C8064" s="1" t="s">
        <v>185</v>
      </c>
      <c r="D8064" s="1" t="s">
        <v>16612</v>
      </c>
      <c r="F8064" s="1" t="s">
        <v>2</v>
      </c>
      <c r="J8064" s="1" t="s">
        <v>6</v>
      </c>
      <c r="N8064" s="1" t="s">
        <v>10</v>
      </c>
      <c r="BP8064" s="1" t="s">
        <v>64</v>
      </c>
      <c r="DN8064" s="1" t="s">
        <v>114</v>
      </c>
      <c r="FN8064" s="1" t="s">
        <v>166</v>
      </c>
      <c r="GD8064" s="1" t="s">
        <v>189</v>
      </c>
      <c r="GE8064" s="1" t="s">
        <v>11347</v>
      </c>
    </row>
    <row r="8065" spans="1:187" ht="11.25" customHeight="1">
      <c r="A8065" s="1" t="s">
        <v>11348</v>
      </c>
      <c r="B8065" s="1" t="str">
        <f ca="1">IFERROR(__xludf.DUMMYFUNCTION("GOOGLETRANSLATE(A8065, ""en"", ""fr"")"),"Progrès n ° 3")</f>
        <v>Progrès n ° 3</v>
      </c>
      <c r="C8065" s="1" t="s">
        <v>185</v>
      </c>
      <c r="BR8065" s="1" t="s">
        <v>66</v>
      </c>
      <c r="FR8065" s="1" t="s">
        <v>170</v>
      </c>
      <c r="GD8065" s="1" t="s">
        <v>202</v>
      </c>
      <c r="GE8065" s="1" t="s">
        <v>11349</v>
      </c>
    </row>
    <row r="8066" spans="1:187" ht="11.25" customHeight="1">
      <c r="A8066" s="1" t="s">
        <v>11350</v>
      </c>
      <c r="B8066" s="1" t="str">
        <f ca="1">IFERROR(__xludf.DUMMYFUNCTION("GOOGLETRANSLATE(A8066, ""en"", ""fr"")"),"PROGRESSIVE")</f>
        <v>PROGRESSIVE</v>
      </c>
      <c r="C8066" s="1" t="s">
        <v>185</v>
      </c>
      <c r="D8066" s="1" t="s">
        <v>16612</v>
      </c>
      <c r="F8066" s="1" t="s">
        <v>2</v>
      </c>
      <c r="U8066" s="1" t="s">
        <v>17</v>
      </c>
      <c r="FR8066" s="1" t="s">
        <v>170</v>
      </c>
      <c r="GD8066" s="1" t="s">
        <v>202</v>
      </c>
      <c r="GE8066" s="1" t="s">
        <v>190</v>
      </c>
    </row>
    <row r="8067" spans="1:187" ht="11.25" customHeight="1">
      <c r="A8067" s="1" t="s">
        <v>11351</v>
      </c>
      <c r="B8067" s="1" t="str">
        <f ca="1">IFERROR(__xludf.DUMMYFUNCTION("GOOGLETRANSLATE(A8067, ""en"", ""fr"")"),"INTERDIRE")</f>
        <v>INTERDIRE</v>
      </c>
      <c r="C8067" s="1" t="s">
        <v>185</v>
      </c>
      <c r="E8067" s="1" t="s">
        <v>16613</v>
      </c>
      <c r="H8067" s="1" t="s">
        <v>4</v>
      </c>
      <c r="J8067" s="1" t="s">
        <v>6</v>
      </c>
      <c r="K8067" s="1" t="s">
        <v>7</v>
      </c>
      <c r="N8067" s="1" t="s">
        <v>10</v>
      </c>
      <c r="AE8067" s="1" t="s">
        <v>27</v>
      </c>
      <c r="AN8067" s="1" t="s">
        <v>36</v>
      </c>
      <c r="DN8067" s="1" t="s">
        <v>114</v>
      </c>
      <c r="DT8067" s="1" t="s">
        <v>120</v>
      </c>
      <c r="ED8067" s="1" t="s">
        <v>130</v>
      </c>
      <c r="GD8067" s="1" t="s">
        <v>189</v>
      </c>
      <c r="GE8067" s="1" t="s">
        <v>190</v>
      </c>
    </row>
    <row r="8068" spans="1:187" ht="11.25" customHeight="1">
      <c r="A8068" s="1" t="s">
        <v>11352</v>
      </c>
      <c r="B8068" s="1" t="str">
        <f ca="1">IFERROR(__xludf.DUMMYFUNCTION("GOOGLETRANSLATE(A8068, ""en"", ""fr"")"),"INTERDICTION")</f>
        <v>INTERDICTION</v>
      </c>
      <c r="C8068" s="1" t="s">
        <v>185</v>
      </c>
      <c r="E8068" s="1" t="s">
        <v>16613</v>
      </c>
      <c r="H8068" s="1" t="s">
        <v>4</v>
      </c>
      <c r="J8068" s="1" t="s">
        <v>6</v>
      </c>
      <c r="K8068" s="1" t="s">
        <v>7</v>
      </c>
      <c r="N8068" s="1" t="s">
        <v>10</v>
      </c>
      <c r="Z8068" s="1" t="s">
        <v>22</v>
      </c>
      <c r="AE8068" s="1" t="s">
        <v>27</v>
      </c>
      <c r="AH8068" s="1" t="s">
        <v>30</v>
      </c>
      <c r="EC8068" s="1" t="s">
        <v>129</v>
      </c>
      <c r="ED8068" s="1" t="s">
        <v>130</v>
      </c>
      <c r="GD8068" s="1" t="s">
        <v>193</v>
      </c>
      <c r="GE8068" s="1" t="s">
        <v>190</v>
      </c>
    </row>
    <row r="8069" spans="1:187" ht="11.25" customHeight="1">
      <c r="A8069" s="1" t="s">
        <v>11353</v>
      </c>
      <c r="B8069" s="1" t="str">
        <f ca="1">IFERROR(__xludf.DUMMYFUNCTION("GOOGLETRANSLATE(A8069, ""en"", ""fr"")"),"PROHIBITIF")</f>
        <v>PROHIBITIF</v>
      </c>
      <c r="C8069" s="1" t="s">
        <v>185</v>
      </c>
      <c r="E8069" s="1" t="s">
        <v>16613</v>
      </c>
      <c r="H8069" s="1" t="s">
        <v>4</v>
      </c>
      <c r="J8069" s="1" t="s">
        <v>6</v>
      </c>
      <c r="K8069" s="1" t="s">
        <v>7</v>
      </c>
      <c r="V8069" s="1" t="s">
        <v>18</v>
      </c>
      <c r="W8069" s="1" t="s">
        <v>19</v>
      </c>
      <c r="GD8069" s="1" t="s">
        <v>202</v>
      </c>
      <c r="GE8069" s="1" t="s">
        <v>190</v>
      </c>
    </row>
    <row r="8070" spans="1:187" ht="11.25" customHeight="1">
      <c r="A8070" s="1" t="s">
        <v>11354</v>
      </c>
      <c r="B8070" s="1" t="str">
        <f ca="1">IFERROR(__xludf.DUMMYFUNCTION("GOOGLETRANSLATE(A8070, ""en"", ""fr"")"),"PROJET 1")</f>
        <v>PROJET 1</v>
      </c>
      <c r="C8070" s="1" t="s">
        <v>185</v>
      </c>
      <c r="AC8070" s="1" t="s">
        <v>25</v>
      </c>
      <c r="AH8070" s="1" t="s">
        <v>30</v>
      </c>
      <c r="BQ8070" s="1" t="s">
        <v>65</v>
      </c>
      <c r="FR8070" s="1" t="s">
        <v>170</v>
      </c>
      <c r="GD8070" s="1" t="s">
        <v>849</v>
      </c>
      <c r="GE8070" s="1" t="s">
        <v>11355</v>
      </c>
    </row>
    <row r="8071" spans="1:187" ht="11.25" customHeight="1">
      <c r="A8071" s="1" t="s">
        <v>11356</v>
      </c>
      <c r="B8071" s="1" t="str">
        <f ca="1">IFERROR(__xludf.DUMMYFUNCTION("GOOGLETRANSLATE(A8071, ""en"", ""fr"")"),"Projet n ° 2")</f>
        <v>Projet n ° 2</v>
      </c>
      <c r="C8071" s="1" t="s">
        <v>185</v>
      </c>
      <c r="J8071" s="1" t="s">
        <v>6</v>
      </c>
      <c r="N8071" s="1" t="s">
        <v>10</v>
      </c>
      <c r="CO8071" s="1" t="s">
        <v>89</v>
      </c>
      <c r="DN8071" s="1" t="s">
        <v>114</v>
      </c>
      <c r="FH8071" s="1" t="s">
        <v>160</v>
      </c>
      <c r="FI8071" s="1" t="s">
        <v>161</v>
      </c>
      <c r="GD8071" s="1" t="s">
        <v>189</v>
      </c>
      <c r="GE8071" s="1" t="s">
        <v>11357</v>
      </c>
    </row>
    <row r="8072" spans="1:187" ht="11.25" customHeight="1">
      <c r="A8072" s="1" t="s">
        <v>11358</v>
      </c>
      <c r="B8072" s="1" t="str">
        <f ca="1">IFERROR(__xludf.DUMMYFUNCTION("GOOGLETRANSLATE(A8072, ""en"", ""fr"")"),"Projet n ° 3")</f>
        <v>Projet n ° 3</v>
      </c>
      <c r="C8072" s="1" t="s">
        <v>185</v>
      </c>
      <c r="O8072" s="1" t="s">
        <v>11</v>
      </c>
      <c r="CH8072" s="1" t="s">
        <v>82</v>
      </c>
      <c r="FH8072" s="1" t="s">
        <v>160</v>
      </c>
      <c r="FI8072" s="1" t="s">
        <v>161</v>
      </c>
      <c r="GD8072" s="1" t="s">
        <v>202</v>
      </c>
      <c r="GE8072" s="1" t="s">
        <v>11359</v>
      </c>
    </row>
    <row r="8073" spans="1:187" ht="11.25" customHeight="1">
      <c r="A8073" s="1" t="s">
        <v>11360</v>
      </c>
      <c r="B8073" s="1" t="str">
        <f ca="1">IFERROR(__xludf.DUMMYFUNCTION("GOOGLETRANSLATE(A8073, ""en"", ""fr"")"),"Projet n ° 4")</f>
        <v>Projet n ° 4</v>
      </c>
      <c r="C8073" s="1" t="s">
        <v>185</v>
      </c>
      <c r="BQ8073" s="1" t="s">
        <v>65</v>
      </c>
      <c r="FH8073" s="1" t="s">
        <v>160</v>
      </c>
      <c r="FI8073" s="1" t="s">
        <v>161</v>
      </c>
      <c r="GD8073" s="1" t="s">
        <v>202</v>
      </c>
      <c r="GE8073" s="1" t="s">
        <v>11361</v>
      </c>
    </row>
    <row r="8074" spans="1:187" ht="11.25" customHeight="1">
      <c r="A8074" s="1" t="s">
        <v>11362</v>
      </c>
      <c r="B8074" s="1" t="str">
        <f ca="1">IFERROR(__xludf.DUMMYFUNCTION("GOOGLETRANSLATE(A8074, ""en"", ""fr"")"),"PROLIFIQUE")</f>
        <v>PROLIFIQUE</v>
      </c>
      <c r="C8074" s="1" t="s">
        <v>192</v>
      </c>
      <c r="D8074" s="1" t="s">
        <v>16612</v>
      </c>
      <c r="BV8074" s="1" t="s">
        <v>70</v>
      </c>
      <c r="BX8074" s="1" t="s">
        <v>72</v>
      </c>
      <c r="DR8074" s="1" t="s">
        <v>118</v>
      </c>
      <c r="GD8074" s="1" t="s">
        <v>202</v>
      </c>
      <c r="GE8074" s="1" t="s">
        <v>190</v>
      </c>
    </row>
    <row r="8075" spans="1:187" ht="11.25" customHeight="1">
      <c r="A8075" s="1" t="s">
        <v>11363</v>
      </c>
      <c r="B8075" s="1" t="str">
        <f ca="1">IFERROR(__xludf.DUMMYFUNCTION("GOOGLETRANSLATE(A8075, ""en"", ""fr"")"),"PROLONGER")</f>
        <v>PROLONGER</v>
      </c>
      <c r="C8075" s="1" t="s">
        <v>185</v>
      </c>
      <c r="J8075" s="1" t="s">
        <v>6</v>
      </c>
      <c r="N8075" s="1" t="s">
        <v>10</v>
      </c>
      <c r="BR8075" s="1" t="s">
        <v>66</v>
      </c>
      <c r="DN8075" s="1" t="s">
        <v>114</v>
      </c>
      <c r="FP8075" s="1" t="s">
        <v>168</v>
      </c>
      <c r="GD8075" s="1" t="s">
        <v>189</v>
      </c>
      <c r="GE8075" s="1" t="s">
        <v>190</v>
      </c>
    </row>
    <row r="8076" spans="1:187" ht="11.25" customHeight="1">
      <c r="A8076" s="1" t="s">
        <v>11364</v>
      </c>
      <c r="B8076" s="1" t="str">
        <f ca="1">IFERROR(__xludf.DUMMYFUNCTION("GOOGLETRANSLATE(A8076, ""en"", ""fr"")"),"IMPORTANCE")</f>
        <v>IMPORTANCE</v>
      </c>
      <c r="C8076" s="1" t="s">
        <v>192</v>
      </c>
      <c r="D8076" s="1" t="s">
        <v>16612</v>
      </c>
      <c r="J8076" s="1" t="s">
        <v>6</v>
      </c>
      <c r="W8076" s="1" t="s">
        <v>19</v>
      </c>
      <c r="CM8076" s="1" t="s">
        <v>87</v>
      </c>
      <c r="GD8076" s="1" t="s">
        <v>193</v>
      </c>
      <c r="GE8076" s="1" t="s">
        <v>190</v>
      </c>
    </row>
    <row r="8077" spans="1:187" ht="11.25" customHeight="1">
      <c r="A8077" s="1" t="s">
        <v>11365</v>
      </c>
      <c r="B8077" s="1" t="str">
        <f ca="1">IFERROR(__xludf.DUMMYFUNCTION("GOOGLETRANSLATE(A8077, ""en"", ""fr"")"),"ÉMINENT")</f>
        <v>ÉMINENT</v>
      </c>
      <c r="C8077" s="1" t="s">
        <v>185</v>
      </c>
      <c r="D8077" s="1" t="s">
        <v>16612</v>
      </c>
      <c r="F8077" s="1" t="s">
        <v>2</v>
      </c>
      <c r="J8077" s="1" t="s">
        <v>6</v>
      </c>
      <c r="K8077" s="1" t="s">
        <v>7</v>
      </c>
      <c r="U8077" s="1" t="s">
        <v>17</v>
      </c>
      <c r="GD8077" s="1" t="s">
        <v>202</v>
      </c>
      <c r="GE8077" s="1" t="s">
        <v>190</v>
      </c>
    </row>
    <row r="8078" spans="1:187" ht="11.25" customHeight="1">
      <c r="A8078" s="1" t="s">
        <v>11366</v>
      </c>
      <c r="B8078" s="1" t="str">
        <f ca="1">IFERROR(__xludf.DUMMYFUNCTION("GOOGLETRANSLATE(A8078, ""en"", ""fr"")"),"Promesse n ° 1")</f>
        <v>Promesse n ° 1</v>
      </c>
      <c r="C8078" s="1" t="s">
        <v>185</v>
      </c>
      <c r="BK8078" s="1" t="s">
        <v>59</v>
      </c>
      <c r="BL8078" s="1" t="s">
        <v>60</v>
      </c>
      <c r="EC8078" s="1" t="s">
        <v>129</v>
      </c>
      <c r="ED8078" s="1" t="s">
        <v>130</v>
      </c>
      <c r="GC8078" s="1" t="s">
        <v>181</v>
      </c>
      <c r="GD8078" s="1" t="s">
        <v>193</v>
      </c>
      <c r="GE8078" s="1" t="s">
        <v>11367</v>
      </c>
    </row>
    <row r="8079" spans="1:187" ht="11.25" customHeight="1">
      <c r="A8079" s="1" t="s">
        <v>11368</v>
      </c>
      <c r="B8079" s="1" t="str">
        <f ca="1">IFERROR(__xludf.DUMMYFUNCTION("GOOGLETRANSLATE(A8079, ""en"", ""fr"")"),"Promesse n ° 2")</f>
        <v>Promesse n ° 2</v>
      </c>
      <c r="C8079" s="1" t="s">
        <v>185</v>
      </c>
      <c r="G8079" s="1" t="s">
        <v>3</v>
      </c>
      <c r="BK8079" s="1" t="s">
        <v>59</v>
      </c>
      <c r="DN8079" s="1" t="s">
        <v>114</v>
      </c>
      <c r="FN8079" s="1" t="s">
        <v>166</v>
      </c>
      <c r="GD8079" s="1" t="s">
        <v>189</v>
      </c>
      <c r="GE8079" s="1" t="s">
        <v>11369</v>
      </c>
    </row>
    <row r="8080" spans="1:187" ht="11.25" customHeight="1">
      <c r="A8080" s="1" t="s">
        <v>11370</v>
      </c>
      <c r="B8080" s="1" t="str">
        <f ca="1">IFERROR(__xludf.DUMMYFUNCTION("GOOGLETRANSLATE(A8080, ""en"", ""fr"")"),"Promesse n ° 3")</f>
        <v>Promesse n ° 3</v>
      </c>
      <c r="C8080" s="1" t="s">
        <v>185</v>
      </c>
      <c r="D8080" s="1" t="s">
        <v>16612</v>
      </c>
      <c r="F8080" s="1" t="s">
        <v>2</v>
      </c>
      <c r="O8080" s="1" t="s">
        <v>11</v>
      </c>
      <c r="U8080" s="1" t="s">
        <v>17</v>
      </c>
      <c r="FR8080" s="1" t="s">
        <v>170</v>
      </c>
      <c r="GD8080" s="1" t="s">
        <v>202</v>
      </c>
      <c r="GE8080" s="1" t="s">
        <v>11371</v>
      </c>
    </row>
    <row r="8081" spans="1:187" ht="11.25" customHeight="1">
      <c r="A8081" s="1" t="s">
        <v>11372</v>
      </c>
      <c r="B8081" s="1" t="str">
        <f ca="1">IFERROR(__xludf.DUMMYFUNCTION("GOOGLETRANSLATE(A8081, ""en"", ""fr"")"),"Promesse n ° 4")</f>
        <v>Promesse n ° 4</v>
      </c>
      <c r="C8081" s="1" t="s">
        <v>185</v>
      </c>
      <c r="D8081" s="1" t="s">
        <v>16612</v>
      </c>
      <c r="F8081" s="1" t="s">
        <v>2</v>
      </c>
      <c r="O8081" s="1" t="s">
        <v>11</v>
      </c>
      <c r="U8081" s="1" t="s">
        <v>17</v>
      </c>
      <c r="FL8081" s="1" t="s">
        <v>164</v>
      </c>
      <c r="FM8081" s="1" t="s">
        <v>418</v>
      </c>
      <c r="GD8081" s="1" t="s">
        <v>202</v>
      </c>
      <c r="GE8081" s="1" t="s">
        <v>11373</v>
      </c>
    </row>
    <row r="8082" spans="1:187" ht="11.25" customHeight="1">
      <c r="A8082" s="1" t="s">
        <v>11374</v>
      </c>
      <c r="B8082" s="1" t="str">
        <f ca="1">IFERROR(__xludf.DUMMYFUNCTION("GOOGLETRANSLATE(A8082, ""en"", ""fr"")"),"Promesse n ° 5")</f>
        <v>Promesse n ° 5</v>
      </c>
      <c r="C8082" s="1" t="s">
        <v>185</v>
      </c>
      <c r="O8082" s="1" t="s">
        <v>11</v>
      </c>
      <c r="BK8082" s="1" t="s">
        <v>59</v>
      </c>
      <c r="EE8082" s="1" t="s">
        <v>131</v>
      </c>
      <c r="EJ8082" s="1" t="s">
        <v>136</v>
      </c>
      <c r="GC8082" s="1" t="s">
        <v>181</v>
      </c>
      <c r="GD8082" s="1" t="s">
        <v>202</v>
      </c>
      <c r="GE8082" s="1" t="s">
        <v>11375</v>
      </c>
    </row>
    <row r="8083" spans="1:187" ht="11.25" customHeight="1">
      <c r="A8083" s="1" t="s">
        <v>11376</v>
      </c>
      <c r="B8083" s="1" t="str">
        <f ca="1">IFERROR(__xludf.DUMMYFUNCTION("GOOGLETRANSLATE(A8083, ""en"", ""fr"")"),"PROMOUVOIR")</f>
        <v>PROMOUVOIR</v>
      </c>
      <c r="C8083" s="1" t="s">
        <v>185</v>
      </c>
      <c r="J8083" s="1" t="s">
        <v>6</v>
      </c>
      <c r="K8083" s="1" t="s">
        <v>7</v>
      </c>
      <c r="N8083" s="1" t="s">
        <v>10</v>
      </c>
      <c r="AA8083" s="1" t="s">
        <v>23</v>
      </c>
      <c r="AN8083" s="1" t="s">
        <v>36</v>
      </c>
      <c r="DN8083" s="1" t="s">
        <v>114</v>
      </c>
      <c r="FN8083" s="1" t="s">
        <v>166</v>
      </c>
      <c r="GD8083" s="1" t="s">
        <v>189</v>
      </c>
      <c r="GE8083" s="1" t="s">
        <v>190</v>
      </c>
    </row>
    <row r="8084" spans="1:187" ht="11.25" customHeight="1">
      <c r="A8084" s="1" t="s">
        <v>11377</v>
      </c>
      <c r="B8084" s="1" t="str">
        <f ca="1">IFERROR(__xludf.DUMMYFUNCTION("GOOGLETRANSLATE(A8084, ""en"", ""fr"")"),"Promoteur")</f>
        <v>Promoteur</v>
      </c>
      <c r="C8084" s="1" t="s">
        <v>196</v>
      </c>
      <c r="DZ8084" s="1" t="s">
        <v>126</v>
      </c>
      <c r="ED8084" s="1" t="s">
        <v>130</v>
      </c>
      <c r="GD8084" s="1" t="s">
        <v>4912</v>
      </c>
    </row>
    <row r="8085" spans="1:187" ht="11.25" customHeight="1">
      <c r="A8085" s="1" t="s">
        <v>11378</v>
      </c>
      <c r="B8085" s="1" t="str">
        <f ca="1">IFERROR(__xludf.DUMMYFUNCTION("GOOGLETRANSLATE(A8085, ""en"", ""fr"")"),"PROMOTION")</f>
        <v>PROMOTION</v>
      </c>
      <c r="C8085" s="1" t="s">
        <v>185</v>
      </c>
      <c r="J8085" s="1" t="s">
        <v>6</v>
      </c>
      <c r="AA8085" s="1" t="s">
        <v>23</v>
      </c>
      <c r="AC8085" s="1" t="s">
        <v>25</v>
      </c>
      <c r="BX8085" s="1" t="s">
        <v>72</v>
      </c>
      <c r="FN8085" s="1" t="s">
        <v>166</v>
      </c>
      <c r="GD8085" s="1" t="s">
        <v>193</v>
      </c>
      <c r="GE8085" s="1" t="s">
        <v>190</v>
      </c>
    </row>
    <row r="8086" spans="1:187" ht="11.25" customHeight="1">
      <c r="A8086" s="1" t="s">
        <v>11379</v>
      </c>
      <c r="B8086" s="1" t="str">
        <f ca="1">IFERROR(__xludf.DUMMYFUNCTION("GOOGLETRANSLATE(A8086, ""en"", ""fr"")"),"Invite n ° 1")</f>
        <v>Invite n ° 1</v>
      </c>
      <c r="C8086" s="1" t="s">
        <v>185</v>
      </c>
      <c r="D8086" s="1" t="s">
        <v>16612</v>
      </c>
      <c r="F8086" s="1" t="s">
        <v>2</v>
      </c>
      <c r="J8086" s="1" t="s">
        <v>6</v>
      </c>
      <c r="U8086" s="1" t="s">
        <v>17</v>
      </c>
      <c r="W8086" s="1" t="s">
        <v>19</v>
      </c>
      <c r="GD8086" s="1" t="s">
        <v>202</v>
      </c>
      <c r="GE8086" s="1" t="s">
        <v>190</v>
      </c>
    </row>
    <row r="8087" spans="1:187" ht="11.25" customHeight="1">
      <c r="A8087" s="1" t="s">
        <v>11380</v>
      </c>
      <c r="B8087" s="1" t="str">
        <f ca="1">IFERROR(__xludf.DUMMYFUNCTION("GOOGLETRANSLATE(A8087, ""en"", ""fr"")"),"Invite n ° 2")</f>
        <v>Invite n ° 2</v>
      </c>
      <c r="C8087" s="1" t="s">
        <v>185</v>
      </c>
      <c r="D8087" s="1" t="s">
        <v>16612</v>
      </c>
      <c r="F8087" s="1" t="s">
        <v>2</v>
      </c>
      <c r="J8087" s="1" t="s">
        <v>6</v>
      </c>
      <c r="K8087" s="1" t="s">
        <v>7</v>
      </c>
      <c r="AN8087" s="1" t="s">
        <v>36</v>
      </c>
      <c r="DN8087" s="1" t="s">
        <v>114</v>
      </c>
      <c r="GD8087" s="1" t="s">
        <v>189</v>
      </c>
      <c r="GE8087" s="1" t="s">
        <v>190</v>
      </c>
    </row>
    <row r="8088" spans="1:187" ht="11.25" customHeight="1">
      <c r="A8088" s="1" t="s">
        <v>11381</v>
      </c>
      <c r="B8088" s="1" t="str">
        <f ca="1">IFERROR(__xludf.DUMMYFUNCTION("GOOGLETRANSLATE(A8088, ""en"", ""fr"")"),"RAPIDEMENT")</f>
        <v>RAPIDEMENT</v>
      </c>
      <c r="C8088" s="1" t="s">
        <v>185</v>
      </c>
      <c r="D8088" s="1" t="s">
        <v>16612</v>
      </c>
      <c r="F8088" s="1" t="s">
        <v>2</v>
      </c>
      <c r="U8088" s="1" t="s">
        <v>17</v>
      </c>
      <c r="W8088" s="1" t="s">
        <v>19</v>
      </c>
      <c r="GD8088" s="1" t="s">
        <v>202</v>
      </c>
      <c r="GE8088" s="1" t="s">
        <v>190</v>
      </c>
    </row>
    <row r="8089" spans="1:187" ht="11.25" customHeight="1">
      <c r="A8089" s="1" t="s">
        <v>11382</v>
      </c>
      <c r="B8089" s="1" t="str">
        <f ca="1">IFERROR(__xludf.DUMMYFUNCTION("GOOGLETRANSLATE(A8089, ""en"", ""fr"")"),"PROMULGUER")</f>
        <v>PROMULGUER</v>
      </c>
      <c r="C8089" s="1" t="s">
        <v>196</v>
      </c>
      <c r="EB8089" s="1" t="s">
        <v>128</v>
      </c>
      <c r="ED8089" s="1" t="s">
        <v>130</v>
      </c>
      <c r="GD8089" s="1" t="s">
        <v>189</v>
      </c>
    </row>
    <row r="8090" spans="1:187" ht="11.25" customHeight="1">
      <c r="A8090" s="1" t="s">
        <v>11383</v>
      </c>
      <c r="B8090" s="1" t="str">
        <f ca="1">IFERROR(__xludf.DUMMYFUNCTION("GOOGLETRANSLATE(A8090, ""en"", ""fr"")"),"PREUVE")</f>
        <v>PREUVE</v>
      </c>
      <c r="C8090" s="1" t="s">
        <v>185</v>
      </c>
      <c r="J8090" s="1" t="s">
        <v>6</v>
      </c>
      <c r="W8090" s="1" t="s">
        <v>19</v>
      </c>
      <c r="CH8090" s="1" t="s">
        <v>82</v>
      </c>
      <c r="FF8090" s="1" t="s">
        <v>158</v>
      </c>
      <c r="FI8090" s="1" t="s">
        <v>161</v>
      </c>
      <c r="GD8090" s="1" t="s">
        <v>193</v>
      </c>
      <c r="GE8090" s="1" t="s">
        <v>190</v>
      </c>
    </row>
    <row r="8091" spans="1:187" ht="11.25" customHeight="1">
      <c r="A8091" s="1" t="s">
        <v>11384</v>
      </c>
      <c r="B8091" s="1" t="str">
        <f ca="1">IFERROR(__xludf.DUMMYFUNCTION("GOOGLETRANSLATE(A8091, ""en"", ""fr"")"),"LA PROPAGANDE")</f>
        <v>LA PROPAGANDE</v>
      </c>
      <c r="C8091" s="1" t="s">
        <v>185</v>
      </c>
      <c r="E8091" s="1" t="s">
        <v>16613</v>
      </c>
      <c r="H8091" s="1" t="s">
        <v>4</v>
      </c>
      <c r="AG8091" s="1" t="s">
        <v>29</v>
      </c>
      <c r="AH8091" s="1" t="s">
        <v>30</v>
      </c>
      <c r="BK8091" s="1" t="s">
        <v>59</v>
      </c>
      <c r="BL8091" s="1" t="s">
        <v>60</v>
      </c>
      <c r="FH8091" s="1" t="s">
        <v>160</v>
      </c>
      <c r="FI8091" s="1" t="s">
        <v>161</v>
      </c>
      <c r="GC8091" s="1" t="s">
        <v>181</v>
      </c>
      <c r="GD8091" s="1" t="s">
        <v>193</v>
      </c>
      <c r="GE8091" s="1" t="s">
        <v>190</v>
      </c>
    </row>
    <row r="8092" spans="1:187" ht="11.25" customHeight="1">
      <c r="A8092" s="1" t="s">
        <v>11385</v>
      </c>
      <c r="B8092" s="1" t="str">
        <f ca="1">IFERROR(__xludf.DUMMYFUNCTION("GOOGLETRANSLATE(A8092, ""en"", ""fr"")"),"APPROPRIÉ")</f>
        <v>APPROPRIÉ</v>
      </c>
      <c r="C8092" s="1" t="s">
        <v>185</v>
      </c>
      <c r="D8092" s="1" t="s">
        <v>16612</v>
      </c>
      <c r="F8092" s="1" t="s">
        <v>2</v>
      </c>
      <c r="U8092" s="1" t="s">
        <v>17</v>
      </c>
      <c r="CN8092" s="1" t="s">
        <v>88</v>
      </c>
      <c r="EI8092" s="1" t="s">
        <v>135</v>
      </c>
      <c r="EJ8092" s="1" t="s">
        <v>136</v>
      </c>
      <c r="GD8092" s="1" t="s">
        <v>202</v>
      </c>
      <c r="GE8092" s="1" t="s">
        <v>11386</v>
      </c>
    </row>
    <row r="8093" spans="1:187" ht="11.25" customHeight="1">
      <c r="A8093" s="1" t="s">
        <v>11387</v>
      </c>
      <c r="B8093" s="1" t="str">
        <f ca="1">IFERROR(__xludf.DUMMYFUNCTION("GOOGLETRANSLATE(A8093, ""en"", ""fr"")"),"PROPRIÉTÉ")</f>
        <v>PROPRIÉTÉ</v>
      </c>
      <c r="C8093" s="1" t="s">
        <v>185</v>
      </c>
      <c r="AA8093" s="1" t="s">
        <v>23</v>
      </c>
      <c r="AC8093" s="1" t="s">
        <v>25</v>
      </c>
      <c r="AV8093" s="1" t="s">
        <v>44</v>
      </c>
      <c r="BA8093" s="1" t="s">
        <v>49</v>
      </c>
      <c r="EV8093" s="1" t="s">
        <v>148</v>
      </c>
      <c r="EW8093" s="1" t="s">
        <v>149</v>
      </c>
      <c r="GD8093" s="1" t="s">
        <v>193</v>
      </c>
      <c r="GE8093" s="1" t="s">
        <v>11388</v>
      </c>
    </row>
    <row r="8094" spans="1:187" ht="11.25" customHeight="1">
      <c r="A8094" s="1" t="s">
        <v>11389</v>
      </c>
      <c r="B8094" s="1" t="str">
        <f ca="1">IFERROR(__xludf.DUMMYFUNCTION("GOOGLETRANSLATE(A8094, ""en"", ""fr"")"),"PROPHÉTIE")</f>
        <v>PROPHÉTIE</v>
      </c>
      <c r="C8094" s="1" t="s">
        <v>196</v>
      </c>
      <c r="FF8094" s="1" t="s">
        <v>158</v>
      </c>
      <c r="FI8094" s="1" t="s">
        <v>161</v>
      </c>
      <c r="GD8094" s="1" t="s">
        <v>193</v>
      </c>
    </row>
    <row r="8095" spans="1:187" ht="11.25" customHeight="1">
      <c r="A8095" s="1" t="s">
        <v>11390</v>
      </c>
      <c r="B8095" s="1" t="str">
        <f ca="1">IFERROR(__xludf.DUMMYFUNCTION("GOOGLETRANSLATE(A8095, ""en"", ""fr"")"),"Prophétiser")</f>
        <v>Prophétiser</v>
      </c>
      <c r="C8095" s="1" t="s">
        <v>196</v>
      </c>
      <c r="FF8095" s="1" t="s">
        <v>158</v>
      </c>
      <c r="FI8095" s="1" t="s">
        <v>161</v>
      </c>
      <c r="GD8095" s="1" t="s">
        <v>189</v>
      </c>
    </row>
    <row r="8096" spans="1:187" ht="11.25" customHeight="1">
      <c r="A8096" s="1" t="s">
        <v>11391</v>
      </c>
      <c r="B8096" s="1" t="str">
        <f ca="1">IFERROR(__xludf.DUMMYFUNCTION("GOOGLETRANSLATE(A8096, ""en"", ""fr"")"),"PROPHÈTE")</f>
        <v>PROPHÈTE</v>
      </c>
      <c r="C8096" s="1" t="s">
        <v>196</v>
      </c>
      <c r="FG8096" s="1" t="s">
        <v>159</v>
      </c>
      <c r="FI8096" s="1" t="s">
        <v>161</v>
      </c>
      <c r="GD8096" s="1" t="s">
        <v>193</v>
      </c>
    </row>
    <row r="8097" spans="1:187" ht="11.25" customHeight="1">
      <c r="A8097" s="1" t="s">
        <v>11392</v>
      </c>
      <c r="B8097" s="1" t="str">
        <f ca="1">IFERROR(__xludf.DUMMYFUNCTION("GOOGLETRANSLATE(A8097, ""en"", ""fr"")"),"PROPICE")</f>
        <v>PROPICE</v>
      </c>
      <c r="C8097" s="1" t="s">
        <v>185</v>
      </c>
      <c r="D8097" s="1" t="s">
        <v>16612</v>
      </c>
      <c r="F8097" s="1" t="s">
        <v>2</v>
      </c>
      <c r="U8097" s="1" t="s">
        <v>17</v>
      </c>
      <c r="GD8097" s="1" t="s">
        <v>202</v>
      </c>
      <c r="GE8097" s="1" t="s">
        <v>190</v>
      </c>
    </row>
    <row r="8098" spans="1:187" ht="11.25" customHeight="1">
      <c r="A8098" s="1" t="s">
        <v>11393</v>
      </c>
      <c r="B8098" s="1" t="str">
        <f ca="1">IFERROR(__xludf.DUMMYFUNCTION("GOOGLETRANSLATE(A8098, ""en"", ""fr"")"),"PARTISAN")</f>
        <v>PARTISAN</v>
      </c>
      <c r="C8098" s="1" t="s">
        <v>185</v>
      </c>
      <c r="J8098" s="1" t="s">
        <v>6</v>
      </c>
      <c r="K8098" s="1" t="s">
        <v>7</v>
      </c>
      <c r="AJ8098" s="1" t="s">
        <v>32</v>
      </c>
      <c r="AT8098" s="1" t="s">
        <v>42</v>
      </c>
      <c r="DZ8098" s="1" t="s">
        <v>126</v>
      </c>
      <c r="ED8098" s="1" t="s">
        <v>130</v>
      </c>
      <c r="GD8098" s="1" t="s">
        <v>193</v>
      </c>
      <c r="GE8098" s="1" t="s">
        <v>190</v>
      </c>
    </row>
    <row r="8099" spans="1:187" ht="11.25" customHeight="1">
      <c r="A8099" s="1" t="s">
        <v>11394</v>
      </c>
      <c r="B8099" s="1" t="str">
        <f ca="1">IFERROR(__xludf.DUMMYFUNCTION("GOOGLETRANSLATE(A8099, ""en"", ""fr"")"),"PROPORTION")</f>
        <v>PROPORTION</v>
      </c>
      <c r="C8099" s="1" t="s">
        <v>185</v>
      </c>
      <c r="CS8099" s="1" t="s">
        <v>93</v>
      </c>
      <c r="GD8099" s="1" t="s">
        <v>193</v>
      </c>
      <c r="GE8099" s="1" t="s">
        <v>190</v>
      </c>
    </row>
    <row r="8100" spans="1:187" ht="11.25" customHeight="1">
      <c r="A8100" s="1" t="s">
        <v>11395</v>
      </c>
      <c r="B8100" s="1" t="str">
        <f ca="1">IFERROR(__xludf.DUMMYFUNCTION("GOOGLETRANSLATE(A8100, ""en"", ""fr"")"),"PROPORTIONNEL")</f>
        <v>PROPORTIONNEL</v>
      </c>
      <c r="C8100" s="1" t="s">
        <v>185</v>
      </c>
      <c r="CS8100" s="1" t="s">
        <v>93</v>
      </c>
      <c r="GD8100" s="1" t="s">
        <v>202</v>
      </c>
      <c r="GE8100" s="1" t="s">
        <v>190</v>
      </c>
    </row>
    <row r="8101" spans="1:187" ht="11.25" customHeight="1">
      <c r="A8101" s="1" t="s">
        <v>11396</v>
      </c>
      <c r="B8101" s="1" t="str">
        <f ca="1">IFERROR(__xludf.DUMMYFUNCTION("GOOGLETRANSLATE(A8101, ""en"", ""fr"")"),"PROPORTIONNÉ")</f>
        <v>PROPORTIONNÉ</v>
      </c>
      <c r="C8101" s="1" t="s">
        <v>185</v>
      </c>
      <c r="CS8101" s="1" t="s">
        <v>93</v>
      </c>
      <c r="GD8101" s="1" t="s">
        <v>202</v>
      </c>
      <c r="GE8101" s="1" t="s">
        <v>190</v>
      </c>
    </row>
    <row r="8102" spans="1:187" ht="11.25" customHeight="1">
      <c r="A8102" s="1" t="s">
        <v>11397</v>
      </c>
      <c r="B8102" s="1" t="str">
        <f ca="1">IFERROR(__xludf.DUMMYFUNCTION("GOOGLETRANSLATE(A8102, ""en"", ""fr"")"),"PROPOSITION")</f>
        <v>PROPOSITION</v>
      </c>
      <c r="C8102" s="1" t="s">
        <v>185</v>
      </c>
      <c r="N8102" s="1" t="s">
        <v>10</v>
      </c>
      <c r="BK8102" s="1" t="s">
        <v>59</v>
      </c>
      <c r="BL8102" s="1" t="s">
        <v>60</v>
      </c>
      <c r="EC8102" s="1" t="s">
        <v>129</v>
      </c>
      <c r="ED8102" s="1" t="s">
        <v>130</v>
      </c>
      <c r="GC8102" s="1" t="s">
        <v>181</v>
      </c>
      <c r="GD8102" s="1" t="s">
        <v>193</v>
      </c>
      <c r="GE8102" s="1" t="s">
        <v>11398</v>
      </c>
    </row>
    <row r="8103" spans="1:187" ht="11.25" customHeight="1">
      <c r="A8103" s="1" t="s">
        <v>11399</v>
      </c>
      <c r="B8103" s="1" t="str">
        <f ca="1">IFERROR(__xludf.DUMMYFUNCTION("GOOGLETRANSLATE(A8103, ""en"", ""fr"")"),"Proposer # 1")</f>
        <v>Proposer # 1</v>
      </c>
      <c r="C8103" s="1" t="s">
        <v>185</v>
      </c>
      <c r="N8103" s="1" t="s">
        <v>10</v>
      </c>
      <c r="BK8103" s="1" t="s">
        <v>59</v>
      </c>
      <c r="DN8103" s="1" t="s">
        <v>114</v>
      </c>
      <c r="FR8103" s="1" t="s">
        <v>170</v>
      </c>
      <c r="GD8103" s="1" t="s">
        <v>189</v>
      </c>
      <c r="GE8103" s="1" t="s">
        <v>11400</v>
      </c>
    </row>
    <row r="8104" spans="1:187" ht="11.25" customHeight="1">
      <c r="A8104" s="1" t="s">
        <v>11401</v>
      </c>
      <c r="B8104" s="1" t="str">
        <f ca="1">IFERROR(__xludf.DUMMYFUNCTION("GOOGLETRANSLATE(A8104, ""en"", ""fr"")"),"Proposer # 2")</f>
        <v>Proposer # 2</v>
      </c>
      <c r="C8104" s="1" t="s">
        <v>185</v>
      </c>
      <c r="N8104" s="1" t="s">
        <v>10</v>
      </c>
      <c r="O8104" s="1" t="s">
        <v>11</v>
      </c>
      <c r="BK8104" s="1" t="s">
        <v>59</v>
      </c>
      <c r="FR8104" s="1" t="s">
        <v>170</v>
      </c>
      <c r="GC8104" s="1" t="s">
        <v>181</v>
      </c>
      <c r="GD8104" s="1" t="s">
        <v>202</v>
      </c>
      <c r="GE8104" s="1" t="s">
        <v>11402</v>
      </c>
    </row>
    <row r="8105" spans="1:187" ht="11.25" customHeight="1">
      <c r="A8105" s="1" t="s">
        <v>11403</v>
      </c>
      <c r="B8105" s="1" t="str">
        <f ca="1">IFERROR(__xludf.DUMMYFUNCTION("GOOGLETRANSLATE(A8105, ""en"", ""fr"")"),"PROPOSITION")</f>
        <v>PROPOSITION</v>
      </c>
      <c r="C8105" s="1" t="s">
        <v>185</v>
      </c>
      <c r="BK8105" s="1" t="s">
        <v>59</v>
      </c>
      <c r="BL8105" s="1" t="s">
        <v>60</v>
      </c>
      <c r="EC8105" s="1" t="s">
        <v>129</v>
      </c>
      <c r="ED8105" s="1" t="s">
        <v>130</v>
      </c>
      <c r="GC8105" s="1" t="s">
        <v>181</v>
      </c>
      <c r="GD8105" s="1" t="s">
        <v>193</v>
      </c>
      <c r="GE8105" s="1" t="s">
        <v>190</v>
      </c>
    </row>
    <row r="8106" spans="1:187" ht="11.25" customHeight="1">
      <c r="A8106" s="1" t="s">
        <v>11404</v>
      </c>
      <c r="B8106" s="1" t="str">
        <f ca="1">IFERROR(__xludf.DUMMYFUNCTION("GOOGLETRANSLATE(A8106, ""en"", ""fr"")"),"PROPRIÉTAIRE")</f>
        <v>PROPRIÉTAIRE</v>
      </c>
      <c r="C8106" s="1" t="s">
        <v>192</v>
      </c>
      <c r="D8106" s="1" t="s">
        <v>16612</v>
      </c>
      <c r="W8106" s="1" t="s">
        <v>19</v>
      </c>
      <c r="CS8106" s="1" t="s">
        <v>93</v>
      </c>
      <c r="DR8106" s="1" t="s">
        <v>118</v>
      </c>
      <c r="GD8106" s="1" t="s">
        <v>202</v>
      </c>
      <c r="GE8106" s="1" t="s">
        <v>190</v>
      </c>
    </row>
    <row r="8107" spans="1:187" ht="11.25" customHeight="1">
      <c r="A8107" s="1" t="s">
        <v>11405</v>
      </c>
      <c r="B8107" s="1" t="str">
        <f ca="1">IFERROR(__xludf.DUMMYFUNCTION("GOOGLETRANSLATE(A8107, ""en"", ""fr"")"),"PROPRIÉTAIRE")</f>
        <v>PROPRIÉTAIRE</v>
      </c>
      <c r="C8107" s="1" t="s">
        <v>185</v>
      </c>
      <c r="J8107" s="1" t="s">
        <v>6</v>
      </c>
      <c r="K8107" s="1" t="s">
        <v>7</v>
      </c>
      <c r="AA8107" s="1" t="s">
        <v>23</v>
      </c>
      <c r="AC8107" s="1" t="s">
        <v>25</v>
      </c>
      <c r="AE8107" s="1" t="s">
        <v>27</v>
      </c>
      <c r="AJ8107" s="1" t="s">
        <v>32</v>
      </c>
      <c r="AT8107" s="1" t="s">
        <v>42</v>
      </c>
      <c r="ET8107" s="1" t="s">
        <v>146</v>
      </c>
      <c r="EW8107" s="1" t="s">
        <v>149</v>
      </c>
      <c r="GD8107" s="1" t="s">
        <v>193</v>
      </c>
      <c r="GE8107" s="1" t="s">
        <v>190</v>
      </c>
    </row>
    <row r="8108" spans="1:187" ht="11.25" customHeight="1">
      <c r="A8108" s="1" t="s">
        <v>11406</v>
      </c>
      <c r="B8108" s="1" t="str">
        <f ca="1">IFERROR(__xludf.DUMMYFUNCTION("GOOGLETRANSLATE(A8108, ""en"", ""fr"")"),"CONVENANCE")</f>
        <v>CONVENANCE</v>
      </c>
      <c r="C8108" s="1" t="s">
        <v>185</v>
      </c>
      <c r="D8108" s="1" t="s">
        <v>16612</v>
      </c>
      <c r="AM8108" s="1" t="s">
        <v>35</v>
      </c>
      <c r="CJ8108" s="1" t="s">
        <v>84</v>
      </c>
      <c r="EM8108" s="1" t="s">
        <v>139</v>
      </c>
      <c r="EN8108" s="1" t="s">
        <v>140</v>
      </c>
      <c r="GD8108" s="1" t="s">
        <v>193</v>
      </c>
      <c r="GE8108" s="1" t="s">
        <v>190</v>
      </c>
    </row>
    <row r="8109" spans="1:187" ht="11.25" customHeight="1">
      <c r="A8109" s="1" t="s">
        <v>11407</v>
      </c>
      <c r="B8109" s="1" t="str">
        <f ca="1">IFERROR(__xludf.DUMMYFUNCTION("GOOGLETRANSLATE(A8109, ""en"", ""fr"")"),"PROSE")</f>
        <v>PROSE</v>
      </c>
      <c r="C8109" s="1" t="s">
        <v>185</v>
      </c>
      <c r="AD8109" s="1" t="s">
        <v>26</v>
      </c>
      <c r="BK8109" s="1" t="s">
        <v>59</v>
      </c>
      <c r="BL8109" s="1" t="s">
        <v>60</v>
      </c>
      <c r="GC8109" s="1" t="s">
        <v>181</v>
      </c>
      <c r="GD8109" s="1" t="s">
        <v>193</v>
      </c>
      <c r="GE8109" s="1" t="s">
        <v>190</v>
      </c>
    </row>
    <row r="8110" spans="1:187" ht="11.25" customHeight="1">
      <c r="A8110" s="1" t="s">
        <v>11408</v>
      </c>
      <c r="B8110" s="1" t="str">
        <f ca="1">IFERROR(__xludf.DUMMYFUNCTION("GOOGLETRANSLATE(A8110, ""en"", ""fr"")"),"POURSUIVRE")</f>
        <v>POURSUIVRE</v>
      </c>
      <c r="C8110" s="1" t="s">
        <v>185</v>
      </c>
      <c r="D8110" s="1" t="s">
        <v>16612</v>
      </c>
      <c r="N8110" s="1" t="s">
        <v>10</v>
      </c>
      <c r="AE8110" s="1" t="s">
        <v>27</v>
      </c>
      <c r="CC8110" s="1" t="s">
        <v>77</v>
      </c>
      <c r="DN8110" s="1" t="s">
        <v>114</v>
      </c>
      <c r="EC8110" s="1" t="s">
        <v>129</v>
      </c>
      <c r="ED8110" s="1" t="s">
        <v>130</v>
      </c>
      <c r="GD8110" s="1" t="s">
        <v>670</v>
      </c>
      <c r="GE8110" s="1" t="s">
        <v>190</v>
      </c>
    </row>
    <row r="8111" spans="1:187" ht="11.25" customHeight="1">
      <c r="A8111" s="1" t="s">
        <v>11409</v>
      </c>
      <c r="B8111" s="1" t="str">
        <f ca="1">IFERROR(__xludf.DUMMYFUNCTION("GOOGLETRANSLATE(A8111, ""en"", ""fr"")"),"POURSUITE")</f>
        <v>POURSUITE</v>
      </c>
      <c r="C8111" s="1" t="s">
        <v>185</v>
      </c>
      <c r="E8111" s="1" t="s">
        <v>16613</v>
      </c>
      <c r="H8111" s="1" t="s">
        <v>4</v>
      </c>
      <c r="I8111" s="1" t="s">
        <v>5</v>
      </c>
      <c r="J8111" s="1" t="s">
        <v>6</v>
      </c>
      <c r="N8111" s="1" t="s">
        <v>10</v>
      </c>
      <c r="AE8111" s="1" t="s">
        <v>27</v>
      </c>
      <c r="BK8111" s="1" t="s">
        <v>59</v>
      </c>
      <c r="EC8111" s="1" t="s">
        <v>129</v>
      </c>
      <c r="ED8111" s="1" t="s">
        <v>130</v>
      </c>
      <c r="GD8111" s="1" t="s">
        <v>193</v>
      </c>
      <c r="GE8111" s="1" t="s">
        <v>190</v>
      </c>
    </row>
    <row r="8112" spans="1:187" ht="11.25" customHeight="1">
      <c r="A8112" s="1" t="s">
        <v>11410</v>
      </c>
      <c r="B8112" s="1" t="str">
        <f ca="1">IFERROR(__xludf.DUMMYFUNCTION("GOOGLETRANSLATE(A8112, ""en"", ""fr"")"),"PERSPECTIVE")</f>
        <v>PERSPECTIVE</v>
      </c>
      <c r="C8112" s="1" t="s">
        <v>185</v>
      </c>
      <c r="W8112" s="1" t="s">
        <v>19</v>
      </c>
      <c r="CK8112" s="1" t="s">
        <v>85</v>
      </c>
      <c r="FH8112" s="1" t="s">
        <v>160</v>
      </c>
      <c r="FI8112" s="1" t="s">
        <v>161</v>
      </c>
      <c r="GD8112" s="1" t="s">
        <v>193</v>
      </c>
      <c r="GE8112" s="1" t="s">
        <v>190</v>
      </c>
    </row>
    <row r="8113" spans="1:187" ht="11.25" customHeight="1">
      <c r="A8113" s="1" t="s">
        <v>11411</v>
      </c>
      <c r="B8113" s="1" t="str">
        <f ca="1">IFERROR(__xludf.DUMMYFUNCTION("GOOGLETRANSLATE(A8113, ""en"", ""fr"")"),"ÉVENTUEL")</f>
        <v>ÉVENTUEL</v>
      </c>
      <c r="C8113" s="1" t="s">
        <v>185</v>
      </c>
      <c r="CY8113" s="1" t="s">
        <v>99</v>
      </c>
      <c r="GD8113" s="1" t="s">
        <v>202</v>
      </c>
      <c r="GE8113" s="1" t="s">
        <v>190</v>
      </c>
    </row>
    <row r="8114" spans="1:187" ht="11.25" customHeight="1">
      <c r="A8114" s="1" t="s">
        <v>11412</v>
      </c>
      <c r="B8114" s="1" t="str">
        <f ca="1">IFERROR(__xludf.DUMMYFUNCTION("GOOGLETRANSLATE(A8114, ""en"", ""fr"")"),"PROSPÉRER")</f>
        <v>PROSPÉRER</v>
      </c>
      <c r="C8114" s="1" t="s">
        <v>192</v>
      </c>
      <c r="D8114" s="1" t="s">
        <v>16612</v>
      </c>
      <c r="O8114" s="1" t="s">
        <v>11</v>
      </c>
      <c r="AA8114" s="1" t="s">
        <v>23</v>
      </c>
      <c r="BX8114" s="1" t="s">
        <v>72</v>
      </c>
      <c r="DN8114" s="1" t="s">
        <v>114</v>
      </c>
      <c r="GD8114" s="1" t="s">
        <v>189</v>
      </c>
      <c r="GE8114" s="1" t="s">
        <v>190</v>
      </c>
    </row>
    <row r="8115" spans="1:187" ht="11.25" customHeight="1">
      <c r="A8115" s="1" t="s">
        <v>11413</v>
      </c>
      <c r="B8115" s="1" t="str">
        <f ca="1">IFERROR(__xludf.DUMMYFUNCTION("GOOGLETRANSLATE(A8115, ""en"", ""fr"")"),"PROSPÉRITÉ")</f>
        <v>PROSPÉRITÉ</v>
      </c>
      <c r="C8115" s="1" t="s">
        <v>185</v>
      </c>
      <c r="D8115" s="1" t="s">
        <v>16612</v>
      </c>
      <c r="F8115" s="1" t="s">
        <v>2</v>
      </c>
      <c r="U8115" s="1" t="s">
        <v>17</v>
      </c>
      <c r="AC8115" s="1" t="s">
        <v>25</v>
      </c>
      <c r="EV8115" s="1" t="s">
        <v>148</v>
      </c>
      <c r="EW8115" s="1" t="s">
        <v>149</v>
      </c>
      <c r="GD8115" s="1" t="s">
        <v>193</v>
      </c>
      <c r="GE8115" s="1" t="s">
        <v>190</v>
      </c>
    </row>
    <row r="8116" spans="1:187" ht="11.25" customHeight="1">
      <c r="A8116" s="1" t="s">
        <v>11414</v>
      </c>
      <c r="B8116" s="1" t="str">
        <f ca="1">IFERROR(__xludf.DUMMYFUNCTION("GOOGLETRANSLATE(A8116, ""en"", ""fr"")"),"PROSPÈRE")</f>
        <v>PROSPÈRE</v>
      </c>
      <c r="C8116" s="1" t="s">
        <v>185</v>
      </c>
      <c r="D8116" s="1" t="s">
        <v>16612</v>
      </c>
      <c r="AA8116" s="1" t="s">
        <v>23</v>
      </c>
      <c r="BX8116" s="1" t="s">
        <v>72</v>
      </c>
      <c r="DR8116" s="1" t="s">
        <v>118</v>
      </c>
      <c r="EV8116" s="1" t="s">
        <v>148</v>
      </c>
      <c r="EW8116" s="1" t="s">
        <v>149</v>
      </c>
      <c r="GD8116" s="1" t="s">
        <v>202</v>
      </c>
      <c r="GE8116" s="1" t="s">
        <v>190</v>
      </c>
    </row>
    <row r="8117" spans="1:187" ht="11.25" customHeight="1">
      <c r="A8117" s="1" t="s">
        <v>11415</v>
      </c>
      <c r="B8117" s="1" t="str">
        <f ca="1">IFERROR(__xludf.DUMMYFUNCTION("GOOGLETRANSLATE(A8117, ""en"", ""fr"")"),"PROTÉGER")</f>
        <v>PROTÉGER</v>
      </c>
      <c r="C8117" s="1" t="s">
        <v>185</v>
      </c>
      <c r="D8117" s="1" t="s">
        <v>16612</v>
      </c>
      <c r="F8117" s="1" t="s">
        <v>2</v>
      </c>
      <c r="G8117" s="1" t="s">
        <v>3</v>
      </c>
      <c r="J8117" s="1" t="s">
        <v>6</v>
      </c>
      <c r="K8117" s="1" t="s">
        <v>7</v>
      </c>
      <c r="N8117" s="1" t="s">
        <v>10</v>
      </c>
      <c r="AN8117" s="1" t="s">
        <v>36</v>
      </c>
      <c r="DN8117" s="1" t="s">
        <v>114</v>
      </c>
      <c r="FN8117" s="1" t="s">
        <v>166</v>
      </c>
      <c r="GD8117" s="1" t="s">
        <v>189</v>
      </c>
      <c r="GE8117" s="1" t="s">
        <v>11416</v>
      </c>
    </row>
    <row r="8118" spans="1:187" ht="11.25" customHeight="1">
      <c r="A8118" s="1" t="s">
        <v>11417</v>
      </c>
      <c r="B8118" s="1" t="str">
        <f ca="1">IFERROR(__xludf.DUMMYFUNCTION("GOOGLETRANSLATE(A8118, ""en"", ""fr"")"),"PROTECTION")</f>
        <v>PROTECTION</v>
      </c>
      <c r="C8118" s="1" t="s">
        <v>185</v>
      </c>
      <c r="D8118" s="1" t="s">
        <v>16612</v>
      </c>
      <c r="F8118" s="1" t="s">
        <v>2</v>
      </c>
      <c r="J8118" s="1" t="s">
        <v>6</v>
      </c>
      <c r="K8118" s="1" t="s">
        <v>7</v>
      </c>
      <c r="U8118" s="1" t="s">
        <v>17</v>
      </c>
      <c r="FN8118" s="1" t="s">
        <v>166</v>
      </c>
      <c r="GD8118" s="1" t="s">
        <v>193</v>
      </c>
      <c r="GE8118" s="1" t="s">
        <v>11418</v>
      </c>
    </row>
    <row r="8119" spans="1:187" ht="11.25" customHeight="1">
      <c r="A8119" s="1" t="s">
        <v>11419</v>
      </c>
      <c r="B8119" s="1" t="str">
        <f ca="1">IFERROR(__xludf.DUMMYFUNCTION("GOOGLETRANSLATE(A8119, ""en"", ""fr"")"),"PROTECTEUR")</f>
        <v>PROTECTEUR</v>
      </c>
      <c r="C8119" s="1" t="s">
        <v>192</v>
      </c>
      <c r="D8119" s="1" t="s">
        <v>16612</v>
      </c>
      <c r="G8119" s="1" t="s">
        <v>3</v>
      </c>
      <c r="J8119" s="1" t="s">
        <v>6</v>
      </c>
      <c r="DR8119" s="1" t="s">
        <v>118</v>
      </c>
      <c r="GD8119" s="1" t="s">
        <v>4155</v>
      </c>
      <c r="GE8119" s="1" t="s">
        <v>190</v>
      </c>
    </row>
    <row r="8120" spans="1:187" ht="11.25" customHeight="1">
      <c r="A8120" s="1" t="s">
        <v>11420</v>
      </c>
      <c r="B8120" s="1" t="str">
        <f ca="1">IFERROR(__xludf.DUMMYFUNCTION("GOOGLETRANSLATE(A8120, ""en"", ""fr"")"),"PROTECTEUR")</f>
        <v>PROTECTEUR</v>
      </c>
      <c r="C8120" s="1" t="s">
        <v>192</v>
      </c>
      <c r="D8120" s="1" t="s">
        <v>16612</v>
      </c>
      <c r="G8120" s="1" t="s">
        <v>3</v>
      </c>
      <c r="J8120" s="1" t="s">
        <v>6</v>
      </c>
      <c r="AJ8120" s="1" t="s">
        <v>32</v>
      </c>
      <c r="AT8120" s="1" t="s">
        <v>42</v>
      </c>
      <c r="GD8120" s="1" t="s">
        <v>1177</v>
      </c>
      <c r="GE8120" s="1" t="s">
        <v>190</v>
      </c>
    </row>
    <row r="8121" spans="1:187" ht="11.25" customHeight="1">
      <c r="A8121" s="1" t="s">
        <v>11421</v>
      </c>
      <c r="B8121" s="1" t="str">
        <f ca="1">IFERROR(__xludf.DUMMYFUNCTION("GOOGLETRANSLATE(A8121, ""en"", ""fr"")"),"Protestation n ° 1")</f>
        <v>Protestation n ° 1</v>
      </c>
      <c r="C8121" s="1" t="s">
        <v>185</v>
      </c>
      <c r="E8121" s="1" t="s">
        <v>16613</v>
      </c>
      <c r="H8121" s="1" t="s">
        <v>4</v>
      </c>
      <c r="I8121" s="1" t="s">
        <v>5</v>
      </c>
      <c r="N8121" s="1" t="s">
        <v>10</v>
      </c>
      <c r="AH8121" s="1" t="s">
        <v>30</v>
      </c>
      <c r="AM8121" s="1" t="s">
        <v>35</v>
      </c>
      <c r="EC8121" s="1" t="s">
        <v>129</v>
      </c>
      <c r="ED8121" s="1" t="s">
        <v>130</v>
      </c>
      <c r="GD8121" s="1" t="s">
        <v>193</v>
      </c>
      <c r="GE8121" s="1" t="s">
        <v>190</v>
      </c>
    </row>
    <row r="8122" spans="1:187" ht="11.25" customHeight="1">
      <c r="A8122" s="1" t="s">
        <v>11422</v>
      </c>
      <c r="B8122" s="1" t="str">
        <f ca="1">IFERROR(__xludf.DUMMYFUNCTION("GOOGLETRANSLATE(A8122, ""en"", ""fr"")"),"Protestation n ° 2")</f>
        <v>Protestation n ° 2</v>
      </c>
      <c r="C8122" s="1" t="s">
        <v>185</v>
      </c>
      <c r="E8122" s="1" t="s">
        <v>16613</v>
      </c>
      <c r="H8122" s="1" t="s">
        <v>4</v>
      </c>
      <c r="I8122" s="1" t="s">
        <v>5</v>
      </c>
      <c r="N8122" s="1" t="s">
        <v>10</v>
      </c>
      <c r="BK8122" s="1" t="s">
        <v>59</v>
      </c>
      <c r="DN8122" s="1" t="s">
        <v>114</v>
      </c>
      <c r="EC8122" s="1" t="s">
        <v>129</v>
      </c>
      <c r="ED8122" s="1" t="s">
        <v>130</v>
      </c>
      <c r="GD8122" s="1" t="s">
        <v>189</v>
      </c>
      <c r="GE8122" s="1" t="s">
        <v>190</v>
      </c>
    </row>
    <row r="8123" spans="1:187" ht="11.25" customHeight="1">
      <c r="A8123" s="1" t="s">
        <v>11423</v>
      </c>
      <c r="B8123" s="1" t="str">
        <f ca="1">IFERROR(__xludf.DUMMYFUNCTION("GOOGLETRANSLATE(A8123, ""en"", ""fr"")"),"PROTESTANT")</f>
        <v>PROTESTANT</v>
      </c>
      <c r="C8123" s="1" t="s">
        <v>196</v>
      </c>
      <c r="EF8123" s="1" t="s">
        <v>132</v>
      </c>
      <c r="EJ8123" s="1" t="s">
        <v>136</v>
      </c>
      <c r="GD8123" s="1" t="s">
        <v>202</v>
      </c>
    </row>
    <row r="8124" spans="1:187" ht="11.25" customHeight="1">
      <c r="A8124" s="1" t="s">
        <v>11424</v>
      </c>
      <c r="B8124" s="1" t="str">
        <f ca="1">IFERROR(__xludf.DUMMYFUNCTION("GOOGLETRANSLATE(A8124, ""en"", ""fr"")"),"PROTOCOLE")</f>
        <v>PROTOCOLE</v>
      </c>
      <c r="C8124" s="1" t="s">
        <v>196</v>
      </c>
      <c r="DX8124" s="1" t="s">
        <v>124</v>
      </c>
      <c r="ED8124" s="1" t="s">
        <v>130</v>
      </c>
      <c r="GD8124" s="1" t="s">
        <v>470</v>
      </c>
    </row>
    <row r="8125" spans="1:187" ht="11.25" customHeight="1">
      <c r="A8125" s="1" t="s">
        <v>11425</v>
      </c>
      <c r="B8125" s="1" t="str">
        <f ca="1">IFERROR(__xludf.DUMMYFUNCTION("GOOGLETRANSLATE(A8125, ""en"", ""fr"")"),"PROLONGÉ")</f>
        <v>PROLONGÉ</v>
      </c>
      <c r="C8125" s="1" t="s">
        <v>196</v>
      </c>
      <c r="GB8125" s="1" t="s">
        <v>180</v>
      </c>
      <c r="GD8125" s="1" t="s">
        <v>202</v>
      </c>
    </row>
    <row r="8126" spans="1:187" ht="11.25" customHeight="1">
      <c r="A8126" s="1" t="s">
        <v>11426</v>
      </c>
      <c r="B8126" s="1" t="str">
        <f ca="1">IFERROR(__xludf.DUMMYFUNCTION("GOOGLETRANSLATE(A8126, ""en"", ""fr"")"),"FIER")</f>
        <v>FIER</v>
      </c>
      <c r="C8126" s="1" t="s">
        <v>185</v>
      </c>
      <c r="D8126" s="1" t="s">
        <v>16612</v>
      </c>
      <c r="F8126" s="1" t="s">
        <v>2</v>
      </c>
      <c r="G8126" s="1" t="s">
        <v>3</v>
      </c>
      <c r="J8126" s="1" t="s">
        <v>6</v>
      </c>
      <c r="P8126" s="1" t="s">
        <v>12</v>
      </c>
      <c r="T8126" s="1" t="s">
        <v>16</v>
      </c>
      <c r="EM8126" s="1" t="s">
        <v>139</v>
      </c>
      <c r="EN8126" s="1" t="s">
        <v>140</v>
      </c>
      <c r="GD8126" s="1" t="s">
        <v>202</v>
      </c>
      <c r="GE8126" s="1" t="s">
        <v>11427</v>
      </c>
    </row>
    <row r="8127" spans="1:187" ht="11.25" customHeight="1">
      <c r="A8127" s="1" t="s">
        <v>11428</v>
      </c>
      <c r="B8127" s="1" t="str">
        <f ca="1">IFERROR(__xludf.DUMMYFUNCTION("GOOGLETRANSLATE(A8127, ""en"", ""fr"")"),"Prouver n ° 1")</f>
        <v>Prouver n ° 1</v>
      </c>
      <c r="C8127" s="1" t="s">
        <v>185</v>
      </c>
      <c r="J8127" s="1" t="s">
        <v>6</v>
      </c>
      <c r="N8127" s="1" t="s">
        <v>10</v>
      </c>
      <c r="CO8127" s="1" t="s">
        <v>89</v>
      </c>
      <c r="DN8127" s="1" t="s">
        <v>114</v>
      </c>
      <c r="FD8127" s="1" t="s">
        <v>156</v>
      </c>
      <c r="FI8127" s="1" t="s">
        <v>161</v>
      </c>
      <c r="GD8127" s="1" t="s">
        <v>189</v>
      </c>
      <c r="GE8127" s="1" t="s">
        <v>11429</v>
      </c>
    </row>
    <row r="8128" spans="1:187" ht="11.25" customHeight="1">
      <c r="A8128" s="1" t="s">
        <v>11430</v>
      </c>
      <c r="B8128" s="1" t="str">
        <f ca="1">IFERROR(__xludf.DUMMYFUNCTION("GOOGLETRANSLATE(A8128, ""en"", ""fr"")"),"Prouver n ° 2")</f>
        <v>Prouver n ° 2</v>
      </c>
      <c r="C8128" s="1" t="s">
        <v>185</v>
      </c>
      <c r="J8128" s="1" t="s">
        <v>6</v>
      </c>
      <c r="O8128" s="1" t="s">
        <v>11</v>
      </c>
      <c r="BS8128" s="1" t="s">
        <v>67</v>
      </c>
      <c r="DN8128" s="1" t="s">
        <v>114</v>
      </c>
      <c r="GD8128" s="1" t="s">
        <v>969</v>
      </c>
      <c r="GE8128" s="1" t="s">
        <v>11431</v>
      </c>
    </row>
    <row r="8129" spans="1:187" ht="11.25" customHeight="1">
      <c r="A8129" s="1" t="s">
        <v>11432</v>
      </c>
      <c r="B8129" s="1" t="str">
        <f ca="1">IFERROR(__xludf.DUMMYFUNCTION("GOOGLETRANSLATE(A8129, ""en"", ""fr"")"),"Prouver n ° 3")</f>
        <v>Prouver n ° 3</v>
      </c>
      <c r="C8129" s="1" t="s">
        <v>185</v>
      </c>
      <c r="O8129" s="1" t="s">
        <v>11</v>
      </c>
      <c r="U8129" s="1" t="s">
        <v>17</v>
      </c>
      <c r="W8129" s="1" t="s">
        <v>19</v>
      </c>
      <c r="FY8129" s="1" t="s">
        <v>177</v>
      </c>
      <c r="GD8129" s="1" t="s">
        <v>202</v>
      </c>
      <c r="GE8129" s="1" t="s">
        <v>11433</v>
      </c>
    </row>
    <row r="8130" spans="1:187" ht="11.25" customHeight="1">
      <c r="A8130" s="1" t="s">
        <v>11434</v>
      </c>
      <c r="B8130" s="1" t="str">
        <f ca="1">IFERROR(__xludf.DUMMYFUNCTION("GOOGLETRANSLATE(A8130, ""en"", ""fr"")"),"Prouver n ° 1")</f>
        <v>Prouver n ° 1</v>
      </c>
      <c r="C8130" s="1" t="s">
        <v>192</v>
      </c>
      <c r="GD8130" s="1" t="s">
        <v>1085</v>
      </c>
      <c r="GE8130" s="1" t="s">
        <v>190</v>
      </c>
    </row>
    <row r="8131" spans="1:187" ht="11.25" customHeight="1">
      <c r="A8131" s="1" t="s">
        <v>11435</v>
      </c>
      <c r="B8131" s="1" t="str">
        <f ca="1">IFERROR(__xludf.DUMMYFUNCTION("GOOGLETRANSLATE(A8131, ""en"", ""fr"")"),"Fournir n ° 1")</f>
        <v>Fournir n ° 1</v>
      </c>
      <c r="C8131" s="1" t="s">
        <v>185</v>
      </c>
      <c r="D8131" s="1" t="s">
        <v>16612</v>
      </c>
      <c r="F8131" s="1" t="s">
        <v>2</v>
      </c>
      <c r="G8131" s="1" t="s">
        <v>3</v>
      </c>
      <c r="J8131" s="1" t="s">
        <v>6</v>
      </c>
      <c r="K8131" s="1" t="s">
        <v>7</v>
      </c>
      <c r="AN8131" s="1" t="s">
        <v>36</v>
      </c>
      <c r="DN8131" s="1" t="s">
        <v>114</v>
      </c>
      <c r="FN8131" s="1" t="s">
        <v>166</v>
      </c>
      <c r="GD8131" s="1" t="s">
        <v>400</v>
      </c>
      <c r="GE8131" s="1" t="s">
        <v>11436</v>
      </c>
    </row>
    <row r="8132" spans="1:187" ht="11.25" customHeight="1">
      <c r="A8132" s="1" t="s">
        <v>11437</v>
      </c>
      <c r="B8132" s="1" t="str">
        <f ca="1">IFERROR(__xludf.DUMMYFUNCTION("GOOGLETRANSLATE(A8132, ""en"", ""fr"")"),"Fournir # 2")</f>
        <v>Fournir # 2</v>
      </c>
      <c r="C8132" s="1" t="s">
        <v>185</v>
      </c>
      <c r="FZ8132" s="1" t="s">
        <v>178</v>
      </c>
      <c r="GD8132" s="1" t="s">
        <v>763</v>
      </c>
      <c r="GE8132" s="1" t="s">
        <v>11438</v>
      </c>
    </row>
    <row r="8133" spans="1:187" ht="11.25" customHeight="1">
      <c r="A8133" s="1" t="s">
        <v>11439</v>
      </c>
      <c r="B8133" s="1" t="str">
        <f ca="1">IFERROR(__xludf.DUMMYFUNCTION("GOOGLETRANSLATE(A8133, ""en"", ""fr"")"),"PROVIDENCE")</f>
        <v>PROVIDENCE</v>
      </c>
      <c r="C8133" s="1" t="s">
        <v>185</v>
      </c>
      <c r="D8133" s="1" t="s">
        <v>16612</v>
      </c>
      <c r="F8133" s="1" t="s">
        <v>2</v>
      </c>
      <c r="J8133" s="1" t="s">
        <v>6</v>
      </c>
      <c r="K8133" s="1" t="s">
        <v>7</v>
      </c>
      <c r="U8133" s="1" t="s">
        <v>17</v>
      </c>
      <c r="AH8133" s="1" t="s">
        <v>30</v>
      </c>
      <c r="AI8133" s="1" t="s">
        <v>31</v>
      </c>
      <c r="EF8133" s="1" t="s">
        <v>132</v>
      </c>
      <c r="EJ8133" s="1" t="s">
        <v>136</v>
      </c>
      <c r="GD8133" s="1" t="s">
        <v>193</v>
      </c>
      <c r="GE8133" s="1" t="s">
        <v>190</v>
      </c>
    </row>
    <row r="8134" spans="1:187" ht="11.25" customHeight="1">
      <c r="A8134" s="1" t="s">
        <v>11440</v>
      </c>
      <c r="B8134" s="1" t="str">
        <f ca="1">IFERROR(__xludf.DUMMYFUNCTION("GOOGLETRANSLATE(A8134, ""en"", ""fr"")"),"PROVINCE")</f>
        <v>PROVINCE</v>
      </c>
      <c r="C8134" s="1" t="s">
        <v>185</v>
      </c>
      <c r="AG8134" s="1" t="s">
        <v>29</v>
      </c>
      <c r="AH8134" s="1" t="s">
        <v>30</v>
      </c>
      <c r="AV8134" s="1" t="s">
        <v>44</v>
      </c>
      <c r="AX8134" s="1" t="s">
        <v>46</v>
      </c>
      <c r="EC8134" s="1" t="s">
        <v>129</v>
      </c>
      <c r="ED8134" s="1" t="s">
        <v>130</v>
      </c>
      <c r="GD8134" s="1" t="s">
        <v>193</v>
      </c>
      <c r="GE8134" s="1" t="s">
        <v>190</v>
      </c>
    </row>
    <row r="8135" spans="1:187" ht="11.25" customHeight="1">
      <c r="A8135" s="1" t="s">
        <v>11441</v>
      </c>
      <c r="B8135" s="1" t="str">
        <f ca="1">IFERROR(__xludf.DUMMYFUNCTION("GOOGLETRANSLATE(A8135, ""en"", ""fr"")"),"PROVINCIAL")</f>
        <v>PROVINCIAL</v>
      </c>
      <c r="C8135" s="1" t="s">
        <v>196</v>
      </c>
      <c r="DV8135" s="1" t="s">
        <v>122</v>
      </c>
      <c r="ED8135" s="1" t="s">
        <v>130</v>
      </c>
      <c r="GD8135" s="1" t="s">
        <v>212</v>
      </c>
    </row>
    <row r="8136" spans="1:187" ht="11.25" customHeight="1">
      <c r="A8136" s="1" t="s">
        <v>11442</v>
      </c>
      <c r="B8136" s="1" t="str">
        <f ca="1">IFERROR(__xludf.DUMMYFUNCTION("GOOGLETRANSLATE(A8136, ""en"", ""fr"")"),"DISPOSITION")</f>
        <v>DISPOSITION</v>
      </c>
      <c r="C8136" s="1" t="s">
        <v>185</v>
      </c>
      <c r="BQ8136" s="1" t="s">
        <v>65</v>
      </c>
      <c r="GD8136" s="1" t="s">
        <v>193</v>
      </c>
      <c r="GE8136" s="1" t="s">
        <v>190</v>
      </c>
    </row>
    <row r="8137" spans="1:187" ht="11.25" customHeight="1">
      <c r="A8137" s="1" t="s">
        <v>11443</v>
      </c>
      <c r="B8137" s="1" t="str">
        <f ca="1">IFERROR(__xludf.DUMMYFUNCTION("GOOGLETRANSLATE(A8137, ""en"", ""fr"")"),"PROVISOIRE")</f>
        <v>PROVISOIRE</v>
      </c>
      <c r="C8137" s="1" t="s">
        <v>185</v>
      </c>
      <c r="L8137" s="1" t="s">
        <v>8</v>
      </c>
      <c r="CY8137" s="1" t="s">
        <v>99</v>
      </c>
      <c r="GD8137" s="1" t="s">
        <v>202</v>
      </c>
      <c r="GE8137" s="1" t="s">
        <v>190</v>
      </c>
    </row>
    <row r="8138" spans="1:187" ht="11.25" customHeight="1">
      <c r="A8138" s="1" t="s">
        <v>11444</v>
      </c>
      <c r="B8138" s="1" t="str">
        <f ca="1">IFERROR(__xludf.DUMMYFUNCTION("GOOGLETRANSLATE(A8138, ""en"", ""fr"")"),"PROVOCATION")</f>
        <v>PROVOCATION</v>
      </c>
      <c r="C8138" s="1" t="s">
        <v>185</v>
      </c>
      <c r="E8138" s="1" t="s">
        <v>16613</v>
      </c>
      <c r="I8138" s="1" t="s">
        <v>5</v>
      </c>
      <c r="CI8138" s="1" t="s">
        <v>83</v>
      </c>
      <c r="DW8138" s="1" t="s">
        <v>123</v>
      </c>
      <c r="ED8138" s="1" t="s">
        <v>130</v>
      </c>
      <c r="GD8138" s="1" t="s">
        <v>193</v>
      </c>
      <c r="GE8138" s="1" t="s">
        <v>190</v>
      </c>
    </row>
    <row r="8139" spans="1:187" ht="11.25" customHeight="1">
      <c r="A8139" s="1" t="s">
        <v>11445</v>
      </c>
      <c r="B8139" s="1" t="str">
        <f ca="1">IFERROR(__xludf.DUMMYFUNCTION("GOOGLETRANSLATE(A8139, ""en"", ""fr"")"),"PROVOQUER")</f>
        <v>PROVOQUER</v>
      </c>
      <c r="C8139" s="1" t="s">
        <v>185</v>
      </c>
      <c r="E8139" s="1" t="s">
        <v>16613</v>
      </c>
      <c r="H8139" s="1" t="s">
        <v>4</v>
      </c>
      <c r="I8139" s="1" t="s">
        <v>5</v>
      </c>
      <c r="J8139" s="1" t="s">
        <v>6</v>
      </c>
      <c r="N8139" s="1" t="s">
        <v>10</v>
      </c>
      <c r="AN8139" s="1" t="s">
        <v>36</v>
      </c>
      <c r="DN8139" s="1" t="s">
        <v>114</v>
      </c>
      <c r="DW8139" s="1" t="s">
        <v>123</v>
      </c>
      <c r="ED8139" s="1" t="s">
        <v>130</v>
      </c>
      <c r="GD8139" s="1" t="s">
        <v>189</v>
      </c>
      <c r="GE8139" s="1" t="s">
        <v>190</v>
      </c>
    </row>
    <row r="8140" spans="1:187" ht="11.25" customHeight="1">
      <c r="A8140" s="1" t="s">
        <v>11446</v>
      </c>
      <c r="B8140" s="1" t="str">
        <f ca="1">IFERROR(__xludf.DUMMYFUNCTION("GOOGLETRANSLATE(A8140, ""en"", ""fr"")"),"PROUESSE")</f>
        <v>PROUESSE</v>
      </c>
      <c r="C8140" s="1" t="s">
        <v>192</v>
      </c>
      <c r="D8140" s="1" t="s">
        <v>16612</v>
      </c>
      <c r="J8140" s="1" t="s">
        <v>6</v>
      </c>
      <c r="CH8140" s="1" t="s">
        <v>82</v>
      </c>
      <c r="GD8140" s="1" t="s">
        <v>193</v>
      </c>
      <c r="GE8140" s="1" t="s">
        <v>190</v>
      </c>
    </row>
    <row r="8141" spans="1:187" ht="11.25" customHeight="1">
      <c r="A8141" s="1" t="s">
        <v>11447</v>
      </c>
      <c r="B8141" s="1" t="str">
        <f ca="1">IFERROR(__xludf.DUMMYFUNCTION("GOOGLETRANSLATE(A8141, ""en"", ""fr"")"),"RÔDER")</f>
        <v>RÔDER</v>
      </c>
      <c r="C8141" s="1" t="s">
        <v>192</v>
      </c>
      <c r="E8141" s="1" t="s">
        <v>16613</v>
      </c>
      <c r="I8141" s="1" t="s">
        <v>5</v>
      </c>
      <c r="N8141" s="1" t="s">
        <v>10</v>
      </c>
      <c r="DN8141" s="1" t="s">
        <v>114</v>
      </c>
      <c r="GD8141" s="1" t="s">
        <v>189</v>
      </c>
      <c r="GE8141" s="1" t="s">
        <v>190</v>
      </c>
    </row>
    <row r="8142" spans="1:187" ht="11.25" customHeight="1">
      <c r="A8142" s="1" t="s">
        <v>11448</v>
      </c>
      <c r="B8142" s="1" t="str">
        <f ca="1">IFERROR(__xludf.DUMMYFUNCTION("GOOGLETRANSLATE(A8142, ""en"", ""fr"")"),"PRUDENCE")</f>
        <v>PRUDENCE</v>
      </c>
      <c r="C8142" s="1" t="s">
        <v>185</v>
      </c>
      <c r="D8142" s="1" t="s">
        <v>16612</v>
      </c>
      <c r="U8142" s="1" t="s">
        <v>17</v>
      </c>
      <c r="CG8142" s="1" t="s">
        <v>81</v>
      </c>
      <c r="CJ8142" s="1" t="s">
        <v>84</v>
      </c>
      <c r="GD8142" s="1" t="s">
        <v>193</v>
      </c>
      <c r="GE8142" s="1" t="s">
        <v>190</v>
      </c>
    </row>
    <row r="8143" spans="1:187" ht="11.25" customHeight="1">
      <c r="A8143" s="1" t="s">
        <v>11449</v>
      </c>
      <c r="B8143" s="1" t="str">
        <f ca="1">IFERROR(__xludf.DUMMYFUNCTION("GOOGLETRANSLATE(A8143, ""en"", ""fr"")"),"PRUDENT")</f>
        <v>PRUDENT</v>
      </c>
      <c r="C8143" s="1" t="s">
        <v>185</v>
      </c>
      <c r="D8143" s="1" t="s">
        <v>16612</v>
      </c>
      <c r="U8143" s="1" t="s">
        <v>17</v>
      </c>
      <c r="CG8143" s="1" t="s">
        <v>81</v>
      </c>
      <c r="CJ8143" s="1" t="s">
        <v>84</v>
      </c>
      <c r="DR8143" s="1" t="s">
        <v>118</v>
      </c>
      <c r="FH8143" s="1" t="s">
        <v>160</v>
      </c>
      <c r="FI8143" s="1" t="s">
        <v>161</v>
      </c>
      <c r="GD8143" s="1" t="s">
        <v>202</v>
      </c>
      <c r="GE8143" s="1" t="s">
        <v>190</v>
      </c>
    </row>
    <row r="8144" spans="1:187" ht="11.25" customHeight="1">
      <c r="A8144" s="1" t="s">
        <v>11450</v>
      </c>
      <c r="B8144" s="1" t="str">
        <f ca="1">IFERROR(__xludf.DUMMYFUNCTION("GOOGLETRANSLATE(A8144, ""en"", ""fr"")"),"PRUSSE")</f>
        <v>PRUSSE</v>
      </c>
      <c r="C8144" s="1" t="s">
        <v>196</v>
      </c>
      <c r="FU8144" s="1" t="s">
        <v>173</v>
      </c>
      <c r="GD8144" s="1" t="s">
        <v>3591</v>
      </c>
    </row>
    <row r="8145" spans="1:187" ht="11.25" customHeight="1">
      <c r="A8145" s="1" t="s">
        <v>11451</v>
      </c>
      <c r="B8145" s="1" t="str">
        <f ca="1">IFERROR(__xludf.DUMMYFUNCTION("GOOGLETRANSLATE(A8145, ""en"", ""fr"")"),"PRUSSIEN")</f>
        <v>PRUSSIEN</v>
      </c>
      <c r="C8145" s="1" t="s">
        <v>196</v>
      </c>
      <c r="FU8145" s="1" t="s">
        <v>173</v>
      </c>
      <c r="GD8145" s="1" t="s">
        <v>11023</v>
      </c>
    </row>
    <row r="8146" spans="1:187" ht="11.25" customHeight="1">
      <c r="A8146" s="1" t="s">
        <v>11452</v>
      </c>
      <c r="B8146" s="1" t="str">
        <f ca="1">IFERROR(__xludf.DUMMYFUNCTION("GOOGLETRANSLATE(A8146, ""en"", ""fr"")"),"Faire faillite")</f>
        <v>Faire faillite</v>
      </c>
      <c r="C8146" s="1" t="s">
        <v>192</v>
      </c>
      <c r="E8146" s="1" t="s">
        <v>16613</v>
      </c>
      <c r="AN8146" s="1" t="s">
        <v>36</v>
      </c>
      <c r="BK8146" s="1" t="s">
        <v>59</v>
      </c>
      <c r="CC8146" s="1" t="s">
        <v>77</v>
      </c>
      <c r="DN8146" s="1" t="s">
        <v>114</v>
      </c>
      <c r="GD8146" s="1" t="s">
        <v>189</v>
      </c>
      <c r="GE8146" s="1" t="s">
        <v>190</v>
      </c>
    </row>
    <row r="8147" spans="1:187" ht="11.25" customHeight="1">
      <c r="A8147" s="1" t="s">
        <v>11453</v>
      </c>
      <c r="B8147" s="1" t="str">
        <f ca="1">IFERROR(__xludf.DUMMYFUNCTION("GOOGLETRANSLATE(A8147, ""en"", ""fr"")"),"PSYCHIATRE")</f>
        <v>PSYCHIATRE</v>
      </c>
      <c r="C8147" s="1" t="s">
        <v>185</v>
      </c>
      <c r="Y8147" s="1" t="s">
        <v>21</v>
      </c>
      <c r="AJ8147" s="1" t="s">
        <v>32</v>
      </c>
      <c r="AT8147" s="1" t="s">
        <v>42</v>
      </c>
      <c r="FB8147" s="1" t="s">
        <v>154</v>
      </c>
      <c r="FC8147" s="1" t="s">
        <v>155</v>
      </c>
      <c r="GD8147" s="1" t="s">
        <v>193</v>
      </c>
      <c r="GE8147" s="1" t="s">
        <v>11454</v>
      </c>
    </row>
    <row r="8148" spans="1:187" ht="11.25" customHeight="1">
      <c r="A8148" s="1" t="s">
        <v>11455</v>
      </c>
      <c r="B8148" s="1" t="str">
        <f ca="1">IFERROR(__xludf.DUMMYFUNCTION("GOOGLETRANSLATE(A8148, ""en"", ""fr"")"),"PSYCHOLOGIQUE")</f>
        <v>PSYCHOLOGIQUE</v>
      </c>
      <c r="C8148" s="1" t="s">
        <v>185</v>
      </c>
      <c r="Y8148" s="1" t="s">
        <v>21</v>
      </c>
      <c r="Z8148" s="1" t="s">
        <v>22</v>
      </c>
      <c r="FA8148" s="1" t="s">
        <v>153</v>
      </c>
      <c r="FC8148" s="1" t="s">
        <v>155</v>
      </c>
      <c r="GD8148" s="1" t="s">
        <v>202</v>
      </c>
      <c r="GE8148" s="1" t="s">
        <v>190</v>
      </c>
    </row>
    <row r="8149" spans="1:187" ht="11.25" customHeight="1">
      <c r="A8149" s="1" t="s">
        <v>11456</v>
      </c>
      <c r="B8149" s="1" t="str">
        <f ca="1">IFERROR(__xludf.DUMMYFUNCTION("GOOGLETRANSLATE(A8149, ""en"", ""fr"")"),"PSYCHOLOGUE")</f>
        <v>PSYCHOLOGUE</v>
      </c>
      <c r="C8149" s="1" t="s">
        <v>185</v>
      </c>
      <c r="Y8149" s="1" t="s">
        <v>21</v>
      </c>
      <c r="AJ8149" s="1" t="s">
        <v>32</v>
      </c>
      <c r="AT8149" s="1" t="s">
        <v>42</v>
      </c>
      <c r="FG8149" s="1" t="s">
        <v>159</v>
      </c>
      <c r="FI8149" s="1" t="s">
        <v>161</v>
      </c>
      <c r="GD8149" s="1" t="s">
        <v>193</v>
      </c>
      <c r="GE8149" s="1" t="s">
        <v>190</v>
      </c>
    </row>
    <row r="8150" spans="1:187" ht="11.25" customHeight="1">
      <c r="A8150" s="1" t="s">
        <v>11457</v>
      </c>
      <c r="B8150" s="1" t="str">
        <f ca="1">IFERROR(__xludf.DUMMYFUNCTION("GOOGLETRANSLATE(A8150, ""en"", ""fr"")"),"PSYCHOLOGIE")</f>
        <v>PSYCHOLOGIE</v>
      </c>
      <c r="C8150" s="1" t="s">
        <v>196</v>
      </c>
      <c r="FH8150" s="1" t="s">
        <v>160</v>
      </c>
      <c r="FI8150" s="1" t="s">
        <v>161</v>
      </c>
      <c r="GD8150" s="1" t="s">
        <v>193</v>
      </c>
    </row>
    <row r="8151" spans="1:187" ht="11.25" customHeight="1">
      <c r="A8151" s="1" t="s">
        <v>11458</v>
      </c>
      <c r="B8151" s="1" t="str">
        <f ca="1">IFERROR(__xludf.DUMMYFUNCTION("GOOGLETRANSLATE(A8151, ""en"", ""fr"")"),"PTA")</f>
        <v>PTA</v>
      </c>
      <c r="C8151" s="1" t="s">
        <v>185</v>
      </c>
      <c r="Y8151" s="1" t="s">
        <v>21</v>
      </c>
      <c r="AK8151" s="1" t="s">
        <v>33</v>
      </c>
      <c r="AT8151" s="1" t="s">
        <v>42</v>
      </c>
      <c r="FG8151" s="1" t="s">
        <v>159</v>
      </c>
      <c r="FI8151" s="1" t="s">
        <v>161</v>
      </c>
      <c r="GD8151" s="1" t="s">
        <v>193</v>
      </c>
      <c r="GE8151" s="1" t="s">
        <v>190</v>
      </c>
    </row>
    <row r="8152" spans="1:187" ht="11.25" customHeight="1">
      <c r="A8152" s="1" t="s">
        <v>11459</v>
      </c>
      <c r="B8152" s="1" t="str">
        <f ca="1">IFERROR(__xludf.DUMMYFUNCTION("GOOGLETRANSLATE(A8152, ""en"", ""fr"")"),"Public # 1")</f>
        <v>Public # 1</v>
      </c>
      <c r="C8152" s="1" t="s">
        <v>185</v>
      </c>
      <c r="AH8152" s="1" t="s">
        <v>30</v>
      </c>
      <c r="AK8152" s="1" t="s">
        <v>33</v>
      </c>
      <c r="AT8152" s="1" t="s">
        <v>42</v>
      </c>
      <c r="EC8152" s="1" t="s">
        <v>129</v>
      </c>
      <c r="ED8152" s="1" t="s">
        <v>130</v>
      </c>
      <c r="GD8152" s="1" t="s">
        <v>849</v>
      </c>
      <c r="GE8152" s="1" t="s">
        <v>11460</v>
      </c>
    </row>
    <row r="8153" spans="1:187" ht="11.25" customHeight="1">
      <c r="A8153" s="1" t="s">
        <v>11461</v>
      </c>
      <c r="B8153" s="1" t="str">
        <f ca="1">IFERROR(__xludf.DUMMYFUNCTION("GOOGLETRANSLATE(A8153, ""en"", ""fr"")"),"Public # 2")</f>
        <v>Public # 2</v>
      </c>
      <c r="C8153" s="1" t="s">
        <v>185</v>
      </c>
      <c r="AK8153" s="1" t="s">
        <v>33</v>
      </c>
      <c r="AT8153" s="1" t="s">
        <v>42</v>
      </c>
      <c r="DZ8153" s="1" t="s">
        <v>126</v>
      </c>
      <c r="ED8153" s="1" t="s">
        <v>130</v>
      </c>
      <c r="GD8153" s="1" t="s">
        <v>202</v>
      </c>
      <c r="GE8153" s="1" t="s">
        <v>11462</v>
      </c>
    </row>
    <row r="8154" spans="1:187" ht="11.25" customHeight="1">
      <c r="A8154" s="1" t="s">
        <v>11463</v>
      </c>
      <c r="B8154" s="1" t="str">
        <f ca="1">IFERROR(__xludf.DUMMYFUNCTION("GOOGLETRANSLATE(A8154, ""en"", ""fr"")"),"Public # 3")</f>
        <v>Public # 3</v>
      </c>
      <c r="C8154" s="1" t="s">
        <v>185</v>
      </c>
      <c r="DA8154" s="1" t="s">
        <v>101</v>
      </c>
      <c r="EC8154" s="1" t="s">
        <v>129</v>
      </c>
      <c r="ED8154" s="1" t="s">
        <v>130</v>
      </c>
      <c r="GD8154" s="1" t="s">
        <v>236</v>
      </c>
      <c r="GE8154" s="1" t="s">
        <v>11464</v>
      </c>
    </row>
    <row r="8155" spans="1:187" ht="11.25" customHeight="1">
      <c r="A8155" s="1" t="s">
        <v>11465</v>
      </c>
      <c r="B8155" s="1" t="str">
        <f ca="1">IFERROR(__xludf.DUMMYFUNCTION("GOOGLETRANSLATE(A8155, ""en"", ""fr"")"),"PUBLICATION")</f>
        <v>PUBLICATION</v>
      </c>
      <c r="C8155" s="1" t="s">
        <v>185</v>
      </c>
      <c r="BC8155" s="1" t="s">
        <v>51</v>
      </c>
      <c r="BH8155" s="1" t="s">
        <v>56</v>
      </c>
      <c r="BL8155" s="1" t="s">
        <v>60</v>
      </c>
      <c r="FH8155" s="1" t="s">
        <v>160</v>
      </c>
      <c r="FI8155" s="1" t="s">
        <v>161</v>
      </c>
      <c r="GD8155" s="1" t="s">
        <v>193</v>
      </c>
      <c r="GE8155" s="1" t="s">
        <v>190</v>
      </c>
    </row>
    <row r="8156" spans="1:187" ht="11.25" customHeight="1">
      <c r="A8156" s="1" t="s">
        <v>11466</v>
      </c>
      <c r="B8156" s="1" t="str">
        <f ca="1">IFERROR(__xludf.DUMMYFUNCTION("GOOGLETRANSLATE(A8156, ""en"", ""fr"")"),"PUBLICITÉ")</f>
        <v>PUBLICITÉ</v>
      </c>
      <c r="C8156" s="1" t="s">
        <v>185</v>
      </c>
      <c r="AH8156" s="1" t="s">
        <v>30</v>
      </c>
      <c r="BK8156" s="1" t="s">
        <v>59</v>
      </c>
      <c r="BL8156" s="1" t="s">
        <v>60</v>
      </c>
      <c r="FH8156" s="1" t="s">
        <v>160</v>
      </c>
      <c r="FI8156" s="1" t="s">
        <v>161</v>
      </c>
      <c r="GC8156" s="1" t="s">
        <v>181</v>
      </c>
      <c r="GD8156" s="1" t="s">
        <v>193</v>
      </c>
      <c r="GE8156" s="1" t="s">
        <v>190</v>
      </c>
    </row>
    <row r="8157" spans="1:187" ht="11.25" customHeight="1">
      <c r="A8157" s="1" t="s">
        <v>11467</v>
      </c>
      <c r="B8157" s="1" t="str">
        <f ca="1">IFERROR(__xludf.DUMMYFUNCTION("GOOGLETRANSLATE(A8157, ""en"", ""fr"")"),"PUBLIER")</f>
        <v>PUBLIER</v>
      </c>
      <c r="C8157" s="1" t="s">
        <v>185</v>
      </c>
      <c r="N8157" s="1" t="s">
        <v>10</v>
      </c>
      <c r="AA8157" s="1" t="s">
        <v>23</v>
      </c>
      <c r="BK8157" s="1" t="s">
        <v>59</v>
      </c>
      <c r="DN8157" s="1" t="s">
        <v>114</v>
      </c>
      <c r="FH8157" s="1" t="s">
        <v>160</v>
      </c>
      <c r="FI8157" s="1" t="s">
        <v>161</v>
      </c>
      <c r="GD8157" s="1" t="s">
        <v>189</v>
      </c>
      <c r="GE8157" s="1" t="s">
        <v>190</v>
      </c>
    </row>
    <row r="8158" spans="1:187" ht="11.25" customHeight="1">
      <c r="A8158" s="1" t="s">
        <v>11468</v>
      </c>
      <c r="B8158" s="1" t="str">
        <f ca="1">IFERROR(__xludf.DUMMYFUNCTION("GOOGLETRANSLATE(A8158, ""en"", ""fr"")"),"TIRER")</f>
        <v>TIRER</v>
      </c>
      <c r="C8158" s="1" t="s">
        <v>185</v>
      </c>
      <c r="J8158" s="1" t="s">
        <v>6</v>
      </c>
      <c r="N8158" s="1" t="s">
        <v>10</v>
      </c>
      <c r="CC8158" s="1" t="s">
        <v>77</v>
      </c>
      <c r="DN8158" s="1" t="s">
        <v>114</v>
      </c>
      <c r="GD8158" s="1" t="s">
        <v>189</v>
      </c>
      <c r="GE8158" s="1" t="s">
        <v>11469</v>
      </c>
    </row>
    <row r="8159" spans="1:187" ht="11.25" customHeight="1">
      <c r="A8159" s="1" t="s">
        <v>11470</v>
      </c>
      <c r="B8159" s="1" t="str">
        <f ca="1">IFERROR(__xludf.DUMMYFUNCTION("GOOGLETRANSLATE(A8159, ""en"", ""fr"")"),"POULIE")</f>
        <v>POULIE</v>
      </c>
      <c r="C8159" s="1" t="s">
        <v>185</v>
      </c>
      <c r="BC8159" s="1" t="s">
        <v>51</v>
      </c>
      <c r="BD8159" s="1" t="s">
        <v>52</v>
      </c>
      <c r="GD8159" s="1" t="s">
        <v>193</v>
      </c>
      <c r="GE8159" s="1" t="s">
        <v>190</v>
      </c>
    </row>
    <row r="8160" spans="1:187" ht="11.25" customHeight="1">
      <c r="A8160" s="1" t="s">
        <v>11471</v>
      </c>
      <c r="B8160" s="1" t="str">
        <f ca="1">IFERROR(__xludf.DUMMYFUNCTION("GOOGLETRANSLATE(A8160, ""en"", ""fr"")"),"IMPULSION")</f>
        <v>IMPULSION</v>
      </c>
      <c r="C8160" s="1" t="s">
        <v>185</v>
      </c>
      <c r="BU8160" s="1" t="s">
        <v>69</v>
      </c>
      <c r="GD8160" s="1" t="s">
        <v>193</v>
      </c>
      <c r="GE8160" s="1" t="s">
        <v>190</v>
      </c>
    </row>
    <row r="8161" spans="1:187" ht="11.25" customHeight="1">
      <c r="A8161" s="1" t="s">
        <v>11472</v>
      </c>
      <c r="B8161" s="1" t="str">
        <f ca="1">IFERROR(__xludf.DUMMYFUNCTION("GOOGLETRANSLATE(A8161, ""en"", ""fr"")"),"Pompe n ° 1")</f>
        <v>Pompe n ° 1</v>
      </c>
      <c r="C8161" s="1" t="s">
        <v>185</v>
      </c>
      <c r="BC8161" s="1" t="s">
        <v>51</v>
      </c>
      <c r="BD8161" s="1" t="s">
        <v>52</v>
      </c>
      <c r="GD8161" s="1" t="s">
        <v>193</v>
      </c>
      <c r="GE8161" s="1" t="s">
        <v>190</v>
      </c>
    </row>
    <row r="8162" spans="1:187" ht="11.25" customHeight="1">
      <c r="A8162" s="1" t="s">
        <v>11473</v>
      </c>
      <c r="B8162" s="1" t="str">
        <f ca="1">IFERROR(__xludf.DUMMYFUNCTION("GOOGLETRANSLATE(A8162, ""en"", ""fr"")"),"Pompe n ° 2")</f>
        <v>Pompe n ° 2</v>
      </c>
      <c r="C8162" s="1" t="s">
        <v>185</v>
      </c>
      <c r="N8162" s="1" t="s">
        <v>10</v>
      </c>
      <c r="AL8162" s="1" t="s">
        <v>34</v>
      </c>
      <c r="DN8162" s="1" t="s">
        <v>114</v>
      </c>
      <c r="GD8162" s="1" t="s">
        <v>189</v>
      </c>
      <c r="GE8162" s="1" t="s">
        <v>190</v>
      </c>
    </row>
    <row r="8163" spans="1:187" ht="11.25" customHeight="1">
      <c r="A8163" s="1" t="s">
        <v>11474</v>
      </c>
      <c r="B8163" s="1" t="str">
        <f ca="1">IFERROR(__xludf.DUMMYFUNCTION("GOOGLETRANSLATE(A8163, ""en"", ""fr"")"),"COUP DE POING")</f>
        <v>COUP DE POING</v>
      </c>
      <c r="C8163" s="1" t="s">
        <v>192</v>
      </c>
      <c r="E8163" s="1" t="s">
        <v>16613</v>
      </c>
      <c r="I8163" s="1" t="s">
        <v>5</v>
      </c>
      <c r="N8163" s="1" t="s">
        <v>10</v>
      </c>
      <c r="CC8163" s="1" t="s">
        <v>77</v>
      </c>
      <c r="DN8163" s="1" t="s">
        <v>114</v>
      </c>
      <c r="GD8163" s="1" t="s">
        <v>670</v>
      </c>
      <c r="GE8163" s="1" t="s">
        <v>190</v>
      </c>
    </row>
    <row r="8164" spans="1:187" ht="11.25" customHeight="1">
      <c r="A8164" s="1" t="s">
        <v>11475</v>
      </c>
      <c r="B8164" s="1" t="str">
        <f ca="1">IFERROR(__xludf.DUMMYFUNCTION("GOOGLETRANSLATE(A8164, ""en"", ""fr"")"),"PONCTUEL")</f>
        <v>PONCTUEL</v>
      </c>
      <c r="C8164" s="1" t="s">
        <v>192</v>
      </c>
      <c r="D8164" s="1" t="s">
        <v>16612</v>
      </c>
      <c r="U8164" s="1" t="s">
        <v>17</v>
      </c>
      <c r="W8164" s="1" t="s">
        <v>19</v>
      </c>
      <c r="DR8164" s="1" t="s">
        <v>118</v>
      </c>
      <c r="GD8164" s="1" t="s">
        <v>202</v>
      </c>
      <c r="GE8164" s="1" t="s">
        <v>190</v>
      </c>
    </row>
    <row r="8165" spans="1:187" ht="11.25" customHeight="1">
      <c r="A8165" s="1" t="s">
        <v>11476</v>
      </c>
      <c r="B8165" s="1" t="str">
        <f ca="1">IFERROR(__xludf.DUMMYFUNCTION("GOOGLETRANSLATE(A8165, ""en"", ""fr"")"),"PUNIR")</f>
        <v>PUNIR</v>
      </c>
      <c r="C8165" s="1" t="s">
        <v>185</v>
      </c>
      <c r="E8165" s="1" t="s">
        <v>16613</v>
      </c>
      <c r="H8165" s="1" t="s">
        <v>4</v>
      </c>
      <c r="I8165" s="1" t="s">
        <v>5</v>
      </c>
      <c r="J8165" s="1" t="s">
        <v>6</v>
      </c>
      <c r="K8165" s="1" t="s">
        <v>7</v>
      </c>
      <c r="N8165" s="1" t="s">
        <v>10</v>
      </c>
      <c r="AN8165" s="1" t="s">
        <v>36</v>
      </c>
      <c r="DN8165" s="1" t="s">
        <v>114</v>
      </c>
      <c r="FO8165" s="1" t="s">
        <v>167</v>
      </c>
      <c r="GD8165" s="1" t="s">
        <v>189</v>
      </c>
      <c r="GE8165" s="1" t="s">
        <v>190</v>
      </c>
    </row>
    <row r="8166" spans="1:187" ht="11.25" customHeight="1">
      <c r="A8166" s="1" t="s">
        <v>11477</v>
      </c>
      <c r="B8166" s="1" t="str">
        <f ca="1">IFERROR(__xludf.DUMMYFUNCTION("GOOGLETRANSLATE(A8166, ""en"", ""fr"")"),"CHÂTIMENT")</f>
        <v>CHÂTIMENT</v>
      </c>
      <c r="C8166" s="1" t="s">
        <v>185</v>
      </c>
      <c r="EC8166" s="1" t="s">
        <v>129</v>
      </c>
      <c r="ED8166" s="1" t="s">
        <v>130</v>
      </c>
      <c r="GD8166" s="1" t="s">
        <v>5284</v>
      </c>
      <c r="GE8166" s="1" t="s">
        <v>190</v>
      </c>
    </row>
    <row r="8167" spans="1:187" ht="11.25" customHeight="1">
      <c r="A8167" s="1" t="s">
        <v>11478</v>
      </c>
      <c r="B8167" s="1" t="str">
        <f ca="1">IFERROR(__xludf.DUMMYFUNCTION("GOOGLETRANSLATE(A8167, ""en"", ""fr"")"),"CHÉTIF")</f>
        <v>CHÉTIF</v>
      </c>
      <c r="C8167" s="1" t="s">
        <v>185</v>
      </c>
      <c r="E8167" s="1" t="s">
        <v>16613</v>
      </c>
      <c r="H8167" s="1" t="s">
        <v>4</v>
      </c>
      <c r="L8167" s="1" t="s">
        <v>8</v>
      </c>
      <c r="V8167" s="1" t="s">
        <v>18</v>
      </c>
      <c r="X8167" s="1" t="s">
        <v>20</v>
      </c>
      <c r="FW8167" s="1" t="s">
        <v>175</v>
      </c>
      <c r="GD8167" s="1" t="s">
        <v>202</v>
      </c>
      <c r="GE8167" s="1" t="s">
        <v>190</v>
      </c>
    </row>
    <row r="8168" spans="1:187" ht="11.25" customHeight="1">
      <c r="A8168" s="1" t="s">
        <v>11479</v>
      </c>
      <c r="B8168" s="1" t="str">
        <f ca="1">IFERROR(__xludf.DUMMYFUNCTION("GOOGLETRANSLATE(A8168, ""en"", ""fr"")"),"ÉLÈVE")</f>
        <v>ÉLÈVE</v>
      </c>
      <c r="C8168" s="1" t="s">
        <v>185</v>
      </c>
      <c r="M8168" s="1" t="s">
        <v>9</v>
      </c>
      <c r="Y8168" s="1" t="s">
        <v>21</v>
      </c>
      <c r="AJ8168" s="1" t="s">
        <v>32</v>
      </c>
      <c r="AT8168" s="1" t="s">
        <v>42</v>
      </c>
      <c r="FG8168" s="1" t="s">
        <v>159</v>
      </c>
      <c r="FI8168" s="1" t="s">
        <v>161</v>
      </c>
      <c r="GD8168" s="1" t="s">
        <v>193</v>
      </c>
      <c r="GE8168" s="1" t="s">
        <v>190</v>
      </c>
    </row>
    <row r="8169" spans="1:187" ht="11.25" customHeight="1">
      <c r="A8169" s="1" t="s">
        <v>11480</v>
      </c>
      <c r="B8169" s="1" t="str">
        <f ca="1">IFERROR(__xludf.DUMMYFUNCTION("GOOGLETRANSLATE(A8169, ""en"", ""fr"")"),"CHIOT")</f>
        <v>CHIOT</v>
      </c>
      <c r="C8169" s="1" t="s">
        <v>185</v>
      </c>
      <c r="AS8169" s="1" t="s">
        <v>41</v>
      </c>
      <c r="AU8169" s="1" t="s">
        <v>43</v>
      </c>
      <c r="GD8169" s="1" t="s">
        <v>193</v>
      </c>
      <c r="GE8169" s="1" t="s">
        <v>190</v>
      </c>
    </row>
    <row r="8170" spans="1:187" ht="11.25" customHeight="1">
      <c r="A8170" s="1" t="s">
        <v>11481</v>
      </c>
      <c r="B8170" s="1" t="str">
        <f ca="1">IFERROR(__xludf.DUMMYFUNCTION("GOOGLETRANSLATE(A8170, ""en"", ""fr"")"),"Acheter n ° 1")</f>
        <v>Acheter n ° 1</v>
      </c>
      <c r="C8170" s="1" t="s">
        <v>185</v>
      </c>
      <c r="AA8170" s="1" t="s">
        <v>23</v>
      </c>
      <c r="AC8170" s="1" t="s">
        <v>25</v>
      </c>
      <c r="BK8170" s="1" t="s">
        <v>59</v>
      </c>
      <c r="EU8170" s="1" t="s">
        <v>147</v>
      </c>
      <c r="EW8170" s="1" t="s">
        <v>149</v>
      </c>
      <c r="GD8170" s="1" t="s">
        <v>193</v>
      </c>
      <c r="GE8170" s="1" t="s">
        <v>190</v>
      </c>
    </row>
    <row r="8171" spans="1:187" ht="11.25" customHeight="1">
      <c r="A8171" s="1" t="s">
        <v>11482</v>
      </c>
      <c r="B8171" s="1" t="str">
        <f ca="1">IFERROR(__xludf.DUMMYFUNCTION("GOOGLETRANSLATE(A8171, ""en"", ""fr"")"),"Acheter n ° 2")</f>
        <v>Acheter n ° 2</v>
      </c>
      <c r="C8171" s="1" t="s">
        <v>185</v>
      </c>
      <c r="N8171" s="1" t="s">
        <v>10</v>
      </c>
      <c r="AA8171" s="1" t="s">
        <v>23</v>
      </c>
      <c r="AB8171" s="1" t="s">
        <v>24</v>
      </c>
      <c r="DN8171" s="1" t="s">
        <v>114</v>
      </c>
      <c r="EU8171" s="1" t="s">
        <v>147</v>
      </c>
      <c r="EW8171" s="1" t="s">
        <v>149</v>
      </c>
      <c r="GD8171" s="1" t="s">
        <v>189</v>
      </c>
      <c r="GE8171" s="1" t="s">
        <v>190</v>
      </c>
    </row>
    <row r="8172" spans="1:187" ht="11.25" customHeight="1">
      <c r="A8172" s="1" t="s">
        <v>11483</v>
      </c>
      <c r="B8172" s="1" t="str">
        <f ca="1">IFERROR(__xludf.DUMMYFUNCTION("GOOGLETRANSLATE(A8172, ""en"", ""fr"")"),"PUR")</f>
        <v>PUR</v>
      </c>
      <c r="C8172" s="1" t="s">
        <v>185</v>
      </c>
      <c r="D8172" s="1" t="s">
        <v>16612</v>
      </c>
      <c r="F8172" s="1" t="s">
        <v>2</v>
      </c>
      <c r="U8172" s="1" t="s">
        <v>17</v>
      </c>
      <c r="W8172" s="1" t="s">
        <v>19</v>
      </c>
      <c r="CN8172" s="1" t="s">
        <v>88</v>
      </c>
      <c r="GD8172" s="1" t="s">
        <v>202</v>
      </c>
      <c r="GE8172" s="1" t="s">
        <v>190</v>
      </c>
    </row>
    <row r="8173" spans="1:187" ht="11.25" customHeight="1">
      <c r="A8173" s="1" t="s">
        <v>11484</v>
      </c>
      <c r="B8173" s="1" t="str">
        <f ca="1">IFERROR(__xludf.DUMMYFUNCTION("GOOGLETRANSLATE(A8173, ""en"", ""fr"")"),"PUREMENT")</f>
        <v>PUREMENT</v>
      </c>
      <c r="C8173" s="1" t="s">
        <v>185</v>
      </c>
      <c r="W8173" s="1" t="s">
        <v>19</v>
      </c>
      <c r="CH8173" s="1" t="s">
        <v>82</v>
      </c>
      <c r="FY8173" s="1" t="s">
        <v>177</v>
      </c>
      <c r="GD8173" s="1" t="s">
        <v>236</v>
      </c>
      <c r="GE8173" s="1" t="s">
        <v>190</v>
      </c>
    </row>
    <row r="8174" spans="1:187" ht="11.25" customHeight="1">
      <c r="A8174" s="1" t="s">
        <v>11485</v>
      </c>
      <c r="B8174" s="1" t="str">
        <f ca="1">IFERROR(__xludf.DUMMYFUNCTION("GOOGLETRANSLATE(A8174, ""en"", ""fr"")"),"PURIFICATION")</f>
        <v>PURIFICATION</v>
      </c>
      <c r="C8174" s="1" t="s">
        <v>192</v>
      </c>
      <c r="D8174" s="1" t="s">
        <v>16612</v>
      </c>
      <c r="U8174" s="1" t="s">
        <v>17</v>
      </c>
      <c r="AL8174" s="1" t="s">
        <v>34</v>
      </c>
      <c r="GD8174" s="1" t="s">
        <v>193</v>
      </c>
      <c r="GE8174" s="1" t="s">
        <v>190</v>
      </c>
    </row>
    <row r="8175" spans="1:187" ht="11.25" customHeight="1">
      <c r="A8175" s="1" t="s">
        <v>11486</v>
      </c>
      <c r="B8175" s="1" t="str">
        <f ca="1">IFERROR(__xludf.DUMMYFUNCTION("GOOGLETRANSLATE(A8175, ""en"", ""fr"")"),"PURIFIER")</f>
        <v>PURIFIER</v>
      </c>
      <c r="C8175" s="1" t="s">
        <v>192</v>
      </c>
      <c r="D8175" s="1" t="s">
        <v>16612</v>
      </c>
      <c r="N8175" s="1" t="s">
        <v>10</v>
      </c>
      <c r="U8175" s="1" t="s">
        <v>17</v>
      </c>
      <c r="AL8175" s="1" t="s">
        <v>34</v>
      </c>
      <c r="BY8175" s="1" t="s">
        <v>73</v>
      </c>
      <c r="DN8175" s="1" t="s">
        <v>114</v>
      </c>
      <c r="GD8175" s="1" t="s">
        <v>189</v>
      </c>
      <c r="GE8175" s="1" t="s">
        <v>190</v>
      </c>
    </row>
    <row r="8176" spans="1:187" ht="11.25" customHeight="1">
      <c r="A8176" s="1" t="s">
        <v>11487</v>
      </c>
      <c r="B8176" s="1" t="str">
        <f ca="1">IFERROR(__xludf.DUMMYFUNCTION("GOOGLETRANSLATE(A8176, ""en"", ""fr"")"),"PURETÉ")</f>
        <v>PURETÉ</v>
      </c>
      <c r="C8176" s="1" t="s">
        <v>185</v>
      </c>
      <c r="D8176" s="1" t="s">
        <v>16612</v>
      </c>
      <c r="U8176" s="1" t="s">
        <v>17</v>
      </c>
      <c r="GD8176" s="1" t="s">
        <v>193</v>
      </c>
      <c r="GE8176" s="1" t="s">
        <v>190</v>
      </c>
    </row>
    <row r="8177" spans="1:187" ht="11.25" customHeight="1">
      <c r="A8177" s="1" t="s">
        <v>11488</v>
      </c>
      <c r="B8177" s="1" t="str">
        <f ca="1">IFERROR(__xludf.DUMMYFUNCTION("GOOGLETRANSLATE(A8177, ""en"", ""fr"")"),"VIOLET")</f>
        <v>VIOLET</v>
      </c>
      <c r="C8177" s="1" t="s">
        <v>185</v>
      </c>
      <c r="DE8177" s="1" t="s">
        <v>105</v>
      </c>
      <c r="GD8177" s="1" t="s">
        <v>202</v>
      </c>
      <c r="GE8177" s="1" t="s">
        <v>190</v>
      </c>
    </row>
    <row r="8178" spans="1:187" ht="11.25" customHeight="1">
      <c r="A8178" s="1" t="s">
        <v>11489</v>
      </c>
      <c r="B8178" s="1" t="str">
        <f ca="1">IFERROR(__xludf.DUMMYFUNCTION("GOOGLETRANSLATE(A8178, ""en"", ""fr"")"),"Objectif n ° 1")</f>
        <v>Objectif n ° 1</v>
      </c>
      <c r="C8178" s="1" t="s">
        <v>185</v>
      </c>
      <c r="J8178" s="1" t="s">
        <v>6</v>
      </c>
      <c r="CI8178" s="1" t="s">
        <v>83</v>
      </c>
      <c r="FR8178" s="1" t="s">
        <v>170</v>
      </c>
      <c r="GD8178" s="1" t="s">
        <v>849</v>
      </c>
      <c r="GE8178" s="1" t="s">
        <v>11490</v>
      </c>
    </row>
    <row r="8179" spans="1:187" ht="11.25" customHeight="1">
      <c r="A8179" s="1" t="s">
        <v>11491</v>
      </c>
      <c r="B8179" s="1" t="str">
        <f ca="1">IFERROR(__xludf.DUMMYFUNCTION("GOOGLETRANSLATE(A8179, ""en"", ""fr"")"),"Objectif n ° 2")</f>
        <v>Objectif n ° 2</v>
      </c>
      <c r="C8179" s="1" t="s">
        <v>185</v>
      </c>
      <c r="J8179" s="1" t="s">
        <v>6</v>
      </c>
      <c r="N8179" s="1" t="s">
        <v>10</v>
      </c>
      <c r="W8179" s="1" t="s">
        <v>19</v>
      </c>
      <c r="CI8179" s="1" t="s">
        <v>83</v>
      </c>
      <c r="FY8179" s="1" t="s">
        <v>177</v>
      </c>
      <c r="GD8179" s="1" t="s">
        <v>236</v>
      </c>
      <c r="GE8179" s="1" t="s">
        <v>11492</v>
      </c>
    </row>
    <row r="8180" spans="1:187" ht="11.25" customHeight="1">
      <c r="A8180" s="1" t="s">
        <v>11493</v>
      </c>
      <c r="B8180" s="1" t="str">
        <f ca="1">IFERROR(__xludf.DUMMYFUNCTION("GOOGLETRANSLATE(A8180, ""en"", ""fr"")"),"DÉTERMINÉ")</f>
        <v>DÉTERMINÉ</v>
      </c>
      <c r="C8180" s="1" t="s">
        <v>192</v>
      </c>
      <c r="D8180" s="1" t="s">
        <v>16612</v>
      </c>
      <c r="J8180" s="1" t="s">
        <v>6</v>
      </c>
      <c r="BO8180" s="1" t="s">
        <v>63</v>
      </c>
      <c r="CG8180" s="1" t="s">
        <v>81</v>
      </c>
      <c r="DR8180" s="1" t="s">
        <v>118</v>
      </c>
      <c r="GD8180" s="1" t="s">
        <v>202</v>
      </c>
      <c r="GE8180" s="1" t="s">
        <v>190</v>
      </c>
    </row>
    <row r="8181" spans="1:187" ht="11.25" customHeight="1">
      <c r="A8181" s="1" t="s">
        <v>11494</v>
      </c>
      <c r="B8181" s="1" t="str">
        <f ca="1">IFERROR(__xludf.DUMMYFUNCTION("GOOGLETRANSLATE(A8181, ""en"", ""fr"")"),"RONRONNER")</f>
        <v>RONRONNER</v>
      </c>
      <c r="C8181" s="1" t="s">
        <v>192</v>
      </c>
      <c r="D8181" s="1" t="s">
        <v>16612</v>
      </c>
      <c r="N8181" s="1" t="s">
        <v>10</v>
      </c>
      <c r="P8181" s="1" t="s">
        <v>12</v>
      </c>
      <c r="BK8181" s="1" t="s">
        <v>59</v>
      </c>
      <c r="DN8181" s="1" t="s">
        <v>114</v>
      </c>
      <c r="GD8181" s="1" t="s">
        <v>189</v>
      </c>
      <c r="GE8181" s="1" t="s">
        <v>190</v>
      </c>
    </row>
    <row r="8182" spans="1:187" ht="11.25" customHeight="1">
      <c r="A8182" s="1" t="s">
        <v>11495</v>
      </c>
      <c r="B8182" s="1" t="str">
        <f ca="1">IFERROR(__xludf.DUMMYFUNCTION("GOOGLETRANSLATE(A8182, ""en"", ""fr"")"),"Conformément")</f>
        <v>Conformément</v>
      </c>
      <c r="C8182" s="1" t="s">
        <v>196</v>
      </c>
      <c r="EB8182" s="1" t="s">
        <v>128</v>
      </c>
      <c r="ED8182" s="1" t="s">
        <v>130</v>
      </c>
      <c r="GD8182" s="1" t="s">
        <v>212</v>
      </c>
    </row>
    <row r="8183" spans="1:187" ht="11.25" customHeight="1">
      <c r="A8183" s="1" t="s">
        <v>11496</v>
      </c>
      <c r="B8183" s="1" t="str">
        <f ca="1">IFERROR(__xludf.DUMMYFUNCTION("GOOGLETRANSLATE(A8183, ""en"", ""fr"")"),"POURSUIVRE")</f>
        <v>POURSUIVRE</v>
      </c>
      <c r="C8183" s="1" t="s">
        <v>185</v>
      </c>
      <c r="J8183" s="1" t="s">
        <v>6</v>
      </c>
      <c r="N8183" s="1" t="s">
        <v>10</v>
      </c>
      <c r="CE8183" s="1" t="s">
        <v>79</v>
      </c>
      <c r="DN8183" s="1" t="s">
        <v>114</v>
      </c>
      <c r="FP8183" s="1" t="s">
        <v>168</v>
      </c>
      <c r="GD8183" s="1" t="s">
        <v>189</v>
      </c>
      <c r="GE8183" s="1" t="s">
        <v>11497</v>
      </c>
    </row>
    <row r="8184" spans="1:187" ht="11.25" customHeight="1">
      <c r="A8184" s="1" t="s">
        <v>11498</v>
      </c>
      <c r="B8184" s="1" t="str">
        <f ca="1">IFERROR(__xludf.DUMMYFUNCTION("GOOGLETRANSLATE(A8184, ""en"", ""fr"")"),"POURSUIVANT")</f>
        <v>POURSUIVANT</v>
      </c>
      <c r="C8184" s="1" t="s">
        <v>185</v>
      </c>
      <c r="N8184" s="1" t="s">
        <v>10</v>
      </c>
      <c r="AJ8184" s="1" t="s">
        <v>32</v>
      </c>
      <c r="AT8184" s="1" t="s">
        <v>42</v>
      </c>
      <c r="FT8184" s="1" t="s">
        <v>172</v>
      </c>
      <c r="GD8184" s="1" t="s">
        <v>193</v>
      </c>
      <c r="GE8184" s="1" t="s">
        <v>190</v>
      </c>
    </row>
    <row r="8185" spans="1:187" ht="11.25" customHeight="1">
      <c r="A8185" s="1" t="s">
        <v>11499</v>
      </c>
      <c r="B8185" s="1" t="str">
        <f ca="1">IFERROR(__xludf.DUMMYFUNCTION("GOOGLETRANSLATE(A8185, ""en"", ""fr"")"),"POURSUITE")</f>
        <v>POURSUITE</v>
      </c>
      <c r="C8185" s="1" t="s">
        <v>185</v>
      </c>
      <c r="N8185" s="1" t="s">
        <v>10</v>
      </c>
      <c r="CE8185" s="1" t="s">
        <v>79</v>
      </c>
      <c r="FR8185" s="1" t="s">
        <v>170</v>
      </c>
      <c r="GD8185" s="1" t="s">
        <v>193</v>
      </c>
      <c r="GE8185" s="1" t="s">
        <v>190</v>
      </c>
    </row>
    <row r="8186" spans="1:187" ht="11.25" customHeight="1">
      <c r="A8186" s="1" t="s">
        <v>11500</v>
      </c>
      <c r="B8186" s="1" t="str">
        <f ca="1">IFERROR(__xludf.DUMMYFUNCTION("GOOGLETRANSLATE(A8186, ""en"", ""fr"")"),"Push # 1")</f>
        <v>Push # 1</v>
      </c>
      <c r="C8186" s="1" t="s">
        <v>185</v>
      </c>
      <c r="E8186" s="1" t="s">
        <v>16613</v>
      </c>
      <c r="H8186" s="1" t="s">
        <v>4</v>
      </c>
      <c r="J8186" s="1" t="s">
        <v>6</v>
      </c>
      <c r="N8186" s="1" t="s">
        <v>10</v>
      </c>
      <c r="CC8186" s="1" t="s">
        <v>77</v>
      </c>
      <c r="DO8186" s="1" t="s">
        <v>115</v>
      </c>
      <c r="EC8186" s="1" t="s">
        <v>129</v>
      </c>
      <c r="ED8186" s="1" t="s">
        <v>130</v>
      </c>
      <c r="GD8186" s="1" t="s">
        <v>400</v>
      </c>
      <c r="GE8186" s="1" t="s">
        <v>11501</v>
      </c>
    </row>
    <row r="8187" spans="1:187" ht="11.25" customHeight="1">
      <c r="A8187" s="1" t="s">
        <v>11502</v>
      </c>
      <c r="B8187" s="1" t="str">
        <f ca="1">IFERROR(__xludf.DUMMYFUNCTION("GOOGLETRANSLATE(A8187, ""en"", ""fr"")"),"Push # 2")</f>
        <v>Push # 2</v>
      </c>
      <c r="C8187" s="1" t="s">
        <v>185</v>
      </c>
      <c r="E8187" s="1" t="s">
        <v>16613</v>
      </c>
      <c r="H8187" s="1" t="s">
        <v>4</v>
      </c>
      <c r="J8187" s="1" t="s">
        <v>6</v>
      </c>
      <c r="N8187" s="1" t="s">
        <v>10</v>
      </c>
      <c r="CC8187" s="1" t="s">
        <v>77</v>
      </c>
      <c r="EC8187" s="1" t="s">
        <v>129</v>
      </c>
      <c r="ED8187" s="1" t="s">
        <v>130</v>
      </c>
      <c r="GD8187" s="1" t="s">
        <v>202</v>
      </c>
      <c r="GE8187" s="1" t="s">
        <v>11503</v>
      </c>
    </row>
    <row r="8188" spans="1:187" ht="11.25" customHeight="1">
      <c r="A8188" s="1" t="s">
        <v>11504</v>
      </c>
      <c r="B8188" s="1" t="str">
        <f ca="1">IFERROR(__xludf.DUMMYFUNCTION("GOOGLETRANSLATE(A8188, ""en"", ""fr"")"),"Push # 3")</f>
        <v>Push # 3</v>
      </c>
      <c r="C8188" s="1" t="s">
        <v>185</v>
      </c>
      <c r="E8188" s="1" t="s">
        <v>16613</v>
      </c>
      <c r="H8188" s="1" t="s">
        <v>4</v>
      </c>
      <c r="I8188" s="1" t="s">
        <v>5</v>
      </c>
      <c r="J8188" s="1" t="s">
        <v>6</v>
      </c>
      <c r="N8188" s="1" t="s">
        <v>10</v>
      </c>
      <c r="AN8188" s="1" t="s">
        <v>36</v>
      </c>
      <c r="DN8188" s="1" t="s">
        <v>114</v>
      </c>
      <c r="DT8188" s="1" t="s">
        <v>120</v>
      </c>
      <c r="ED8188" s="1" t="s">
        <v>130</v>
      </c>
      <c r="GD8188" s="1" t="s">
        <v>189</v>
      </c>
      <c r="GE8188" s="1" t="s">
        <v>11505</v>
      </c>
    </row>
    <row r="8189" spans="1:187" ht="11.25" customHeight="1">
      <c r="A8189" s="1" t="s">
        <v>11506</v>
      </c>
      <c r="B8189" s="1" t="str">
        <f ca="1">IFERROR(__xludf.DUMMYFUNCTION("GOOGLETRANSLATE(A8189, ""en"", ""fr"")"),"Mettre # 1")</f>
        <v>Mettre # 1</v>
      </c>
      <c r="C8189" s="1" t="s">
        <v>185</v>
      </c>
      <c r="N8189" s="1" t="s">
        <v>10</v>
      </c>
      <c r="CD8189" s="1" t="s">
        <v>78</v>
      </c>
      <c r="DO8189" s="1" t="s">
        <v>115</v>
      </c>
      <c r="GD8189" s="1" t="s">
        <v>400</v>
      </c>
      <c r="GE8189" s="1" t="s">
        <v>11507</v>
      </c>
    </row>
    <row r="8190" spans="1:187" ht="11.25" customHeight="1">
      <c r="A8190" s="1" t="s">
        <v>11508</v>
      </c>
      <c r="B8190" s="1" t="str">
        <f ca="1">IFERROR(__xludf.DUMMYFUNCTION("GOOGLETRANSLATE(A8190, ""en"", ""fr"")"),"Mettre # 2")</f>
        <v>Mettre # 2</v>
      </c>
      <c r="C8190" s="1" t="s">
        <v>185</v>
      </c>
      <c r="I8190" s="1" t="s">
        <v>5</v>
      </c>
      <c r="N8190" s="1" t="s">
        <v>10</v>
      </c>
      <c r="AL8190" s="1" t="s">
        <v>34</v>
      </c>
      <c r="DN8190" s="1" t="s">
        <v>114</v>
      </c>
      <c r="GD8190" s="1" t="s">
        <v>189</v>
      </c>
      <c r="GE8190" s="1" t="s">
        <v>11509</v>
      </c>
    </row>
    <row r="8191" spans="1:187" ht="11.25" customHeight="1">
      <c r="A8191" s="1" t="s">
        <v>11510</v>
      </c>
      <c r="B8191" s="1" t="str">
        <f ca="1">IFERROR(__xludf.DUMMYFUNCTION("GOOGLETRANSLATE(A8191, ""en"", ""fr"")"),"Mettre # 3")</f>
        <v>Mettre # 3</v>
      </c>
      <c r="C8191" s="1" t="s">
        <v>185</v>
      </c>
      <c r="N8191" s="1" t="s">
        <v>10</v>
      </c>
      <c r="CE8191" s="1" t="s">
        <v>79</v>
      </c>
      <c r="DN8191" s="1" t="s">
        <v>114</v>
      </c>
      <c r="GD8191" s="1" t="s">
        <v>189</v>
      </c>
      <c r="GE8191" s="1" t="s">
        <v>11511</v>
      </c>
    </row>
    <row r="8192" spans="1:187" ht="11.25" customHeight="1">
      <c r="A8192" s="1" t="s">
        <v>11512</v>
      </c>
      <c r="B8192" s="1" t="str">
        <f ca="1">IFERROR(__xludf.DUMMYFUNCTION("GOOGLETRANSLATE(A8192, ""en"", ""fr"")"),"Mettre # 4")</f>
        <v>Mettre # 4</v>
      </c>
      <c r="C8192" s="1" t="s">
        <v>185</v>
      </c>
      <c r="M8192" s="1" t="s">
        <v>9</v>
      </c>
      <c r="O8192" s="1" t="s">
        <v>11</v>
      </c>
      <c r="AN8192" s="1" t="s">
        <v>36</v>
      </c>
      <c r="DN8192" s="1" t="s">
        <v>114</v>
      </c>
      <c r="GD8192" s="1" t="s">
        <v>189</v>
      </c>
      <c r="GE8192" s="1" t="s">
        <v>11513</v>
      </c>
    </row>
    <row r="8193" spans="1:187" ht="11.25" customHeight="1">
      <c r="A8193" s="1" t="s">
        <v>11514</v>
      </c>
      <c r="B8193" s="1" t="str">
        <f ca="1">IFERROR(__xludf.DUMMYFUNCTION("GOOGLETRANSLATE(A8193, ""en"", ""fr"")"),"Mettre # 5")</f>
        <v>Mettre # 5</v>
      </c>
      <c r="C8193" s="1" t="s">
        <v>185</v>
      </c>
      <c r="N8193" s="1" t="s">
        <v>10</v>
      </c>
      <c r="CO8193" s="1" t="s">
        <v>89</v>
      </c>
      <c r="DN8193" s="1" t="s">
        <v>114</v>
      </c>
      <c r="GD8193" s="1" t="s">
        <v>189</v>
      </c>
      <c r="GE8193" s="1" t="s">
        <v>11515</v>
      </c>
    </row>
    <row r="8194" spans="1:187" ht="11.25" customHeight="1">
      <c r="A8194" s="1" t="s">
        <v>11516</v>
      </c>
      <c r="B8194" s="1" t="str">
        <f ca="1">IFERROR(__xludf.DUMMYFUNCTION("GOOGLETRANSLATE(A8194, ""en"", ""fr"")"),"Mettre # 6")</f>
        <v>Mettre # 6</v>
      </c>
      <c r="C8194" s="1" t="s">
        <v>185</v>
      </c>
      <c r="J8194" s="1" t="s">
        <v>6</v>
      </c>
      <c r="N8194" s="1" t="s">
        <v>10</v>
      </c>
      <c r="BS8194" s="1" t="s">
        <v>67</v>
      </c>
      <c r="DN8194" s="1" t="s">
        <v>114</v>
      </c>
      <c r="DS8194" s="1" t="s">
        <v>119</v>
      </c>
      <c r="ED8194" s="1" t="s">
        <v>130</v>
      </c>
      <c r="GD8194" s="1" t="s">
        <v>189</v>
      </c>
      <c r="GE8194" s="1" t="s">
        <v>11517</v>
      </c>
    </row>
    <row r="8195" spans="1:187" ht="11.25" customHeight="1">
      <c r="A8195" s="1" t="s">
        <v>11518</v>
      </c>
      <c r="B8195" s="1" t="str">
        <f ca="1">IFERROR(__xludf.DUMMYFUNCTION("GOOGLETRANSLATE(A8195, ""en"", ""fr"")"),"Puzzle n ° 1")</f>
        <v>Puzzle n ° 1</v>
      </c>
      <c r="C8195" s="1" t="s">
        <v>185</v>
      </c>
      <c r="X8195" s="1" t="s">
        <v>20</v>
      </c>
      <c r="CH8195" s="1" t="s">
        <v>82</v>
      </c>
      <c r="FH8195" s="1" t="s">
        <v>160</v>
      </c>
      <c r="FI8195" s="1" t="s">
        <v>161</v>
      </c>
      <c r="GD8195" s="1" t="s">
        <v>193</v>
      </c>
      <c r="GE8195" s="1" t="s">
        <v>190</v>
      </c>
    </row>
    <row r="8196" spans="1:187" ht="11.25" customHeight="1">
      <c r="A8196" s="1" t="s">
        <v>11519</v>
      </c>
      <c r="B8196" s="1" t="str">
        <f ca="1">IFERROR(__xludf.DUMMYFUNCTION("GOOGLETRANSLATE(A8196, ""en"", ""fr"")"),"Puzzle n ° 2")</f>
        <v>Puzzle n ° 2</v>
      </c>
      <c r="C8196" s="1" t="s">
        <v>185</v>
      </c>
      <c r="X8196" s="1" t="s">
        <v>20</v>
      </c>
      <c r="CO8196" s="1" t="s">
        <v>89</v>
      </c>
      <c r="DN8196" s="1" t="s">
        <v>114</v>
      </c>
      <c r="FH8196" s="1" t="s">
        <v>160</v>
      </c>
      <c r="FI8196" s="1" t="s">
        <v>161</v>
      </c>
      <c r="GD8196" s="1" t="s">
        <v>189</v>
      </c>
      <c r="GE8196" s="1" t="s">
        <v>190</v>
      </c>
    </row>
    <row r="8197" spans="1:187" ht="11.25" customHeight="1">
      <c r="A8197" s="1" t="s">
        <v>11520</v>
      </c>
      <c r="B8197" s="1" t="str">
        <f ca="1">IFERROR(__xludf.DUMMYFUNCTION("GOOGLETRANSLATE(A8197, ""en"", ""fr"")"),"PERPLEXITÉ")</f>
        <v>PERPLEXITÉ</v>
      </c>
      <c r="C8197" s="1" t="s">
        <v>185</v>
      </c>
      <c r="E8197" s="1" t="s">
        <v>16613</v>
      </c>
      <c r="H8197" s="1" t="s">
        <v>4</v>
      </c>
      <c r="L8197" s="1" t="s">
        <v>8</v>
      </c>
      <c r="O8197" s="1" t="s">
        <v>11</v>
      </c>
      <c r="S8197" s="1" t="s">
        <v>15</v>
      </c>
      <c r="X8197" s="1" t="s">
        <v>20</v>
      </c>
      <c r="FH8197" s="1" t="s">
        <v>160</v>
      </c>
      <c r="FI8197" s="1" t="s">
        <v>161</v>
      </c>
      <c r="GD8197" s="1" t="s">
        <v>193</v>
      </c>
      <c r="GE8197" s="1" t="s">
        <v>190</v>
      </c>
    </row>
    <row r="8198" spans="1:187" ht="11.25" customHeight="1">
      <c r="A8198" s="1" t="s">
        <v>11521</v>
      </c>
      <c r="B8198" s="1" t="str">
        <f ca="1">IFERROR(__xludf.DUMMYFUNCTION("GOOGLETRANSLATE(A8198, ""en"", ""fr"")"),"PITTORESQUE")</f>
        <v>PITTORESQUE</v>
      </c>
      <c r="C8198" s="1" t="s">
        <v>185</v>
      </c>
      <c r="D8198" s="1" t="s">
        <v>16612</v>
      </c>
      <c r="F8198" s="1" t="s">
        <v>2</v>
      </c>
      <c r="L8198" s="1" t="s">
        <v>8</v>
      </c>
      <c r="U8198" s="1" t="s">
        <v>17</v>
      </c>
      <c r="GD8198" s="1" t="s">
        <v>202</v>
      </c>
      <c r="GE8198" s="1" t="s">
        <v>190</v>
      </c>
    </row>
    <row r="8199" spans="1:187" ht="11.25" customHeight="1">
      <c r="A8199" s="1" t="s">
        <v>11522</v>
      </c>
      <c r="B8199" s="1" t="str">
        <f ca="1">IFERROR(__xludf.DUMMYFUNCTION("GOOGLETRANSLATE(A8199, ""en"", ""fr"")"),"QUALIFICATION")</f>
        <v>QUALIFICATION</v>
      </c>
      <c r="C8199" s="1" t="s">
        <v>185</v>
      </c>
      <c r="X8199" s="1" t="s">
        <v>20</v>
      </c>
      <c r="BQ8199" s="1" t="s">
        <v>65</v>
      </c>
      <c r="FL8199" s="1" t="s">
        <v>164</v>
      </c>
      <c r="FM8199" s="1" t="s">
        <v>418</v>
      </c>
      <c r="GD8199" s="1" t="s">
        <v>193</v>
      </c>
      <c r="GE8199" s="1" t="s">
        <v>190</v>
      </c>
    </row>
    <row r="8200" spans="1:187" ht="11.25" customHeight="1">
      <c r="A8200" s="1" t="s">
        <v>11523</v>
      </c>
      <c r="B8200" s="1" t="str">
        <f ca="1">IFERROR(__xludf.DUMMYFUNCTION("GOOGLETRANSLATE(A8200, ""en"", ""fr"")"),"Qualifier # 1")</f>
        <v>Qualifier # 1</v>
      </c>
      <c r="C8200" s="1" t="s">
        <v>185</v>
      </c>
      <c r="D8200" s="1" t="s">
        <v>16612</v>
      </c>
      <c r="F8200" s="1" t="s">
        <v>2</v>
      </c>
      <c r="J8200" s="1" t="s">
        <v>6</v>
      </c>
      <c r="X8200" s="1" t="s">
        <v>20</v>
      </c>
      <c r="BS8200" s="1" t="s">
        <v>67</v>
      </c>
      <c r="DN8200" s="1" t="s">
        <v>114</v>
      </c>
      <c r="GD8200" s="1" t="s">
        <v>189</v>
      </c>
      <c r="GE8200" s="1" t="s">
        <v>11524</v>
      </c>
    </row>
    <row r="8201" spans="1:187" ht="11.25" customHeight="1">
      <c r="A8201" s="1" t="s">
        <v>11525</v>
      </c>
      <c r="B8201" s="1" t="str">
        <f ca="1">IFERROR(__xludf.DUMMYFUNCTION("GOOGLETRANSLATE(A8201, ""en"", ""fr"")"),"Qualifier # 2")</f>
        <v>Qualifier # 2</v>
      </c>
      <c r="C8201" s="1" t="s">
        <v>185</v>
      </c>
      <c r="J8201" s="1" t="s">
        <v>6</v>
      </c>
      <c r="BK8201" s="1" t="s">
        <v>59</v>
      </c>
      <c r="DN8201" s="1" t="s">
        <v>114</v>
      </c>
      <c r="GD8201" s="1" t="s">
        <v>189</v>
      </c>
      <c r="GE8201" s="1" t="s">
        <v>11526</v>
      </c>
    </row>
    <row r="8202" spans="1:187" ht="11.25" customHeight="1">
      <c r="A8202" s="1" t="s">
        <v>11527</v>
      </c>
      <c r="B8202" s="1" t="str">
        <f ca="1">IFERROR(__xludf.DUMMYFUNCTION("GOOGLETRANSLATE(A8202, ""en"", ""fr"")"),"Qualifier # 3")</f>
        <v>Qualifier # 3</v>
      </c>
      <c r="C8202" s="1" t="s">
        <v>185</v>
      </c>
      <c r="D8202" s="1" t="s">
        <v>16612</v>
      </c>
      <c r="F8202" s="1" t="s">
        <v>2</v>
      </c>
      <c r="U8202" s="1" t="s">
        <v>17</v>
      </c>
      <c r="FL8202" s="1" t="s">
        <v>164</v>
      </c>
      <c r="FM8202" s="1" t="s">
        <v>418</v>
      </c>
      <c r="GD8202" s="1" t="s">
        <v>202</v>
      </c>
      <c r="GE8202" s="1" t="s">
        <v>11528</v>
      </c>
    </row>
    <row r="8203" spans="1:187" ht="11.25" customHeight="1">
      <c r="A8203" s="1" t="s">
        <v>11529</v>
      </c>
      <c r="B8203" s="1" t="str">
        <f ca="1">IFERROR(__xludf.DUMMYFUNCTION("GOOGLETRANSLATE(A8203, ""en"", ""fr"")"),"Qualité # 1")</f>
        <v>Qualité # 1</v>
      </c>
      <c r="C8203" s="1" t="s">
        <v>185</v>
      </c>
      <c r="CR8203" s="1" t="s">
        <v>92</v>
      </c>
      <c r="FL8203" s="1" t="s">
        <v>164</v>
      </c>
      <c r="FM8203" s="1" t="s">
        <v>418</v>
      </c>
      <c r="GD8203" s="1" t="s">
        <v>193</v>
      </c>
      <c r="GE8203" s="1" t="s">
        <v>11530</v>
      </c>
    </row>
    <row r="8204" spans="1:187" ht="11.25" customHeight="1">
      <c r="A8204" s="1" t="s">
        <v>11531</v>
      </c>
      <c r="B8204" s="1" t="str">
        <f ca="1">IFERROR(__xludf.DUMMYFUNCTION("GOOGLETRANSLATE(A8204, ""en"", ""fr"")"),"Qualité # 2")</f>
        <v>Qualité # 2</v>
      </c>
      <c r="C8204" s="1" t="s">
        <v>185</v>
      </c>
      <c r="D8204" s="1" t="s">
        <v>16612</v>
      </c>
      <c r="F8204" s="1" t="s">
        <v>2</v>
      </c>
      <c r="U8204" s="1" t="s">
        <v>17</v>
      </c>
      <c r="CN8204" s="1" t="s">
        <v>88</v>
      </c>
      <c r="FL8204" s="1" t="s">
        <v>164</v>
      </c>
      <c r="FM8204" s="1" t="s">
        <v>418</v>
      </c>
      <c r="GD8204" s="1" t="s">
        <v>202</v>
      </c>
      <c r="GE8204" s="1" t="s">
        <v>11532</v>
      </c>
    </row>
    <row r="8205" spans="1:187" ht="11.25" customHeight="1">
      <c r="A8205" s="1" t="s">
        <v>11533</v>
      </c>
      <c r="B8205" s="1" t="str">
        <f ca="1">IFERROR(__xludf.DUMMYFUNCTION("GOOGLETRANSLATE(A8205, ""en"", ""fr"")"),"SCRUPULE")</f>
        <v>SCRUPULE</v>
      </c>
      <c r="C8205" s="1" t="s">
        <v>192</v>
      </c>
      <c r="E8205" s="1" t="s">
        <v>16613</v>
      </c>
      <c r="R8205" s="1" t="s">
        <v>14</v>
      </c>
      <c r="GD8205" s="1" t="s">
        <v>193</v>
      </c>
      <c r="GE8205" s="1" t="s">
        <v>190</v>
      </c>
    </row>
    <row r="8206" spans="1:187" ht="11.25" customHeight="1">
      <c r="A8206" s="1" t="s">
        <v>11534</v>
      </c>
      <c r="B8206" s="1" t="str">
        <f ca="1">IFERROR(__xludf.DUMMYFUNCTION("GOOGLETRANSLATE(A8206, ""en"", ""fr"")"),"DILEMME")</f>
        <v>DILEMME</v>
      </c>
      <c r="C8206" s="1" t="s">
        <v>185</v>
      </c>
      <c r="E8206" s="1" t="s">
        <v>16613</v>
      </c>
      <c r="H8206" s="1" t="s">
        <v>4</v>
      </c>
      <c r="L8206" s="1" t="s">
        <v>8</v>
      </c>
      <c r="O8206" s="1" t="s">
        <v>11</v>
      </c>
      <c r="S8206" s="1" t="s">
        <v>15</v>
      </c>
      <c r="X8206" s="1" t="s">
        <v>20</v>
      </c>
      <c r="FZ8206" s="1" t="s">
        <v>178</v>
      </c>
      <c r="GD8206" s="1" t="s">
        <v>193</v>
      </c>
      <c r="GE8206" s="1" t="s">
        <v>190</v>
      </c>
    </row>
    <row r="8207" spans="1:187" ht="11.25" customHeight="1">
      <c r="A8207" s="1" t="s">
        <v>11535</v>
      </c>
      <c r="B8207" s="1" t="str">
        <f ca="1">IFERROR(__xludf.DUMMYFUNCTION("GOOGLETRANSLATE(A8207, ""en"", ""fr"")"),"QUANTITATIF")</f>
        <v>QUANTITATIF</v>
      </c>
      <c r="C8207" s="1" t="s">
        <v>185</v>
      </c>
      <c r="CS8207" s="1" t="s">
        <v>93</v>
      </c>
      <c r="GD8207" s="1" t="s">
        <v>236</v>
      </c>
      <c r="GE8207" s="1" t="s">
        <v>190</v>
      </c>
    </row>
    <row r="8208" spans="1:187" ht="11.25" customHeight="1">
      <c r="A8208" s="1" t="s">
        <v>11536</v>
      </c>
      <c r="B8208" s="1" t="str">
        <f ca="1">IFERROR(__xludf.DUMMYFUNCTION("GOOGLETRANSLATE(A8208, ""en"", ""fr"")"),"QUANTITÉ")</f>
        <v>QUANTITÉ</v>
      </c>
      <c r="C8208" s="1" t="s">
        <v>185</v>
      </c>
      <c r="CS8208" s="1" t="s">
        <v>93</v>
      </c>
      <c r="GD8208" s="1" t="s">
        <v>193</v>
      </c>
      <c r="GE8208" s="1" t="s">
        <v>190</v>
      </c>
    </row>
    <row r="8209" spans="1:187" ht="11.25" customHeight="1">
      <c r="A8209" s="1" t="s">
        <v>11537</v>
      </c>
      <c r="B8209" s="1" t="str">
        <f ca="1">IFERROR(__xludf.DUMMYFUNCTION("GOOGLETRANSLATE(A8209, ""en"", ""fr"")"),"Querelle # 1")</f>
        <v>Querelle # 1</v>
      </c>
      <c r="C8209" s="1" t="s">
        <v>185</v>
      </c>
      <c r="E8209" s="1" t="s">
        <v>16613</v>
      </c>
      <c r="H8209" s="1" t="s">
        <v>4</v>
      </c>
      <c r="I8209" s="1" t="s">
        <v>5</v>
      </c>
      <c r="N8209" s="1" t="s">
        <v>10</v>
      </c>
      <c r="BK8209" s="1" t="s">
        <v>59</v>
      </c>
      <c r="BL8209" s="1" t="s">
        <v>60</v>
      </c>
      <c r="FW8209" s="1" t="s">
        <v>175</v>
      </c>
      <c r="GC8209" s="1" t="s">
        <v>181</v>
      </c>
      <c r="GD8209" s="1" t="s">
        <v>193</v>
      </c>
      <c r="GE8209" s="1" t="s">
        <v>190</v>
      </c>
    </row>
    <row r="8210" spans="1:187" ht="11.25" customHeight="1">
      <c r="A8210" s="1" t="s">
        <v>11538</v>
      </c>
      <c r="B8210" s="1" t="str">
        <f ca="1">IFERROR(__xludf.DUMMYFUNCTION("GOOGLETRANSLATE(A8210, ""en"", ""fr"")"),"Querelle # 2")</f>
        <v>Querelle # 2</v>
      </c>
      <c r="C8210" s="1" t="s">
        <v>185</v>
      </c>
      <c r="E8210" s="1" t="s">
        <v>16613</v>
      </c>
      <c r="H8210" s="1" t="s">
        <v>4</v>
      </c>
      <c r="I8210" s="1" t="s">
        <v>5</v>
      </c>
      <c r="N8210" s="1" t="s">
        <v>10</v>
      </c>
      <c r="BK8210" s="1" t="s">
        <v>59</v>
      </c>
      <c r="DN8210" s="1" t="s">
        <v>114</v>
      </c>
      <c r="FW8210" s="1" t="s">
        <v>175</v>
      </c>
      <c r="GD8210" s="1" t="s">
        <v>189</v>
      </c>
      <c r="GE8210" s="1" t="s">
        <v>190</v>
      </c>
    </row>
    <row r="8211" spans="1:187" ht="11.25" customHeight="1">
      <c r="A8211" s="1" t="s">
        <v>11539</v>
      </c>
      <c r="B8211" s="1" t="str">
        <f ca="1">IFERROR(__xludf.DUMMYFUNCTION("GOOGLETRANSLATE(A8211, ""en"", ""fr"")"),"QUERELLEUR")</f>
        <v>QUERELLEUR</v>
      </c>
      <c r="C8211" s="1" t="s">
        <v>192</v>
      </c>
      <c r="E8211" s="1" t="s">
        <v>16613</v>
      </c>
      <c r="I8211" s="1" t="s">
        <v>5</v>
      </c>
      <c r="AN8211" s="1" t="s">
        <v>36</v>
      </c>
      <c r="DQ8211" s="1" t="s">
        <v>117</v>
      </c>
      <c r="GD8211" s="1" t="s">
        <v>202</v>
      </c>
      <c r="GE8211" s="1" t="s">
        <v>190</v>
      </c>
    </row>
    <row r="8212" spans="1:187" ht="11.25" customHeight="1">
      <c r="A8212" s="1" t="s">
        <v>11540</v>
      </c>
      <c r="B8212" s="1" t="str">
        <f ca="1">IFERROR(__xludf.DUMMYFUNCTION("GOOGLETRANSLATE(A8212, ""en"", ""fr"")"),"Quartier n ° 1")</f>
        <v>Quartier n ° 1</v>
      </c>
      <c r="C8212" s="1" t="s">
        <v>185</v>
      </c>
      <c r="CS8212" s="1" t="s">
        <v>93</v>
      </c>
      <c r="CT8212" s="1" t="s">
        <v>94</v>
      </c>
      <c r="CV8212" s="1" t="s">
        <v>96</v>
      </c>
      <c r="GD8212" s="1" t="s">
        <v>1756</v>
      </c>
      <c r="GE8212" s="1" t="s">
        <v>11541</v>
      </c>
    </row>
    <row r="8213" spans="1:187" ht="11.25" customHeight="1">
      <c r="A8213" s="1" t="s">
        <v>11542</v>
      </c>
      <c r="B8213" s="1" t="str">
        <f ca="1">IFERROR(__xludf.DUMMYFUNCTION("GOOGLETRANSLATE(A8213, ""en"", ""fr"")"),"Quartier n ° 2")</f>
        <v>Quartier n ° 2</v>
      </c>
      <c r="C8213" s="1" t="s">
        <v>185</v>
      </c>
      <c r="AV8213" s="1" t="s">
        <v>44</v>
      </c>
      <c r="AX8213" s="1" t="s">
        <v>46</v>
      </c>
      <c r="GD8213" s="1" t="s">
        <v>193</v>
      </c>
      <c r="GE8213" s="1" t="s">
        <v>11543</v>
      </c>
    </row>
    <row r="8214" spans="1:187" ht="11.25" customHeight="1">
      <c r="A8214" s="1" t="s">
        <v>11544</v>
      </c>
      <c r="B8214" s="1" t="str">
        <f ca="1">IFERROR(__xludf.DUMMYFUNCTION("GOOGLETRANSLATE(A8214, ""en"", ""fr"")"),"Quartier n ° 3")</f>
        <v>Quartier n ° 3</v>
      </c>
      <c r="C8214" s="1" t="s">
        <v>185</v>
      </c>
      <c r="G8214" s="1" t="s">
        <v>3</v>
      </c>
      <c r="K8214" s="1" t="s">
        <v>7</v>
      </c>
      <c r="AN8214" s="1" t="s">
        <v>36</v>
      </c>
      <c r="DO8214" s="1" t="s">
        <v>115</v>
      </c>
      <c r="GD8214" s="1" t="s">
        <v>189</v>
      </c>
      <c r="GE8214" s="1" t="s">
        <v>11545</v>
      </c>
    </row>
    <row r="8215" spans="1:187" ht="11.25" customHeight="1">
      <c r="A8215" s="1" t="s">
        <v>11546</v>
      </c>
      <c r="B8215" s="1" t="str">
        <f ca="1">IFERROR(__xludf.DUMMYFUNCTION("GOOGLETRANSLATE(A8215, ""en"", ""fr"")"),"Quartier n ° 4")</f>
        <v>Quartier n ° 4</v>
      </c>
      <c r="C8215" s="1" t="s">
        <v>185</v>
      </c>
      <c r="CW8215" s="1" t="s">
        <v>97</v>
      </c>
      <c r="GB8215" s="1" t="s">
        <v>180</v>
      </c>
      <c r="GD8215" s="1" t="s">
        <v>236</v>
      </c>
      <c r="GE8215" s="1" t="s">
        <v>11547</v>
      </c>
    </row>
    <row r="8216" spans="1:187" ht="11.25" customHeight="1">
      <c r="A8216" s="1" t="s">
        <v>11548</v>
      </c>
      <c r="B8216" s="1" t="str">
        <f ca="1">IFERROR(__xludf.DUMMYFUNCTION("GOOGLETRANSLATE(A8216, ""en"", ""fr"")"),"QUATUOR")</f>
        <v>QUATUOR</v>
      </c>
      <c r="C8216" s="1" t="s">
        <v>185</v>
      </c>
      <c r="AD8216" s="1" t="s">
        <v>26</v>
      </c>
      <c r="AK8216" s="1" t="s">
        <v>33</v>
      </c>
      <c r="AT8216" s="1" t="s">
        <v>42</v>
      </c>
      <c r="FJ8216" s="1" t="s">
        <v>162</v>
      </c>
      <c r="FM8216" s="1" t="s">
        <v>418</v>
      </c>
      <c r="GD8216" s="1" t="s">
        <v>193</v>
      </c>
      <c r="GE8216" s="1" t="s">
        <v>190</v>
      </c>
    </row>
    <row r="8217" spans="1:187" ht="11.25" customHeight="1">
      <c r="A8217" s="1" t="s">
        <v>11549</v>
      </c>
      <c r="B8217" s="1" t="str">
        <f ca="1">IFERROR(__xludf.DUMMYFUNCTION("GOOGLETRANSLATE(A8217, ""en"", ""fr"")"),"REINE")</f>
        <v>REINE</v>
      </c>
      <c r="C8217" s="1" t="s">
        <v>185</v>
      </c>
      <c r="K8217" s="1" t="s">
        <v>7</v>
      </c>
      <c r="AG8217" s="1" t="s">
        <v>29</v>
      </c>
      <c r="AH8217" s="1" t="s">
        <v>30</v>
      </c>
      <c r="AJ8217" s="1" t="s">
        <v>32</v>
      </c>
      <c r="AR8217" s="1" t="s">
        <v>40</v>
      </c>
      <c r="AT8217" s="1" t="s">
        <v>42</v>
      </c>
      <c r="EM8217" s="1" t="s">
        <v>139</v>
      </c>
      <c r="EN8217" s="1" t="s">
        <v>140</v>
      </c>
      <c r="GD8217" s="1" t="s">
        <v>193</v>
      </c>
      <c r="GE8217" s="1" t="s">
        <v>190</v>
      </c>
    </row>
    <row r="8218" spans="1:187" ht="11.25" customHeight="1">
      <c r="A8218" s="1" t="s">
        <v>11550</v>
      </c>
      <c r="B8218" s="1" t="str">
        <f ca="1">IFERROR(__xludf.DUMMYFUNCTION("GOOGLETRANSLATE(A8218, ""en"", ""fr"")"),"Bizarre")</f>
        <v>Bizarre</v>
      </c>
      <c r="C8218" s="1" t="s">
        <v>185</v>
      </c>
      <c r="E8218" s="1" t="s">
        <v>16613</v>
      </c>
      <c r="V8218" s="1" t="s">
        <v>18</v>
      </c>
      <c r="W8218" s="1" t="s">
        <v>19</v>
      </c>
      <c r="DR8218" s="1" t="s">
        <v>118</v>
      </c>
      <c r="GD8218" s="1" t="s">
        <v>202</v>
      </c>
      <c r="GE8218" s="1" t="s">
        <v>190</v>
      </c>
    </row>
    <row r="8219" spans="1:187" ht="11.25" customHeight="1">
      <c r="A8219" s="1" t="s">
        <v>11551</v>
      </c>
      <c r="B8219" s="1" t="str">
        <f ca="1">IFERROR(__xludf.DUMMYFUNCTION("GOOGLETRANSLATE(A8219, ""en"", ""fr"")"),"ÉTEINDRE")</f>
        <v>ÉTEINDRE</v>
      </c>
      <c r="C8219" s="1" t="s">
        <v>192</v>
      </c>
      <c r="D8219" s="1" t="s">
        <v>16612</v>
      </c>
      <c r="O8219" s="1" t="s">
        <v>11</v>
      </c>
      <c r="BN8219" s="1" t="s">
        <v>62</v>
      </c>
      <c r="DN8219" s="1" t="s">
        <v>114</v>
      </c>
      <c r="GD8219" s="1" t="s">
        <v>189</v>
      </c>
      <c r="GE8219" s="1" t="s">
        <v>190</v>
      </c>
    </row>
    <row r="8220" spans="1:187" ht="11.25" customHeight="1">
      <c r="A8220" s="1" t="s">
        <v>11552</v>
      </c>
      <c r="B8220" s="1" t="str">
        <f ca="1">IFERROR(__xludf.DUMMYFUNCTION("GOOGLETRANSLATE(A8220, ""en"", ""fr"")"),"QUÊTE")</f>
        <v>QUÊTE</v>
      </c>
      <c r="C8220" s="1" t="s">
        <v>185</v>
      </c>
      <c r="J8220" s="1" t="s">
        <v>6</v>
      </c>
      <c r="N8220" s="1" t="s">
        <v>10</v>
      </c>
      <c r="BQ8220" s="1" t="s">
        <v>65</v>
      </c>
      <c r="FP8220" s="1" t="s">
        <v>168</v>
      </c>
      <c r="GD8220" s="1" t="s">
        <v>193</v>
      </c>
      <c r="GE8220" s="1" t="s">
        <v>190</v>
      </c>
    </row>
    <row r="8221" spans="1:187" ht="11.25" customHeight="1">
      <c r="A8221" s="1" t="s">
        <v>11553</v>
      </c>
      <c r="B8221" s="1" t="str">
        <f ca="1">IFERROR(__xludf.DUMMYFUNCTION("GOOGLETRANSLATE(A8221, ""en"", ""fr"")"),"QUESTION 1")</f>
        <v>QUESTION 1</v>
      </c>
      <c r="C8221" s="1" t="s">
        <v>185</v>
      </c>
      <c r="X8221" s="1" t="s">
        <v>20</v>
      </c>
      <c r="BK8221" s="1" t="s">
        <v>59</v>
      </c>
      <c r="BL8221" s="1" t="s">
        <v>60</v>
      </c>
      <c r="FH8221" s="1" t="s">
        <v>160</v>
      </c>
      <c r="FI8221" s="1" t="s">
        <v>161</v>
      </c>
      <c r="GC8221" s="1" t="s">
        <v>181</v>
      </c>
      <c r="GD8221" s="1" t="s">
        <v>849</v>
      </c>
      <c r="GE8221" s="1" t="s">
        <v>11554</v>
      </c>
    </row>
    <row r="8222" spans="1:187" ht="11.25" customHeight="1">
      <c r="A8222" s="1" t="s">
        <v>11555</v>
      </c>
      <c r="B8222" s="1" t="str">
        <f ca="1">IFERROR(__xludf.DUMMYFUNCTION("GOOGLETRANSLATE(A8222, ""en"", ""fr"")"),"QUESTION 2")</f>
        <v>QUESTION 2</v>
      </c>
      <c r="C8222" s="1" t="s">
        <v>185</v>
      </c>
      <c r="I8222" s="1" t="s">
        <v>5</v>
      </c>
      <c r="X8222" s="1" t="s">
        <v>20</v>
      </c>
      <c r="BK8222" s="1" t="s">
        <v>59</v>
      </c>
      <c r="DO8222" s="1" t="s">
        <v>115</v>
      </c>
      <c r="FH8222" s="1" t="s">
        <v>160</v>
      </c>
      <c r="FI8222" s="1" t="s">
        <v>161</v>
      </c>
      <c r="GD8222" s="1" t="s">
        <v>189</v>
      </c>
      <c r="GE8222" s="1" t="s">
        <v>11556</v>
      </c>
    </row>
    <row r="8223" spans="1:187" ht="11.25" customHeight="1">
      <c r="A8223" s="1" t="s">
        <v>11557</v>
      </c>
      <c r="B8223" s="1" t="str">
        <f ca="1">IFERROR(__xludf.DUMMYFUNCTION("GOOGLETRANSLATE(A8223, ""en"", ""fr"")"),"QUESTION 3")</f>
        <v>QUESTION 3</v>
      </c>
      <c r="C8223" s="1" t="s">
        <v>185</v>
      </c>
      <c r="BK8223" s="1" t="s">
        <v>59</v>
      </c>
      <c r="FH8223" s="1" t="s">
        <v>160</v>
      </c>
      <c r="FI8223" s="1" t="s">
        <v>161</v>
      </c>
      <c r="GC8223" s="1" t="s">
        <v>181</v>
      </c>
      <c r="GD8223" s="1" t="s">
        <v>202</v>
      </c>
      <c r="GE8223" s="1" t="s">
        <v>11558</v>
      </c>
    </row>
    <row r="8224" spans="1:187" ht="11.25" customHeight="1">
      <c r="A8224" s="1" t="s">
        <v>11559</v>
      </c>
      <c r="B8224" s="1" t="str">
        <f ca="1">IFERROR(__xludf.DUMMYFUNCTION("GOOGLETRANSLATE(A8224, ""en"", ""fr"")"),"Question n ° 4")</f>
        <v>Question n ° 4</v>
      </c>
      <c r="C8224" s="1" t="s">
        <v>185</v>
      </c>
      <c r="S8224" s="1" t="s">
        <v>15</v>
      </c>
      <c r="FH8224" s="1" t="s">
        <v>160</v>
      </c>
      <c r="FI8224" s="1" t="s">
        <v>161</v>
      </c>
      <c r="GD8224" s="1" t="s">
        <v>236</v>
      </c>
      <c r="GE8224" s="1" t="s">
        <v>11560</v>
      </c>
    </row>
    <row r="8225" spans="1:187" ht="11.25" customHeight="1">
      <c r="A8225" s="1" t="s">
        <v>11561</v>
      </c>
      <c r="B8225" s="1" t="str">
        <f ca="1">IFERROR(__xludf.DUMMYFUNCTION("GOOGLETRANSLATE(A8225, ""en"", ""fr"")"),"Question n ° 5")</f>
        <v>Question n ° 5</v>
      </c>
      <c r="C8225" s="1" t="s">
        <v>185</v>
      </c>
      <c r="GD8225" s="1" t="s">
        <v>225</v>
      </c>
      <c r="GE8225" s="1" t="s">
        <v>11562</v>
      </c>
    </row>
    <row r="8226" spans="1:187" ht="11.25" customHeight="1">
      <c r="A8226" s="1" t="s">
        <v>11563</v>
      </c>
      <c r="B8226" s="1" t="str">
        <f ca="1">IFERROR(__xludf.DUMMYFUNCTION("GOOGLETRANSLATE(A8226, ""en"", ""fr"")"),"DISCUTABLE")</f>
        <v>DISCUTABLE</v>
      </c>
      <c r="C8226" s="1" t="s">
        <v>185</v>
      </c>
      <c r="E8226" s="1" t="s">
        <v>16613</v>
      </c>
      <c r="H8226" s="1" t="s">
        <v>4</v>
      </c>
      <c r="V8226" s="1" t="s">
        <v>18</v>
      </c>
      <c r="X8226" s="1" t="s">
        <v>20</v>
      </c>
      <c r="GD8226" s="1" t="s">
        <v>202</v>
      </c>
      <c r="GE8226" s="1" t="s">
        <v>190</v>
      </c>
    </row>
    <row r="8227" spans="1:187" ht="11.25" customHeight="1">
      <c r="A8227" s="1" t="s">
        <v>11564</v>
      </c>
      <c r="B8227" s="1" t="str">
        <f ca="1">IFERROR(__xludf.DUMMYFUNCTION("GOOGLETRANSLATE(A8227, ""en"", ""fr"")"),"QUESTIONNEUR")</f>
        <v>QUESTIONNEUR</v>
      </c>
      <c r="C8227" s="1" t="s">
        <v>185</v>
      </c>
      <c r="M8227" s="1" t="s">
        <v>9</v>
      </c>
      <c r="AJ8227" s="1" t="s">
        <v>32</v>
      </c>
      <c r="AT8227" s="1" t="s">
        <v>42</v>
      </c>
      <c r="FG8227" s="1" t="s">
        <v>159</v>
      </c>
      <c r="FI8227" s="1" t="s">
        <v>161</v>
      </c>
      <c r="GD8227" s="1" t="s">
        <v>193</v>
      </c>
      <c r="GE8227" s="1" t="s">
        <v>190</v>
      </c>
    </row>
    <row r="8228" spans="1:187" ht="11.25" customHeight="1">
      <c r="A8228" s="1" t="s">
        <v>11565</v>
      </c>
      <c r="B8228" s="1" t="str">
        <f ca="1">IFERROR(__xludf.DUMMYFUNCTION("GOOGLETRANSLATE(A8228, ""en"", ""fr"")"),"QUESTIONNAIRE")</f>
        <v>QUESTIONNAIRE</v>
      </c>
      <c r="C8228" s="1" t="s">
        <v>185</v>
      </c>
      <c r="Y8228" s="1" t="s">
        <v>21</v>
      </c>
      <c r="BC8228" s="1" t="s">
        <v>51</v>
      </c>
      <c r="BH8228" s="1" t="s">
        <v>56</v>
      </c>
      <c r="BL8228" s="1" t="s">
        <v>60</v>
      </c>
      <c r="FH8228" s="1" t="s">
        <v>160</v>
      </c>
      <c r="FI8228" s="1" t="s">
        <v>161</v>
      </c>
      <c r="GD8228" s="1" t="s">
        <v>193</v>
      </c>
      <c r="GE8228" s="1" t="s">
        <v>190</v>
      </c>
    </row>
    <row r="8229" spans="1:187" ht="11.25" customHeight="1">
      <c r="A8229" s="1" t="s">
        <v>11566</v>
      </c>
      <c r="B8229" s="1" t="str">
        <f ca="1">IFERROR(__xludf.DUMMYFUNCTION("GOOGLETRANSLATE(A8229, ""en"", ""fr"")"),"ERGOTER")</f>
        <v>ERGOTER</v>
      </c>
      <c r="C8229" s="1" t="s">
        <v>192</v>
      </c>
      <c r="E8229" s="1" t="s">
        <v>16613</v>
      </c>
      <c r="I8229" s="1" t="s">
        <v>5</v>
      </c>
      <c r="N8229" s="1" t="s">
        <v>10</v>
      </c>
      <c r="BK8229" s="1" t="s">
        <v>59</v>
      </c>
      <c r="DN8229" s="1" t="s">
        <v>114</v>
      </c>
      <c r="GD8229" s="1" t="s">
        <v>189</v>
      </c>
      <c r="GE8229" s="1" t="s">
        <v>190</v>
      </c>
    </row>
    <row r="8230" spans="1:187" ht="11.25" customHeight="1">
      <c r="A8230" s="1" t="s">
        <v>11567</v>
      </c>
      <c r="B8230" s="1" t="str">
        <f ca="1">IFERROR(__xludf.DUMMYFUNCTION("GOOGLETRANSLATE(A8230, ""en"", ""fr"")"),"RAPIDE")</f>
        <v>RAPIDE</v>
      </c>
      <c r="C8230" s="1" t="s">
        <v>185</v>
      </c>
      <c r="N8230" s="1" t="s">
        <v>10</v>
      </c>
      <c r="W8230" s="1" t="s">
        <v>19</v>
      </c>
      <c r="CY8230" s="1" t="s">
        <v>99</v>
      </c>
      <c r="GB8230" s="1" t="s">
        <v>180</v>
      </c>
      <c r="GD8230" s="1" t="s">
        <v>202</v>
      </c>
      <c r="GE8230" s="1" t="s">
        <v>11568</v>
      </c>
    </row>
    <row r="8231" spans="1:187" ht="11.25" customHeight="1">
      <c r="A8231" s="1" t="s">
        <v>11569</v>
      </c>
      <c r="B8231" s="1" t="str">
        <f ca="1">IFERROR(__xludf.DUMMYFUNCTION("GOOGLETRANSLATE(A8231, ""en"", ""fr"")"),"ACCÉLÉRER")</f>
        <v>ACCÉLÉRER</v>
      </c>
      <c r="C8231" s="1" t="s">
        <v>192</v>
      </c>
      <c r="D8231" s="1" t="s">
        <v>16612</v>
      </c>
      <c r="N8231" s="1" t="s">
        <v>10</v>
      </c>
      <c r="BX8231" s="1" t="s">
        <v>72</v>
      </c>
      <c r="DN8231" s="1" t="s">
        <v>114</v>
      </c>
      <c r="GD8231" s="1" t="s">
        <v>189</v>
      </c>
      <c r="GE8231" s="1" t="s">
        <v>190</v>
      </c>
    </row>
    <row r="8232" spans="1:187" ht="11.25" customHeight="1">
      <c r="A8232" s="1" t="s">
        <v>11570</v>
      </c>
      <c r="B8232" s="1" t="str">
        <f ca="1">IFERROR(__xludf.DUMMYFUNCTION("GOOGLETRANSLATE(A8232, ""en"", ""fr"")"),"Quiet # 1")</f>
        <v>Quiet # 1</v>
      </c>
      <c r="C8232" s="1" t="s">
        <v>185</v>
      </c>
      <c r="O8232" s="1" t="s">
        <v>11</v>
      </c>
      <c r="CR8232" s="1" t="s">
        <v>92</v>
      </c>
      <c r="GD8232" s="1" t="s">
        <v>202</v>
      </c>
      <c r="GE8232" s="1" t="s">
        <v>11571</v>
      </c>
    </row>
    <row r="8233" spans="1:187" ht="11.25" customHeight="1">
      <c r="A8233" s="1" t="s">
        <v>11572</v>
      </c>
      <c r="B8233" s="1" t="str">
        <f ca="1">IFERROR(__xludf.DUMMYFUNCTION("GOOGLETRANSLATE(A8233, ""en"", ""fr"")"),"Quiet # 2")</f>
        <v>Quiet # 2</v>
      </c>
      <c r="C8233" s="1" t="s">
        <v>185</v>
      </c>
      <c r="J8233" s="1" t="s">
        <v>6</v>
      </c>
      <c r="K8233" s="1" t="s">
        <v>7</v>
      </c>
      <c r="N8233" s="1" t="s">
        <v>10</v>
      </c>
      <c r="AN8233" s="1" t="s">
        <v>36</v>
      </c>
      <c r="DO8233" s="1" t="s">
        <v>115</v>
      </c>
      <c r="FP8233" s="1" t="s">
        <v>168</v>
      </c>
      <c r="GD8233" s="1" t="s">
        <v>189</v>
      </c>
      <c r="GE8233" s="1" t="s">
        <v>11573</v>
      </c>
    </row>
    <row r="8234" spans="1:187" ht="11.25" customHeight="1">
      <c r="A8234" s="1" t="s">
        <v>11574</v>
      </c>
      <c r="B8234" s="1" t="str">
        <f ca="1">IFERROR(__xludf.DUMMYFUNCTION("GOOGLETRANSLATE(A8234, ""en"", ""fr"")"),"Quiet # 3")</f>
        <v>Quiet # 3</v>
      </c>
      <c r="C8234" s="1" t="s">
        <v>185</v>
      </c>
      <c r="O8234" s="1" t="s">
        <v>11</v>
      </c>
      <c r="CR8234" s="1" t="s">
        <v>92</v>
      </c>
      <c r="GD8234" s="1" t="s">
        <v>236</v>
      </c>
      <c r="GE8234" s="1" t="s">
        <v>11575</v>
      </c>
    </row>
    <row r="8235" spans="1:187" ht="11.25" customHeight="1">
      <c r="A8235" s="1" t="s">
        <v>11576</v>
      </c>
      <c r="B8235" s="1" t="str">
        <f ca="1">IFERROR(__xludf.DUMMYFUNCTION("GOOGLETRANSLATE(A8235, ""en"", ""fr"")"),"Quiet # 4")</f>
        <v>Quiet # 4</v>
      </c>
      <c r="C8235" s="1" t="s">
        <v>185</v>
      </c>
      <c r="O8235" s="1" t="s">
        <v>11</v>
      </c>
      <c r="CR8235" s="1" t="s">
        <v>92</v>
      </c>
      <c r="GD8235" s="1" t="s">
        <v>202</v>
      </c>
      <c r="GE8235" s="1" t="s">
        <v>11577</v>
      </c>
    </row>
    <row r="8236" spans="1:187" ht="11.25" customHeight="1">
      <c r="A8236" s="1" t="s">
        <v>11578</v>
      </c>
      <c r="B8236" s="1" t="str">
        <f ca="1">IFERROR(__xludf.DUMMYFUNCTION("GOOGLETRANSLATE(A8236, ""en"", ""fr"")"),"QUITTER")</f>
        <v>QUITTER</v>
      </c>
      <c r="C8236" s="1" t="s">
        <v>185</v>
      </c>
      <c r="E8236" s="1" t="s">
        <v>16613</v>
      </c>
      <c r="H8236" s="1" t="s">
        <v>4</v>
      </c>
      <c r="L8236" s="1" t="s">
        <v>8</v>
      </c>
      <c r="M8236" s="1" t="s">
        <v>9</v>
      </c>
      <c r="O8236" s="1" t="s">
        <v>11</v>
      </c>
      <c r="BZ8236" s="1" t="s">
        <v>74</v>
      </c>
      <c r="DN8236" s="1" t="s">
        <v>114</v>
      </c>
      <c r="FP8236" s="1" t="s">
        <v>168</v>
      </c>
      <c r="GD8236" s="1" t="s">
        <v>189</v>
      </c>
      <c r="GE8236" s="1" t="s">
        <v>11579</v>
      </c>
    </row>
    <row r="8237" spans="1:187" ht="11.25" customHeight="1">
      <c r="A8237" s="1" t="s">
        <v>11580</v>
      </c>
      <c r="B8237" s="1" t="str">
        <f ca="1">IFERROR(__xludf.DUMMYFUNCTION("GOOGLETRANSLATE(A8237, ""en"", ""fr"")"),"ASSEZ")</f>
        <v>ASSEZ</v>
      </c>
      <c r="C8237" s="1" t="s">
        <v>185</v>
      </c>
      <c r="W8237" s="1" t="s">
        <v>19</v>
      </c>
      <c r="CN8237" s="1" t="s">
        <v>88</v>
      </c>
      <c r="CS8237" s="1" t="s">
        <v>93</v>
      </c>
      <c r="FY8237" s="1" t="s">
        <v>177</v>
      </c>
      <c r="GD8237" s="1" t="s">
        <v>236</v>
      </c>
      <c r="GE8237" s="1" t="s">
        <v>11581</v>
      </c>
    </row>
    <row r="8238" spans="1:187" ht="11.25" customHeight="1">
      <c r="A8238" s="1" t="s">
        <v>11582</v>
      </c>
      <c r="B8238" s="1" t="str">
        <f ca="1">IFERROR(__xludf.DUMMYFUNCTION("GOOGLETRANSLATE(A8238, ""en"", ""fr"")"),"Faire un abandon")</f>
        <v>Faire un abandon</v>
      </c>
      <c r="C8238" s="1" t="s">
        <v>192</v>
      </c>
      <c r="E8238" s="1" t="s">
        <v>16613</v>
      </c>
      <c r="L8238" s="1" t="s">
        <v>8</v>
      </c>
      <c r="AT8238" s="1" t="s">
        <v>42</v>
      </c>
      <c r="BT8238" s="1" t="s">
        <v>68</v>
      </c>
      <c r="GD8238" s="1" t="s">
        <v>193</v>
      </c>
      <c r="GE8238" s="1" t="s">
        <v>190</v>
      </c>
    </row>
    <row r="8239" spans="1:187" ht="11.25" customHeight="1">
      <c r="A8239" s="1" t="s">
        <v>11583</v>
      </c>
      <c r="B8239" s="1" t="str">
        <f ca="1">IFERROR(__xludf.DUMMYFUNCTION("GOOGLETRANSLATE(A8239, ""en"", ""fr"")"),"Citation n ° 1")</f>
        <v>Citation n ° 1</v>
      </c>
      <c r="C8239" s="1" t="s">
        <v>185</v>
      </c>
      <c r="BK8239" s="1" t="s">
        <v>59</v>
      </c>
      <c r="BL8239" s="1" t="s">
        <v>60</v>
      </c>
      <c r="GD8239" s="1" t="s">
        <v>193</v>
      </c>
      <c r="GE8239" s="1" t="s">
        <v>190</v>
      </c>
    </row>
    <row r="8240" spans="1:187" ht="11.25" customHeight="1">
      <c r="A8240" s="1" t="s">
        <v>11584</v>
      </c>
      <c r="B8240" s="1" t="str">
        <f ca="1">IFERROR(__xludf.DUMMYFUNCTION("GOOGLETRANSLATE(A8240, ""en"", ""fr"")"),"Citation n ° 2")</f>
        <v>Citation n ° 2</v>
      </c>
      <c r="C8240" s="1" t="s">
        <v>185</v>
      </c>
      <c r="BK8240" s="1" t="s">
        <v>59</v>
      </c>
      <c r="DO8240" s="1" t="s">
        <v>115</v>
      </c>
      <c r="FP8240" s="1" t="s">
        <v>168</v>
      </c>
      <c r="GD8240" s="1" t="s">
        <v>189</v>
      </c>
      <c r="GE8240" s="1" t="s">
        <v>190</v>
      </c>
    </row>
    <row r="8241" spans="1:187" ht="11.25" customHeight="1">
      <c r="A8241" s="1" t="s">
        <v>11585</v>
      </c>
      <c r="B8241" s="1" t="str">
        <f ca="1">IFERROR(__xludf.DUMMYFUNCTION("GOOGLETRANSLATE(A8241, ""en"", ""fr"")"),"LAPIN")</f>
        <v>LAPIN</v>
      </c>
      <c r="C8241" s="1" t="s">
        <v>185</v>
      </c>
      <c r="AU8241" s="1" t="s">
        <v>43</v>
      </c>
      <c r="GD8241" s="1" t="s">
        <v>193</v>
      </c>
      <c r="GE8241" s="1" t="s">
        <v>11586</v>
      </c>
    </row>
    <row r="8242" spans="1:187" ht="11.25" customHeight="1">
      <c r="A8242" s="1" t="s">
        <v>11587</v>
      </c>
      <c r="B8242" s="1" t="str">
        <f ca="1">IFERROR(__xludf.DUMMYFUNCTION("GOOGLETRANSLATE(A8242, ""en"", ""fr"")"),"Race n ° 1")</f>
        <v>Race n ° 1</v>
      </c>
      <c r="C8242" s="1" t="s">
        <v>185</v>
      </c>
      <c r="AH8242" s="1" t="s">
        <v>30</v>
      </c>
      <c r="AK8242" s="1" t="s">
        <v>33</v>
      </c>
      <c r="AO8242" s="1" t="s">
        <v>37</v>
      </c>
      <c r="AT8242" s="1" t="s">
        <v>42</v>
      </c>
      <c r="FS8242" s="1" t="s">
        <v>171</v>
      </c>
      <c r="GD8242" s="1" t="s">
        <v>193</v>
      </c>
      <c r="GE8242" s="1" t="s">
        <v>11588</v>
      </c>
    </row>
    <row r="8243" spans="1:187" ht="11.25" customHeight="1">
      <c r="A8243" s="1" t="s">
        <v>11589</v>
      </c>
      <c r="B8243" s="1" t="str">
        <f ca="1">IFERROR(__xludf.DUMMYFUNCTION("GOOGLETRANSLATE(A8243, ""en"", ""fr"")"),"Race n ° 2")</f>
        <v>Race n ° 2</v>
      </c>
      <c r="C8243" s="1" t="s">
        <v>185</v>
      </c>
      <c r="N8243" s="1" t="s">
        <v>10</v>
      </c>
      <c r="AH8243" s="1" t="s">
        <v>30</v>
      </c>
      <c r="AM8243" s="1" t="s">
        <v>35</v>
      </c>
      <c r="FL8243" s="1" t="s">
        <v>164</v>
      </c>
      <c r="FM8243" s="1" t="s">
        <v>418</v>
      </c>
      <c r="GD8243" s="1" t="s">
        <v>193</v>
      </c>
      <c r="GE8243" s="1" t="s">
        <v>11590</v>
      </c>
    </row>
    <row r="8244" spans="1:187" ht="11.25" customHeight="1">
      <c r="A8244" s="1" t="s">
        <v>11591</v>
      </c>
      <c r="B8244" s="1" t="str">
        <f ca="1">IFERROR(__xludf.DUMMYFUNCTION("GOOGLETRANSLATE(A8244, ""en"", ""fr"")"),"Race # 3")</f>
        <v>Race # 3</v>
      </c>
      <c r="C8244" s="1" t="s">
        <v>185</v>
      </c>
      <c r="N8244" s="1" t="s">
        <v>10</v>
      </c>
      <c r="CE8244" s="1" t="s">
        <v>79</v>
      </c>
      <c r="DN8244" s="1" t="s">
        <v>114</v>
      </c>
      <c r="FL8244" s="1" t="s">
        <v>164</v>
      </c>
      <c r="FM8244" s="1" t="s">
        <v>418</v>
      </c>
      <c r="GD8244" s="1" t="s">
        <v>189</v>
      </c>
      <c r="GE8244" s="1" t="s">
        <v>11592</v>
      </c>
    </row>
    <row r="8245" spans="1:187" ht="11.25" customHeight="1">
      <c r="A8245" s="1" t="s">
        <v>11593</v>
      </c>
      <c r="B8245" s="1" t="str">
        <f ca="1">IFERROR(__xludf.DUMMYFUNCTION("GOOGLETRANSLATE(A8245, ""en"", ""fr"")"),"Race n ° 4")</f>
        <v>Race n ° 4</v>
      </c>
      <c r="C8245" s="1" t="s">
        <v>185</v>
      </c>
      <c r="E8245" s="1" t="s">
        <v>16613</v>
      </c>
      <c r="H8245" s="1" t="s">
        <v>4</v>
      </c>
      <c r="N8245" s="1" t="s">
        <v>10</v>
      </c>
      <c r="AC8245" s="1" t="s">
        <v>25</v>
      </c>
      <c r="AM8245" s="1" t="s">
        <v>35</v>
      </c>
      <c r="GD8245" s="1" t="s">
        <v>193</v>
      </c>
      <c r="GE8245" s="1" t="s">
        <v>11594</v>
      </c>
    </row>
    <row r="8246" spans="1:187" ht="11.25" customHeight="1">
      <c r="A8246" s="1" t="s">
        <v>11595</v>
      </c>
      <c r="B8246" s="1" t="str">
        <f ca="1">IFERROR(__xludf.DUMMYFUNCTION("GOOGLETRANSLATE(A8246, ""en"", ""fr"")"),"Race n ° 5")</f>
        <v>Race n ° 5</v>
      </c>
      <c r="C8246" s="1" t="s">
        <v>185</v>
      </c>
      <c r="N8246" s="1" t="s">
        <v>10</v>
      </c>
      <c r="CE8246" s="1" t="s">
        <v>79</v>
      </c>
      <c r="FL8246" s="1" t="s">
        <v>164</v>
      </c>
      <c r="FM8246" s="1" t="s">
        <v>418</v>
      </c>
      <c r="GD8246" s="1" t="s">
        <v>193</v>
      </c>
      <c r="GE8246" s="1" t="s">
        <v>11596</v>
      </c>
    </row>
    <row r="8247" spans="1:187" ht="11.25" customHeight="1">
      <c r="A8247" s="1" t="s">
        <v>11597</v>
      </c>
      <c r="B8247" s="1" t="str">
        <f ca="1">IFERROR(__xludf.DUMMYFUNCTION("GOOGLETRANSLATE(A8247, ""en"", ""fr"")"),"COUREUR")</f>
        <v>COUREUR</v>
      </c>
      <c r="C8247" s="1" t="s">
        <v>185</v>
      </c>
      <c r="N8247" s="1" t="s">
        <v>10</v>
      </c>
      <c r="AD8247" s="1" t="s">
        <v>26</v>
      </c>
      <c r="AJ8247" s="1" t="s">
        <v>32</v>
      </c>
      <c r="AT8247" s="1" t="s">
        <v>42</v>
      </c>
      <c r="GD8247" s="1" t="s">
        <v>193</v>
      </c>
      <c r="GE8247" s="1" t="s">
        <v>190</v>
      </c>
    </row>
    <row r="8248" spans="1:187" ht="11.25" customHeight="1">
      <c r="A8248" s="1" t="s">
        <v>11598</v>
      </c>
      <c r="B8248" s="1" t="str">
        <f ca="1">IFERROR(__xludf.DUMMYFUNCTION("GOOGLETRANSLATE(A8248, ""en"", ""fr"")"),"RACIAL")</f>
        <v>RACIAL</v>
      </c>
      <c r="C8248" s="1" t="s">
        <v>185</v>
      </c>
      <c r="AH8248" s="1" t="s">
        <v>30</v>
      </c>
      <c r="AK8248" s="1" t="s">
        <v>33</v>
      </c>
      <c r="AO8248" s="1" t="s">
        <v>37</v>
      </c>
      <c r="AT8248" s="1" t="s">
        <v>42</v>
      </c>
      <c r="GD8248" s="1" t="s">
        <v>421</v>
      </c>
      <c r="GE8248" s="1" t="s">
        <v>11599</v>
      </c>
    </row>
    <row r="8249" spans="1:187" ht="11.25" customHeight="1">
      <c r="A8249" s="1" t="s">
        <v>11600</v>
      </c>
      <c r="B8249" s="1" t="str">
        <f ca="1">IFERROR(__xludf.DUMMYFUNCTION("GOOGLETRANSLATE(A8249, ""en"", ""fr"")"),"RADAR")</f>
        <v>RADAR</v>
      </c>
      <c r="C8249" s="1" t="s">
        <v>185</v>
      </c>
      <c r="AF8249" s="1" t="s">
        <v>28</v>
      </c>
      <c r="BC8249" s="1" t="s">
        <v>51</v>
      </c>
      <c r="BD8249" s="1" t="s">
        <v>52</v>
      </c>
      <c r="GD8249" s="1" t="s">
        <v>193</v>
      </c>
      <c r="GE8249" s="1" t="s">
        <v>190</v>
      </c>
    </row>
    <row r="8250" spans="1:187" ht="11.25" customHeight="1">
      <c r="A8250" s="1" t="s">
        <v>11601</v>
      </c>
      <c r="B8250" s="1" t="str">
        <f ca="1">IFERROR(__xludf.DUMMYFUNCTION("GOOGLETRANSLATE(A8250, ""en"", ""fr"")"),"ÉCLAT")</f>
        <v>ÉCLAT</v>
      </c>
      <c r="C8250" s="1" t="s">
        <v>192</v>
      </c>
      <c r="D8250" s="1" t="s">
        <v>16612</v>
      </c>
      <c r="J8250" s="1" t="s">
        <v>6</v>
      </c>
      <c r="CR8250" s="1" t="s">
        <v>92</v>
      </c>
      <c r="GD8250" s="1" t="s">
        <v>193</v>
      </c>
      <c r="GE8250" s="1" t="s">
        <v>190</v>
      </c>
    </row>
    <row r="8251" spans="1:187" ht="11.25" customHeight="1">
      <c r="A8251" s="1" t="s">
        <v>11602</v>
      </c>
      <c r="B8251" s="1" t="str">
        <f ca="1">IFERROR(__xludf.DUMMYFUNCTION("GOOGLETRANSLATE(A8251, ""en"", ""fr"")"),"RADIANT")</f>
        <v>RADIANT</v>
      </c>
      <c r="C8251" s="1" t="s">
        <v>192</v>
      </c>
      <c r="D8251" s="1" t="s">
        <v>16612</v>
      </c>
      <c r="CM8251" s="1" t="s">
        <v>87</v>
      </c>
      <c r="CR8251" s="1" t="s">
        <v>92</v>
      </c>
      <c r="DR8251" s="1" t="s">
        <v>118</v>
      </c>
      <c r="GD8251" s="1" t="s">
        <v>202</v>
      </c>
      <c r="GE8251" s="1" t="s">
        <v>190</v>
      </c>
    </row>
    <row r="8252" spans="1:187" ht="11.25" customHeight="1">
      <c r="A8252" s="1" t="s">
        <v>11603</v>
      </c>
      <c r="B8252" s="1" t="str">
        <f ca="1">IFERROR(__xludf.DUMMYFUNCTION("GOOGLETRANSLATE(A8252, ""en"", ""fr"")"),"RAYONNER")</f>
        <v>RAYONNER</v>
      </c>
      <c r="C8252" s="1" t="s">
        <v>192</v>
      </c>
      <c r="D8252" s="1" t="s">
        <v>16612</v>
      </c>
      <c r="O8252" s="1" t="s">
        <v>11</v>
      </c>
      <c r="BX8252" s="1" t="s">
        <v>72</v>
      </c>
      <c r="CD8252" s="1" t="s">
        <v>78</v>
      </c>
      <c r="DN8252" s="1" t="s">
        <v>114</v>
      </c>
      <c r="GD8252" s="1" t="s">
        <v>189</v>
      </c>
      <c r="GE8252" s="1" t="s">
        <v>190</v>
      </c>
    </row>
    <row r="8253" spans="1:187" ht="11.25" customHeight="1">
      <c r="A8253" s="1" t="s">
        <v>11604</v>
      </c>
      <c r="B8253" s="1" t="str">
        <f ca="1">IFERROR(__xludf.DUMMYFUNCTION("GOOGLETRANSLATE(A8253, ""en"", ""fr"")"),"RADIATION")</f>
        <v>RADIATION</v>
      </c>
      <c r="C8253" s="1" t="s">
        <v>185</v>
      </c>
      <c r="BU8253" s="1" t="s">
        <v>69</v>
      </c>
      <c r="GD8253" s="1" t="s">
        <v>193</v>
      </c>
      <c r="GE8253" s="1" t="s">
        <v>190</v>
      </c>
    </row>
    <row r="8254" spans="1:187" ht="11.25" customHeight="1">
      <c r="A8254" s="1" t="s">
        <v>11605</v>
      </c>
      <c r="B8254" s="1" t="str">
        <f ca="1">IFERROR(__xludf.DUMMYFUNCTION("GOOGLETRANSLATE(A8254, ""en"", ""fr"")"),"RADICAL")</f>
        <v>RADICAL</v>
      </c>
      <c r="C8254" s="1" t="s">
        <v>185</v>
      </c>
      <c r="E8254" s="1" t="s">
        <v>16613</v>
      </c>
      <c r="H8254" s="1" t="s">
        <v>4</v>
      </c>
      <c r="J8254" s="1" t="s">
        <v>6</v>
      </c>
      <c r="N8254" s="1" t="s">
        <v>10</v>
      </c>
      <c r="V8254" s="1" t="s">
        <v>18</v>
      </c>
      <c r="AC8254" s="1" t="s">
        <v>25</v>
      </c>
      <c r="AG8254" s="1" t="s">
        <v>29</v>
      </c>
      <c r="AH8254" s="1" t="s">
        <v>30</v>
      </c>
      <c r="GD8254" s="1" t="s">
        <v>202</v>
      </c>
      <c r="GE8254" s="1" t="s">
        <v>190</v>
      </c>
    </row>
    <row r="8255" spans="1:187" ht="11.25" customHeight="1">
      <c r="A8255" s="1" t="s">
        <v>11606</v>
      </c>
      <c r="B8255" s="1" t="str">
        <f ca="1">IFERROR(__xludf.DUMMYFUNCTION("GOOGLETRANSLATE(A8255, ""en"", ""fr"")"),"RADIO")</f>
        <v>RADIO</v>
      </c>
      <c r="C8255" s="1" t="s">
        <v>185</v>
      </c>
      <c r="BC8255" s="1" t="s">
        <v>51</v>
      </c>
      <c r="BD8255" s="1" t="s">
        <v>52</v>
      </c>
      <c r="BL8255" s="1" t="s">
        <v>60</v>
      </c>
      <c r="GD8255" s="1" t="s">
        <v>193</v>
      </c>
      <c r="GE8255" s="1" t="s">
        <v>11607</v>
      </c>
    </row>
    <row r="8256" spans="1:187" ht="11.25" customHeight="1">
      <c r="A8256" s="1" t="s">
        <v>11608</v>
      </c>
      <c r="B8256" s="1" t="str">
        <f ca="1">IFERROR(__xludf.DUMMYFUNCTION("GOOGLETRANSLATE(A8256, ""en"", ""fr"")"),"RADIOACTIF")</f>
        <v>RADIOACTIF</v>
      </c>
      <c r="C8256" s="1" t="s">
        <v>185</v>
      </c>
      <c r="BU8256" s="1" t="s">
        <v>69</v>
      </c>
      <c r="GD8256" s="1" t="s">
        <v>202</v>
      </c>
      <c r="GE8256" s="1" t="s">
        <v>190</v>
      </c>
    </row>
    <row r="8257" spans="1:187" ht="11.25" customHeight="1">
      <c r="A8257" s="1" t="s">
        <v>11609</v>
      </c>
      <c r="B8257" s="1" t="str">
        <f ca="1">IFERROR(__xludf.DUMMYFUNCTION("GOOGLETRANSLATE(A8257, ""en"", ""fr"")"),"RAYON")</f>
        <v>RAYON</v>
      </c>
      <c r="C8257" s="1" t="s">
        <v>185</v>
      </c>
      <c r="DA8257" s="1" t="s">
        <v>101</v>
      </c>
      <c r="GD8257" s="1" t="s">
        <v>193</v>
      </c>
      <c r="GE8257" s="1" t="s">
        <v>190</v>
      </c>
    </row>
    <row r="8258" spans="1:187" ht="11.25" customHeight="1">
      <c r="A8258" s="1" t="s">
        <v>11610</v>
      </c>
      <c r="B8258" s="1" t="str">
        <f ca="1">IFERROR(__xludf.DUMMYFUNCTION("GOOGLETRANSLATE(A8258, ""en"", ""fr"")"),"CHIFFON")</f>
        <v>CHIFFON</v>
      </c>
      <c r="C8258" s="1" t="s">
        <v>185</v>
      </c>
      <c r="BC8258" s="1" t="s">
        <v>51</v>
      </c>
      <c r="BD8258" s="1" t="s">
        <v>52</v>
      </c>
      <c r="GD8258" s="1" t="s">
        <v>193</v>
      </c>
      <c r="GE8258" s="1" t="s">
        <v>190</v>
      </c>
    </row>
    <row r="8259" spans="1:187" ht="11.25" customHeight="1">
      <c r="A8259" s="1" t="s">
        <v>11611</v>
      </c>
      <c r="B8259" s="1" t="str">
        <f ca="1">IFERROR(__xludf.DUMMYFUNCTION("GOOGLETRANSLATE(A8259, ""en"", ""fr"")"),"RAGE")</f>
        <v>RAGE</v>
      </c>
      <c r="C8259" s="1" t="s">
        <v>185</v>
      </c>
      <c r="E8259" s="1" t="s">
        <v>16613</v>
      </c>
      <c r="H8259" s="1" t="s">
        <v>4</v>
      </c>
      <c r="I8259" s="1" t="s">
        <v>5</v>
      </c>
      <c r="J8259" s="1" t="s">
        <v>6</v>
      </c>
      <c r="S8259" s="1" t="s">
        <v>15</v>
      </c>
      <c r="T8259" s="1" t="s">
        <v>16</v>
      </c>
      <c r="FW8259" s="1" t="s">
        <v>175</v>
      </c>
      <c r="GD8259" s="1" t="s">
        <v>193</v>
      </c>
      <c r="GE8259" s="1" t="s">
        <v>190</v>
      </c>
    </row>
    <row r="8260" spans="1:187" ht="11.25" customHeight="1">
      <c r="A8260" s="1" t="s">
        <v>11612</v>
      </c>
      <c r="B8260" s="1" t="str">
        <f ca="1">IFERROR(__xludf.DUMMYFUNCTION("GOOGLETRANSLATE(A8260, ""en"", ""fr"")"),"EN LAMBEAUX")</f>
        <v>EN LAMBEAUX</v>
      </c>
      <c r="C8260" s="1" t="s">
        <v>185</v>
      </c>
      <c r="V8260" s="1" t="s">
        <v>18</v>
      </c>
      <c r="GD8260" s="1" t="s">
        <v>202</v>
      </c>
      <c r="GE8260" s="1" t="s">
        <v>190</v>
      </c>
    </row>
    <row r="8261" spans="1:187" ht="11.25" customHeight="1">
      <c r="A8261" s="1" t="s">
        <v>11613</v>
      </c>
      <c r="B8261" s="1" t="str">
        <f ca="1">IFERROR(__xludf.DUMMYFUNCTION("GOOGLETRANSLATE(A8261, ""en"", ""fr"")"),"RAID")</f>
        <v>RAID</v>
      </c>
      <c r="C8261" s="1" t="s">
        <v>185</v>
      </c>
      <c r="E8261" s="1" t="s">
        <v>16613</v>
      </c>
      <c r="H8261" s="1" t="s">
        <v>4</v>
      </c>
      <c r="I8261" s="1" t="s">
        <v>5</v>
      </c>
      <c r="J8261" s="1" t="s">
        <v>6</v>
      </c>
      <c r="N8261" s="1" t="s">
        <v>10</v>
      </c>
      <c r="AN8261" s="1" t="s">
        <v>36</v>
      </c>
      <c r="DN8261" s="1" t="s">
        <v>114</v>
      </c>
      <c r="DW8261" s="1" t="s">
        <v>123</v>
      </c>
      <c r="ED8261" s="1" t="s">
        <v>130</v>
      </c>
      <c r="GD8261" s="1" t="s">
        <v>189</v>
      </c>
      <c r="GE8261" s="1" t="s">
        <v>190</v>
      </c>
    </row>
    <row r="8262" spans="1:187" ht="11.25" customHeight="1">
      <c r="A8262" s="1" t="s">
        <v>11614</v>
      </c>
      <c r="B8262" s="1" t="str">
        <f ca="1">IFERROR(__xludf.DUMMYFUNCTION("GOOGLETRANSLATE(A8262, ""en"", ""fr"")"),"RAIL")</f>
        <v>RAIL</v>
      </c>
      <c r="C8262" s="1" t="s">
        <v>185</v>
      </c>
      <c r="BC8262" s="1" t="s">
        <v>51</v>
      </c>
      <c r="BD8262" s="1" t="s">
        <v>52</v>
      </c>
      <c r="GD8262" s="1" t="s">
        <v>193</v>
      </c>
      <c r="GE8262" s="1" t="s">
        <v>190</v>
      </c>
    </row>
    <row r="8263" spans="1:187" ht="11.25" customHeight="1">
      <c r="A8263" s="1" t="s">
        <v>11615</v>
      </c>
      <c r="B8263" s="1" t="str">
        <f ca="1">IFERROR(__xludf.DUMMYFUNCTION("GOOGLETRANSLATE(A8263, ""en"", ""fr"")"),"CHEMIN DE FER")</f>
        <v>CHEMIN DE FER</v>
      </c>
      <c r="C8263" s="1" t="s">
        <v>185</v>
      </c>
      <c r="AC8263" s="1" t="s">
        <v>25</v>
      </c>
      <c r="AV8263" s="1" t="s">
        <v>44</v>
      </c>
      <c r="AY8263" s="1" t="s">
        <v>47</v>
      </c>
      <c r="GD8263" s="1" t="s">
        <v>193</v>
      </c>
      <c r="GE8263" s="1" t="s">
        <v>190</v>
      </c>
    </row>
    <row r="8264" spans="1:187" ht="11.25" customHeight="1">
      <c r="A8264" s="1" t="s">
        <v>11616</v>
      </c>
      <c r="B8264" s="1" t="str">
        <f ca="1">IFERROR(__xludf.DUMMYFUNCTION("GOOGLETRANSLATE(A8264, ""en"", ""fr"")"),"CHEMIN DE FER")</f>
        <v>CHEMIN DE FER</v>
      </c>
      <c r="C8264" s="1" t="s">
        <v>185</v>
      </c>
      <c r="AC8264" s="1" t="s">
        <v>25</v>
      </c>
      <c r="AV8264" s="1" t="s">
        <v>44</v>
      </c>
      <c r="AY8264" s="1" t="s">
        <v>47</v>
      </c>
      <c r="GD8264" s="1" t="s">
        <v>193</v>
      </c>
      <c r="GE8264" s="1" t="s">
        <v>190</v>
      </c>
    </row>
    <row r="8265" spans="1:187" ht="11.25" customHeight="1">
      <c r="A8265" s="1" t="s">
        <v>11617</v>
      </c>
      <c r="B8265" s="1" t="str">
        <f ca="1">IFERROR(__xludf.DUMMYFUNCTION("GOOGLETRANSLATE(A8265, ""en"", ""fr"")"),"Pluie # 1")</f>
        <v>Pluie # 1</v>
      </c>
      <c r="C8265" s="1" t="s">
        <v>185</v>
      </c>
      <c r="AV8265" s="1" t="s">
        <v>44</v>
      </c>
      <c r="BB8265" s="1" t="s">
        <v>50</v>
      </c>
      <c r="GD8265" s="1" t="s">
        <v>193</v>
      </c>
      <c r="GE8265" s="1" t="s">
        <v>11618</v>
      </c>
    </row>
    <row r="8266" spans="1:187" ht="11.25" customHeight="1">
      <c r="A8266" s="1" t="s">
        <v>11619</v>
      </c>
      <c r="B8266" s="1" t="str">
        <f ca="1">IFERROR(__xludf.DUMMYFUNCTION("GOOGLETRANSLATE(A8266, ""en"", ""fr"")"),"Pluie # 2")</f>
        <v>Pluie # 2</v>
      </c>
      <c r="C8266" s="1" t="s">
        <v>185</v>
      </c>
      <c r="CF8266" s="1" t="s">
        <v>80</v>
      </c>
      <c r="DO8266" s="1" t="s">
        <v>115</v>
      </c>
      <c r="GD8266" s="1" t="s">
        <v>189</v>
      </c>
      <c r="GE8266" s="1" t="s">
        <v>11620</v>
      </c>
    </row>
    <row r="8267" spans="1:187" ht="11.25" customHeight="1">
      <c r="A8267" s="1" t="s">
        <v>11621</v>
      </c>
      <c r="B8267" s="1" t="str">
        <f ca="1">IFERROR(__xludf.DUMMYFUNCTION("GOOGLETRANSLATE(A8267, ""en"", ""fr"")"),"Élever n ° 1")</f>
        <v>Élever n ° 1</v>
      </c>
      <c r="C8267" s="1" t="s">
        <v>185</v>
      </c>
      <c r="J8267" s="1" t="s">
        <v>6</v>
      </c>
      <c r="N8267" s="1" t="s">
        <v>10</v>
      </c>
      <c r="CB8267" s="1" t="s">
        <v>76</v>
      </c>
      <c r="DO8267" s="1" t="s">
        <v>115</v>
      </c>
      <c r="FP8267" s="1" t="s">
        <v>168</v>
      </c>
      <c r="GD8267" s="1" t="s">
        <v>189</v>
      </c>
      <c r="GE8267" s="1" t="s">
        <v>11622</v>
      </c>
    </row>
    <row r="8268" spans="1:187" ht="11.25" customHeight="1">
      <c r="A8268" s="1" t="s">
        <v>11623</v>
      </c>
      <c r="B8268" s="1" t="str">
        <f ca="1">IFERROR(__xludf.DUMMYFUNCTION("GOOGLETRANSLATE(A8268, ""en"", ""fr"")"),"Élever n ° 2")</f>
        <v>Élever n ° 2</v>
      </c>
      <c r="C8268" s="1" t="s">
        <v>185</v>
      </c>
      <c r="J8268" s="1" t="s">
        <v>6</v>
      </c>
      <c r="N8268" s="1" t="s">
        <v>10</v>
      </c>
      <c r="AL8268" s="1" t="s">
        <v>34</v>
      </c>
      <c r="DN8268" s="1" t="s">
        <v>114</v>
      </c>
      <c r="EX8268" s="1" t="s">
        <v>150</v>
      </c>
      <c r="FC8268" s="1" t="s">
        <v>155</v>
      </c>
      <c r="GD8268" s="1" t="s">
        <v>11624</v>
      </c>
      <c r="GE8268" s="1" t="s">
        <v>11625</v>
      </c>
    </row>
    <row r="8269" spans="1:187" ht="11.25" customHeight="1">
      <c r="A8269" s="1" t="s">
        <v>11626</v>
      </c>
      <c r="B8269" s="1" t="str">
        <f ca="1">IFERROR(__xludf.DUMMYFUNCTION("GOOGLETRANSLATE(A8269, ""en"", ""fr"")"),"Élever n ° 3")</f>
        <v>Élever n ° 3</v>
      </c>
      <c r="C8269" s="1" t="s">
        <v>185</v>
      </c>
      <c r="AA8269" s="1" t="s">
        <v>23</v>
      </c>
      <c r="AC8269" s="1" t="s">
        <v>25</v>
      </c>
      <c r="BX8269" s="1" t="s">
        <v>72</v>
      </c>
      <c r="EU8269" s="1" t="s">
        <v>147</v>
      </c>
      <c r="EW8269" s="1" t="s">
        <v>149</v>
      </c>
      <c r="GD8269" s="1" t="s">
        <v>193</v>
      </c>
      <c r="GE8269" s="1" t="s">
        <v>11627</v>
      </c>
    </row>
    <row r="8270" spans="1:187" ht="11.25" customHeight="1">
      <c r="A8270" s="1" t="s">
        <v>11628</v>
      </c>
      <c r="B8270" s="1" t="str">
        <f ca="1">IFERROR(__xludf.DUMMYFUNCTION("GOOGLETRANSLATE(A8270, ""en"", ""fr"")"),"Élever n ° 4")</f>
        <v>Élever n ° 4</v>
      </c>
      <c r="C8270" s="1" t="s">
        <v>185</v>
      </c>
      <c r="N8270" s="1" t="s">
        <v>10</v>
      </c>
      <c r="BK8270" s="1" t="s">
        <v>59</v>
      </c>
      <c r="DN8270" s="1" t="s">
        <v>114</v>
      </c>
      <c r="FP8270" s="1" t="s">
        <v>168</v>
      </c>
      <c r="GD8270" s="1" t="s">
        <v>189</v>
      </c>
      <c r="GE8270" s="1" t="s">
        <v>11629</v>
      </c>
    </row>
    <row r="8271" spans="1:187" ht="11.25" customHeight="1">
      <c r="A8271" s="1" t="s">
        <v>11630</v>
      </c>
      <c r="B8271" s="1" t="str">
        <f ca="1">IFERROR(__xludf.DUMMYFUNCTION("GOOGLETRANSLATE(A8271, ""en"", ""fr"")"),"Élever n ° 5")</f>
        <v>Élever n ° 5</v>
      </c>
      <c r="C8271" s="1" t="s">
        <v>185</v>
      </c>
      <c r="E8271" s="1" t="s">
        <v>16613</v>
      </c>
      <c r="H8271" s="1" t="s">
        <v>4</v>
      </c>
      <c r="I8271" s="1" t="s">
        <v>5</v>
      </c>
      <c r="N8271" s="1" t="s">
        <v>10</v>
      </c>
      <c r="AM8271" s="1" t="s">
        <v>35</v>
      </c>
      <c r="GD8271" s="1" t="s">
        <v>193</v>
      </c>
      <c r="GE8271" s="1" t="s">
        <v>11631</v>
      </c>
    </row>
    <row r="8272" spans="1:187" ht="11.25" customHeight="1">
      <c r="A8272" s="1" t="s">
        <v>11632</v>
      </c>
      <c r="B8272" s="1" t="str">
        <f ca="1">IFERROR(__xludf.DUMMYFUNCTION("GOOGLETRANSLATE(A8272, ""en"", ""fr"")"),"Élever n ° 6")</f>
        <v>Élever n ° 6</v>
      </c>
      <c r="C8272" s="1" t="s">
        <v>185</v>
      </c>
      <c r="DA8272" s="1" t="s">
        <v>101</v>
      </c>
      <c r="FO8272" s="1" t="s">
        <v>167</v>
      </c>
      <c r="GD8272" s="1" t="s">
        <v>202</v>
      </c>
      <c r="GE8272" s="1" t="s">
        <v>11633</v>
      </c>
    </row>
    <row r="8273" spans="1:187" ht="11.25" customHeight="1">
      <c r="A8273" s="1" t="s">
        <v>11634</v>
      </c>
      <c r="B8273" s="1" t="str">
        <f ca="1">IFERROR(__xludf.DUMMYFUNCTION("GOOGLETRANSLATE(A8273, ""en"", ""fr"")"),"Rake # 1")</f>
        <v>Rake # 1</v>
      </c>
      <c r="C8273" s="1" t="s">
        <v>185</v>
      </c>
      <c r="BC8273" s="1" t="s">
        <v>51</v>
      </c>
      <c r="BD8273" s="1" t="s">
        <v>52</v>
      </c>
      <c r="GD8273" s="1" t="s">
        <v>193</v>
      </c>
      <c r="GE8273" s="1" t="s">
        <v>190</v>
      </c>
    </row>
    <row r="8274" spans="1:187" ht="11.25" customHeight="1">
      <c r="A8274" s="1" t="s">
        <v>11635</v>
      </c>
      <c r="B8274" s="1" t="str">
        <f ca="1">IFERROR(__xludf.DUMMYFUNCTION("GOOGLETRANSLATE(A8274, ""en"", ""fr"")"),"Rake # 2")</f>
        <v>Rake # 2</v>
      </c>
      <c r="C8274" s="1" t="s">
        <v>185</v>
      </c>
      <c r="N8274" s="1" t="s">
        <v>10</v>
      </c>
      <c r="AL8274" s="1" t="s">
        <v>34</v>
      </c>
      <c r="DO8274" s="1" t="s">
        <v>115</v>
      </c>
      <c r="GD8274" s="1" t="s">
        <v>189</v>
      </c>
      <c r="GE8274" s="1" t="s">
        <v>190</v>
      </c>
    </row>
    <row r="8275" spans="1:187" ht="11.25" customHeight="1">
      <c r="A8275" s="1" t="s">
        <v>11636</v>
      </c>
      <c r="B8275" s="1" t="str">
        <f ca="1">IFERROR(__xludf.DUMMYFUNCTION("GOOGLETRANSLATE(A8275, ""en"", ""fr"")"),"SE RALLIER")</f>
        <v>SE RALLIER</v>
      </c>
      <c r="C8275" s="1" t="s">
        <v>192</v>
      </c>
      <c r="D8275" s="1" t="s">
        <v>16612</v>
      </c>
      <c r="N8275" s="1" t="s">
        <v>10</v>
      </c>
      <c r="AG8275" s="1" t="s">
        <v>29</v>
      </c>
      <c r="AK8275" s="1" t="s">
        <v>33</v>
      </c>
      <c r="AT8275" s="1" t="s">
        <v>42</v>
      </c>
      <c r="BK8275" s="1" t="s">
        <v>59</v>
      </c>
      <c r="DN8275" s="1" t="s">
        <v>114</v>
      </c>
      <c r="GD8275" s="1" t="s">
        <v>193</v>
      </c>
      <c r="GE8275" s="1" t="s">
        <v>190</v>
      </c>
    </row>
    <row r="8276" spans="1:187" ht="11.25" customHeight="1">
      <c r="A8276" s="1" t="s">
        <v>11637</v>
      </c>
      <c r="B8276" s="1" t="str">
        <f ca="1">IFERROR(__xludf.DUMMYFUNCTION("GOOGLETRANSLATE(A8276, ""en"", ""fr"")"),"RANDONNÉE")</f>
        <v>RANDONNÉE</v>
      </c>
      <c r="C8276" s="1" t="s">
        <v>192</v>
      </c>
      <c r="E8276" s="1" t="s">
        <v>16613</v>
      </c>
      <c r="N8276" s="1" t="s">
        <v>10</v>
      </c>
      <c r="BK8276" s="1" t="s">
        <v>59</v>
      </c>
      <c r="DN8276" s="1" t="s">
        <v>114</v>
      </c>
      <c r="GD8276" s="1" t="s">
        <v>189</v>
      </c>
      <c r="GE8276" s="1" t="s">
        <v>190</v>
      </c>
    </row>
    <row r="8277" spans="1:187" ht="11.25" customHeight="1">
      <c r="A8277" s="1" t="s">
        <v>11638</v>
      </c>
      <c r="B8277" s="1" t="str">
        <f ca="1">IFERROR(__xludf.DUMMYFUNCTION("GOOGLETRANSLATE(A8277, ""en"", ""fr"")"),"RAMPANT")</f>
        <v>RAMPANT</v>
      </c>
      <c r="C8277" s="1" t="s">
        <v>185</v>
      </c>
      <c r="E8277" s="1" t="s">
        <v>16613</v>
      </c>
      <c r="H8277" s="1" t="s">
        <v>4</v>
      </c>
      <c r="J8277" s="1" t="s">
        <v>6</v>
      </c>
      <c r="V8277" s="1" t="s">
        <v>18</v>
      </c>
      <c r="GD8277" s="1" t="s">
        <v>202</v>
      </c>
      <c r="GE8277" s="1" t="s">
        <v>190</v>
      </c>
    </row>
    <row r="8278" spans="1:187" ht="11.25" customHeight="1">
      <c r="A8278" s="1" t="s">
        <v>11639</v>
      </c>
      <c r="B8278" s="1" t="str">
        <f ca="1">IFERROR(__xludf.DUMMYFUNCTION("GOOGLETRANSLATE(A8278, ""en"", ""fr"")"),"Ran # 1")</f>
        <v>Ran # 1</v>
      </c>
      <c r="C8278" s="1" t="s">
        <v>192</v>
      </c>
      <c r="GD8278" s="1" t="s">
        <v>1085</v>
      </c>
      <c r="GE8278" s="1" t="s">
        <v>190</v>
      </c>
    </row>
    <row r="8279" spans="1:187" ht="11.25" customHeight="1">
      <c r="A8279" s="1" t="s">
        <v>11640</v>
      </c>
      <c r="B8279" s="1" t="str">
        <f ca="1">IFERROR(__xludf.DUMMYFUNCTION("GOOGLETRANSLATE(A8279, ""en"", ""fr"")"),"RANCH")</f>
        <v>RANCH</v>
      </c>
      <c r="C8279" s="1" t="s">
        <v>185</v>
      </c>
      <c r="AA8279" s="1" t="s">
        <v>23</v>
      </c>
      <c r="AC8279" s="1" t="s">
        <v>25</v>
      </c>
      <c r="AV8279" s="1" t="s">
        <v>44</v>
      </c>
      <c r="AW8279" s="1" t="s">
        <v>45</v>
      </c>
      <c r="EV8279" s="1" t="s">
        <v>148</v>
      </c>
      <c r="EW8279" s="1" t="s">
        <v>149</v>
      </c>
      <c r="GD8279" s="1" t="s">
        <v>193</v>
      </c>
      <c r="GE8279" s="1" t="s">
        <v>190</v>
      </c>
    </row>
    <row r="8280" spans="1:187" ht="11.25" customHeight="1">
      <c r="A8280" s="1" t="s">
        <v>11641</v>
      </c>
      <c r="B8280" s="1" t="str">
        <f ca="1">IFERROR(__xludf.DUMMYFUNCTION("GOOGLETRANSLATE(A8280, ""en"", ""fr"")"),"PROPRIÉTAIRE DE RANCH")</f>
        <v>PROPRIÉTAIRE DE RANCH</v>
      </c>
      <c r="C8280" s="1" t="s">
        <v>185</v>
      </c>
      <c r="AA8280" s="1" t="s">
        <v>23</v>
      </c>
      <c r="AJ8280" s="1" t="s">
        <v>32</v>
      </c>
      <c r="AT8280" s="1" t="s">
        <v>42</v>
      </c>
      <c r="EV8280" s="1" t="s">
        <v>148</v>
      </c>
      <c r="EW8280" s="1" t="s">
        <v>149</v>
      </c>
      <c r="GD8280" s="1" t="s">
        <v>193</v>
      </c>
      <c r="GE8280" s="1" t="s">
        <v>190</v>
      </c>
    </row>
    <row r="8281" spans="1:187" ht="11.25" customHeight="1">
      <c r="A8281" s="1" t="s">
        <v>11642</v>
      </c>
      <c r="B8281" s="1" t="str">
        <f ca="1">IFERROR(__xludf.DUMMYFUNCTION("GOOGLETRANSLATE(A8281, ""en"", ""fr"")"),"ALÉATOIRE")</f>
        <v>ALÉATOIRE</v>
      </c>
      <c r="C8281" s="1" t="s">
        <v>185</v>
      </c>
      <c r="L8281" s="1" t="s">
        <v>8</v>
      </c>
      <c r="BW8281" s="1" t="s">
        <v>71</v>
      </c>
      <c r="GD8281" s="1" t="s">
        <v>193</v>
      </c>
      <c r="GE8281" s="1" t="s">
        <v>190</v>
      </c>
    </row>
    <row r="8282" spans="1:187" ht="11.25" customHeight="1">
      <c r="A8282" s="1" t="s">
        <v>11643</v>
      </c>
      <c r="B8282" s="1" t="str">
        <f ca="1">IFERROR(__xludf.DUMMYFUNCTION("GOOGLETRANSLATE(A8282, ""en"", ""fr"")"),"A SONNÉ")</f>
        <v>A SONNÉ</v>
      </c>
      <c r="C8282" s="1" t="s">
        <v>185</v>
      </c>
      <c r="BK8282" s="1" t="s">
        <v>59</v>
      </c>
      <c r="DO8282" s="1" t="s">
        <v>115</v>
      </c>
      <c r="GD8282" s="1" t="s">
        <v>1076</v>
      </c>
      <c r="GE8282" s="1" t="s">
        <v>190</v>
      </c>
    </row>
    <row r="8283" spans="1:187" ht="11.25" customHeight="1">
      <c r="A8283" s="1" t="s">
        <v>11644</v>
      </c>
      <c r="B8283" s="1" t="str">
        <f ca="1">IFERROR(__xludf.DUMMYFUNCTION("GOOGLETRANSLATE(A8283, ""en"", ""fr"")"),"Plage n ° 1")</f>
        <v>Plage n ° 1</v>
      </c>
      <c r="C8283" s="1" t="s">
        <v>185</v>
      </c>
      <c r="CH8283" s="1" t="s">
        <v>82</v>
      </c>
      <c r="GB8283" s="1" t="s">
        <v>180</v>
      </c>
      <c r="GD8283" s="1" t="s">
        <v>193</v>
      </c>
      <c r="GE8283" s="1" t="s">
        <v>11645</v>
      </c>
    </row>
    <row r="8284" spans="1:187" ht="11.25" customHeight="1">
      <c r="A8284" s="1" t="s">
        <v>11646</v>
      </c>
      <c r="B8284" s="1" t="str">
        <f ca="1">IFERROR(__xludf.DUMMYFUNCTION("GOOGLETRANSLATE(A8284, ""en"", ""fr"")"),"Plage n ° 2")</f>
        <v>Plage n ° 2</v>
      </c>
      <c r="C8284" s="1" t="s">
        <v>185</v>
      </c>
      <c r="CO8284" s="1" t="s">
        <v>89</v>
      </c>
      <c r="DN8284" s="1" t="s">
        <v>114</v>
      </c>
      <c r="GD8284" s="1" t="s">
        <v>189</v>
      </c>
      <c r="GE8284" s="1" t="s">
        <v>11647</v>
      </c>
    </row>
    <row r="8285" spans="1:187" ht="11.25" customHeight="1">
      <c r="A8285" s="1" t="s">
        <v>11648</v>
      </c>
      <c r="B8285" s="1" t="str">
        <f ca="1">IFERROR(__xludf.DUMMYFUNCTION("GOOGLETRANSLATE(A8285, ""en"", ""fr"")"),"Range n ° 3")</f>
        <v>Range n ° 3</v>
      </c>
      <c r="C8285" s="1" t="s">
        <v>185</v>
      </c>
      <c r="BC8285" s="1" t="s">
        <v>51</v>
      </c>
      <c r="BD8285" s="1" t="s">
        <v>52</v>
      </c>
      <c r="GD8285" s="1" t="s">
        <v>193</v>
      </c>
      <c r="GE8285" s="1" t="s">
        <v>11649</v>
      </c>
    </row>
    <row r="8286" spans="1:187" ht="11.25" customHeight="1">
      <c r="A8286" s="1" t="s">
        <v>11650</v>
      </c>
      <c r="B8286" s="1" t="str">
        <f ca="1">IFERROR(__xludf.DUMMYFUNCTION("GOOGLETRANSLATE(A8286, ""en"", ""fr"")"),"Range n ° 4")</f>
        <v>Range n ° 4</v>
      </c>
      <c r="C8286" s="1" t="s">
        <v>185</v>
      </c>
      <c r="AV8286" s="1" t="s">
        <v>44</v>
      </c>
      <c r="BA8286" s="1" t="s">
        <v>49</v>
      </c>
      <c r="GB8286" s="1" t="s">
        <v>180</v>
      </c>
      <c r="GD8286" s="1" t="s">
        <v>193</v>
      </c>
      <c r="GE8286" s="1" t="s">
        <v>11651</v>
      </c>
    </row>
    <row r="8287" spans="1:187" ht="11.25" customHeight="1">
      <c r="A8287" s="1" t="s">
        <v>11652</v>
      </c>
      <c r="B8287" s="1" t="str">
        <f ca="1">IFERROR(__xludf.DUMMYFUNCTION("GOOGLETRANSLATE(A8287, ""en"", ""fr"")"),"RANGER")</f>
        <v>RANGER</v>
      </c>
      <c r="C8287" s="1" t="s">
        <v>185</v>
      </c>
      <c r="AA8287" s="1" t="s">
        <v>23</v>
      </c>
      <c r="AJ8287" s="1" t="s">
        <v>32</v>
      </c>
      <c r="AT8287" s="1" t="s">
        <v>42</v>
      </c>
      <c r="DY8287" s="1" t="s">
        <v>125</v>
      </c>
      <c r="ED8287" s="1" t="s">
        <v>130</v>
      </c>
      <c r="GD8287" s="1" t="s">
        <v>193</v>
      </c>
      <c r="GE8287" s="1" t="s">
        <v>190</v>
      </c>
    </row>
    <row r="8288" spans="1:187" ht="11.25" customHeight="1">
      <c r="A8288" s="1" t="s">
        <v>11653</v>
      </c>
      <c r="B8288" s="1" t="str">
        <f ca="1">IFERROR(__xludf.DUMMYFUNCTION("GOOGLETRANSLATE(A8288, ""en"", ""fr"")"),"Rapid # 1")</f>
        <v>Rapid # 1</v>
      </c>
      <c r="C8288" s="1" t="s">
        <v>185</v>
      </c>
      <c r="N8288" s="1" t="s">
        <v>10</v>
      </c>
      <c r="W8288" s="1" t="s">
        <v>19</v>
      </c>
      <c r="CY8288" s="1" t="s">
        <v>99</v>
      </c>
      <c r="GD8288" s="1" t="s">
        <v>202</v>
      </c>
      <c r="GE8288" s="1" t="s">
        <v>11654</v>
      </c>
    </row>
    <row r="8289" spans="1:187" ht="11.25" customHeight="1">
      <c r="A8289" s="1" t="s">
        <v>11655</v>
      </c>
      <c r="B8289" s="1" t="str">
        <f ca="1">IFERROR(__xludf.DUMMYFUNCTION("GOOGLETRANSLATE(A8289, ""en"", ""fr"")"),"Rapid # 2")</f>
        <v>Rapid # 2</v>
      </c>
      <c r="C8289" s="1" t="s">
        <v>185</v>
      </c>
      <c r="N8289" s="1" t="s">
        <v>10</v>
      </c>
      <c r="W8289" s="1" t="s">
        <v>19</v>
      </c>
      <c r="CY8289" s="1" t="s">
        <v>99</v>
      </c>
      <c r="GD8289" s="1" t="s">
        <v>202</v>
      </c>
      <c r="GE8289" s="1" t="s">
        <v>11656</v>
      </c>
    </row>
    <row r="8290" spans="1:187" ht="11.25" customHeight="1">
      <c r="A8290" s="1" t="s">
        <v>11657</v>
      </c>
      <c r="B8290" s="1" t="str">
        <f ca="1">IFERROR(__xludf.DUMMYFUNCTION("GOOGLETRANSLATE(A8290, ""en"", ""fr"")"),"Rapid # 3")</f>
        <v>Rapid # 3</v>
      </c>
      <c r="C8290" s="1" t="s">
        <v>185</v>
      </c>
      <c r="AV8290" s="1" t="s">
        <v>44</v>
      </c>
      <c r="AZ8290" s="1" t="s">
        <v>48</v>
      </c>
      <c r="GD8290" s="1" t="s">
        <v>193</v>
      </c>
      <c r="GE8290" s="1" t="s">
        <v>11658</v>
      </c>
    </row>
    <row r="8291" spans="1:187" ht="11.25" customHeight="1">
      <c r="A8291" s="1" t="s">
        <v>11659</v>
      </c>
      <c r="B8291" s="1" t="str">
        <f ca="1">IFERROR(__xludf.DUMMYFUNCTION("GOOGLETRANSLATE(A8291, ""en"", ""fr"")"),"RAPPORT")</f>
        <v>RAPPORT</v>
      </c>
      <c r="C8291" s="1" t="s">
        <v>192</v>
      </c>
      <c r="D8291" s="1" t="s">
        <v>16612</v>
      </c>
      <c r="AN8291" s="1" t="s">
        <v>36</v>
      </c>
      <c r="BK8291" s="1" t="s">
        <v>59</v>
      </c>
      <c r="GD8291" s="1" t="s">
        <v>193</v>
      </c>
      <c r="GE8291" s="1" t="s">
        <v>190</v>
      </c>
    </row>
    <row r="8292" spans="1:187" ht="11.25" customHeight="1">
      <c r="A8292" s="1" t="s">
        <v>11660</v>
      </c>
      <c r="B8292" s="1" t="str">
        <f ca="1">IFERROR(__xludf.DUMMYFUNCTION("GOOGLETRANSLATE(A8292, ""en"", ""fr"")"),"Rapprochement")</f>
        <v>Rapprochement</v>
      </c>
      <c r="C8292" s="1" t="s">
        <v>196</v>
      </c>
      <c r="DX8292" s="1" t="s">
        <v>124</v>
      </c>
      <c r="ED8292" s="1" t="s">
        <v>130</v>
      </c>
      <c r="GD8292" s="1" t="s">
        <v>193</v>
      </c>
    </row>
    <row r="8293" spans="1:187" ht="11.25" customHeight="1">
      <c r="A8293" s="1" t="s">
        <v>11661</v>
      </c>
      <c r="B8293" s="1" t="str">
        <f ca="1">IFERROR(__xludf.DUMMYFUNCTION("GOOGLETRANSLATE(A8293, ""en"", ""fr"")"),"Ravi")</f>
        <v>Ravi</v>
      </c>
      <c r="C8293" s="1" t="s">
        <v>192</v>
      </c>
      <c r="D8293" s="1" t="s">
        <v>16612</v>
      </c>
      <c r="O8293" s="1" t="s">
        <v>11</v>
      </c>
      <c r="CA8293" s="1" t="s">
        <v>75</v>
      </c>
      <c r="CG8293" s="1" t="s">
        <v>81</v>
      </c>
      <c r="DN8293" s="1" t="s">
        <v>114</v>
      </c>
      <c r="GD8293" s="1" t="s">
        <v>189</v>
      </c>
      <c r="GE8293" s="1" t="s">
        <v>190</v>
      </c>
    </row>
    <row r="8294" spans="1:187" ht="11.25" customHeight="1">
      <c r="A8294" s="1" t="s">
        <v>11662</v>
      </c>
      <c r="B8294" s="1" t="str">
        <f ca="1">IFERROR(__xludf.DUMMYFUNCTION("GOOGLETRANSLATE(A8294, ""en"", ""fr"")"),"RAVISSEMENT")</f>
        <v>RAVISSEMENT</v>
      </c>
      <c r="C8294" s="1" t="s">
        <v>192</v>
      </c>
      <c r="D8294" s="1" t="s">
        <v>16612</v>
      </c>
      <c r="CA8294" s="1" t="s">
        <v>75</v>
      </c>
      <c r="CG8294" s="1" t="s">
        <v>81</v>
      </c>
      <c r="GD8294" s="1" t="s">
        <v>193</v>
      </c>
      <c r="GE8294" s="1" t="s">
        <v>190</v>
      </c>
    </row>
    <row r="8295" spans="1:187" ht="11.25" customHeight="1">
      <c r="A8295" s="1" t="s">
        <v>11663</v>
      </c>
      <c r="B8295" s="1" t="str">
        <f ca="1">IFERROR(__xludf.DUMMYFUNCTION("GOOGLETRANSLATE(A8295, ""en"", ""fr"")"),"Rare n ° 1")</f>
        <v>Rare n ° 1</v>
      </c>
      <c r="C8295" s="1" t="s">
        <v>185</v>
      </c>
      <c r="U8295" s="1" t="s">
        <v>17</v>
      </c>
      <c r="W8295" s="1" t="s">
        <v>19</v>
      </c>
      <c r="CN8295" s="1" t="s">
        <v>88</v>
      </c>
      <c r="EV8295" s="1" t="s">
        <v>148</v>
      </c>
      <c r="EW8295" s="1" t="s">
        <v>149</v>
      </c>
      <c r="GD8295" s="1" t="s">
        <v>202</v>
      </c>
      <c r="GE8295" s="1" t="s">
        <v>11664</v>
      </c>
    </row>
    <row r="8296" spans="1:187" ht="11.25" customHeight="1">
      <c r="A8296" s="1" t="s">
        <v>11665</v>
      </c>
      <c r="B8296" s="1" t="str">
        <f ca="1">IFERROR(__xludf.DUMMYFUNCTION("GOOGLETRANSLATE(A8296, ""en"", ""fr"")"),"Rare # 2")</f>
        <v>Rare # 2</v>
      </c>
      <c r="C8296" s="1" t="s">
        <v>185</v>
      </c>
      <c r="X8296" s="1" t="s">
        <v>20</v>
      </c>
      <c r="CW8296" s="1" t="s">
        <v>97</v>
      </c>
      <c r="GB8296" s="1" t="s">
        <v>180</v>
      </c>
      <c r="GD8296" s="1" t="s">
        <v>236</v>
      </c>
      <c r="GE8296" s="1" t="s">
        <v>11666</v>
      </c>
    </row>
    <row r="8297" spans="1:187" ht="11.25" customHeight="1">
      <c r="A8297" s="1" t="s">
        <v>11667</v>
      </c>
      <c r="B8297" s="1" t="str">
        <f ca="1">IFERROR(__xludf.DUMMYFUNCTION("GOOGLETRANSLATE(A8297, ""en"", ""fr"")"),"Rare # 3")</f>
        <v>Rare # 3</v>
      </c>
      <c r="C8297" s="1" t="s">
        <v>185</v>
      </c>
      <c r="U8297" s="1" t="s">
        <v>17</v>
      </c>
      <c r="W8297" s="1" t="s">
        <v>19</v>
      </c>
      <c r="CN8297" s="1" t="s">
        <v>88</v>
      </c>
      <c r="GD8297" s="1" t="s">
        <v>202</v>
      </c>
      <c r="GE8297" s="1" t="s">
        <v>11668</v>
      </c>
    </row>
    <row r="8298" spans="1:187" ht="11.25" customHeight="1">
      <c r="A8298" s="1" t="s">
        <v>11669</v>
      </c>
      <c r="B8298" s="1" t="str">
        <f ca="1">IFERROR(__xludf.DUMMYFUNCTION("GOOGLETRANSLATE(A8298, ""en"", ""fr"")"),"COQUIN")</f>
        <v>COQUIN</v>
      </c>
      <c r="C8298" s="1" t="s">
        <v>185</v>
      </c>
      <c r="E8298" s="1" t="s">
        <v>16613</v>
      </c>
      <c r="V8298" s="1" t="s">
        <v>18</v>
      </c>
      <c r="AT8298" s="1" t="s">
        <v>42</v>
      </c>
      <c r="EM8298" s="1" t="s">
        <v>139</v>
      </c>
      <c r="EN8298" s="1" t="s">
        <v>140</v>
      </c>
      <c r="GD8298" s="1" t="s">
        <v>193</v>
      </c>
      <c r="GE8298" s="1" t="s">
        <v>190</v>
      </c>
    </row>
    <row r="8299" spans="1:187" ht="11.25" customHeight="1">
      <c r="A8299" s="1" t="s">
        <v>11670</v>
      </c>
      <c r="B8299" s="1" t="str">
        <f ca="1">IFERROR(__xludf.DUMMYFUNCTION("GOOGLETRANSLATE(A8299, ""en"", ""fr"")"),"ÉRUPTION CUTANÉE")</f>
        <v>ÉRUPTION CUTANÉE</v>
      </c>
      <c r="C8299" s="1" t="s">
        <v>192</v>
      </c>
      <c r="E8299" s="1" t="s">
        <v>16613</v>
      </c>
      <c r="V8299" s="1" t="s">
        <v>18</v>
      </c>
      <c r="BT8299" s="1" t="s">
        <v>68</v>
      </c>
      <c r="CG8299" s="1" t="s">
        <v>81</v>
      </c>
      <c r="DR8299" s="1" t="s">
        <v>118</v>
      </c>
      <c r="GD8299" s="1" t="s">
        <v>202</v>
      </c>
      <c r="GE8299" s="1" t="s">
        <v>190</v>
      </c>
    </row>
    <row r="8300" spans="1:187" ht="11.25" customHeight="1">
      <c r="A8300" s="1" t="s">
        <v>11671</v>
      </c>
      <c r="B8300" s="1" t="str">
        <f ca="1">IFERROR(__xludf.DUMMYFUNCTION("GOOGLETRANSLATE(A8300, ""en"", ""fr"")"),"RAT")</f>
        <v>RAT</v>
      </c>
      <c r="C8300" s="1" t="s">
        <v>192</v>
      </c>
      <c r="E8300" s="1" t="s">
        <v>16613</v>
      </c>
      <c r="V8300" s="1" t="s">
        <v>18</v>
      </c>
      <c r="AT8300" s="1" t="s">
        <v>42</v>
      </c>
      <c r="BK8300" s="1" t="s">
        <v>59</v>
      </c>
      <c r="GD8300" s="1" t="s">
        <v>193</v>
      </c>
      <c r="GE8300" s="1" t="s">
        <v>190</v>
      </c>
    </row>
    <row r="8301" spans="1:187" ht="11.25" customHeight="1">
      <c r="A8301" s="1" t="s">
        <v>11672</v>
      </c>
      <c r="B8301" s="1" t="str">
        <f ca="1">IFERROR(__xludf.DUMMYFUNCTION("GOOGLETRANSLATE(A8301, ""en"", ""fr"")"),"Taux n ° 1")</f>
        <v>Taux n ° 1</v>
      </c>
      <c r="C8301" s="1" t="s">
        <v>185</v>
      </c>
      <c r="AC8301" s="1" t="s">
        <v>25</v>
      </c>
      <c r="BK8301" s="1" t="s">
        <v>59</v>
      </c>
      <c r="BL8301" s="1" t="s">
        <v>60</v>
      </c>
      <c r="EV8301" s="1" t="s">
        <v>148</v>
      </c>
      <c r="EW8301" s="1" t="s">
        <v>149</v>
      </c>
      <c r="GC8301" s="1" t="s">
        <v>181</v>
      </c>
      <c r="GD8301" s="1" t="s">
        <v>193</v>
      </c>
      <c r="GE8301" s="1" t="s">
        <v>190</v>
      </c>
    </row>
    <row r="8302" spans="1:187" ht="11.25" customHeight="1">
      <c r="A8302" s="1" t="s">
        <v>11673</v>
      </c>
      <c r="B8302" s="1" t="str">
        <f ca="1">IFERROR(__xludf.DUMMYFUNCTION("GOOGLETRANSLATE(A8302, ""en"", ""fr"")"),"Taux n ° 2")</f>
        <v>Taux n ° 2</v>
      </c>
      <c r="C8302" s="1" t="s">
        <v>185</v>
      </c>
      <c r="N8302" s="1" t="s">
        <v>10</v>
      </c>
      <c r="CO8302" s="1" t="s">
        <v>89</v>
      </c>
      <c r="DN8302" s="1" t="s">
        <v>114</v>
      </c>
      <c r="FD8302" s="1" t="s">
        <v>156</v>
      </c>
      <c r="FI8302" s="1" t="s">
        <v>161</v>
      </c>
      <c r="GD8302" s="1" t="s">
        <v>189</v>
      </c>
      <c r="GE8302" s="1" t="s">
        <v>190</v>
      </c>
    </row>
    <row r="8303" spans="1:187" ht="11.25" customHeight="1">
      <c r="A8303" s="1" t="s">
        <v>11674</v>
      </c>
      <c r="B8303" s="1" t="str">
        <f ca="1">IFERROR(__xludf.DUMMYFUNCTION("GOOGLETRANSLATE(A8303, ""en"", ""fr"")"),"Plutôt # 1")</f>
        <v>Plutôt # 1</v>
      </c>
      <c r="C8303" s="1" t="s">
        <v>185</v>
      </c>
      <c r="CH8303" s="1" t="s">
        <v>82</v>
      </c>
      <c r="DL8303" s="1" t="s">
        <v>112</v>
      </c>
      <c r="GD8303" s="1" t="s">
        <v>236</v>
      </c>
      <c r="GE8303" s="1" t="s">
        <v>11675</v>
      </c>
    </row>
    <row r="8304" spans="1:187" ht="11.25" customHeight="1">
      <c r="A8304" s="1" t="s">
        <v>11676</v>
      </c>
      <c r="B8304" s="1" t="str">
        <f ca="1">IFERROR(__xludf.DUMMYFUNCTION("GOOGLETRANSLATE(A8304, ""en"", ""fr"")"),"Plutôt # 2")</f>
        <v>Plutôt # 2</v>
      </c>
      <c r="C8304" s="1" t="s">
        <v>185</v>
      </c>
      <c r="X8304" s="1" t="s">
        <v>20</v>
      </c>
      <c r="CS8304" s="1" t="s">
        <v>93</v>
      </c>
      <c r="GD8304" s="1" t="s">
        <v>236</v>
      </c>
      <c r="GE8304" s="1" t="s">
        <v>11677</v>
      </c>
    </row>
    <row r="8305" spans="1:187" ht="11.25" customHeight="1">
      <c r="A8305" s="1" t="s">
        <v>11678</v>
      </c>
      <c r="B8305" s="1" t="str">
        <f ca="1">IFERROR(__xludf.DUMMYFUNCTION("GOOGLETRANSLATE(A8305, ""en"", ""fr"")"),"Plutôt # 3")</f>
        <v>Plutôt # 3</v>
      </c>
      <c r="C8305" s="1" t="s">
        <v>185</v>
      </c>
      <c r="U8305" s="1" t="s">
        <v>17</v>
      </c>
      <c r="GD8305" s="1" t="s">
        <v>236</v>
      </c>
      <c r="GE8305" s="1" t="s">
        <v>11679</v>
      </c>
    </row>
    <row r="8306" spans="1:187" ht="11.25" customHeight="1">
      <c r="A8306" s="1" t="s">
        <v>11680</v>
      </c>
      <c r="B8306" s="1" t="str">
        <f ca="1">IFERROR(__xludf.DUMMYFUNCTION("GOOGLETRANSLATE(A8306, ""en"", ""fr"")"),"Plutôt # 4")</f>
        <v>Plutôt # 4</v>
      </c>
      <c r="C8306" s="1" t="s">
        <v>185</v>
      </c>
      <c r="W8306" s="1" t="s">
        <v>19</v>
      </c>
      <c r="CH8306" s="1" t="s">
        <v>82</v>
      </c>
      <c r="FY8306" s="1" t="s">
        <v>177</v>
      </c>
      <c r="GD8306" s="1" t="s">
        <v>236</v>
      </c>
      <c r="GE8306" s="1" t="s">
        <v>11681</v>
      </c>
    </row>
    <row r="8307" spans="1:187" ht="11.25" customHeight="1">
      <c r="A8307" s="1" t="s">
        <v>11682</v>
      </c>
      <c r="B8307" s="1" t="str">
        <f ca="1">IFERROR(__xludf.DUMMYFUNCTION("GOOGLETRANSLATE(A8307, ""en"", ""fr"")"),"RATIFICATION")</f>
        <v>RATIFICATION</v>
      </c>
      <c r="C8307" s="1" t="s">
        <v>196</v>
      </c>
      <c r="EB8307" s="1" t="s">
        <v>128</v>
      </c>
      <c r="ED8307" s="1" t="s">
        <v>130</v>
      </c>
      <c r="GD8307" s="1" t="s">
        <v>470</v>
      </c>
    </row>
    <row r="8308" spans="1:187" ht="11.25" customHeight="1">
      <c r="A8308" s="1" t="s">
        <v>11683</v>
      </c>
      <c r="B8308" s="1" t="str">
        <f ca="1">IFERROR(__xludf.DUMMYFUNCTION("GOOGLETRANSLATE(A8308, ""en"", ""fr"")"),"RATIFIER")</f>
        <v>RATIFIER</v>
      </c>
      <c r="C8308" s="1" t="s">
        <v>196</v>
      </c>
      <c r="EB8308" s="1" t="s">
        <v>128</v>
      </c>
      <c r="ED8308" s="1" t="s">
        <v>130</v>
      </c>
      <c r="GD8308" s="1" t="s">
        <v>11684</v>
      </c>
    </row>
    <row r="8309" spans="1:187" ht="11.25" customHeight="1">
      <c r="A8309" s="1" t="s">
        <v>11685</v>
      </c>
      <c r="B8309" s="1" t="str">
        <f ca="1">IFERROR(__xludf.DUMMYFUNCTION("GOOGLETRANSLATE(A8309, ""en"", ""fr"")"),"RAPPORT")</f>
        <v>RAPPORT</v>
      </c>
      <c r="C8309" s="1" t="s">
        <v>185</v>
      </c>
      <c r="CS8309" s="1" t="s">
        <v>93</v>
      </c>
      <c r="GD8309" s="1" t="s">
        <v>193</v>
      </c>
      <c r="GE8309" s="1" t="s">
        <v>190</v>
      </c>
    </row>
    <row r="8310" spans="1:187" ht="11.25" customHeight="1">
      <c r="A8310" s="1" t="s">
        <v>11686</v>
      </c>
      <c r="B8310" s="1" t="str">
        <f ca="1">IFERROR(__xludf.DUMMYFUNCTION("GOOGLETRANSLATE(A8310, ""en"", ""fr"")"),"RATION")</f>
        <v>RATION</v>
      </c>
      <c r="C8310" s="1" t="s">
        <v>192</v>
      </c>
      <c r="E8310" s="1" t="s">
        <v>16613</v>
      </c>
      <c r="N8310" s="1" t="s">
        <v>10</v>
      </c>
      <c r="BY8310" s="1" t="s">
        <v>73</v>
      </c>
      <c r="DN8310" s="1" t="s">
        <v>114</v>
      </c>
      <c r="GD8310" s="1" t="s">
        <v>189</v>
      </c>
      <c r="GE8310" s="1" t="s">
        <v>190</v>
      </c>
    </row>
    <row r="8311" spans="1:187" ht="11.25" customHeight="1">
      <c r="A8311" s="1" t="s">
        <v>11687</v>
      </c>
      <c r="B8311" s="1" t="str">
        <f ca="1">IFERROR(__xludf.DUMMYFUNCTION("GOOGLETRANSLATE(A8311, ""en"", ""fr"")"),"RATIONNEL")</f>
        <v>RATIONNEL</v>
      </c>
      <c r="C8311" s="1" t="s">
        <v>185</v>
      </c>
      <c r="D8311" s="1" t="s">
        <v>16612</v>
      </c>
      <c r="F8311" s="1" t="s">
        <v>2</v>
      </c>
      <c r="U8311" s="1" t="s">
        <v>17</v>
      </c>
      <c r="Y8311" s="1" t="s">
        <v>21</v>
      </c>
      <c r="CN8311" s="1" t="s">
        <v>88</v>
      </c>
      <c r="FL8311" s="1" t="s">
        <v>164</v>
      </c>
      <c r="FM8311" s="1" t="s">
        <v>418</v>
      </c>
      <c r="GD8311" s="1" t="s">
        <v>202</v>
      </c>
      <c r="GE8311" s="1" t="s">
        <v>190</v>
      </c>
    </row>
    <row r="8312" spans="1:187" ht="11.25" customHeight="1">
      <c r="A8312" s="1" t="s">
        <v>11688</v>
      </c>
      <c r="B8312" s="1" t="str">
        <f ca="1">IFERROR(__xludf.DUMMYFUNCTION("GOOGLETRANSLATE(A8312, ""en"", ""fr"")"),"RATIONALISER")</f>
        <v>RATIONALISER</v>
      </c>
      <c r="C8312" s="1" t="s">
        <v>196</v>
      </c>
      <c r="FH8312" s="1" t="s">
        <v>160</v>
      </c>
      <c r="FI8312" s="1" t="s">
        <v>161</v>
      </c>
      <c r="GD8312" s="1" t="s">
        <v>193</v>
      </c>
    </row>
    <row r="8313" spans="1:187" ht="11.25" customHeight="1">
      <c r="A8313" s="1" t="s">
        <v>11689</v>
      </c>
      <c r="B8313" s="1" t="str">
        <f ca="1">IFERROR(__xludf.DUMMYFUNCTION("GOOGLETRANSLATE(A8313, ""en"", ""fr"")"),"Hochet n ° 1")</f>
        <v>Hochet n ° 1</v>
      </c>
      <c r="C8313" s="1" t="s">
        <v>185</v>
      </c>
      <c r="BC8313" s="1" t="s">
        <v>51</v>
      </c>
      <c r="BD8313" s="1" t="s">
        <v>52</v>
      </c>
      <c r="ER8313" s="1" t="s">
        <v>144</v>
      </c>
      <c r="ES8313" s="1" t="s">
        <v>145</v>
      </c>
      <c r="GD8313" s="1" t="s">
        <v>193</v>
      </c>
      <c r="GE8313" s="1" t="s">
        <v>190</v>
      </c>
    </row>
    <row r="8314" spans="1:187" ht="11.25" customHeight="1">
      <c r="A8314" s="1" t="s">
        <v>11690</v>
      </c>
      <c r="B8314" s="1" t="str">
        <f ca="1">IFERROR(__xludf.DUMMYFUNCTION("GOOGLETRANSLATE(A8314, ""en"", ""fr"")"),"Hochet # 2")</f>
        <v>Hochet # 2</v>
      </c>
      <c r="C8314" s="1" t="s">
        <v>185</v>
      </c>
      <c r="E8314" s="1" t="s">
        <v>16613</v>
      </c>
      <c r="H8314" s="1" t="s">
        <v>4</v>
      </c>
      <c r="J8314" s="1" t="s">
        <v>6</v>
      </c>
      <c r="CC8314" s="1" t="s">
        <v>77</v>
      </c>
      <c r="DN8314" s="1" t="s">
        <v>114</v>
      </c>
      <c r="FP8314" s="1" t="s">
        <v>168</v>
      </c>
      <c r="GD8314" s="1" t="s">
        <v>189</v>
      </c>
      <c r="GE8314" s="1" t="s">
        <v>190</v>
      </c>
    </row>
    <row r="8315" spans="1:187" ht="11.25" customHeight="1">
      <c r="A8315" s="1" t="s">
        <v>11691</v>
      </c>
      <c r="B8315" s="1" t="str">
        <f ca="1">IFERROR(__xludf.DUMMYFUNCTION("GOOGLETRANSLATE(A8315, ""en"", ""fr"")"),"RAVAGER")</f>
        <v>RAVAGER</v>
      </c>
      <c r="C8315" s="1" t="s">
        <v>185</v>
      </c>
      <c r="E8315" s="1" t="s">
        <v>16613</v>
      </c>
      <c r="I8315" s="1" t="s">
        <v>5</v>
      </c>
      <c r="N8315" s="1" t="s">
        <v>10</v>
      </c>
      <c r="CD8315" s="1" t="s">
        <v>78</v>
      </c>
      <c r="DN8315" s="1" t="s">
        <v>114</v>
      </c>
      <c r="FO8315" s="1" t="s">
        <v>167</v>
      </c>
      <c r="GD8315" s="1" t="s">
        <v>189</v>
      </c>
      <c r="GE8315" s="1" t="s">
        <v>190</v>
      </c>
    </row>
    <row r="8316" spans="1:187" ht="11.25" customHeight="1">
      <c r="A8316" s="1" t="s">
        <v>11692</v>
      </c>
      <c r="B8316" s="1" t="str">
        <f ca="1">IFERROR(__xludf.DUMMYFUNCTION("GOOGLETRANSLATE(A8316, ""en"", ""fr"")"),"DÉLIRER")</f>
        <v>DÉLIRER</v>
      </c>
      <c r="C8316" s="1" t="s">
        <v>192</v>
      </c>
      <c r="D8316" s="1" t="s">
        <v>16612</v>
      </c>
      <c r="G8316" s="1" t="s">
        <v>3</v>
      </c>
      <c r="J8316" s="1" t="s">
        <v>6</v>
      </c>
      <c r="N8316" s="1" t="s">
        <v>10</v>
      </c>
      <c r="BK8316" s="1" t="s">
        <v>59</v>
      </c>
      <c r="DN8316" s="1" t="s">
        <v>114</v>
      </c>
      <c r="GD8316" s="1" t="s">
        <v>189</v>
      </c>
      <c r="GE8316" s="1" t="s">
        <v>190</v>
      </c>
    </row>
    <row r="8317" spans="1:187" ht="11.25" customHeight="1">
      <c r="A8317" s="1" t="s">
        <v>11693</v>
      </c>
      <c r="B8317" s="1" t="str">
        <f ca="1">IFERROR(__xludf.DUMMYFUNCTION("GOOGLETRANSLATE(A8317, ""en"", ""fr"")"),"BRUT")</f>
        <v>BRUT</v>
      </c>
      <c r="C8317" s="1" t="s">
        <v>185</v>
      </c>
      <c r="J8317" s="1" t="s">
        <v>6</v>
      </c>
      <c r="CR8317" s="1" t="s">
        <v>92</v>
      </c>
      <c r="GD8317" s="1" t="s">
        <v>202</v>
      </c>
      <c r="GE8317" s="1" t="s">
        <v>190</v>
      </c>
    </row>
    <row r="8318" spans="1:187" ht="11.25" customHeight="1">
      <c r="A8318" s="1" t="s">
        <v>11694</v>
      </c>
      <c r="B8318" s="1" t="str">
        <f ca="1">IFERROR(__xludf.DUMMYFUNCTION("GOOGLETRANSLATE(A8318, ""en"", ""fr"")"),"LE RASOIR")</f>
        <v>LE RASOIR</v>
      </c>
      <c r="C8318" s="1" t="s">
        <v>185</v>
      </c>
      <c r="BC8318" s="1" t="s">
        <v>51</v>
      </c>
      <c r="BD8318" s="1" t="s">
        <v>52</v>
      </c>
      <c r="GD8318" s="1" t="s">
        <v>193</v>
      </c>
      <c r="GE8318" s="1" t="s">
        <v>190</v>
      </c>
    </row>
    <row r="8319" spans="1:187" ht="11.25" customHeight="1">
      <c r="A8319" s="1" t="s">
        <v>11695</v>
      </c>
      <c r="B8319" s="1" t="str">
        <f ca="1">IFERROR(__xludf.DUMMYFUNCTION("GOOGLETRANSLATE(A8319, ""en"", ""fr"")"),"RÉTABLIR")</f>
        <v>RÉTABLIR</v>
      </c>
      <c r="C8319" s="1" t="s">
        <v>196</v>
      </c>
      <c r="FP8319" s="1" t="s">
        <v>168</v>
      </c>
      <c r="GD8319" s="1" t="s">
        <v>189</v>
      </c>
    </row>
    <row r="8320" spans="1:187" ht="11.25" customHeight="1">
      <c r="A8320" s="1" t="s">
        <v>11696</v>
      </c>
      <c r="B8320" s="1" t="str">
        <f ca="1">IFERROR(__xludf.DUMMYFUNCTION("GOOGLETRANSLATE(A8320, ""en"", ""fr"")"),"RÉTABLISSEMENT")</f>
        <v>RÉTABLISSEMENT</v>
      </c>
      <c r="C8320" s="1" t="s">
        <v>196</v>
      </c>
      <c r="FP8320" s="1" t="s">
        <v>168</v>
      </c>
      <c r="GD8320" s="1" t="s">
        <v>193</v>
      </c>
    </row>
    <row r="8321" spans="1:187" ht="11.25" customHeight="1">
      <c r="A8321" s="1" t="s">
        <v>11697</v>
      </c>
      <c r="B8321" s="1" t="str">
        <f ca="1">IFERROR(__xludf.DUMMYFUNCTION("GOOGLETRANSLATE(A8321, ""en"", ""fr"")"),"Atteindre le n ° 1")</f>
        <v>Atteindre le n ° 1</v>
      </c>
      <c r="C8321" s="1" t="s">
        <v>185</v>
      </c>
      <c r="J8321" s="1" t="s">
        <v>6</v>
      </c>
      <c r="N8321" s="1" t="s">
        <v>10</v>
      </c>
      <c r="BS8321" s="1" t="s">
        <v>67</v>
      </c>
      <c r="DN8321" s="1" t="s">
        <v>114</v>
      </c>
      <c r="FP8321" s="1" t="s">
        <v>168</v>
      </c>
      <c r="GD8321" s="1" t="s">
        <v>189</v>
      </c>
      <c r="GE8321" s="1" t="s">
        <v>11698</v>
      </c>
    </row>
    <row r="8322" spans="1:187" ht="11.25" customHeight="1">
      <c r="A8322" s="1" t="s">
        <v>11699</v>
      </c>
      <c r="B8322" s="1" t="str">
        <f ca="1">IFERROR(__xludf.DUMMYFUNCTION("GOOGLETRANSLATE(A8322, ""en"", ""fr"")"),"RECHERCHE # 2")</f>
        <v>RECHERCHE # 2</v>
      </c>
      <c r="C8322" s="1" t="s">
        <v>185</v>
      </c>
      <c r="N8322" s="1" t="s">
        <v>10</v>
      </c>
      <c r="BK8322" s="1" t="s">
        <v>59</v>
      </c>
      <c r="DN8322" s="1" t="s">
        <v>114</v>
      </c>
      <c r="FH8322" s="1" t="s">
        <v>160</v>
      </c>
      <c r="FI8322" s="1" t="s">
        <v>161</v>
      </c>
      <c r="GD8322" s="1" t="s">
        <v>189</v>
      </c>
      <c r="GE8322" s="1" t="s">
        <v>11700</v>
      </c>
    </row>
    <row r="8323" spans="1:187" ht="11.25" customHeight="1">
      <c r="A8323" s="1" t="s">
        <v>11701</v>
      </c>
      <c r="B8323" s="1" t="str">
        <f ca="1">IFERROR(__xludf.DUMMYFUNCTION("GOOGLETRANSLATE(A8323, ""en"", ""fr"")"),"RECHERCHE # 3")</f>
        <v>RECHERCHE # 3</v>
      </c>
      <c r="C8323" s="1" t="s">
        <v>185</v>
      </c>
      <c r="N8323" s="1" t="s">
        <v>10</v>
      </c>
      <c r="CD8323" s="1" t="s">
        <v>78</v>
      </c>
      <c r="DO8323" s="1" t="s">
        <v>115</v>
      </c>
      <c r="FP8323" s="1" t="s">
        <v>168</v>
      </c>
      <c r="GD8323" s="1" t="s">
        <v>189</v>
      </c>
      <c r="GE8323" s="1" t="s">
        <v>11702</v>
      </c>
    </row>
    <row r="8324" spans="1:187" ht="11.25" customHeight="1">
      <c r="A8324" s="1" t="s">
        <v>11703</v>
      </c>
      <c r="B8324" s="1" t="str">
        <f ca="1">IFERROR(__xludf.DUMMYFUNCTION("GOOGLETRANSLATE(A8324, ""en"", ""fr"")"),"RECHERCHE # 4")</f>
        <v>RECHERCHE # 4</v>
      </c>
      <c r="C8324" s="1" t="s">
        <v>185</v>
      </c>
      <c r="CQ8324" s="1" t="s">
        <v>91</v>
      </c>
      <c r="CX8324" s="1" t="s">
        <v>98</v>
      </c>
      <c r="DA8324" s="1" t="s">
        <v>101</v>
      </c>
      <c r="GD8324" s="1" t="s">
        <v>193</v>
      </c>
      <c r="GE8324" s="1" t="s">
        <v>11704</v>
      </c>
    </row>
    <row r="8325" spans="1:187" ht="11.25" customHeight="1">
      <c r="A8325" s="1" t="s">
        <v>11705</v>
      </c>
      <c r="B8325" s="1" t="str">
        <f ca="1">IFERROR(__xludf.DUMMYFUNCTION("GOOGLETRANSLATE(A8325, ""en"", ""fr"")"),"RÉAGIR")</f>
        <v>RÉAGIR</v>
      </c>
      <c r="C8325" s="1" t="s">
        <v>185</v>
      </c>
      <c r="M8325" s="1" t="s">
        <v>9</v>
      </c>
      <c r="O8325" s="1" t="s">
        <v>11</v>
      </c>
      <c r="AN8325" s="1" t="s">
        <v>36</v>
      </c>
      <c r="DN8325" s="1" t="s">
        <v>114</v>
      </c>
      <c r="FP8325" s="1" t="s">
        <v>168</v>
      </c>
      <c r="GD8325" s="1" t="s">
        <v>189</v>
      </c>
      <c r="GE8325" s="1" t="s">
        <v>190</v>
      </c>
    </row>
    <row r="8326" spans="1:187" ht="11.25" customHeight="1">
      <c r="A8326" s="1" t="s">
        <v>11706</v>
      </c>
      <c r="B8326" s="1" t="str">
        <f ca="1">IFERROR(__xludf.DUMMYFUNCTION("GOOGLETRANSLATE(A8326, ""en"", ""fr"")"),"RÉACTION")</f>
        <v>RÉACTION</v>
      </c>
      <c r="C8326" s="1" t="s">
        <v>185</v>
      </c>
      <c r="M8326" s="1" t="s">
        <v>9</v>
      </c>
      <c r="O8326" s="1" t="s">
        <v>11</v>
      </c>
      <c r="BK8326" s="1" t="s">
        <v>59</v>
      </c>
      <c r="FP8326" s="1" t="s">
        <v>168</v>
      </c>
      <c r="GD8326" s="1" t="s">
        <v>193</v>
      </c>
      <c r="GE8326" s="1" t="s">
        <v>11707</v>
      </c>
    </row>
    <row r="8327" spans="1:187" ht="11.25" customHeight="1">
      <c r="A8327" s="1" t="s">
        <v>11708</v>
      </c>
      <c r="B8327" s="1" t="str">
        <f ca="1">IFERROR(__xludf.DUMMYFUNCTION("GOOGLETRANSLATE(A8327, ""en"", ""fr"")"),"RÉACTIONNAIRE")</f>
        <v>RÉACTIONNAIRE</v>
      </c>
      <c r="C8327" s="1" t="s">
        <v>185</v>
      </c>
      <c r="E8327" s="1" t="s">
        <v>16613</v>
      </c>
      <c r="H8327" s="1" t="s">
        <v>4</v>
      </c>
      <c r="O8327" s="1" t="s">
        <v>11</v>
      </c>
      <c r="Z8327" s="1" t="s">
        <v>22</v>
      </c>
      <c r="AG8327" s="1" t="s">
        <v>29</v>
      </c>
      <c r="AH8327" s="1" t="s">
        <v>30</v>
      </c>
      <c r="FW8327" s="1" t="s">
        <v>175</v>
      </c>
      <c r="GD8327" s="1" t="s">
        <v>202</v>
      </c>
      <c r="GE8327" s="1" t="s">
        <v>190</v>
      </c>
    </row>
    <row r="8328" spans="1:187" ht="11.25" customHeight="1">
      <c r="A8328" s="1" t="s">
        <v>11709</v>
      </c>
      <c r="B8328" s="1" t="str">
        <f ca="1">IFERROR(__xludf.DUMMYFUNCTION("GOOGLETRANSLATE(A8328, ""en"", ""fr"")"),"RÉACTIVER")</f>
        <v>RÉACTIVER</v>
      </c>
      <c r="C8328" s="1" t="s">
        <v>196</v>
      </c>
      <c r="FP8328" s="1" t="s">
        <v>168</v>
      </c>
      <c r="GD8328" s="1" t="s">
        <v>189</v>
      </c>
    </row>
    <row r="8329" spans="1:187" ht="11.25" customHeight="1">
      <c r="A8329" s="1" t="s">
        <v>11710</v>
      </c>
      <c r="B8329" s="1" t="str">
        <f ca="1">IFERROR(__xludf.DUMMYFUNCTION("GOOGLETRANSLATE(A8329, ""en"", ""fr"")"),"RÉACTIF")</f>
        <v>RÉACTIF</v>
      </c>
      <c r="C8329" s="1" t="s">
        <v>192</v>
      </c>
      <c r="E8329" s="1" t="s">
        <v>16613</v>
      </c>
      <c r="I8329" s="1" t="s">
        <v>5</v>
      </c>
      <c r="N8329" s="1" t="s">
        <v>10</v>
      </c>
      <c r="DQ8329" s="1" t="s">
        <v>117</v>
      </c>
      <c r="GD8329" s="1" t="s">
        <v>202</v>
      </c>
      <c r="GE8329" s="1" t="s">
        <v>190</v>
      </c>
    </row>
    <row r="8330" spans="1:187" ht="11.25" customHeight="1">
      <c r="A8330" s="1" t="s">
        <v>11711</v>
      </c>
      <c r="B8330" s="1" t="str">
        <f ca="1">IFERROR(__xludf.DUMMYFUNCTION("GOOGLETRANSLATE(A8330, ""en"", ""fr"")"),"Lire n ° 1")</f>
        <v>Lire n ° 1</v>
      </c>
      <c r="C8330" s="1" t="s">
        <v>185</v>
      </c>
      <c r="BK8330" s="1" t="s">
        <v>59</v>
      </c>
      <c r="DO8330" s="1" t="s">
        <v>115</v>
      </c>
      <c r="FD8330" s="1" t="s">
        <v>156</v>
      </c>
      <c r="FI8330" s="1" t="s">
        <v>161</v>
      </c>
      <c r="GD8330" s="1" t="s">
        <v>189</v>
      </c>
      <c r="GE8330" s="1" t="s">
        <v>11712</v>
      </c>
    </row>
    <row r="8331" spans="1:187" ht="11.25" customHeight="1">
      <c r="A8331" s="1" t="s">
        <v>11713</v>
      </c>
      <c r="B8331" s="1" t="str">
        <f ca="1">IFERROR(__xludf.DUMMYFUNCTION("GOOGLETRANSLATE(A8331, ""en"", ""fr"")"),"Lire n ° 2")</f>
        <v>Lire n ° 2</v>
      </c>
      <c r="C8331" s="1" t="s">
        <v>185</v>
      </c>
      <c r="Y8331" s="1" t="s">
        <v>21</v>
      </c>
      <c r="BK8331" s="1" t="s">
        <v>59</v>
      </c>
      <c r="BL8331" s="1" t="s">
        <v>60</v>
      </c>
      <c r="FH8331" s="1" t="s">
        <v>160</v>
      </c>
      <c r="FI8331" s="1" t="s">
        <v>161</v>
      </c>
      <c r="GC8331" s="1" t="s">
        <v>181</v>
      </c>
      <c r="GD8331" s="1" t="s">
        <v>193</v>
      </c>
      <c r="GE8331" s="1" t="s">
        <v>11714</v>
      </c>
    </row>
    <row r="8332" spans="1:187" ht="11.25" customHeight="1">
      <c r="A8332" s="1" t="s">
        <v>11715</v>
      </c>
      <c r="B8332" s="1" t="str">
        <f ca="1">IFERROR(__xludf.DUMMYFUNCTION("GOOGLETRANSLATE(A8332, ""en"", ""fr"")"),"Lire # 3")</f>
        <v>Lire # 3</v>
      </c>
      <c r="C8332" s="1" t="s">
        <v>185</v>
      </c>
      <c r="CK8332" s="1" t="s">
        <v>85</v>
      </c>
      <c r="DN8332" s="1" t="s">
        <v>114</v>
      </c>
      <c r="FD8332" s="1" t="s">
        <v>156</v>
      </c>
      <c r="FI8332" s="1" t="s">
        <v>161</v>
      </c>
      <c r="GD8332" s="1" t="s">
        <v>189</v>
      </c>
      <c r="GE8332" s="1" t="s">
        <v>11716</v>
      </c>
    </row>
    <row r="8333" spans="1:187" ht="11.25" customHeight="1">
      <c r="A8333" s="1" t="s">
        <v>11717</v>
      </c>
      <c r="B8333" s="1" t="str">
        <f ca="1">IFERROR(__xludf.DUMMYFUNCTION("GOOGLETRANSLATE(A8333, ""en"", ""fr"")"),"LECTEUR")</f>
        <v>LECTEUR</v>
      </c>
      <c r="C8333" s="1" t="s">
        <v>185</v>
      </c>
      <c r="AJ8333" s="1" t="s">
        <v>32</v>
      </c>
      <c r="AT8333" s="1" t="s">
        <v>42</v>
      </c>
      <c r="FG8333" s="1" t="s">
        <v>159</v>
      </c>
      <c r="FI8333" s="1" t="s">
        <v>161</v>
      </c>
      <c r="GD8333" s="1" t="s">
        <v>193</v>
      </c>
      <c r="GE8333" s="1" t="s">
        <v>11718</v>
      </c>
    </row>
    <row r="8334" spans="1:187" ht="11.25" customHeight="1">
      <c r="A8334" s="1" t="s">
        <v>11719</v>
      </c>
      <c r="B8334" s="1" t="str">
        <f ca="1">IFERROR(__xludf.DUMMYFUNCTION("GOOGLETRANSLATE(A8334, ""en"", ""fr"")"),"FACILEMENT")</f>
        <v>FACILEMENT</v>
      </c>
      <c r="C8334" s="1" t="s">
        <v>192</v>
      </c>
      <c r="D8334" s="1" t="s">
        <v>16612</v>
      </c>
      <c r="W8334" s="1" t="s">
        <v>19</v>
      </c>
      <c r="GD8334" s="1" t="s">
        <v>202</v>
      </c>
      <c r="GE8334" s="1" t="s">
        <v>190</v>
      </c>
    </row>
    <row r="8335" spans="1:187" ht="11.25" customHeight="1">
      <c r="A8335" s="1" t="s">
        <v>11720</v>
      </c>
      <c r="B8335" s="1" t="str">
        <f ca="1">IFERROR(__xludf.DUMMYFUNCTION("GOOGLETRANSLATE(A8335, ""en"", ""fr"")"),"Volonté")</f>
        <v>Volonté</v>
      </c>
      <c r="C8335" s="1" t="s">
        <v>185</v>
      </c>
      <c r="J8335" s="1" t="s">
        <v>6</v>
      </c>
      <c r="S8335" s="1" t="s">
        <v>15</v>
      </c>
      <c r="GD8335" s="1" t="s">
        <v>193</v>
      </c>
      <c r="GE8335" s="1" t="s">
        <v>190</v>
      </c>
    </row>
    <row r="8336" spans="1:187" ht="11.25" customHeight="1">
      <c r="A8336" s="1" t="s">
        <v>11721</v>
      </c>
      <c r="B8336" s="1" t="str">
        <f ca="1">IFERROR(__xludf.DUMMYFUNCTION("GOOGLETRANSLATE(A8336, ""en"", ""fr"")"),"RÉAJUSTEMENT")</f>
        <v>RÉAJUSTEMENT</v>
      </c>
      <c r="C8336" s="1" t="s">
        <v>196</v>
      </c>
      <c r="FP8336" s="1" t="s">
        <v>168</v>
      </c>
      <c r="GD8336" s="1" t="s">
        <v>193</v>
      </c>
    </row>
    <row r="8337" spans="1:187" ht="11.25" customHeight="1">
      <c r="A8337" s="1" t="s">
        <v>11722</v>
      </c>
      <c r="B8337" s="1" t="str">
        <f ca="1">IFERROR(__xludf.DUMMYFUNCTION("GOOGLETRANSLATE(A8337, ""en"", ""fr"")"),"Prêt # 1")</f>
        <v>Prêt # 1</v>
      </c>
      <c r="C8337" s="1" t="s">
        <v>185</v>
      </c>
      <c r="J8337" s="1" t="s">
        <v>6</v>
      </c>
      <c r="BQ8337" s="1" t="s">
        <v>65</v>
      </c>
      <c r="GD8337" s="1" t="s">
        <v>421</v>
      </c>
      <c r="GE8337" s="1" t="s">
        <v>11723</v>
      </c>
    </row>
    <row r="8338" spans="1:187" ht="11.25" customHeight="1">
      <c r="A8338" s="1" t="s">
        <v>11724</v>
      </c>
      <c r="B8338" s="1" t="str">
        <f ca="1">IFERROR(__xludf.DUMMYFUNCTION("GOOGLETRANSLATE(A8338, ""en"", ""fr"")"),"Prêt # 2")</f>
        <v>Prêt # 2</v>
      </c>
      <c r="C8338" s="1" t="s">
        <v>185</v>
      </c>
      <c r="S8338" s="1" t="s">
        <v>15</v>
      </c>
      <c r="GD8338" s="1" t="s">
        <v>236</v>
      </c>
      <c r="GE8338" s="1" t="s">
        <v>11725</v>
      </c>
    </row>
    <row r="8339" spans="1:187" ht="11.25" customHeight="1">
      <c r="A8339" s="1" t="s">
        <v>11726</v>
      </c>
      <c r="B8339" s="1" t="str">
        <f ca="1">IFERROR(__xludf.DUMMYFUNCTION("GOOGLETRANSLATE(A8339, ""en"", ""fr"")"),"RÉAFFIRMER")</f>
        <v>RÉAFFIRMER</v>
      </c>
      <c r="C8339" s="1" t="s">
        <v>185</v>
      </c>
      <c r="J8339" s="1" t="s">
        <v>6</v>
      </c>
      <c r="K8339" s="1" t="s">
        <v>7</v>
      </c>
      <c r="BK8339" s="1" t="s">
        <v>59</v>
      </c>
      <c r="DN8339" s="1" t="s">
        <v>114</v>
      </c>
      <c r="FY8339" s="1" t="s">
        <v>177</v>
      </c>
      <c r="GD8339" s="1" t="s">
        <v>189</v>
      </c>
      <c r="GE8339" s="1" t="s">
        <v>190</v>
      </c>
    </row>
    <row r="8340" spans="1:187" ht="11.25" customHeight="1">
      <c r="A8340" s="1" t="s">
        <v>11727</v>
      </c>
      <c r="B8340" s="1" t="str">
        <f ca="1">IFERROR(__xludf.DUMMYFUNCTION("GOOGLETRANSLATE(A8340, ""en"", ""fr"")"),"Vrai # 1")</f>
        <v>Vrai # 1</v>
      </c>
      <c r="C8340" s="1" t="s">
        <v>185</v>
      </c>
      <c r="D8340" s="1" t="s">
        <v>16612</v>
      </c>
      <c r="F8340" s="1" t="s">
        <v>2</v>
      </c>
      <c r="U8340" s="1" t="s">
        <v>17</v>
      </c>
      <c r="W8340" s="1" t="s">
        <v>19</v>
      </c>
      <c r="FY8340" s="1" t="s">
        <v>177</v>
      </c>
      <c r="GD8340" s="1" t="s">
        <v>202</v>
      </c>
      <c r="GE8340" s="1" t="s">
        <v>11728</v>
      </c>
    </row>
    <row r="8341" spans="1:187" ht="11.25" customHeight="1">
      <c r="A8341" s="1" t="s">
        <v>11729</v>
      </c>
      <c r="B8341" s="1" t="str">
        <f ca="1">IFERROR(__xludf.DUMMYFUNCTION("GOOGLETRANSLATE(A8341, ""en"", ""fr"")"),"Vrai # 2")</f>
        <v>Vrai # 2</v>
      </c>
      <c r="C8341" s="1" t="s">
        <v>185</v>
      </c>
      <c r="W8341" s="1" t="s">
        <v>19</v>
      </c>
      <c r="CR8341" s="1" t="s">
        <v>92</v>
      </c>
      <c r="FY8341" s="1" t="s">
        <v>177</v>
      </c>
      <c r="GD8341" s="1" t="s">
        <v>236</v>
      </c>
      <c r="GE8341" s="1" t="s">
        <v>11730</v>
      </c>
    </row>
    <row r="8342" spans="1:187" ht="11.25" customHeight="1">
      <c r="A8342" s="1" t="s">
        <v>11731</v>
      </c>
      <c r="B8342" s="1" t="str">
        <f ca="1">IFERROR(__xludf.DUMMYFUNCTION("GOOGLETRANSLATE(A8342, ""en"", ""fr"")"),"Vrai # 3")</f>
        <v>Vrai # 3</v>
      </c>
      <c r="C8342" s="1" t="s">
        <v>185</v>
      </c>
      <c r="AA8342" s="1" t="s">
        <v>23</v>
      </c>
      <c r="AC8342" s="1" t="s">
        <v>25</v>
      </c>
      <c r="AV8342" s="1" t="s">
        <v>44</v>
      </c>
      <c r="AW8342" s="1" t="s">
        <v>45</v>
      </c>
      <c r="EV8342" s="1" t="s">
        <v>148</v>
      </c>
      <c r="EW8342" s="1" t="s">
        <v>149</v>
      </c>
      <c r="GD8342" s="1" t="s">
        <v>193</v>
      </c>
      <c r="GE8342" s="1" t="s">
        <v>11732</v>
      </c>
    </row>
    <row r="8343" spans="1:187" ht="11.25" customHeight="1">
      <c r="A8343" s="1" t="s">
        <v>11733</v>
      </c>
      <c r="B8343" s="1" t="str">
        <f ca="1">IFERROR(__xludf.DUMMYFUNCTION("GOOGLETRANSLATE(A8343, ""en"", ""fr"")"),"Réalisation # 1")</f>
        <v>Réalisation # 1</v>
      </c>
      <c r="C8343" s="1" t="s">
        <v>192</v>
      </c>
      <c r="GE8343" s="1" t="s">
        <v>190</v>
      </c>
    </row>
    <row r="8344" spans="1:187" ht="11.25" customHeight="1">
      <c r="A8344" s="1" t="s">
        <v>11734</v>
      </c>
      <c r="B8344" s="1" t="str">
        <f ca="1">IFERROR(__xludf.DUMMYFUNCTION("GOOGLETRANSLATE(A8344, ""en"", ""fr"")"),"Réaliser # 1")</f>
        <v>Réaliser # 1</v>
      </c>
      <c r="C8344" s="1" t="s">
        <v>192</v>
      </c>
      <c r="GE8344" s="1" t="s">
        <v>190</v>
      </c>
    </row>
    <row r="8345" spans="1:187" ht="11.25" customHeight="1">
      <c r="A8345" s="1" t="s">
        <v>11735</v>
      </c>
      <c r="B8345" s="1" t="str">
        <f ca="1">IFERROR(__xludf.DUMMYFUNCTION("GOOGLETRANSLATE(A8345, ""en"", ""fr"")"),"LE RÉALISME")</f>
        <v>LE RÉALISME</v>
      </c>
      <c r="C8345" s="1" t="s">
        <v>185</v>
      </c>
      <c r="Z8345" s="1" t="s">
        <v>22</v>
      </c>
      <c r="CP8345" s="1" t="s">
        <v>90</v>
      </c>
      <c r="CQ8345" s="1" t="s">
        <v>91</v>
      </c>
      <c r="FH8345" s="1" t="s">
        <v>160</v>
      </c>
      <c r="FI8345" s="1" t="s">
        <v>161</v>
      </c>
      <c r="GD8345" s="1" t="s">
        <v>193</v>
      </c>
      <c r="GE8345" s="1" t="s">
        <v>190</v>
      </c>
    </row>
    <row r="8346" spans="1:187" ht="11.25" customHeight="1">
      <c r="A8346" s="1" t="s">
        <v>11736</v>
      </c>
      <c r="B8346" s="1" t="str">
        <f ca="1">IFERROR(__xludf.DUMMYFUNCTION("GOOGLETRANSLATE(A8346, ""en"", ""fr"")"),"RÉALISTE")</f>
        <v>RÉALISTE</v>
      </c>
      <c r="C8346" s="1" t="s">
        <v>185</v>
      </c>
      <c r="D8346" s="1" t="s">
        <v>16612</v>
      </c>
      <c r="F8346" s="1" t="s">
        <v>2</v>
      </c>
      <c r="Z8346" s="1" t="s">
        <v>22</v>
      </c>
      <c r="CN8346" s="1" t="s">
        <v>88</v>
      </c>
      <c r="FH8346" s="1" t="s">
        <v>160</v>
      </c>
      <c r="FI8346" s="1" t="s">
        <v>161</v>
      </c>
      <c r="GD8346" s="1" t="s">
        <v>202</v>
      </c>
      <c r="GE8346" s="1" t="s">
        <v>190</v>
      </c>
    </row>
    <row r="8347" spans="1:187" ht="11.25" customHeight="1">
      <c r="A8347" s="1" t="s">
        <v>11737</v>
      </c>
      <c r="B8347" s="1" t="str">
        <f ca="1">IFERROR(__xludf.DUMMYFUNCTION("GOOGLETRANSLATE(A8347, ""en"", ""fr"")"),"DE FAÇON RÉALISTE")</f>
        <v>DE FAÇON RÉALISTE</v>
      </c>
      <c r="C8347" s="1" t="s">
        <v>192</v>
      </c>
      <c r="D8347" s="1" t="s">
        <v>16612</v>
      </c>
      <c r="W8347" s="1" t="s">
        <v>19</v>
      </c>
      <c r="GD8347" s="1" t="s">
        <v>202</v>
      </c>
      <c r="GE8347" s="1" t="s">
        <v>190</v>
      </c>
    </row>
    <row r="8348" spans="1:187" ht="11.25" customHeight="1">
      <c r="A8348" s="1" t="s">
        <v>11738</v>
      </c>
      <c r="B8348" s="1" t="str">
        <f ca="1">IFERROR(__xludf.DUMMYFUNCTION("GOOGLETRANSLATE(A8348, ""en"", ""fr"")"),"RÉALITÉ")</f>
        <v>RÉALITÉ</v>
      </c>
      <c r="C8348" s="1" t="s">
        <v>185</v>
      </c>
      <c r="Z8348" s="1" t="s">
        <v>22</v>
      </c>
      <c r="CP8348" s="1" t="s">
        <v>90</v>
      </c>
      <c r="CQ8348" s="1" t="s">
        <v>91</v>
      </c>
      <c r="FH8348" s="1" t="s">
        <v>160</v>
      </c>
      <c r="FI8348" s="1" t="s">
        <v>161</v>
      </c>
      <c r="GD8348" s="1" t="s">
        <v>193</v>
      </c>
      <c r="GE8348" s="1" t="s">
        <v>11739</v>
      </c>
    </row>
    <row r="8349" spans="1:187" ht="11.25" customHeight="1">
      <c r="A8349" s="1" t="s">
        <v>11740</v>
      </c>
      <c r="B8349" s="1" t="str">
        <f ca="1">IFERROR(__xludf.DUMMYFUNCTION("GOOGLETRANSLATE(A8349, ""en"", ""fr"")"),"LA CONCRÉTISATION")</f>
        <v>LA CONCRÉTISATION</v>
      </c>
      <c r="C8349" s="1" t="s">
        <v>185</v>
      </c>
      <c r="O8349" s="1" t="s">
        <v>11</v>
      </c>
      <c r="CH8349" s="1" t="s">
        <v>82</v>
      </c>
      <c r="FH8349" s="1" t="s">
        <v>160</v>
      </c>
      <c r="FI8349" s="1" t="s">
        <v>161</v>
      </c>
      <c r="GD8349" s="1" t="s">
        <v>193</v>
      </c>
      <c r="GE8349" s="1" t="s">
        <v>190</v>
      </c>
    </row>
    <row r="8350" spans="1:187" ht="11.25" customHeight="1">
      <c r="A8350" s="1" t="s">
        <v>11741</v>
      </c>
      <c r="B8350" s="1" t="str">
        <f ca="1">IFERROR(__xludf.DUMMYFUNCTION("GOOGLETRANSLATE(A8350, ""en"", ""fr"")"),"Réaliser # 1")</f>
        <v>Réaliser # 1</v>
      </c>
      <c r="C8350" s="1" t="s">
        <v>185</v>
      </c>
      <c r="O8350" s="1" t="s">
        <v>11</v>
      </c>
      <c r="CO8350" s="1" t="s">
        <v>89</v>
      </c>
      <c r="DN8350" s="1" t="s">
        <v>114</v>
      </c>
      <c r="FH8350" s="1" t="s">
        <v>160</v>
      </c>
      <c r="FI8350" s="1" t="s">
        <v>161</v>
      </c>
      <c r="GD8350" s="1" t="s">
        <v>400</v>
      </c>
      <c r="GE8350" s="1" t="s">
        <v>11742</v>
      </c>
    </row>
    <row r="8351" spans="1:187" ht="11.25" customHeight="1">
      <c r="A8351" s="1" t="s">
        <v>11743</v>
      </c>
      <c r="B8351" s="1" t="str">
        <f ca="1">IFERROR(__xludf.DUMMYFUNCTION("GOOGLETRANSLATE(A8351, ""en"", ""fr"")"),"Réaliser # 2")</f>
        <v>Réaliser # 2</v>
      </c>
      <c r="C8351" s="1" t="s">
        <v>185</v>
      </c>
      <c r="J8351" s="1" t="s">
        <v>6</v>
      </c>
      <c r="N8351" s="1" t="s">
        <v>10</v>
      </c>
      <c r="BS8351" s="1" t="s">
        <v>67</v>
      </c>
      <c r="DN8351" s="1" t="s">
        <v>114</v>
      </c>
      <c r="FN8351" s="1" t="s">
        <v>166</v>
      </c>
      <c r="GD8351" s="1" t="s">
        <v>189</v>
      </c>
      <c r="GE8351" s="1" t="s">
        <v>11744</v>
      </c>
    </row>
    <row r="8352" spans="1:187" ht="11.25" customHeight="1">
      <c r="A8352" s="1" t="s">
        <v>11745</v>
      </c>
      <c r="B8352" s="1" t="str">
        <f ca="1">IFERROR(__xludf.DUMMYFUNCTION("GOOGLETRANSLATE(A8352, ""en"", ""fr"")"),"ROYAUME")</f>
        <v>ROYAUME</v>
      </c>
      <c r="C8352" s="1" t="s">
        <v>185</v>
      </c>
      <c r="CH8352" s="1" t="s">
        <v>82</v>
      </c>
      <c r="DV8352" s="1" t="s">
        <v>122</v>
      </c>
      <c r="ED8352" s="1" t="s">
        <v>130</v>
      </c>
      <c r="GD8352" s="1" t="s">
        <v>193</v>
      </c>
      <c r="GE8352" s="1" t="s">
        <v>190</v>
      </c>
    </row>
    <row r="8353" spans="1:187" ht="11.25" customHeight="1">
      <c r="A8353" s="1" t="s">
        <v>11746</v>
      </c>
      <c r="B8353" s="1" t="str">
        <f ca="1">IFERROR(__xludf.DUMMYFUNCTION("GOOGLETRANSLATE(A8353, ""en"", ""fr"")"),"RECUEILLIR")</f>
        <v>RECUEILLIR</v>
      </c>
      <c r="C8353" s="1" t="s">
        <v>185</v>
      </c>
      <c r="D8353" s="1" t="s">
        <v>16612</v>
      </c>
      <c r="N8353" s="1" t="s">
        <v>10</v>
      </c>
      <c r="CD8353" s="1" t="s">
        <v>78</v>
      </c>
      <c r="DN8353" s="1" t="s">
        <v>114</v>
      </c>
      <c r="FN8353" s="1" t="s">
        <v>166</v>
      </c>
      <c r="GD8353" s="1" t="s">
        <v>189</v>
      </c>
      <c r="GE8353" s="1" t="s">
        <v>190</v>
      </c>
    </row>
    <row r="8354" spans="1:187" ht="11.25" customHeight="1">
      <c r="A8354" s="1" t="s">
        <v>11747</v>
      </c>
      <c r="B8354" s="1" t="str">
        <f ca="1">IFERROR(__xludf.DUMMYFUNCTION("GOOGLETRANSLATE(A8354, ""en"", ""fr"")"),"Arrière n ° 1")</f>
        <v>Arrière n ° 1</v>
      </c>
      <c r="C8354" s="1" t="s">
        <v>185</v>
      </c>
      <c r="DA8354" s="1" t="s">
        <v>101</v>
      </c>
      <c r="DB8354" s="1" t="s">
        <v>102</v>
      </c>
      <c r="GD8354" s="1" t="s">
        <v>202</v>
      </c>
      <c r="GE8354" s="1" t="s">
        <v>190</v>
      </c>
    </row>
    <row r="8355" spans="1:187" ht="11.25" customHeight="1">
      <c r="A8355" s="1" t="s">
        <v>11748</v>
      </c>
      <c r="B8355" s="1" t="str">
        <f ca="1">IFERROR(__xludf.DUMMYFUNCTION("GOOGLETRANSLATE(A8355, ""en"", ""fr"")"),"Arrière n ° 2")</f>
        <v>Arrière n ° 2</v>
      </c>
      <c r="C8355" s="1" t="s">
        <v>185</v>
      </c>
      <c r="N8355" s="1" t="s">
        <v>10</v>
      </c>
      <c r="AL8355" s="1" t="s">
        <v>34</v>
      </c>
      <c r="DN8355" s="1" t="s">
        <v>114</v>
      </c>
      <c r="GD8355" s="1" t="s">
        <v>189</v>
      </c>
      <c r="GE8355" s="1" t="s">
        <v>190</v>
      </c>
    </row>
    <row r="8356" spans="1:187" ht="11.25" customHeight="1">
      <c r="A8356" s="1" t="s">
        <v>11749</v>
      </c>
      <c r="B8356" s="1" t="str">
        <f ca="1">IFERROR(__xludf.DUMMYFUNCTION("GOOGLETRANSLATE(A8356, ""en"", ""fr"")"),"RÉARMEMENT")</f>
        <v>RÉARMEMENT</v>
      </c>
      <c r="C8356" s="1" t="s">
        <v>196</v>
      </c>
      <c r="DW8356" s="1" t="s">
        <v>123</v>
      </c>
      <c r="ED8356" s="1" t="s">
        <v>130</v>
      </c>
      <c r="GD8356" s="1" t="s">
        <v>202</v>
      </c>
    </row>
    <row r="8357" spans="1:187" ht="11.25" customHeight="1">
      <c r="A8357" s="1" t="s">
        <v>11750</v>
      </c>
      <c r="B8357" s="1" t="str">
        <f ca="1">IFERROR(__xludf.DUMMYFUNCTION("GOOGLETRANSLATE(A8357, ""en"", ""fr"")"),"Réarrangement")</f>
        <v>Réarrangement</v>
      </c>
      <c r="C8357" s="1" t="s">
        <v>196</v>
      </c>
      <c r="GD8357" s="1" t="s">
        <v>193</v>
      </c>
    </row>
    <row r="8358" spans="1:187" ht="11.25" customHeight="1">
      <c r="A8358" s="1" t="s">
        <v>11751</v>
      </c>
      <c r="B8358" s="1" t="str">
        <f ca="1">IFERROR(__xludf.DUMMYFUNCTION("GOOGLETRANSLATE(A8358, ""en"", ""fr"")"),"Raison n ° 1")</f>
        <v>Raison n ° 1</v>
      </c>
      <c r="C8358" s="1" t="s">
        <v>185</v>
      </c>
      <c r="J8358" s="1" t="s">
        <v>6</v>
      </c>
      <c r="BL8358" s="1" t="s">
        <v>60</v>
      </c>
      <c r="CI8358" s="1" t="s">
        <v>83</v>
      </c>
      <c r="FH8358" s="1" t="s">
        <v>160</v>
      </c>
      <c r="FI8358" s="1" t="s">
        <v>161</v>
      </c>
      <c r="GC8358" s="1" t="s">
        <v>181</v>
      </c>
      <c r="GD8358" s="1" t="s">
        <v>849</v>
      </c>
      <c r="GE8358" s="1" t="s">
        <v>11752</v>
      </c>
    </row>
    <row r="8359" spans="1:187" ht="11.25" customHeight="1">
      <c r="A8359" s="1" t="s">
        <v>11753</v>
      </c>
      <c r="B8359" s="1" t="str">
        <f ca="1">IFERROR(__xludf.DUMMYFUNCTION("GOOGLETRANSLATE(A8359, ""en"", ""fr"")"),"Raison n ° 2")</f>
        <v>Raison n ° 2</v>
      </c>
      <c r="C8359" s="1" t="s">
        <v>185</v>
      </c>
      <c r="J8359" s="1" t="s">
        <v>6</v>
      </c>
      <c r="N8359" s="1" t="s">
        <v>10</v>
      </c>
      <c r="CI8359" s="1" t="s">
        <v>83</v>
      </c>
      <c r="CP8359" s="1" t="s">
        <v>90</v>
      </c>
      <c r="CQ8359" s="1" t="s">
        <v>91</v>
      </c>
      <c r="FH8359" s="1" t="s">
        <v>160</v>
      </c>
      <c r="FI8359" s="1" t="s">
        <v>161</v>
      </c>
      <c r="GD8359" s="1" t="s">
        <v>193</v>
      </c>
      <c r="GE8359" s="1" t="s">
        <v>11754</v>
      </c>
    </row>
    <row r="8360" spans="1:187" ht="11.25" customHeight="1">
      <c r="A8360" s="1" t="s">
        <v>11755</v>
      </c>
      <c r="B8360" s="1" t="str">
        <f ca="1">IFERROR(__xludf.DUMMYFUNCTION("GOOGLETRANSLATE(A8360, ""en"", ""fr"")"),"Raison n ° 3")</f>
        <v>Raison n ° 3</v>
      </c>
      <c r="C8360" s="1" t="s">
        <v>185</v>
      </c>
      <c r="J8360" s="1" t="s">
        <v>6</v>
      </c>
      <c r="N8360" s="1" t="s">
        <v>10</v>
      </c>
      <c r="CO8360" s="1" t="s">
        <v>89</v>
      </c>
      <c r="DN8360" s="1" t="s">
        <v>114</v>
      </c>
      <c r="FD8360" s="1" t="s">
        <v>156</v>
      </c>
      <c r="FI8360" s="1" t="s">
        <v>161</v>
      </c>
      <c r="GD8360" s="1" t="s">
        <v>189</v>
      </c>
      <c r="GE8360" s="1" t="s">
        <v>11756</v>
      </c>
    </row>
    <row r="8361" spans="1:187" ht="11.25" customHeight="1">
      <c r="A8361" s="1" t="s">
        <v>11757</v>
      </c>
      <c r="B8361" s="1" t="str">
        <f ca="1">IFERROR(__xludf.DUMMYFUNCTION("GOOGLETRANSLATE(A8361, ""en"", ""fr"")"),"RAISONNABLE")</f>
        <v>RAISONNABLE</v>
      </c>
      <c r="C8361" s="1" t="s">
        <v>185</v>
      </c>
      <c r="D8361" s="1" t="s">
        <v>16612</v>
      </c>
      <c r="F8361" s="1" t="s">
        <v>2</v>
      </c>
      <c r="U8361" s="1" t="s">
        <v>17</v>
      </c>
      <c r="CN8361" s="1" t="s">
        <v>88</v>
      </c>
      <c r="FH8361" s="1" t="s">
        <v>160</v>
      </c>
      <c r="FI8361" s="1" t="s">
        <v>161</v>
      </c>
      <c r="GD8361" s="1" t="s">
        <v>202</v>
      </c>
      <c r="GE8361" s="1" t="s">
        <v>11758</v>
      </c>
    </row>
    <row r="8362" spans="1:187" ht="11.25" customHeight="1">
      <c r="A8362" s="1" t="s">
        <v>11759</v>
      </c>
      <c r="B8362" s="1" t="str">
        <f ca="1">IFERROR(__xludf.DUMMYFUNCTION("GOOGLETRANSLATE(A8362, ""en"", ""fr"")"),"RÉAFFIRMER")</f>
        <v>RÉAFFIRMER</v>
      </c>
      <c r="C8362" s="1" t="s">
        <v>196</v>
      </c>
      <c r="EC8362" s="1" t="s">
        <v>129</v>
      </c>
      <c r="ED8362" s="1" t="s">
        <v>130</v>
      </c>
      <c r="GD8362" s="1" t="s">
        <v>189</v>
      </c>
    </row>
    <row r="8363" spans="1:187" ht="11.25" customHeight="1">
      <c r="A8363" s="1" t="s">
        <v>11760</v>
      </c>
      <c r="B8363" s="1" t="str">
        <f ca="1">IFERROR(__xludf.DUMMYFUNCTION("GOOGLETRANSLATE(A8363, ""en"", ""fr"")"),"RÉCONFORT")</f>
        <v>RÉCONFORT</v>
      </c>
      <c r="C8363" s="1" t="s">
        <v>185</v>
      </c>
      <c r="D8363" s="1" t="s">
        <v>16612</v>
      </c>
      <c r="F8363" s="1" t="s">
        <v>2</v>
      </c>
      <c r="G8363" s="1" t="s">
        <v>3</v>
      </c>
      <c r="J8363" s="1" t="s">
        <v>6</v>
      </c>
      <c r="BK8363" s="1" t="s">
        <v>59</v>
      </c>
      <c r="BL8363" s="1" t="s">
        <v>60</v>
      </c>
      <c r="GC8363" s="1" t="s">
        <v>181</v>
      </c>
      <c r="GD8363" s="1" t="s">
        <v>193</v>
      </c>
      <c r="GE8363" s="1" t="s">
        <v>190</v>
      </c>
    </row>
    <row r="8364" spans="1:187" ht="11.25" customHeight="1">
      <c r="A8364" s="1" t="s">
        <v>11761</v>
      </c>
      <c r="B8364" s="1" t="str">
        <f ca="1">IFERROR(__xludf.DUMMYFUNCTION("GOOGLETRANSLATE(A8364, ""en"", ""fr"")"),"RASSURER")</f>
        <v>RASSURER</v>
      </c>
      <c r="C8364" s="1" t="s">
        <v>185</v>
      </c>
      <c r="D8364" s="1" t="s">
        <v>16612</v>
      </c>
      <c r="F8364" s="1" t="s">
        <v>2</v>
      </c>
      <c r="G8364" s="1" t="s">
        <v>3</v>
      </c>
      <c r="J8364" s="1" t="s">
        <v>6</v>
      </c>
      <c r="K8364" s="1" t="s">
        <v>7</v>
      </c>
      <c r="BK8364" s="1" t="s">
        <v>59</v>
      </c>
      <c r="DN8364" s="1" t="s">
        <v>114</v>
      </c>
      <c r="FP8364" s="1" t="s">
        <v>168</v>
      </c>
      <c r="GD8364" s="1" t="s">
        <v>189</v>
      </c>
      <c r="GE8364" s="1" t="s">
        <v>190</v>
      </c>
    </row>
    <row r="8365" spans="1:187" ht="11.25" customHeight="1">
      <c r="A8365" s="1" t="s">
        <v>11762</v>
      </c>
      <c r="B8365" s="1" t="str">
        <f ca="1">IFERROR(__xludf.DUMMYFUNCTION("GOOGLETRANSLATE(A8365, ""en"", ""fr"")"),"RABAIS")</f>
        <v>RABAIS</v>
      </c>
      <c r="C8365" s="1" t="s">
        <v>196</v>
      </c>
      <c r="EU8365" s="1" t="s">
        <v>147</v>
      </c>
      <c r="EW8365" s="1" t="s">
        <v>149</v>
      </c>
      <c r="GD8365" s="1" t="s">
        <v>875</v>
      </c>
    </row>
    <row r="8366" spans="1:187" ht="11.25" customHeight="1">
      <c r="A8366" s="1" t="s">
        <v>11763</v>
      </c>
      <c r="B8366" s="1" t="str">
        <f ca="1">IFERROR(__xludf.DUMMYFUNCTION("GOOGLETRANSLATE(A8366, ""en"", ""fr"")"),"Rebel n ° 1")</f>
        <v>Rebel n ° 1</v>
      </c>
      <c r="C8366" s="1" t="s">
        <v>185</v>
      </c>
      <c r="E8366" s="1" t="s">
        <v>16613</v>
      </c>
      <c r="H8366" s="1" t="s">
        <v>4</v>
      </c>
      <c r="I8366" s="1" t="s">
        <v>5</v>
      </c>
      <c r="J8366" s="1" t="s">
        <v>6</v>
      </c>
      <c r="N8366" s="1" t="s">
        <v>10</v>
      </c>
      <c r="AH8366" s="1" t="s">
        <v>30</v>
      </c>
      <c r="AJ8366" s="1" t="s">
        <v>32</v>
      </c>
      <c r="AT8366" s="1" t="s">
        <v>42</v>
      </c>
      <c r="DZ8366" s="1" t="s">
        <v>126</v>
      </c>
      <c r="ED8366" s="1" t="s">
        <v>130</v>
      </c>
      <c r="GD8366" s="1" t="s">
        <v>193</v>
      </c>
      <c r="GE8366" s="1" t="s">
        <v>190</v>
      </c>
    </row>
    <row r="8367" spans="1:187" ht="11.25" customHeight="1">
      <c r="A8367" s="1" t="s">
        <v>11764</v>
      </c>
      <c r="B8367" s="1" t="str">
        <f ca="1">IFERROR(__xludf.DUMMYFUNCTION("GOOGLETRANSLATE(A8367, ""en"", ""fr"")"),"Rebel n ° 2")</f>
        <v>Rebel n ° 2</v>
      </c>
      <c r="C8367" s="1" t="s">
        <v>185</v>
      </c>
      <c r="E8367" s="1" t="s">
        <v>16613</v>
      </c>
      <c r="H8367" s="1" t="s">
        <v>4</v>
      </c>
      <c r="I8367" s="1" t="s">
        <v>5</v>
      </c>
      <c r="J8367" s="1" t="s">
        <v>6</v>
      </c>
      <c r="N8367" s="1" t="s">
        <v>10</v>
      </c>
      <c r="AN8367" s="1" t="s">
        <v>36</v>
      </c>
      <c r="DN8367" s="1" t="s">
        <v>114</v>
      </c>
      <c r="DW8367" s="1" t="s">
        <v>123</v>
      </c>
      <c r="ED8367" s="1" t="s">
        <v>130</v>
      </c>
      <c r="GD8367" s="1" t="s">
        <v>189</v>
      </c>
      <c r="GE8367" s="1" t="s">
        <v>190</v>
      </c>
    </row>
    <row r="8368" spans="1:187" ht="11.25" customHeight="1">
      <c r="A8368" s="1" t="s">
        <v>11765</v>
      </c>
      <c r="B8368" s="1" t="str">
        <f ca="1">IFERROR(__xludf.DUMMYFUNCTION("GOOGLETRANSLATE(A8368, ""en"", ""fr"")"),"RÉBELLION")</f>
        <v>RÉBELLION</v>
      </c>
      <c r="C8368" s="1" t="s">
        <v>185</v>
      </c>
      <c r="E8368" s="1" t="s">
        <v>16613</v>
      </c>
      <c r="H8368" s="1" t="s">
        <v>4</v>
      </c>
      <c r="I8368" s="1" t="s">
        <v>5</v>
      </c>
      <c r="J8368" s="1" t="s">
        <v>6</v>
      </c>
      <c r="AF8368" s="1" t="s">
        <v>28</v>
      </c>
      <c r="AH8368" s="1" t="s">
        <v>30</v>
      </c>
      <c r="AM8368" s="1" t="s">
        <v>35</v>
      </c>
      <c r="DW8368" s="1" t="s">
        <v>123</v>
      </c>
      <c r="ED8368" s="1" t="s">
        <v>130</v>
      </c>
      <c r="GD8368" s="1" t="s">
        <v>193</v>
      </c>
      <c r="GE8368" s="1" t="s">
        <v>190</v>
      </c>
    </row>
    <row r="8369" spans="1:187" ht="11.25" customHeight="1">
      <c r="A8369" s="1" t="s">
        <v>11766</v>
      </c>
      <c r="B8369" s="1" t="str">
        <f ca="1">IFERROR(__xludf.DUMMYFUNCTION("GOOGLETRANSLATE(A8369, ""en"", ""fr"")"),"REBELLE")</f>
        <v>REBELLE</v>
      </c>
      <c r="C8369" s="1" t="s">
        <v>192</v>
      </c>
      <c r="E8369" s="1" t="s">
        <v>16613</v>
      </c>
      <c r="G8369" s="1" t="s">
        <v>3</v>
      </c>
      <c r="I8369" s="1" t="s">
        <v>5</v>
      </c>
      <c r="W8369" s="1" t="s">
        <v>19</v>
      </c>
      <c r="AG8369" s="1" t="s">
        <v>29</v>
      </c>
      <c r="DQ8369" s="1" t="s">
        <v>117</v>
      </c>
      <c r="GD8369" s="1" t="s">
        <v>202</v>
      </c>
      <c r="GE8369" s="1" t="s">
        <v>190</v>
      </c>
    </row>
    <row r="8370" spans="1:187" ht="11.25" customHeight="1">
      <c r="A8370" s="1" t="s">
        <v>11767</v>
      </c>
      <c r="B8370" s="1" t="str">
        <f ca="1">IFERROR(__xludf.DUMMYFUNCTION("GOOGLETRANSLATE(A8370, ""en"", ""fr"")"),"REBUFFADE")</f>
        <v>REBUFFADE</v>
      </c>
      <c r="C8370" s="1" t="s">
        <v>192</v>
      </c>
      <c r="E8370" s="1" t="s">
        <v>16613</v>
      </c>
      <c r="I8370" s="1" t="s">
        <v>5</v>
      </c>
      <c r="N8370" s="1" t="s">
        <v>10</v>
      </c>
      <c r="BK8370" s="1" t="s">
        <v>59</v>
      </c>
      <c r="DN8370" s="1" t="s">
        <v>114</v>
      </c>
      <c r="GD8370" s="1" t="s">
        <v>670</v>
      </c>
      <c r="GE8370" s="1" t="s">
        <v>190</v>
      </c>
    </row>
    <row r="8371" spans="1:187" ht="11.25" customHeight="1">
      <c r="A8371" s="1" t="s">
        <v>11768</v>
      </c>
      <c r="B8371" s="1" t="str">
        <f ca="1">IFERROR(__xludf.DUMMYFUNCTION("GOOGLETRANSLATE(A8371, ""en"", ""fr"")"),"RECONSTRUIRE")</f>
        <v>RECONSTRUIRE</v>
      </c>
      <c r="C8371" s="1" t="s">
        <v>185</v>
      </c>
      <c r="J8371" s="1" t="s">
        <v>6</v>
      </c>
      <c r="N8371" s="1" t="s">
        <v>10</v>
      </c>
      <c r="AL8371" s="1" t="s">
        <v>34</v>
      </c>
      <c r="DN8371" s="1" t="s">
        <v>114</v>
      </c>
      <c r="FN8371" s="1" t="s">
        <v>166</v>
      </c>
      <c r="GD8371" s="1" t="s">
        <v>189</v>
      </c>
      <c r="GE8371" s="1" t="s">
        <v>190</v>
      </c>
    </row>
    <row r="8372" spans="1:187" ht="11.25" customHeight="1">
      <c r="A8372" s="1" t="s">
        <v>11769</v>
      </c>
      <c r="B8372" s="1" t="str">
        <f ca="1">IFERROR(__xludf.DUMMYFUNCTION("GOOGLETRANSLATE(A8372, ""en"", ""fr"")"),"RÉPRIMANDER")</f>
        <v>RÉPRIMANDER</v>
      </c>
      <c r="C8372" s="1" t="s">
        <v>185</v>
      </c>
      <c r="E8372" s="1" t="s">
        <v>16613</v>
      </c>
      <c r="I8372" s="1" t="s">
        <v>5</v>
      </c>
      <c r="N8372" s="1" t="s">
        <v>10</v>
      </c>
      <c r="BK8372" s="1" t="s">
        <v>59</v>
      </c>
      <c r="DN8372" s="1" t="s">
        <v>114</v>
      </c>
      <c r="EL8372" s="1" t="s">
        <v>138</v>
      </c>
      <c r="EN8372" s="1" t="s">
        <v>140</v>
      </c>
      <c r="GD8372" s="1" t="s">
        <v>670</v>
      </c>
      <c r="GE8372" s="1" t="s">
        <v>190</v>
      </c>
    </row>
    <row r="8373" spans="1:187" ht="11.25" customHeight="1">
      <c r="A8373" s="1" t="s">
        <v>11770</v>
      </c>
      <c r="B8373" s="1" t="str">
        <f ca="1">IFERROR(__xludf.DUMMYFUNCTION("GOOGLETRANSLATE(A8373, ""en"", ""fr"")"),"RÉFUTER")</f>
        <v>RÉFUTER</v>
      </c>
      <c r="C8373" s="1" t="s">
        <v>185</v>
      </c>
      <c r="E8373" s="1" t="s">
        <v>16613</v>
      </c>
      <c r="H8373" s="1" t="s">
        <v>4</v>
      </c>
      <c r="I8373" s="1" t="s">
        <v>5</v>
      </c>
      <c r="N8373" s="1" t="s">
        <v>10</v>
      </c>
      <c r="BK8373" s="1" t="s">
        <v>59</v>
      </c>
      <c r="DN8373" s="1" t="s">
        <v>114</v>
      </c>
      <c r="DW8373" s="1" t="s">
        <v>123</v>
      </c>
      <c r="ED8373" s="1" t="s">
        <v>130</v>
      </c>
      <c r="GD8373" s="1" t="s">
        <v>189</v>
      </c>
      <c r="GE8373" s="1" t="s">
        <v>190</v>
      </c>
    </row>
    <row r="8374" spans="1:187" ht="11.25" customHeight="1">
      <c r="A8374" s="1" t="s">
        <v>11771</v>
      </c>
      <c r="B8374" s="1" t="str">
        <f ca="1">IFERROR(__xludf.DUMMYFUNCTION("GOOGLETRANSLATE(A8374, ""en"", ""fr"")"),"RÉCALCITRANT")</f>
        <v>RÉCALCITRANT</v>
      </c>
      <c r="C8374" s="1" t="s">
        <v>192</v>
      </c>
      <c r="E8374" s="1" t="s">
        <v>16613</v>
      </c>
      <c r="I8374" s="1" t="s">
        <v>5</v>
      </c>
      <c r="V8374" s="1" t="s">
        <v>18</v>
      </c>
      <c r="DR8374" s="1" t="s">
        <v>118</v>
      </c>
      <c r="GD8374" s="1" t="s">
        <v>202</v>
      </c>
      <c r="GE8374" s="1" t="s">
        <v>190</v>
      </c>
    </row>
    <row r="8375" spans="1:187" ht="11.25" customHeight="1">
      <c r="A8375" s="1" t="s">
        <v>11772</v>
      </c>
      <c r="B8375" s="1" t="str">
        <f ca="1">IFERROR(__xludf.DUMMYFUNCTION("GOOGLETRANSLATE(A8375, ""en"", ""fr"")"),"Rappel # 1")</f>
        <v>Rappel # 1</v>
      </c>
      <c r="C8375" s="1" t="s">
        <v>185</v>
      </c>
      <c r="O8375" s="1" t="s">
        <v>11</v>
      </c>
      <c r="CH8375" s="1" t="s">
        <v>82</v>
      </c>
      <c r="GD8375" s="1" t="s">
        <v>193</v>
      </c>
      <c r="GE8375" s="1" t="s">
        <v>190</v>
      </c>
    </row>
    <row r="8376" spans="1:187" ht="11.25" customHeight="1">
      <c r="A8376" s="1" t="s">
        <v>11773</v>
      </c>
      <c r="B8376" s="1" t="str">
        <f ca="1">IFERROR(__xludf.DUMMYFUNCTION("GOOGLETRANSLATE(A8376, ""en"", ""fr"")"),"Rappel # 2")</f>
        <v>Rappel # 2</v>
      </c>
      <c r="C8376" s="1" t="s">
        <v>185</v>
      </c>
      <c r="O8376" s="1" t="s">
        <v>11</v>
      </c>
      <c r="CO8376" s="1" t="s">
        <v>89</v>
      </c>
      <c r="DN8376" s="1" t="s">
        <v>114</v>
      </c>
      <c r="GD8376" s="1" t="s">
        <v>189</v>
      </c>
      <c r="GE8376" s="1" t="s">
        <v>190</v>
      </c>
    </row>
    <row r="8377" spans="1:187" ht="11.25" customHeight="1">
      <c r="A8377" s="1" t="s">
        <v>11774</v>
      </c>
      <c r="B8377" s="1" t="str">
        <f ca="1">IFERROR(__xludf.DUMMYFUNCTION("GOOGLETRANSLATE(A8377, ""en"", ""fr"")"),"RECULER")</f>
        <v>RECULER</v>
      </c>
      <c r="C8377" s="1" t="s">
        <v>192</v>
      </c>
      <c r="E8377" s="1" t="s">
        <v>16613</v>
      </c>
      <c r="O8377" s="1" t="s">
        <v>11</v>
      </c>
      <c r="BY8377" s="1" t="s">
        <v>73</v>
      </c>
      <c r="DN8377" s="1" t="s">
        <v>114</v>
      </c>
      <c r="GD8377" s="1" t="s">
        <v>189</v>
      </c>
      <c r="GE8377" s="1" t="s">
        <v>190</v>
      </c>
    </row>
    <row r="8378" spans="1:187" ht="11.25" customHeight="1">
      <c r="A8378" s="1" t="s">
        <v>11775</v>
      </c>
      <c r="B8378" s="1" t="str">
        <f ca="1">IFERROR(__xludf.DUMMYFUNCTION("GOOGLETRANSLATE(A8378, ""en"", ""fr"")"),"REÇU")</f>
        <v>REÇU</v>
      </c>
      <c r="C8378" s="1" t="s">
        <v>196</v>
      </c>
      <c r="EV8378" s="1" t="s">
        <v>148</v>
      </c>
      <c r="EW8378" s="1" t="s">
        <v>149</v>
      </c>
      <c r="GD8378" s="1" t="s">
        <v>875</v>
      </c>
    </row>
    <row r="8379" spans="1:187" ht="11.25" customHeight="1">
      <c r="A8379" s="1" t="s">
        <v>11776</v>
      </c>
      <c r="B8379" s="1" t="str">
        <f ca="1">IFERROR(__xludf.DUMMYFUNCTION("GOOGLETRANSLATE(A8379, ""en"", ""fr"")"),"RECEVOIR")</f>
        <v>RECEVOIR</v>
      </c>
      <c r="C8379" s="1" t="s">
        <v>185</v>
      </c>
      <c r="G8379" s="1" t="s">
        <v>3</v>
      </c>
      <c r="M8379" s="1" t="s">
        <v>9</v>
      </c>
      <c r="O8379" s="1" t="s">
        <v>11</v>
      </c>
      <c r="AN8379" s="1" t="s">
        <v>36</v>
      </c>
      <c r="DN8379" s="1" t="s">
        <v>114</v>
      </c>
      <c r="FP8379" s="1" t="s">
        <v>168</v>
      </c>
      <c r="GD8379" s="1" t="s">
        <v>189</v>
      </c>
      <c r="GE8379" s="1" t="s">
        <v>11777</v>
      </c>
    </row>
    <row r="8380" spans="1:187" ht="11.25" customHeight="1">
      <c r="A8380" s="1" t="s">
        <v>11778</v>
      </c>
      <c r="B8380" s="1" t="str">
        <f ca="1">IFERROR(__xludf.DUMMYFUNCTION("GOOGLETRANSLATE(A8380, ""en"", ""fr"")"),"DESTINATAIRE")</f>
        <v>DESTINATAIRE</v>
      </c>
      <c r="C8380" s="1" t="s">
        <v>185</v>
      </c>
      <c r="M8380" s="1" t="s">
        <v>9</v>
      </c>
      <c r="O8380" s="1" t="s">
        <v>11</v>
      </c>
      <c r="AJ8380" s="1" t="s">
        <v>32</v>
      </c>
      <c r="AT8380" s="1" t="s">
        <v>42</v>
      </c>
      <c r="GD8380" s="1" t="s">
        <v>193</v>
      </c>
      <c r="GE8380" s="1" t="s">
        <v>190</v>
      </c>
    </row>
    <row r="8381" spans="1:187" ht="11.25" customHeight="1">
      <c r="A8381" s="1" t="s">
        <v>11779</v>
      </c>
      <c r="B8381" s="1" t="str">
        <f ca="1">IFERROR(__xludf.DUMMYFUNCTION("GOOGLETRANSLATE(A8381, ""en"", ""fr"")"),"RÉCENT")</f>
        <v>RÉCENT</v>
      </c>
      <c r="C8381" s="1" t="s">
        <v>185</v>
      </c>
      <c r="CY8381" s="1" t="s">
        <v>99</v>
      </c>
      <c r="FH8381" s="1" t="s">
        <v>160</v>
      </c>
      <c r="FI8381" s="1" t="s">
        <v>161</v>
      </c>
      <c r="GD8381" s="1" t="s">
        <v>202</v>
      </c>
      <c r="GE8381" s="1" t="s">
        <v>11780</v>
      </c>
    </row>
    <row r="8382" spans="1:187" ht="11.25" customHeight="1">
      <c r="A8382" s="1" t="s">
        <v>11781</v>
      </c>
      <c r="B8382" s="1" t="str">
        <f ca="1">IFERROR(__xludf.DUMMYFUNCTION("GOOGLETRANSLATE(A8382, ""en"", ""fr"")"),"RÉCEPTION")</f>
        <v>RÉCEPTION</v>
      </c>
      <c r="C8382" s="1" t="s">
        <v>185</v>
      </c>
      <c r="AM8382" s="1" t="s">
        <v>35</v>
      </c>
      <c r="GD8382" s="1" t="s">
        <v>193</v>
      </c>
      <c r="GE8382" s="1" t="s">
        <v>190</v>
      </c>
    </row>
    <row r="8383" spans="1:187" ht="11.25" customHeight="1">
      <c r="A8383" s="1" t="s">
        <v>11782</v>
      </c>
      <c r="B8383" s="1" t="str">
        <f ca="1">IFERROR(__xludf.DUMMYFUNCTION("GOOGLETRANSLATE(A8383, ""en"", ""fr"")"),"RÉCEPTIF")</f>
        <v>RÉCEPTIF</v>
      </c>
      <c r="C8383" s="1" t="s">
        <v>192</v>
      </c>
      <c r="D8383" s="1" t="s">
        <v>16612</v>
      </c>
      <c r="G8383" s="1" t="s">
        <v>3</v>
      </c>
      <c r="BK8383" s="1" t="s">
        <v>59</v>
      </c>
      <c r="DQ8383" s="1" t="s">
        <v>117</v>
      </c>
      <c r="GD8383" s="1" t="s">
        <v>202</v>
      </c>
      <c r="GE8383" s="1" t="s">
        <v>190</v>
      </c>
    </row>
    <row r="8384" spans="1:187" ht="11.25" customHeight="1">
      <c r="A8384" s="1" t="s">
        <v>11783</v>
      </c>
      <c r="B8384" s="1" t="str">
        <f ca="1">IFERROR(__xludf.DUMMYFUNCTION("GOOGLETRANSLATE(A8384, ""en"", ""fr"")"),"RÉCRÉATION")</f>
        <v>RÉCRÉATION</v>
      </c>
      <c r="C8384" s="1" t="s">
        <v>196</v>
      </c>
      <c r="GB8384" s="1" t="s">
        <v>180</v>
      </c>
      <c r="GD8384" s="1" t="s">
        <v>193</v>
      </c>
    </row>
    <row r="8385" spans="1:187" ht="11.25" customHeight="1">
      <c r="A8385" s="1" t="s">
        <v>11784</v>
      </c>
      <c r="B8385" s="1" t="str">
        <f ca="1">IFERROR(__xludf.DUMMYFUNCTION("GOOGLETRANSLATE(A8385, ""en"", ""fr"")"),"RÉCESSION")</f>
        <v>RÉCESSION</v>
      </c>
      <c r="C8385" s="1" t="s">
        <v>192</v>
      </c>
      <c r="E8385" s="1" t="s">
        <v>16613</v>
      </c>
      <c r="AA8385" s="1" t="s">
        <v>23</v>
      </c>
      <c r="BY8385" s="1" t="s">
        <v>73</v>
      </c>
      <c r="GD8385" s="1" t="s">
        <v>193</v>
      </c>
      <c r="GE8385" s="1" t="s">
        <v>190</v>
      </c>
    </row>
    <row r="8386" spans="1:187" ht="11.25" customHeight="1">
      <c r="A8386" s="1" t="s">
        <v>11785</v>
      </c>
      <c r="B8386" s="1" t="str">
        <f ca="1">IFERROR(__xludf.DUMMYFUNCTION("GOOGLETRANSLATE(A8386, ""en"", ""fr"")"),"RÉCIPROQUE")</f>
        <v>RÉCIPROQUE</v>
      </c>
      <c r="C8386" s="1" t="s">
        <v>196</v>
      </c>
      <c r="DX8386" s="1" t="s">
        <v>124</v>
      </c>
      <c r="ED8386" s="1" t="s">
        <v>130</v>
      </c>
      <c r="GD8386" s="1" t="s">
        <v>202</v>
      </c>
    </row>
    <row r="8387" spans="1:187" ht="11.25" customHeight="1">
      <c r="A8387" s="1" t="s">
        <v>11786</v>
      </c>
      <c r="B8387" s="1" t="str">
        <f ca="1">IFERROR(__xludf.DUMMYFUNCTION("GOOGLETRANSLATE(A8387, ""en"", ""fr"")"),"TÉMÉRAIRE")</f>
        <v>TÉMÉRAIRE</v>
      </c>
      <c r="C8387" s="1" t="s">
        <v>185</v>
      </c>
      <c r="E8387" s="1" t="s">
        <v>16613</v>
      </c>
      <c r="H8387" s="1" t="s">
        <v>4</v>
      </c>
      <c r="V8387" s="1" t="s">
        <v>18</v>
      </c>
      <c r="CN8387" s="1" t="s">
        <v>88</v>
      </c>
      <c r="EM8387" s="1" t="s">
        <v>139</v>
      </c>
      <c r="EN8387" s="1" t="s">
        <v>140</v>
      </c>
      <c r="GD8387" s="1" t="s">
        <v>202</v>
      </c>
      <c r="GE8387" s="1" t="s">
        <v>190</v>
      </c>
    </row>
    <row r="8388" spans="1:187" ht="11.25" customHeight="1">
      <c r="A8388" s="1" t="s">
        <v>11787</v>
      </c>
      <c r="B8388" s="1" t="str">
        <f ca="1">IFERROR(__xludf.DUMMYFUNCTION("GOOGLETRANSLATE(A8388, ""en"", ""fr"")"),"INSOUCIANCE")</f>
        <v>INSOUCIANCE</v>
      </c>
      <c r="C8388" s="1" t="s">
        <v>192</v>
      </c>
      <c r="E8388" s="1" t="s">
        <v>16613</v>
      </c>
      <c r="V8388" s="1" t="s">
        <v>18</v>
      </c>
      <c r="GD8388" s="1" t="s">
        <v>193</v>
      </c>
      <c r="GE8388" s="1" t="s">
        <v>190</v>
      </c>
    </row>
    <row r="8389" spans="1:187" ht="11.25" customHeight="1">
      <c r="A8389" s="1" t="s">
        <v>11788</v>
      </c>
      <c r="B8389" s="1" t="str">
        <f ca="1">IFERROR(__xludf.DUMMYFUNCTION("GOOGLETRANSLATE(A8389, ""en"", ""fr"")"),"Récupérer")</f>
        <v>Récupérer</v>
      </c>
      <c r="C8389" s="1" t="s">
        <v>192</v>
      </c>
      <c r="D8389" s="1" t="s">
        <v>16612</v>
      </c>
      <c r="K8389" s="1" t="s">
        <v>7</v>
      </c>
      <c r="N8389" s="1" t="s">
        <v>10</v>
      </c>
      <c r="BK8389" s="1" t="s">
        <v>59</v>
      </c>
      <c r="CC8389" s="1" t="s">
        <v>77</v>
      </c>
      <c r="CD8389" s="1" t="s">
        <v>78</v>
      </c>
      <c r="DN8389" s="1" t="s">
        <v>114</v>
      </c>
      <c r="GD8389" s="1" t="s">
        <v>189</v>
      </c>
      <c r="GE8389" s="1" t="s">
        <v>190</v>
      </c>
    </row>
    <row r="8390" spans="1:187" ht="11.25" customHeight="1">
      <c r="A8390" s="1" t="s">
        <v>11789</v>
      </c>
      <c r="B8390" s="1" t="str">
        <f ca="1">IFERROR(__xludf.DUMMYFUNCTION("GOOGLETRANSLATE(A8390, ""en"", ""fr"")"),"RÉCLAMATION")</f>
        <v>RÉCLAMATION</v>
      </c>
      <c r="C8390" s="1" t="s">
        <v>196</v>
      </c>
      <c r="EV8390" s="1" t="s">
        <v>148</v>
      </c>
      <c r="EW8390" s="1" t="s">
        <v>149</v>
      </c>
      <c r="GD8390" s="1" t="s">
        <v>193</v>
      </c>
    </row>
    <row r="8391" spans="1:187" ht="11.25" customHeight="1">
      <c r="A8391" s="1" t="s">
        <v>11790</v>
      </c>
      <c r="B8391" s="1" t="str">
        <f ca="1">IFERROR(__xludf.DUMMYFUNCTION("GOOGLETRANSLATE(A8391, ""en"", ""fr"")"),"INCLINER")</f>
        <v>INCLINER</v>
      </c>
      <c r="C8391" s="1" t="s">
        <v>192</v>
      </c>
      <c r="D8391" s="1" t="s">
        <v>16612</v>
      </c>
      <c r="N8391" s="1" t="s">
        <v>10</v>
      </c>
      <c r="P8391" s="1" t="s">
        <v>12</v>
      </c>
      <c r="DN8391" s="1" t="s">
        <v>114</v>
      </c>
      <c r="GD8391" s="1" t="s">
        <v>189</v>
      </c>
      <c r="GE8391" s="1" t="s">
        <v>190</v>
      </c>
    </row>
    <row r="8392" spans="1:187" ht="11.25" customHeight="1">
      <c r="A8392" s="1" t="s">
        <v>11791</v>
      </c>
      <c r="B8392" s="1" t="str">
        <f ca="1">IFERROR(__xludf.DUMMYFUNCTION("GOOGLETRANSLATE(A8392, ""en"", ""fr"")"),"Reconnaître # 1")</f>
        <v>Reconnaître # 1</v>
      </c>
      <c r="C8392" s="1" t="s">
        <v>192</v>
      </c>
      <c r="GE8392" s="1" t="s">
        <v>190</v>
      </c>
    </row>
    <row r="8393" spans="1:187" ht="11.25" customHeight="1">
      <c r="A8393" s="1" t="s">
        <v>11792</v>
      </c>
      <c r="B8393" s="1" t="str">
        <f ca="1">IFERROR(__xludf.DUMMYFUNCTION("GOOGLETRANSLATE(A8393, ""en"", ""fr"")"),"RECONNAISSANCE")</f>
        <v>RECONNAISSANCE</v>
      </c>
      <c r="C8393" s="1" t="s">
        <v>185</v>
      </c>
      <c r="CK8393" s="1" t="s">
        <v>85</v>
      </c>
      <c r="FH8393" s="1" t="s">
        <v>160</v>
      </c>
      <c r="FI8393" s="1" t="s">
        <v>161</v>
      </c>
      <c r="GD8393" s="1" t="s">
        <v>193</v>
      </c>
      <c r="GE8393" s="1" t="s">
        <v>190</v>
      </c>
    </row>
    <row r="8394" spans="1:187" ht="11.25" customHeight="1">
      <c r="A8394" s="1" t="s">
        <v>11793</v>
      </c>
      <c r="B8394" s="1" t="str">
        <f ca="1">IFERROR(__xludf.DUMMYFUNCTION("GOOGLETRANSLATE(A8394, ""en"", ""fr"")"),"RECONNAÎTRE")</f>
        <v>RECONNAÎTRE</v>
      </c>
      <c r="C8394" s="1" t="s">
        <v>185</v>
      </c>
      <c r="O8394" s="1" t="s">
        <v>11</v>
      </c>
      <c r="CK8394" s="1" t="s">
        <v>85</v>
      </c>
      <c r="DN8394" s="1" t="s">
        <v>114</v>
      </c>
      <c r="FH8394" s="1" t="s">
        <v>160</v>
      </c>
      <c r="FI8394" s="1" t="s">
        <v>161</v>
      </c>
      <c r="GD8394" s="1" t="s">
        <v>189</v>
      </c>
      <c r="GE8394" s="1" t="s">
        <v>11794</v>
      </c>
    </row>
    <row r="8395" spans="1:187" ht="11.25" customHeight="1">
      <c r="A8395" s="1" t="s">
        <v>11795</v>
      </c>
      <c r="B8395" s="1" t="str">
        <f ca="1">IFERROR(__xludf.DUMMYFUNCTION("GOOGLETRANSLATE(A8395, ""en"", ""fr"")"),"RECUL")</f>
        <v>RECUL</v>
      </c>
      <c r="C8395" s="1" t="s">
        <v>192</v>
      </c>
      <c r="E8395" s="1" t="s">
        <v>16613</v>
      </c>
      <c r="L8395" s="1" t="s">
        <v>8</v>
      </c>
      <c r="M8395" s="1" t="s">
        <v>9</v>
      </c>
      <c r="N8395" s="1" t="s">
        <v>10</v>
      </c>
      <c r="DN8395" s="1" t="s">
        <v>114</v>
      </c>
      <c r="GD8395" s="1" t="s">
        <v>189</v>
      </c>
      <c r="GE8395" s="1" t="s">
        <v>190</v>
      </c>
    </row>
    <row r="8396" spans="1:187" ht="11.25" customHeight="1">
      <c r="A8396" s="1" t="s">
        <v>11796</v>
      </c>
      <c r="B8396" s="1" t="str">
        <f ca="1">IFERROR(__xludf.DUMMYFUNCTION("GOOGLETRANSLATE(A8396, ""en"", ""fr"")"),"RECOMMANDER")</f>
        <v>RECOMMANDER</v>
      </c>
      <c r="C8396" s="1" t="s">
        <v>185</v>
      </c>
      <c r="J8396" s="1" t="s">
        <v>6</v>
      </c>
      <c r="BK8396" s="1" t="s">
        <v>59</v>
      </c>
      <c r="DN8396" s="1" t="s">
        <v>114</v>
      </c>
      <c r="DU8396" s="1" t="s">
        <v>121</v>
      </c>
      <c r="ED8396" s="1" t="s">
        <v>130</v>
      </c>
      <c r="GD8396" s="1" t="s">
        <v>189</v>
      </c>
      <c r="GE8396" s="1" t="s">
        <v>190</v>
      </c>
    </row>
    <row r="8397" spans="1:187" ht="11.25" customHeight="1">
      <c r="A8397" s="1" t="s">
        <v>11797</v>
      </c>
      <c r="B8397" s="1" t="str">
        <f ca="1">IFERROR(__xludf.DUMMYFUNCTION("GOOGLETRANSLATE(A8397, ""en"", ""fr"")"),"RECOMMANDATION")</f>
        <v>RECOMMANDATION</v>
      </c>
      <c r="C8397" s="1" t="s">
        <v>185</v>
      </c>
      <c r="J8397" s="1" t="s">
        <v>6</v>
      </c>
      <c r="BK8397" s="1" t="s">
        <v>59</v>
      </c>
      <c r="BL8397" s="1" t="s">
        <v>60</v>
      </c>
      <c r="DU8397" s="1" t="s">
        <v>121</v>
      </c>
      <c r="ED8397" s="1" t="s">
        <v>130</v>
      </c>
      <c r="GC8397" s="1" t="s">
        <v>181</v>
      </c>
      <c r="GD8397" s="1" t="s">
        <v>193</v>
      </c>
      <c r="GE8397" s="1" t="s">
        <v>190</v>
      </c>
    </row>
    <row r="8398" spans="1:187" ht="11.25" customHeight="1">
      <c r="A8398" s="1" t="s">
        <v>11798</v>
      </c>
      <c r="B8398" s="1" t="str">
        <f ca="1">IFERROR(__xludf.DUMMYFUNCTION("GOOGLETRANSLATE(A8398, ""en"", ""fr"")"),"RÉCOMPENSE")</f>
        <v>RÉCOMPENSE</v>
      </c>
      <c r="C8398" s="1" t="s">
        <v>192</v>
      </c>
      <c r="D8398" s="1" t="s">
        <v>16612</v>
      </c>
      <c r="M8398" s="1" t="s">
        <v>9</v>
      </c>
      <c r="AA8398" s="1" t="s">
        <v>23</v>
      </c>
      <c r="AB8398" s="1" t="s">
        <v>24</v>
      </c>
      <c r="GD8398" s="1" t="s">
        <v>1177</v>
      </c>
      <c r="GE8398" s="1" t="s">
        <v>190</v>
      </c>
    </row>
    <row r="8399" spans="1:187" ht="11.25" customHeight="1">
      <c r="A8399" s="1" t="s">
        <v>11799</v>
      </c>
      <c r="B8399" s="1" t="str">
        <f ca="1">IFERROR(__xludf.DUMMYFUNCTION("GOOGLETRANSLATE(A8399, ""en"", ""fr"")"),"RÉCONCILIER")</f>
        <v>RÉCONCILIER</v>
      </c>
      <c r="C8399" s="1" t="s">
        <v>185</v>
      </c>
      <c r="D8399" s="1" t="s">
        <v>16612</v>
      </c>
      <c r="F8399" s="1" t="s">
        <v>2</v>
      </c>
      <c r="G8399" s="1" t="s">
        <v>3</v>
      </c>
      <c r="AN8399" s="1" t="s">
        <v>36</v>
      </c>
      <c r="DN8399" s="1" t="s">
        <v>114</v>
      </c>
      <c r="GD8399" s="1" t="s">
        <v>189</v>
      </c>
      <c r="GE8399" s="1" t="s">
        <v>190</v>
      </c>
    </row>
    <row r="8400" spans="1:187" ht="11.25" customHeight="1">
      <c r="A8400" s="1" t="s">
        <v>11800</v>
      </c>
      <c r="B8400" s="1" t="str">
        <f ca="1">IFERROR(__xludf.DUMMYFUNCTION("GOOGLETRANSLATE(A8400, ""en"", ""fr"")"),"RÉCONCILIATION")</f>
        <v>RÉCONCILIATION</v>
      </c>
      <c r="C8400" s="1" t="s">
        <v>185</v>
      </c>
      <c r="D8400" s="1" t="s">
        <v>16612</v>
      </c>
      <c r="AN8400" s="1" t="s">
        <v>36</v>
      </c>
      <c r="BK8400" s="1" t="s">
        <v>59</v>
      </c>
      <c r="CO8400" s="1" t="s">
        <v>89</v>
      </c>
      <c r="DX8400" s="1" t="s">
        <v>124</v>
      </c>
      <c r="ED8400" s="1" t="s">
        <v>130</v>
      </c>
      <c r="GD8400" s="1" t="s">
        <v>193</v>
      </c>
      <c r="GE8400" s="1" t="s">
        <v>190</v>
      </c>
    </row>
    <row r="8401" spans="1:187" ht="11.25" customHeight="1">
      <c r="A8401" s="1" t="s">
        <v>11801</v>
      </c>
      <c r="B8401" s="1" t="str">
        <f ca="1">IFERROR(__xludf.DUMMYFUNCTION("GOOGLETRANSLATE(A8401, ""en"", ""fr"")"),"RECONSIDÉRER")</f>
        <v>RECONSIDÉRER</v>
      </c>
      <c r="C8401" s="1" t="s">
        <v>196</v>
      </c>
      <c r="FH8401" s="1" t="s">
        <v>160</v>
      </c>
      <c r="FI8401" s="1" t="s">
        <v>161</v>
      </c>
      <c r="GD8401" s="1" t="s">
        <v>189</v>
      </c>
    </row>
    <row r="8402" spans="1:187" ht="11.25" customHeight="1">
      <c r="A8402" s="1" t="s">
        <v>11802</v>
      </c>
      <c r="B8402" s="1" t="str">
        <f ca="1">IFERROR(__xludf.DUMMYFUNCTION("GOOGLETRANSLATE(A8402, ""en"", ""fr"")"),"RÉEXAMEN")</f>
        <v>RÉEXAMEN</v>
      </c>
      <c r="C8402" s="1" t="s">
        <v>185</v>
      </c>
      <c r="CH8402" s="1" t="s">
        <v>82</v>
      </c>
      <c r="FH8402" s="1" t="s">
        <v>160</v>
      </c>
      <c r="FI8402" s="1" t="s">
        <v>161</v>
      </c>
      <c r="GD8402" s="1" t="s">
        <v>193</v>
      </c>
      <c r="GE8402" s="1" t="s">
        <v>190</v>
      </c>
    </row>
    <row r="8403" spans="1:187" ht="11.25" customHeight="1">
      <c r="A8403" s="1" t="s">
        <v>11803</v>
      </c>
      <c r="B8403" s="1" t="str">
        <f ca="1">IFERROR(__xludf.DUMMYFUNCTION("GOOGLETRANSLATE(A8403, ""en"", ""fr"")"),"Reconstituer")</f>
        <v>Reconstituer</v>
      </c>
      <c r="C8403" s="1" t="s">
        <v>196</v>
      </c>
      <c r="FP8403" s="1" t="s">
        <v>168</v>
      </c>
      <c r="GD8403" s="1" t="s">
        <v>189</v>
      </c>
    </row>
    <row r="8404" spans="1:187" ht="11.25" customHeight="1">
      <c r="A8404" s="1" t="s">
        <v>11804</v>
      </c>
      <c r="B8404" s="1" t="str">
        <f ca="1">IFERROR(__xludf.DUMMYFUNCTION("GOOGLETRANSLATE(A8404, ""en"", ""fr"")"),"RECONSTRUIRE")</f>
        <v>RECONSTRUIRE</v>
      </c>
      <c r="C8404" s="1" t="s">
        <v>185</v>
      </c>
      <c r="J8404" s="1" t="s">
        <v>6</v>
      </c>
      <c r="N8404" s="1" t="s">
        <v>10</v>
      </c>
      <c r="AL8404" s="1" t="s">
        <v>34</v>
      </c>
      <c r="DN8404" s="1" t="s">
        <v>114</v>
      </c>
      <c r="FP8404" s="1" t="s">
        <v>168</v>
      </c>
      <c r="GD8404" s="1" t="s">
        <v>189</v>
      </c>
      <c r="GE8404" s="1" t="s">
        <v>190</v>
      </c>
    </row>
    <row r="8405" spans="1:187" ht="11.25" customHeight="1">
      <c r="A8405" s="1" t="s">
        <v>11805</v>
      </c>
      <c r="B8405" s="1" t="str">
        <f ca="1">IFERROR(__xludf.DUMMYFUNCTION("GOOGLETRANSLATE(A8405, ""en"", ""fr"")"),"RECONSTRUCTION")</f>
        <v>RECONSTRUCTION</v>
      </c>
      <c r="C8405" s="1" t="s">
        <v>185</v>
      </c>
      <c r="J8405" s="1" t="s">
        <v>6</v>
      </c>
      <c r="N8405" s="1" t="s">
        <v>10</v>
      </c>
      <c r="AC8405" s="1" t="s">
        <v>25</v>
      </c>
      <c r="AH8405" s="1" t="s">
        <v>30</v>
      </c>
      <c r="BQ8405" s="1" t="s">
        <v>65</v>
      </c>
      <c r="FN8405" s="1" t="s">
        <v>166</v>
      </c>
      <c r="GD8405" s="1" t="s">
        <v>193</v>
      </c>
      <c r="GE8405" s="1" t="s">
        <v>190</v>
      </c>
    </row>
    <row r="8406" spans="1:187" ht="11.25" customHeight="1">
      <c r="A8406" s="1" t="s">
        <v>11806</v>
      </c>
      <c r="B8406" s="1" t="str">
        <f ca="1">IFERROR(__xludf.DUMMYFUNCTION("GOOGLETRANSLATE(A8406, ""en"", ""fr"")"),"Enregistrement n ° 1")</f>
        <v>Enregistrement n ° 1</v>
      </c>
      <c r="C8406" s="1" t="s">
        <v>185</v>
      </c>
      <c r="BK8406" s="1" t="s">
        <v>59</v>
      </c>
      <c r="BL8406" s="1" t="s">
        <v>60</v>
      </c>
      <c r="FH8406" s="1" t="s">
        <v>160</v>
      </c>
      <c r="FI8406" s="1" t="s">
        <v>161</v>
      </c>
      <c r="GC8406" s="1" t="s">
        <v>181</v>
      </c>
      <c r="GD8406" s="1" t="s">
        <v>193</v>
      </c>
      <c r="GE8406" s="1" t="s">
        <v>11807</v>
      </c>
    </row>
    <row r="8407" spans="1:187" ht="11.25" customHeight="1">
      <c r="A8407" s="1" t="s">
        <v>11808</v>
      </c>
      <c r="B8407" s="1" t="str">
        <f ca="1">IFERROR(__xludf.DUMMYFUNCTION("GOOGLETRANSLATE(A8407, ""en"", ""fr"")"),"Record n ​​° 2")</f>
        <v>Record n ​​° 2</v>
      </c>
      <c r="C8407" s="1" t="s">
        <v>185</v>
      </c>
      <c r="AD8407" s="1" t="s">
        <v>26</v>
      </c>
      <c r="BC8407" s="1" t="s">
        <v>51</v>
      </c>
      <c r="BH8407" s="1" t="s">
        <v>56</v>
      </c>
      <c r="BL8407" s="1" t="s">
        <v>60</v>
      </c>
      <c r="GD8407" s="1" t="s">
        <v>193</v>
      </c>
      <c r="GE8407" s="1" t="s">
        <v>11809</v>
      </c>
    </row>
    <row r="8408" spans="1:187" ht="11.25" customHeight="1">
      <c r="A8408" s="1" t="s">
        <v>11810</v>
      </c>
      <c r="B8408" s="1" t="str">
        <f ca="1">IFERROR(__xludf.DUMMYFUNCTION("GOOGLETRANSLATE(A8408, ""en"", ""fr"")"),"Record # 3")</f>
        <v>Record # 3</v>
      </c>
      <c r="C8408" s="1" t="s">
        <v>185</v>
      </c>
      <c r="BK8408" s="1" t="s">
        <v>59</v>
      </c>
      <c r="DN8408" s="1" t="s">
        <v>114</v>
      </c>
      <c r="FD8408" s="1" t="s">
        <v>156</v>
      </c>
      <c r="FI8408" s="1" t="s">
        <v>161</v>
      </c>
      <c r="GD8408" s="1" t="s">
        <v>189</v>
      </c>
      <c r="GE8408" s="1" t="s">
        <v>11811</v>
      </c>
    </row>
    <row r="8409" spans="1:187" ht="11.25" customHeight="1">
      <c r="A8409" s="1" t="s">
        <v>11812</v>
      </c>
      <c r="B8409" s="1" t="str">
        <f ca="1">IFERROR(__xludf.DUMMYFUNCTION("GOOGLETRANSLATE(A8409, ""en"", ""fr"")"),"Record # 4")</f>
        <v>Record # 4</v>
      </c>
      <c r="C8409" s="1" t="s">
        <v>185</v>
      </c>
      <c r="BK8409" s="1" t="s">
        <v>59</v>
      </c>
      <c r="FH8409" s="1" t="s">
        <v>160</v>
      </c>
      <c r="FI8409" s="1" t="s">
        <v>161</v>
      </c>
      <c r="GC8409" s="1" t="s">
        <v>181</v>
      </c>
      <c r="GD8409" s="1" t="s">
        <v>202</v>
      </c>
      <c r="GE8409" s="1" t="s">
        <v>11813</v>
      </c>
    </row>
    <row r="8410" spans="1:187" ht="11.25" customHeight="1">
      <c r="A8410" s="1" t="s">
        <v>11814</v>
      </c>
      <c r="B8410" s="1" t="str">
        <f ca="1">IFERROR(__xludf.DUMMYFUNCTION("GOOGLETRANSLATE(A8410, ""en"", ""fr"")"),"RECOURS")</f>
        <v>RECOURS</v>
      </c>
      <c r="C8410" s="1" t="s">
        <v>196</v>
      </c>
      <c r="GD8410" s="1" t="s">
        <v>193</v>
      </c>
    </row>
    <row r="8411" spans="1:187" ht="11.25" customHeight="1">
      <c r="A8411" s="1" t="s">
        <v>11815</v>
      </c>
      <c r="B8411" s="1" t="str">
        <f ca="1">IFERROR(__xludf.DUMMYFUNCTION("GOOGLETRANSLATE(A8411, ""en"", ""fr"")"),"RÉCUPÉRER")</f>
        <v>RÉCUPÉRER</v>
      </c>
      <c r="C8411" s="1" t="s">
        <v>185</v>
      </c>
      <c r="J8411" s="1" t="s">
        <v>6</v>
      </c>
      <c r="BS8411" s="1" t="s">
        <v>67</v>
      </c>
      <c r="DN8411" s="1" t="s">
        <v>114</v>
      </c>
      <c r="FN8411" s="1" t="s">
        <v>166</v>
      </c>
      <c r="GD8411" s="1" t="s">
        <v>189</v>
      </c>
      <c r="GE8411" s="1" t="s">
        <v>190</v>
      </c>
    </row>
    <row r="8412" spans="1:187" ht="11.25" customHeight="1">
      <c r="A8412" s="1" t="s">
        <v>11816</v>
      </c>
      <c r="B8412" s="1" t="str">
        <f ca="1">IFERROR(__xludf.DUMMYFUNCTION("GOOGLETRANSLATE(A8412, ""en"", ""fr"")"),"RÉCUPÉRATION")</f>
        <v>RÉCUPÉRATION</v>
      </c>
      <c r="C8412" s="1" t="s">
        <v>185</v>
      </c>
      <c r="J8412" s="1" t="s">
        <v>6</v>
      </c>
      <c r="AC8412" s="1" t="s">
        <v>25</v>
      </c>
      <c r="BS8412" s="1" t="s">
        <v>67</v>
      </c>
      <c r="GD8412" s="1" t="s">
        <v>193</v>
      </c>
      <c r="GE8412" s="1" t="s">
        <v>190</v>
      </c>
    </row>
    <row r="8413" spans="1:187" ht="11.25" customHeight="1">
      <c r="A8413" s="1" t="s">
        <v>11817</v>
      </c>
      <c r="B8413" s="1" t="str">
        <f ca="1">IFERROR(__xludf.DUMMYFUNCTION("GOOGLETRANSLATE(A8413, ""en"", ""fr"")"),"RECRÉER")</f>
        <v>RECRÉER</v>
      </c>
      <c r="C8413" s="1" t="s">
        <v>196</v>
      </c>
      <c r="EZ8413" s="1" t="s">
        <v>152</v>
      </c>
      <c r="FC8413" s="1" t="s">
        <v>155</v>
      </c>
      <c r="GD8413" s="1" t="s">
        <v>189</v>
      </c>
    </row>
    <row r="8414" spans="1:187" ht="11.25" customHeight="1">
      <c r="A8414" s="1" t="s">
        <v>11818</v>
      </c>
      <c r="B8414" s="1" t="str">
        <f ca="1">IFERROR(__xludf.DUMMYFUNCTION("GOOGLETRANSLATE(A8414, ""en"", ""fr"")"),"DES LOISIRS")</f>
        <v>DES LOISIRS</v>
      </c>
      <c r="C8414" s="1" t="s">
        <v>192</v>
      </c>
      <c r="D8414" s="1" t="s">
        <v>16612</v>
      </c>
      <c r="N8414" s="1" t="s">
        <v>10</v>
      </c>
      <c r="P8414" s="1" t="s">
        <v>12</v>
      </c>
      <c r="GD8414" s="1" t="s">
        <v>193</v>
      </c>
      <c r="GE8414" s="1" t="s">
        <v>190</v>
      </c>
    </row>
    <row r="8415" spans="1:187" ht="11.25" customHeight="1">
      <c r="A8415" s="1" t="s">
        <v>11819</v>
      </c>
      <c r="B8415" s="1" t="str">
        <f ca="1">IFERROR(__xludf.DUMMYFUNCTION("GOOGLETRANSLATE(A8415, ""en"", ""fr"")"),"RÉCRIMINER")</f>
        <v>RÉCRIMINER</v>
      </c>
      <c r="C8415" s="1" t="s">
        <v>196</v>
      </c>
      <c r="FW8415" s="1" t="s">
        <v>175</v>
      </c>
      <c r="GD8415" s="1" t="s">
        <v>189</v>
      </c>
    </row>
    <row r="8416" spans="1:187" ht="11.25" customHeight="1">
      <c r="A8416" s="1" t="s">
        <v>11820</v>
      </c>
      <c r="B8416" s="1" t="str">
        <f ca="1">IFERROR(__xludf.DUMMYFUNCTION("GOOGLETRANSLATE(A8416, ""en"", ""fr"")"),"Recruter n ° 1")</f>
        <v>Recruter n ° 1</v>
      </c>
      <c r="C8416" s="1" t="s">
        <v>185</v>
      </c>
      <c r="M8416" s="1" t="s">
        <v>9</v>
      </c>
      <c r="AF8416" s="1" t="s">
        <v>28</v>
      </c>
      <c r="AJ8416" s="1" t="s">
        <v>32</v>
      </c>
      <c r="AT8416" s="1" t="s">
        <v>42</v>
      </c>
      <c r="DY8416" s="1" t="s">
        <v>125</v>
      </c>
      <c r="ED8416" s="1" t="s">
        <v>130</v>
      </c>
      <c r="GD8416" s="1" t="s">
        <v>193</v>
      </c>
      <c r="GE8416" s="1" t="s">
        <v>190</v>
      </c>
    </row>
    <row r="8417" spans="1:187" ht="11.25" customHeight="1">
      <c r="A8417" s="1" t="s">
        <v>11821</v>
      </c>
      <c r="B8417" s="1" t="str">
        <f ca="1">IFERROR(__xludf.DUMMYFUNCTION("GOOGLETRANSLATE(A8417, ""en"", ""fr"")"),"Recruter n ° 2")</f>
        <v>Recruter n ° 2</v>
      </c>
      <c r="C8417" s="1" t="s">
        <v>185</v>
      </c>
      <c r="J8417" s="1" t="s">
        <v>6</v>
      </c>
      <c r="K8417" s="1" t="s">
        <v>7</v>
      </c>
      <c r="N8417" s="1" t="s">
        <v>10</v>
      </c>
      <c r="AF8417" s="1" t="s">
        <v>28</v>
      </c>
      <c r="AN8417" s="1" t="s">
        <v>36</v>
      </c>
      <c r="DN8417" s="1" t="s">
        <v>114</v>
      </c>
      <c r="FN8417" s="1" t="s">
        <v>166</v>
      </c>
      <c r="GD8417" s="1" t="s">
        <v>189</v>
      </c>
      <c r="GE8417" s="1" t="s">
        <v>190</v>
      </c>
    </row>
    <row r="8418" spans="1:187" ht="11.25" customHeight="1">
      <c r="A8418" s="1" t="s">
        <v>11822</v>
      </c>
      <c r="B8418" s="1" t="str">
        <f ca="1">IFERROR(__xludf.DUMMYFUNCTION("GOOGLETRANSLATE(A8418, ""en"", ""fr"")"),"RECRUTEMENT")</f>
        <v>RECRUTEMENT</v>
      </c>
      <c r="C8418" s="1" t="s">
        <v>185</v>
      </c>
      <c r="J8418" s="1" t="s">
        <v>6</v>
      </c>
      <c r="K8418" s="1" t="s">
        <v>7</v>
      </c>
      <c r="N8418" s="1" t="s">
        <v>10</v>
      </c>
      <c r="BQ8418" s="1" t="s">
        <v>65</v>
      </c>
      <c r="GD8418" s="1" t="s">
        <v>193</v>
      </c>
      <c r="GE8418" s="1" t="s">
        <v>190</v>
      </c>
    </row>
    <row r="8419" spans="1:187" ht="11.25" customHeight="1">
      <c r="A8419" s="1" t="s">
        <v>11823</v>
      </c>
      <c r="B8419" s="1" t="str">
        <f ca="1">IFERROR(__xludf.DUMMYFUNCTION("GOOGLETRANSLATE(A8419, ""en"", ""fr"")"),"RECTITUDE")</f>
        <v>RECTITUDE</v>
      </c>
      <c r="C8419" s="1" t="s">
        <v>196</v>
      </c>
      <c r="EE8419" s="1" t="s">
        <v>131</v>
      </c>
      <c r="EJ8419" s="1" t="s">
        <v>136</v>
      </c>
      <c r="GD8419" s="1" t="s">
        <v>193</v>
      </c>
    </row>
    <row r="8420" spans="1:187" ht="11.25" customHeight="1">
      <c r="A8420" s="1" t="s">
        <v>11824</v>
      </c>
      <c r="B8420" s="1" t="str">
        <f ca="1">IFERROR(__xludf.DUMMYFUNCTION("GOOGLETRANSLATE(A8420, ""en"", ""fr"")"),"RECTEUR")</f>
        <v>RECTEUR</v>
      </c>
      <c r="C8420" s="1" t="s">
        <v>185</v>
      </c>
      <c r="K8420" s="1" t="s">
        <v>7</v>
      </c>
      <c r="AI8420" s="1" t="s">
        <v>31</v>
      </c>
      <c r="AJ8420" s="1" t="s">
        <v>32</v>
      </c>
      <c r="AT8420" s="1" t="s">
        <v>42</v>
      </c>
      <c r="EF8420" s="1" t="s">
        <v>132</v>
      </c>
      <c r="EJ8420" s="1" t="s">
        <v>136</v>
      </c>
      <c r="GD8420" s="1" t="s">
        <v>193</v>
      </c>
      <c r="GE8420" s="1" t="s">
        <v>190</v>
      </c>
    </row>
    <row r="8421" spans="1:187" ht="11.25" customHeight="1">
      <c r="A8421" s="1" t="s">
        <v>11825</v>
      </c>
      <c r="B8421" s="1" t="str">
        <f ca="1">IFERROR(__xludf.DUMMYFUNCTION("GOOGLETRANSLATE(A8421, ""en"", ""fr"")"),"SE REPRODUIRE")</f>
        <v>SE REPRODUIRE</v>
      </c>
      <c r="C8421" s="1" t="s">
        <v>196</v>
      </c>
      <c r="GD8421" s="1" t="s">
        <v>189</v>
      </c>
    </row>
    <row r="8422" spans="1:187" ht="11.25" customHeight="1">
      <c r="A8422" s="1" t="s">
        <v>11826</v>
      </c>
      <c r="B8422" s="1" t="str">
        <f ca="1">IFERROR(__xludf.DUMMYFUNCTION("GOOGLETRANSLATE(A8422, ""en"", ""fr"")"),"RÉCURRENCE")</f>
        <v>RÉCURRENCE</v>
      </c>
      <c r="C8422" s="1" t="s">
        <v>196</v>
      </c>
      <c r="GD8422" s="1" t="s">
        <v>193</v>
      </c>
    </row>
    <row r="8423" spans="1:187" ht="11.25" customHeight="1">
      <c r="A8423" s="1" t="s">
        <v>11827</v>
      </c>
      <c r="B8423" s="1" t="str">
        <f ca="1">IFERROR(__xludf.DUMMYFUNCTION("GOOGLETRANSLATE(A8423, ""en"", ""fr"")"),"RÉCURRENT")</f>
        <v>RÉCURRENT</v>
      </c>
      <c r="C8423" s="1" t="s">
        <v>185</v>
      </c>
      <c r="J8423" s="1" t="s">
        <v>6</v>
      </c>
      <c r="CW8423" s="1" t="s">
        <v>97</v>
      </c>
      <c r="GD8423" s="1" t="s">
        <v>202</v>
      </c>
      <c r="GE8423" s="1" t="s">
        <v>190</v>
      </c>
    </row>
    <row r="8424" spans="1:187" ht="11.25" customHeight="1">
      <c r="A8424" s="1" t="s">
        <v>11828</v>
      </c>
      <c r="B8424" s="1" t="str">
        <f ca="1">IFERROR(__xludf.DUMMYFUNCTION("GOOGLETRANSLATE(A8424, ""en"", ""fr"")"),"ROUGE")</f>
        <v>ROUGE</v>
      </c>
      <c r="C8424" s="1" t="s">
        <v>185</v>
      </c>
      <c r="DE8424" s="1" t="s">
        <v>105</v>
      </c>
      <c r="GD8424" s="1" t="s">
        <v>202</v>
      </c>
      <c r="GE8424" s="1" t="s">
        <v>11829</v>
      </c>
    </row>
    <row r="8425" spans="1:187" ht="11.25" customHeight="1">
      <c r="A8425" s="1" t="s">
        <v>11830</v>
      </c>
      <c r="B8425" s="1" t="str">
        <f ca="1">IFERROR(__xludf.DUMMYFUNCTION("GOOGLETRANSLATE(A8425, ""en"", ""fr"")"),"RACHETER")</f>
        <v>RACHETER</v>
      </c>
      <c r="C8425" s="1" t="s">
        <v>192</v>
      </c>
      <c r="D8425" s="1" t="s">
        <v>16612</v>
      </c>
      <c r="J8425" s="1" t="s">
        <v>6</v>
      </c>
      <c r="N8425" s="1" t="s">
        <v>10</v>
      </c>
      <c r="BP8425" s="1" t="s">
        <v>64</v>
      </c>
      <c r="DN8425" s="1" t="s">
        <v>114</v>
      </c>
      <c r="GD8425" s="1" t="s">
        <v>189</v>
      </c>
      <c r="GE8425" s="1" t="s">
        <v>190</v>
      </c>
    </row>
    <row r="8426" spans="1:187" ht="11.25" customHeight="1">
      <c r="A8426" s="1" t="s">
        <v>11831</v>
      </c>
      <c r="B8426" s="1" t="str">
        <f ca="1">IFERROR(__xludf.DUMMYFUNCTION("GOOGLETRANSLATE(A8426, ""en"", ""fr"")"),"RACHAT")</f>
        <v>RACHAT</v>
      </c>
      <c r="C8426" s="1" t="s">
        <v>185</v>
      </c>
      <c r="D8426" s="1" t="s">
        <v>16612</v>
      </c>
      <c r="M8426" s="1" t="s">
        <v>9</v>
      </c>
      <c r="AB8426" s="1" t="s">
        <v>24</v>
      </c>
      <c r="AN8426" s="1" t="s">
        <v>36</v>
      </c>
      <c r="CO8426" s="1" t="s">
        <v>89</v>
      </c>
      <c r="EU8426" s="1" t="s">
        <v>147</v>
      </c>
      <c r="EW8426" s="1" t="s">
        <v>149</v>
      </c>
      <c r="GD8426" s="1" t="s">
        <v>193</v>
      </c>
      <c r="GE8426" s="1" t="s">
        <v>190</v>
      </c>
    </row>
    <row r="8427" spans="1:187" ht="11.25" customHeight="1">
      <c r="A8427" s="1" t="s">
        <v>11832</v>
      </c>
      <c r="B8427" s="1" t="str">
        <f ca="1">IFERROR(__xludf.DUMMYFUNCTION("GOOGLETRANSLATE(A8427, ""en"", ""fr"")"),"Réaménagement")</f>
        <v>Réaménagement</v>
      </c>
      <c r="C8427" s="1" t="s">
        <v>185</v>
      </c>
      <c r="AC8427" s="1" t="s">
        <v>25</v>
      </c>
      <c r="BQ8427" s="1" t="s">
        <v>65</v>
      </c>
      <c r="EV8427" s="1" t="s">
        <v>148</v>
      </c>
      <c r="EW8427" s="1" t="s">
        <v>149</v>
      </c>
      <c r="GD8427" s="1" t="s">
        <v>193</v>
      </c>
      <c r="GE8427" s="1" t="s">
        <v>190</v>
      </c>
    </row>
    <row r="8428" spans="1:187" ht="11.25" customHeight="1">
      <c r="A8428" s="1" t="s">
        <v>11833</v>
      </c>
      <c r="B8428" s="1" t="str">
        <f ca="1">IFERROR(__xludf.DUMMYFUNCTION("GOOGLETRANSLATE(A8428, ""en"", ""fr"")"),"ROUX")</f>
        <v>ROUX</v>
      </c>
      <c r="C8428" s="1" t="s">
        <v>185</v>
      </c>
      <c r="AJ8428" s="1" t="s">
        <v>32</v>
      </c>
      <c r="AT8428" s="1" t="s">
        <v>42</v>
      </c>
      <c r="GD8428" s="1" t="s">
        <v>193</v>
      </c>
      <c r="GE8428" s="1" t="s">
        <v>190</v>
      </c>
    </row>
    <row r="8429" spans="1:187" ht="11.25" customHeight="1">
      <c r="A8429" s="1" t="s">
        <v>11834</v>
      </c>
      <c r="B8429" s="1" t="str">
        <f ca="1">IFERROR(__xludf.DUMMYFUNCTION("GOOGLETRANSLATE(A8429, ""en"", ""fr"")"),"REDRESSER")</f>
        <v>REDRESSER</v>
      </c>
      <c r="C8429" s="1" t="s">
        <v>196</v>
      </c>
      <c r="FN8429" s="1" t="s">
        <v>166</v>
      </c>
      <c r="GD8429" s="1" t="s">
        <v>189</v>
      </c>
    </row>
    <row r="8430" spans="1:187" ht="11.25" customHeight="1">
      <c r="A8430" s="1" t="s">
        <v>11835</v>
      </c>
      <c r="B8430" s="1" t="str">
        <f ca="1">IFERROR(__xludf.DUMMYFUNCTION("GOOGLETRANSLATE(A8430, ""en"", ""fr"")"),"Rouges")</f>
        <v>Rouges</v>
      </c>
      <c r="C8430" s="1" t="s">
        <v>185</v>
      </c>
      <c r="AG8430" s="1" t="s">
        <v>29</v>
      </c>
      <c r="AH8430" s="1" t="s">
        <v>30</v>
      </c>
      <c r="AK8430" s="1" t="s">
        <v>33</v>
      </c>
      <c r="AT8430" s="1" t="s">
        <v>42</v>
      </c>
      <c r="EA8430" s="1" t="s">
        <v>127</v>
      </c>
      <c r="ED8430" s="1" t="s">
        <v>130</v>
      </c>
      <c r="GD8430" s="1" t="s">
        <v>576</v>
      </c>
      <c r="GE8430" s="1" t="s">
        <v>190</v>
      </c>
    </row>
    <row r="8431" spans="1:187" ht="11.25" customHeight="1">
      <c r="A8431" s="1" t="s">
        <v>11836</v>
      </c>
      <c r="B8431" s="1" t="str">
        <f ca="1">IFERROR(__xludf.DUMMYFUNCTION("GOOGLETRANSLATE(A8431, ""en"", ""fr"")"),"RÉDUIRE")</f>
        <v>RÉDUIRE</v>
      </c>
      <c r="C8431" s="1" t="s">
        <v>185</v>
      </c>
      <c r="J8431" s="1" t="s">
        <v>6</v>
      </c>
      <c r="BY8431" s="1" t="s">
        <v>73</v>
      </c>
      <c r="DN8431" s="1" t="s">
        <v>114</v>
      </c>
      <c r="FP8431" s="1" t="s">
        <v>168</v>
      </c>
      <c r="GD8431" s="1" t="s">
        <v>189</v>
      </c>
      <c r="GE8431" s="1" t="s">
        <v>11837</v>
      </c>
    </row>
    <row r="8432" spans="1:187" ht="11.25" customHeight="1">
      <c r="A8432" s="1" t="s">
        <v>11838</v>
      </c>
      <c r="B8432" s="1" t="str">
        <f ca="1">IFERROR(__xludf.DUMMYFUNCTION("GOOGLETRANSLATE(A8432, ""en"", ""fr"")"),"RÉDUCTION")</f>
        <v>RÉDUCTION</v>
      </c>
      <c r="C8432" s="1" t="s">
        <v>185</v>
      </c>
      <c r="L8432" s="1" t="s">
        <v>8</v>
      </c>
      <c r="BY8432" s="1" t="s">
        <v>73</v>
      </c>
      <c r="GD8432" s="1" t="s">
        <v>193</v>
      </c>
      <c r="GE8432" s="1" t="s">
        <v>190</v>
      </c>
    </row>
    <row r="8433" spans="1:187" ht="11.25" customHeight="1">
      <c r="A8433" s="1" t="s">
        <v>11839</v>
      </c>
      <c r="B8433" s="1" t="str">
        <f ca="1">IFERROR(__xludf.DUMMYFUNCTION("GOOGLETRANSLATE(A8433, ""en"", ""fr"")"),"REDONDANCE")</f>
        <v>REDONDANCE</v>
      </c>
      <c r="C8433" s="1" t="s">
        <v>192</v>
      </c>
      <c r="E8433" s="1" t="s">
        <v>16613</v>
      </c>
      <c r="V8433" s="1" t="s">
        <v>18</v>
      </c>
      <c r="CM8433" s="1" t="s">
        <v>87</v>
      </c>
      <c r="GD8433" s="1" t="s">
        <v>193</v>
      </c>
      <c r="GE8433" s="1" t="s">
        <v>190</v>
      </c>
    </row>
    <row r="8434" spans="1:187" ht="11.25" customHeight="1">
      <c r="A8434" s="1" t="s">
        <v>11840</v>
      </c>
      <c r="B8434" s="1" t="str">
        <f ca="1">IFERROR(__xludf.DUMMYFUNCTION("GOOGLETRANSLATE(A8434, ""en"", ""fr"")"),"REDONDANT")</f>
        <v>REDONDANT</v>
      </c>
      <c r="C8434" s="1" t="s">
        <v>192</v>
      </c>
      <c r="E8434" s="1" t="s">
        <v>16613</v>
      </c>
      <c r="V8434" s="1" t="s">
        <v>18</v>
      </c>
      <c r="CM8434" s="1" t="s">
        <v>87</v>
      </c>
      <c r="DR8434" s="1" t="s">
        <v>118</v>
      </c>
      <c r="GD8434" s="1" t="s">
        <v>202</v>
      </c>
      <c r="GE8434" s="1" t="s">
        <v>190</v>
      </c>
    </row>
    <row r="8435" spans="1:187" ht="11.25" customHeight="1">
      <c r="A8435" s="1" t="s">
        <v>11841</v>
      </c>
      <c r="B8435" s="1" t="str">
        <f ca="1">IFERROR(__xludf.DUMMYFUNCTION("GOOGLETRANSLATE(A8435, ""en"", ""fr"")"),"RÉCIF")</f>
        <v>RÉCIF</v>
      </c>
      <c r="C8435" s="1" t="s">
        <v>185</v>
      </c>
      <c r="AV8435" s="1" t="s">
        <v>44</v>
      </c>
      <c r="BA8435" s="1" t="s">
        <v>49</v>
      </c>
      <c r="GD8435" s="1" t="s">
        <v>193</v>
      </c>
      <c r="GE8435" s="1" t="s">
        <v>190</v>
      </c>
    </row>
    <row r="8436" spans="1:187" ht="11.25" customHeight="1">
      <c r="A8436" s="1" t="s">
        <v>11842</v>
      </c>
      <c r="B8436" s="1" t="str">
        <f ca="1">IFERROR(__xludf.DUMMYFUNCTION("GOOGLETRANSLATE(A8436, ""en"", ""fr"")"),"Réemplacement")</f>
        <v>Réemplacement</v>
      </c>
      <c r="C8436" s="1" t="s">
        <v>196</v>
      </c>
      <c r="EV8436" s="1" t="s">
        <v>148</v>
      </c>
      <c r="EW8436" s="1" t="s">
        <v>149</v>
      </c>
      <c r="GD8436" s="1" t="s">
        <v>189</v>
      </c>
    </row>
    <row r="8437" spans="1:187" ht="11.25" customHeight="1">
      <c r="A8437" s="1" t="s">
        <v>11843</v>
      </c>
      <c r="B8437" s="1" t="str">
        <f ca="1">IFERROR(__xludf.DUMMYFUNCTION("GOOGLETRANSLATE(A8437, ""en"", ""fr"")"),"RÉTABLIR")</f>
        <v>RÉTABLIR</v>
      </c>
      <c r="C8437" s="1" t="s">
        <v>192</v>
      </c>
      <c r="D8437" s="1" t="s">
        <v>16612</v>
      </c>
      <c r="J8437" s="1" t="s">
        <v>6</v>
      </c>
      <c r="N8437" s="1" t="s">
        <v>10</v>
      </c>
      <c r="BV8437" s="1" t="s">
        <v>70</v>
      </c>
      <c r="DN8437" s="1" t="s">
        <v>114</v>
      </c>
      <c r="GD8437" s="1" t="s">
        <v>189</v>
      </c>
      <c r="GE8437" s="1" t="s">
        <v>190</v>
      </c>
    </row>
    <row r="8438" spans="1:187" ht="11.25" customHeight="1">
      <c r="A8438" s="1" t="s">
        <v>11844</v>
      </c>
      <c r="B8438" s="1" t="str">
        <f ca="1">IFERROR(__xludf.DUMMYFUNCTION("GOOGLETRANSLATE(A8438, ""en"", ""fr"")"),"Réexaminer")</f>
        <v>Réexaminer</v>
      </c>
      <c r="C8438" s="1" t="s">
        <v>196</v>
      </c>
      <c r="FH8438" s="1" t="s">
        <v>160</v>
      </c>
      <c r="FI8438" s="1" t="s">
        <v>161</v>
      </c>
      <c r="GD8438" s="1" t="s">
        <v>189</v>
      </c>
    </row>
    <row r="8439" spans="1:187" ht="11.25" customHeight="1">
      <c r="A8439" s="1" t="s">
        <v>11845</v>
      </c>
      <c r="B8439" s="1" t="str">
        <f ca="1">IFERROR(__xludf.DUMMYFUNCTION("GOOGLETRANSLATE(A8439, ""en"", ""fr"")"),"RÉFÉRER")</f>
        <v>RÉFÉRER</v>
      </c>
      <c r="C8439" s="1" t="s">
        <v>185</v>
      </c>
      <c r="O8439" s="1" t="s">
        <v>11</v>
      </c>
      <c r="BK8439" s="1" t="s">
        <v>59</v>
      </c>
      <c r="DN8439" s="1" t="s">
        <v>114</v>
      </c>
      <c r="FP8439" s="1" t="s">
        <v>168</v>
      </c>
      <c r="GD8439" s="1" t="s">
        <v>189</v>
      </c>
      <c r="GE8439" s="1" t="s">
        <v>11846</v>
      </c>
    </row>
    <row r="8440" spans="1:187" ht="11.25" customHeight="1">
      <c r="A8440" s="1" t="s">
        <v>11847</v>
      </c>
      <c r="B8440" s="1" t="str">
        <f ca="1">IFERROR(__xludf.DUMMYFUNCTION("GOOGLETRANSLATE(A8440, ""en"", ""fr"")"),"RÉFÉRENCE")</f>
        <v>RÉFÉRENCE</v>
      </c>
      <c r="C8440" s="1" t="s">
        <v>185</v>
      </c>
      <c r="BK8440" s="1" t="s">
        <v>59</v>
      </c>
      <c r="BL8440" s="1" t="s">
        <v>60</v>
      </c>
      <c r="GC8440" s="1" t="s">
        <v>181</v>
      </c>
      <c r="GD8440" s="1" t="s">
        <v>193</v>
      </c>
      <c r="GE8440" s="1" t="s">
        <v>11848</v>
      </c>
    </row>
    <row r="8441" spans="1:187" ht="11.25" customHeight="1">
      <c r="A8441" s="1" t="s">
        <v>11849</v>
      </c>
      <c r="B8441" s="1" t="str">
        <f ca="1">IFERROR(__xludf.DUMMYFUNCTION("GOOGLETRANSLATE(A8441, ""en"", ""fr"")"),"AFFINER")</f>
        <v>AFFINER</v>
      </c>
      <c r="C8441" s="1" t="s">
        <v>192</v>
      </c>
      <c r="D8441" s="1" t="s">
        <v>16612</v>
      </c>
      <c r="N8441" s="1" t="s">
        <v>10</v>
      </c>
      <c r="U8441" s="1" t="s">
        <v>17</v>
      </c>
      <c r="BY8441" s="1" t="s">
        <v>73</v>
      </c>
      <c r="DN8441" s="1" t="s">
        <v>114</v>
      </c>
      <c r="GD8441" s="1" t="s">
        <v>189</v>
      </c>
      <c r="GE8441" s="1" t="s">
        <v>190</v>
      </c>
    </row>
    <row r="8442" spans="1:187" ht="11.25" customHeight="1">
      <c r="A8442" s="1" t="s">
        <v>11850</v>
      </c>
      <c r="B8442" s="1" t="str">
        <f ca="1">IFERROR(__xludf.DUMMYFUNCTION("GOOGLETRANSLATE(A8442, ""en"", ""fr"")"),"RAFFINEMENT")</f>
        <v>RAFFINEMENT</v>
      </c>
      <c r="C8442" s="1" t="s">
        <v>192</v>
      </c>
      <c r="D8442" s="1" t="s">
        <v>16612</v>
      </c>
      <c r="U8442" s="1" t="s">
        <v>17</v>
      </c>
      <c r="GD8442" s="1" t="s">
        <v>193</v>
      </c>
      <c r="GE8442" s="1" t="s">
        <v>190</v>
      </c>
    </row>
    <row r="8443" spans="1:187" ht="11.25" customHeight="1">
      <c r="A8443" s="1" t="s">
        <v>11851</v>
      </c>
      <c r="B8443" s="1" t="str">
        <f ca="1">IFERROR(__xludf.DUMMYFUNCTION("GOOGLETRANSLATE(A8443, ""en"", ""fr"")"),"REFLÉTER")</f>
        <v>REFLÉTER</v>
      </c>
      <c r="C8443" s="1" t="s">
        <v>185</v>
      </c>
      <c r="O8443" s="1" t="s">
        <v>11</v>
      </c>
      <c r="CO8443" s="1" t="s">
        <v>89</v>
      </c>
      <c r="DN8443" s="1" t="s">
        <v>114</v>
      </c>
      <c r="FH8443" s="1" t="s">
        <v>160</v>
      </c>
      <c r="FI8443" s="1" t="s">
        <v>161</v>
      </c>
      <c r="GD8443" s="1" t="s">
        <v>189</v>
      </c>
      <c r="GE8443" s="1" t="s">
        <v>190</v>
      </c>
    </row>
    <row r="8444" spans="1:187" ht="11.25" customHeight="1">
      <c r="A8444" s="1" t="s">
        <v>11852</v>
      </c>
      <c r="B8444" s="1" t="str">
        <f ca="1">IFERROR(__xludf.DUMMYFUNCTION("GOOGLETRANSLATE(A8444, ""en"", ""fr"")"),"RÉFLEXION")</f>
        <v>RÉFLEXION</v>
      </c>
      <c r="C8444" s="1" t="s">
        <v>185</v>
      </c>
      <c r="O8444" s="1" t="s">
        <v>11</v>
      </c>
      <c r="CH8444" s="1" t="s">
        <v>82</v>
      </c>
      <c r="FH8444" s="1" t="s">
        <v>160</v>
      </c>
      <c r="FI8444" s="1" t="s">
        <v>161</v>
      </c>
      <c r="GD8444" s="1" t="s">
        <v>193</v>
      </c>
      <c r="GE8444" s="1" t="s">
        <v>190</v>
      </c>
    </row>
    <row r="8445" spans="1:187" ht="11.25" customHeight="1">
      <c r="A8445" s="1" t="s">
        <v>11853</v>
      </c>
      <c r="B8445" s="1" t="str">
        <f ca="1">IFERROR(__xludf.DUMMYFUNCTION("GOOGLETRANSLATE(A8445, ""en"", ""fr"")"),"RÉFLEXE")</f>
        <v>RÉFLEXE</v>
      </c>
      <c r="C8445" s="1" t="s">
        <v>185</v>
      </c>
      <c r="O8445" s="1" t="s">
        <v>11</v>
      </c>
      <c r="BU8445" s="1" t="s">
        <v>69</v>
      </c>
      <c r="GD8445" s="1" t="s">
        <v>193</v>
      </c>
      <c r="GE8445" s="1" t="s">
        <v>190</v>
      </c>
    </row>
    <row r="8446" spans="1:187" ht="11.25" customHeight="1">
      <c r="A8446" s="1" t="s">
        <v>11854</v>
      </c>
      <c r="B8446" s="1" t="str">
        <f ca="1">IFERROR(__xludf.DUMMYFUNCTION("GOOGLETRANSLATE(A8446, ""en"", ""fr"")"),"Réforme n ° 1")</f>
        <v>Réforme n ° 1</v>
      </c>
      <c r="C8446" s="1" t="s">
        <v>185</v>
      </c>
      <c r="N8446" s="1" t="s">
        <v>10</v>
      </c>
      <c r="U8446" s="1" t="s">
        <v>17</v>
      </c>
      <c r="AC8446" s="1" t="s">
        <v>25</v>
      </c>
      <c r="AG8446" s="1" t="s">
        <v>29</v>
      </c>
      <c r="AH8446" s="1" t="s">
        <v>30</v>
      </c>
      <c r="EC8446" s="1" t="s">
        <v>129</v>
      </c>
      <c r="ED8446" s="1" t="s">
        <v>130</v>
      </c>
      <c r="GD8446" s="1" t="s">
        <v>193</v>
      </c>
      <c r="GE8446" s="1" t="s">
        <v>190</v>
      </c>
    </row>
    <row r="8447" spans="1:187" ht="11.25" customHeight="1">
      <c r="A8447" s="1" t="s">
        <v>11855</v>
      </c>
      <c r="B8447" s="1" t="str">
        <f ca="1">IFERROR(__xludf.DUMMYFUNCTION("GOOGLETRANSLATE(A8447, ""en"", ""fr"")"),"Réforme n ° 2")</f>
        <v>Réforme n ° 2</v>
      </c>
      <c r="C8447" s="1" t="s">
        <v>185</v>
      </c>
      <c r="N8447" s="1" t="s">
        <v>10</v>
      </c>
      <c r="BW8447" s="1" t="s">
        <v>71</v>
      </c>
      <c r="DN8447" s="1" t="s">
        <v>114</v>
      </c>
      <c r="EC8447" s="1" t="s">
        <v>129</v>
      </c>
      <c r="ED8447" s="1" t="s">
        <v>130</v>
      </c>
      <c r="GD8447" s="1" t="s">
        <v>189</v>
      </c>
      <c r="GE8447" s="1" t="s">
        <v>190</v>
      </c>
    </row>
    <row r="8448" spans="1:187" ht="11.25" customHeight="1">
      <c r="A8448" s="1" t="s">
        <v>11856</v>
      </c>
      <c r="B8448" s="1" t="str">
        <f ca="1">IFERROR(__xludf.DUMMYFUNCTION("GOOGLETRANSLATE(A8448, ""en"", ""fr"")"),"S'ABSTENIR")</f>
        <v>S'ABSTENIR</v>
      </c>
      <c r="C8448" s="1" t="s">
        <v>192</v>
      </c>
      <c r="E8448" s="1" t="s">
        <v>16613</v>
      </c>
      <c r="N8448" s="1" t="s">
        <v>10</v>
      </c>
      <c r="CA8448" s="1" t="s">
        <v>75</v>
      </c>
      <c r="DN8448" s="1" t="s">
        <v>114</v>
      </c>
      <c r="GD8448" s="1" t="s">
        <v>189</v>
      </c>
      <c r="GE8448" s="1" t="s">
        <v>190</v>
      </c>
    </row>
    <row r="8449" spans="1:187" ht="11.25" customHeight="1">
      <c r="A8449" s="1" t="s">
        <v>11857</v>
      </c>
      <c r="B8449" s="1" t="str">
        <f ca="1">IFERROR(__xludf.DUMMYFUNCTION("GOOGLETRANSLATE(A8449, ""en"", ""fr"")"),"RÉFRIGÉRATEUR")</f>
        <v>RÉFRIGÉRATEUR</v>
      </c>
      <c r="C8449" s="1" t="s">
        <v>185</v>
      </c>
      <c r="BC8449" s="1" t="s">
        <v>51</v>
      </c>
      <c r="BD8449" s="1" t="s">
        <v>52</v>
      </c>
      <c r="GD8449" s="1" t="s">
        <v>193</v>
      </c>
      <c r="GE8449" s="1" t="s">
        <v>190</v>
      </c>
    </row>
    <row r="8450" spans="1:187" ht="11.25" customHeight="1">
      <c r="A8450" s="1" t="s">
        <v>11858</v>
      </c>
      <c r="B8450" s="1" t="str">
        <f ca="1">IFERROR(__xludf.DUMMYFUNCTION("GOOGLETRANSLATE(A8450, ""en"", ""fr"")"),"REFUGE")</f>
        <v>REFUGE</v>
      </c>
      <c r="C8450" s="1" t="s">
        <v>192</v>
      </c>
      <c r="D8450" s="1" t="s">
        <v>16612</v>
      </c>
      <c r="P8450" s="1" t="s">
        <v>12</v>
      </c>
      <c r="GD8450" s="1" t="s">
        <v>6962</v>
      </c>
      <c r="GE8450" s="1" t="s">
        <v>190</v>
      </c>
    </row>
    <row r="8451" spans="1:187" ht="11.25" customHeight="1">
      <c r="A8451" s="1" t="s">
        <v>11859</v>
      </c>
      <c r="B8451" s="1" t="str">
        <f ca="1">IFERROR(__xludf.DUMMYFUNCTION("GOOGLETRANSLATE(A8451, ""en"", ""fr"")"),"RÉFUGIÉ")</f>
        <v>RÉFUGIÉ</v>
      </c>
      <c r="C8451" s="1" t="s">
        <v>185</v>
      </c>
      <c r="E8451" s="1" t="s">
        <v>16613</v>
      </c>
      <c r="L8451" s="1" t="s">
        <v>8</v>
      </c>
      <c r="AG8451" s="1" t="s">
        <v>29</v>
      </c>
      <c r="AT8451" s="1" t="s">
        <v>42</v>
      </c>
      <c r="FT8451" s="1" t="s">
        <v>172</v>
      </c>
      <c r="GD8451" s="1" t="s">
        <v>193</v>
      </c>
      <c r="GE8451" s="1" t="s">
        <v>190</v>
      </c>
    </row>
    <row r="8452" spans="1:187" ht="11.25" customHeight="1">
      <c r="A8452" s="1" t="s">
        <v>11860</v>
      </c>
      <c r="B8452" s="1" t="str">
        <f ca="1">IFERROR(__xludf.DUMMYFUNCTION("GOOGLETRANSLATE(A8452, ""en"", ""fr"")"),"Remboursement n ° 1")</f>
        <v>Remboursement n ° 1</v>
      </c>
      <c r="C8452" s="1" t="s">
        <v>185</v>
      </c>
      <c r="AA8452" s="1" t="s">
        <v>23</v>
      </c>
      <c r="AC8452" s="1" t="s">
        <v>25</v>
      </c>
      <c r="BK8452" s="1" t="s">
        <v>59</v>
      </c>
      <c r="BL8452" s="1" t="s">
        <v>60</v>
      </c>
      <c r="EV8452" s="1" t="s">
        <v>148</v>
      </c>
      <c r="EW8452" s="1" t="s">
        <v>149</v>
      </c>
      <c r="GC8452" s="1" t="s">
        <v>181</v>
      </c>
      <c r="GD8452" s="1" t="s">
        <v>193</v>
      </c>
      <c r="GE8452" s="1" t="s">
        <v>190</v>
      </c>
    </row>
    <row r="8453" spans="1:187" ht="11.25" customHeight="1">
      <c r="A8453" s="1" t="s">
        <v>11861</v>
      </c>
      <c r="B8453" s="1" t="str">
        <f ca="1">IFERROR(__xludf.DUMMYFUNCTION("GOOGLETRANSLATE(A8453, ""en"", ""fr"")"),"Remboursement n ° 2")</f>
        <v>Remboursement n ° 2</v>
      </c>
      <c r="C8453" s="1" t="s">
        <v>185</v>
      </c>
      <c r="N8453" s="1" t="s">
        <v>10</v>
      </c>
      <c r="AA8453" s="1" t="s">
        <v>23</v>
      </c>
      <c r="AB8453" s="1" t="s">
        <v>24</v>
      </c>
      <c r="DN8453" s="1" t="s">
        <v>114</v>
      </c>
      <c r="EU8453" s="1" t="s">
        <v>147</v>
      </c>
      <c r="EW8453" s="1" t="s">
        <v>149</v>
      </c>
      <c r="GD8453" s="1" t="s">
        <v>189</v>
      </c>
      <c r="GE8453" s="1" t="s">
        <v>190</v>
      </c>
    </row>
    <row r="8454" spans="1:187" ht="11.25" customHeight="1">
      <c r="A8454" s="1" t="s">
        <v>11862</v>
      </c>
      <c r="B8454" s="1" t="str">
        <f ca="1">IFERROR(__xludf.DUMMYFUNCTION("GOOGLETRANSLATE(A8454, ""en"", ""fr"")"),"REFUS")</f>
        <v>REFUS</v>
      </c>
      <c r="C8454" s="1" t="s">
        <v>185</v>
      </c>
      <c r="E8454" s="1" t="s">
        <v>16613</v>
      </c>
      <c r="H8454" s="1" t="s">
        <v>4</v>
      </c>
      <c r="I8454" s="1" t="s">
        <v>5</v>
      </c>
      <c r="BK8454" s="1" t="s">
        <v>59</v>
      </c>
      <c r="BL8454" s="1" t="s">
        <v>60</v>
      </c>
      <c r="GA8454" s="1" t="s">
        <v>179</v>
      </c>
      <c r="GC8454" s="1" t="s">
        <v>181</v>
      </c>
      <c r="GD8454" s="1" t="s">
        <v>193</v>
      </c>
      <c r="GE8454" s="1" t="s">
        <v>190</v>
      </c>
    </row>
    <row r="8455" spans="1:187" ht="11.25" customHeight="1">
      <c r="A8455" s="1" t="s">
        <v>11863</v>
      </c>
      <c r="B8455" s="1" t="str">
        <f ca="1">IFERROR(__xludf.DUMMYFUNCTION("GOOGLETRANSLATE(A8455, ""en"", ""fr"")"),"Refus n ° 1")</f>
        <v>Refus n ° 1</v>
      </c>
      <c r="C8455" s="1" t="s">
        <v>185</v>
      </c>
      <c r="E8455" s="1" t="s">
        <v>16613</v>
      </c>
      <c r="H8455" s="1" t="s">
        <v>4</v>
      </c>
      <c r="I8455" s="1" t="s">
        <v>5</v>
      </c>
      <c r="DO8455" s="1" t="s">
        <v>115</v>
      </c>
      <c r="GA8455" s="1" t="s">
        <v>179</v>
      </c>
      <c r="GD8455" s="1" t="s">
        <v>400</v>
      </c>
      <c r="GE8455" s="1" t="s">
        <v>11864</v>
      </c>
    </row>
    <row r="8456" spans="1:187" ht="11.25" customHeight="1">
      <c r="A8456" s="1" t="s">
        <v>11865</v>
      </c>
      <c r="B8456" s="1" t="str">
        <f ca="1">IFERROR(__xludf.DUMMYFUNCTION("GOOGLETRANSLATE(A8456, ""en"", ""fr"")"),"Déchets n ° 2")</f>
        <v>Déchets n ° 2</v>
      </c>
      <c r="C8456" s="1" t="s">
        <v>185</v>
      </c>
      <c r="V8456" s="1" t="s">
        <v>18</v>
      </c>
      <c r="GA8456" s="1" t="s">
        <v>179</v>
      </c>
      <c r="GD8456" s="1" t="s">
        <v>193</v>
      </c>
      <c r="GE8456" s="1" t="s">
        <v>11866</v>
      </c>
    </row>
    <row r="8457" spans="1:187" ht="11.25" customHeight="1">
      <c r="A8457" s="1" t="s">
        <v>11867</v>
      </c>
      <c r="B8457" s="1" t="str">
        <f ca="1">IFERROR(__xludf.DUMMYFUNCTION("GOOGLETRANSLATE(A8457, ""en"", ""fr"")"),"RECONQUÉRIR")</f>
        <v>RECONQUÉRIR</v>
      </c>
      <c r="C8457" s="1" t="s">
        <v>185</v>
      </c>
      <c r="J8457" s="1" t="s">
        <v>6</v>
      </c>
      <c r="N8457" s="1" t="s">
        <v>10</v>
      </c>
      <c r="BS8457" s="1" t="s">
        <v>67</v>
      </c>
      <c r="DN8457" s="1" t="s">
        <v>114</v>
      </c>
      <c r="FN8457" s="1" t="s">
        <v>166</v>
      </c>
      <c r="GD8457" s="1" t="s">
        <v>189</v>
      </c>
      <c r="GE8457" s="1" t="s">
        <v>190</v>
      </c>
    </row>
    <row r="8458" spans="1:187" ht="11.25" customHeight="1">
      <c r="A8458" s="1" t="s">
        <v>11868</v>
      </c>
      <c r="B8458" s="1" t="str">
        <f ca="1">IFERROR(__xludf.DUMMYFUNCTION("GOOGLETRANSLATE(A8458, ""en"", ""fr"")"),"ROYAL")</f>
        <v>ROYAL</v>
      </c>
      <c r="C8458" s="1" t="s">
        <v>192</v>
      </c>
      <c r="D8458" s="1" t="s">
        <v>16612</v>
      </c>
      <c r="K8458" s="1" t="s">
        <v>7</v>
      </c>
      <c r="U8458" s="1" t="s">
        <v>17</v>
      </c>
      <c r="DR8458" s="1" t="s">
        <v>118</v>
      </c>
      <c r="GD8458" s="1" t="s">
        <v>202</v>
      </c>
      <c r="GE8458" s="1" t="s">
        <v>190</v>
      </c>
    </row>
    <row r="8459" spans="1:187" ht="11.25" customHeight="1">
      <c r="A8459" s="1" t="s">
        <v>11869</v>
      </c>
      <c r="B8459" s="1" t="str">
        <f ca="1">IFERROR(__xludf.DUMMYFUNCTION("GOOGLETRANSLATE(A8459, ""en"", ""fr"")"),"Regard # 1")</f>
        <v>Regard # 1</v>
      </c>
      <c r="C8459" s="1" t="s">
        <v>185</v>
      </c>
      <c r="BQ8459" s="1" t="s">
        <v>65</v>
      </c>
      <c r="FH8459" s="1" t="s">
        <v>160</v>
      </c>
      <c r="FI8459" s="1" t="s">
        <v>161</v>
      </c>
      <c r="GD8459" s="1" t="s">
        <v>215</v>
      </c>
      <c r="GE8459" s="1" t="s">
        <v>11870</v>
      </c>
    </row>
    <row r="8460" spans="1:187" ht="11.25" customHeight="1">
      <c r="A8460" s="1" t="s">
        <v>11871</v>
      </c>
      <c r="B8460" s="1" t="str">
        <f ca="1">IFERROR(__xludf.DUMMYFUNCTION("GOOGLETRANSLATE(A8460, ""en"", ""fr"")"),"Respect n ° 2")</f>
        <v>Respect n ° 2</v>
      </c>
      <c r="C8460" s="1" t="s">
        <v>185</v>
      </c>
      <c r="O8460" s="1" t="s">
        <v>11</v>
      </c>
      <c r="CO8460" s="1" t="s">
        <v>89</v>
      </c>
      <c r="DN8460" s="1" t="s">
        <v>114</v>
      </c>
      <c r="FH8460" s="1" t="s">
        <v>160</v>
      </c>
      <c r="FI8460" s="1" t="s">
        <v>161</v>
      </c>
      <c r="GD8460" s="1" t="s">
        <v>189</v>
      </c>
      <c r="GE8460" s="1" t="s">
        <v>11872</v>
      </c>
    </row>
    <row r="8461" spans="1:187" ht="11.25" customHeight="1">
      <c r="A8461" s="1" t="s">
        <v>11873</v>
      </c>
      <c r="B8461" s="1" t="str">
        <f ca="1">IFERROR(__xludf.DUMMYFUNCTION("GOOGLETRANSLATE(A8461, ""en"", ""fr"")"),"Respect n ° 3")</f>
        <v>Respect n ° 3</v>
      </c>
      <c r="C8461" s="1" t="s">
        <v>185</v>
      </c>
      <c r="D8461" s="1" t="s">
        <v>16612</v>
      </c>
      <c r="F8461" s="1" t="s">
        <v>2</v>
      </c>
      <c r="G8461" s="1" t="s">
        <v>3</v>
      </c>
      <c r="M8461" s="1" t="s">
        <v>9</v>
      </c>
      <c r="S8461" s="1" t="s">
        <v>15</v>
      </c>
      <c r="EM8461" s="1" t="s">
        <v>139</v>
      </c>
      <c r="EN8461" s="1" t="s">
        <v>140</v>
      </c>
      <c r="GD8461" s="1" t="s">
        <v>193</v>
      </c>
      <c r="GE8461" s="1" t="s">
        <v>11874</v>
      </c>
    </row>
    <row r="8462" spans="1:187" ht="11.25" customHeight="1">
      <c r="A8462" s="1" t="s">
        <v>11875</v>
      </c>
      <c r="B8462" s="1" t="str">
        <f ca="1">IFERROR(__xludf.DUMMYFUNCTION("GOOGLETRANSLATE(A8462, ""en"", ""fr"")"),"Respecter # 4")</f>
        <v>Respecter # 4</v>
      </c>
      <c r="C8462" s="1" t="s">
        <v>185</v>
      </c>
      <c r="CH8462" s="1" t="s">
        <v>82</v>
      </c>
      <c r="GD8462" s="1" t="s">
        <v>202</v>
      </c>
      <c r="GE8462" s="1" t="s">
        <v>11876</v>
      </c>
    </row>
    <row r="8463" spans="1:187" ht="11.25" customHeight="1">
      <c r="A8463" s="1" t="s">
        <v>11877</v>
      </c>
      <c r="B8463" s="1" t="str">
        <f ca="1">IFERROR(__xludf.DUMMYFUNCTION("GOOGLETRANSLATE(A8463, ""en"", ""fr"")"),"INDÉPENDAMMENT DE")</f>
        <v>INDÉPENDAMMENT DE</v>
      </c>
      <c r="C8463" s="1" t="s">
        <v>185</v>
      </c>
      <c r="E8463" s="1" t="s">
        <v>16613</v>
      </c>
      <c r="X8463" s="1" t="s">
        <v>20</v>
      </c>
      <c r="DR8463" s="1" t="s">
        <v>118</v>
      </c>
      <c r="GD8463" s="1" t="s">
        <v>202</v>
      </c>
      <c r="GE8463" s="1" t="s">
        <v>190</v>
      </c>
    </row>
    <row r="8464" spans="1:187" ht="11.25" customHeight="1">
      <c r="A8464" s="1" t="s">
        <v>11878</v>
      </c>
      <c r="B8464" s="1" t="str">
        <f ca="1">IFERROR(__xludf.DUMMYFUNCTION("GOOGLETRANSLATE(A8464, ""en"", ""fr"")"),"RÉGENT")</f>
        <v>RÉGENT</v>
      </c>
      <c r="C8464" s="1" t="s">
        <v>196</v>
      </c>
      <c r="DY8464" s="1" t="s">
        <v>125</v>
      </c>
      <c r="ED8464" s="1" t="s">
        <v>130</v>
      </c>
      <c r="GD8464" s="1" t="s">
        <v>4912</v>
      </c>
    </row>
    <row r="8465" spans="1:187" ht="11.25" customHeight="1">
      <c r="A8465" s="1" t="s">
        <v>11879</v>
      </c>
      <c r="B8465" s="1" t="str">
        <f ca="1">IFERROR(__xludf.DUMMYFUNCTION("GOOGLETRANSLATE(A8465, ""en"", ""fr"")"),"RÉGIME")</f>
        <v>RÉGIME</v>
      </c>
      <c r="C8465" s="1" t="s">
        <v>185</v>
      </c>
      <c r="J8465" s="1" t="s">
        <v>6</v>
      </c>
      <c r="K8465" s="1" t="s">
        <v>7</v>
      </c>
      <c r="AG8465" s="1" t="s">
        <v>29</v>
      </c>
      <c r="AH8465" s="1" t="s">
        <v>30</v>
      </c>
      <c r="AK8465" s="1" t="s">
        <v>33</v>
      </c>
      <c r="AT8465" s="1" t="s">
        <v>42</v>
      </c>
      <c r="EB8465" s="1" t="s">
        <v>128</v>
      </c>
      <c r="ED8465" s="1" t="s">
        <v>130</v>
      </c>
      <c r="GD8465" s="1" t="s">
        <v>193</v>
      </c>
      <c r="GE8465" s="1" t="s">
        <v>190</v>
      </c>
    </row>
    <row r="8466" spans="1:187" ht="11.25" customHeight="1">
      <c r="A8466" s="1" t="s">
        <v>11880</v>
      </c>
      <c r="B8466" s="1" t="str">
        <f ca="1">IFERROR(__xludf.DUMMYFUNCTION("GOOGLETRANSLATE(A8466, ""en"", ""fr"")"),"RÉGIMENT")</f>
        <v>RÉGIMENT</v>
      </c>
      <c r="C8466" s="1" t="s">
        <v>185</v>
      </c>
      <c r="J8466" s="1" t="s">
        <v>6</v>
      </c>
      <c r="AF8466" s="1" t="s">
        <v>28</v>
      </c>
      <c r="AH8466" s="1" t="s">
        <v>30</v>
      </c>
      <c r="AK8466" s="1" t="s">
        <v>33</v>
      </c>
      <c r="AT8466" s="1" t="s">
        <v>42</v>
      </c>
      <c r="DY8466" s="1" t="s">
        <v>125</v>
      </c>
      <c r="ED8466" s="1" t="s">
        <v>130</v>
      </c>
      <c r="GD8466" s="1" t="s">
        <v>193</v>
      </c>
      <c r="GE8466" s="1" t="s">
        <v>190</v>
      </c>
    </row>
    <row r="8467" spans="1:187" ht="11.25" customHeight="1">
      <c r="A8467" s="1" t="s">
        <v>11881</v>
      </c>
      <c r="B8467" s="1" t="str">
        <f ca="1">IFERROR(__xludf.DUMMYFUNCTION("GOOGLETRANSLATE(A8467, ""en"", ""fr"")"),"Régimentation")</f>
        <v>Régimentation</v>
      </c>
      <c r="C8467" s="1" t="s">
        <v>196</v>
      </c>
      <c r="EC8467" s="1" t="s">
        <v>129</v>
      </c>
      <c r="ED8467" s="1" t="s">
        <v>130</v>
      </c>
      <c r="GD8467" s="1" t="s">
        <v>193</v>
      </c>
    </row>
    <row r="8468" spans="1:187" ht="11.25" customHeight="1">
      <c r="A8468" s="1" t="s">
        <v>11882</v>
      </c>
      <c r="B8468" s="1" t="str">
        <f ca="1">IFERROR(__xludf.DUMMYFUNCTION("GOOGLETRANSLATE(A8468, ""en"", ""fr"")"),"RÉGION")</f>
        <v>RÉGION</v>
      </c>
      <c r="C8468" s="1" t="s">
        <v>185</v>
      </c>
      <c r="AC8468" s="1" t="s">
        <v>25</v>
      </c>
      <c r="AH8468" s="1" t="s">
        <v>30</v>
      </c>
      <c r="AV8468" s="1" t="s">
        <v>44</v>
      </c>
      <c r="AX8468" s="1" t="s">
        <v>46</v>
      </c>
      <c r="FS8468" s="1" t="s">
        <v>171</v>
      </c>
      <c r="GD8468" s="1" t="s">
        <v>193</v>
      </c>
      <c r="GE8468" s="1" t="s">
        <v>11883</v>
      </c>
    </row>
    <row r="8469" spans="1:187" ht="11.25" customHeight="1">
      <c r="A8469" s="1" t="s">
        <v>11884</v>
      </c>
      <c r="B8469" s="1" t="str">
        <f ca="1">IFERROR(__xludf.DUMMYFUNCTION("GOOGLETRANSLATE(A8469, ""en"", ""fr"")"),"RÉGIONAL")</f>
        <v>RÉGIONAL</v>
      </c>
      <c r="C8469" s="1" t="s">
        <v>185</v>
      </c>
      <c r="AC8469" s="1" t="s">
        <v>25</v>
      </c>
      <c r="AH8469" s="1" t="s">
        <v>30</v>
      </c>
      <c r="AV8469" s="1" t="s">
        <v>44</v>
      </c>
      <c r="AX8469" s="1" t="s">
        <v>46</v>
      </c>
      <c r="EC8469" s="1" t="s">
        <v>129</v>
      </c>
      <c r="ED8469" s="1" t="s">
        <v>130</v>
      </c>
      <c r="GD8469" s="1" t="s">
        <v>202</v>
      </c>
      <c r="GE8469" s="1" t="s">
        <v>190</v>
      </c>
    </row>
    <row r="8470" spans="1:187" ht="11.25" customHeight="1">
      <c r="A8470" s="1" t="s">
        <v>11885</v>
      </c>
      <c r="B8470" s="1" t="str">
        <f ca="1">IFERROR(__xludf.DUMMYFUNCTION("GOOGLETRANSLATE(A8470, ""en"", ""fr"")"),"RÉGIONALISATION")</f>
        <v>RÉGIONALISATION</v>
      </c>
      <c r="C8470" s="1" t="s">
        <v>196</v>
      </c>
      <c r="EC8470" s="1" t="s">
        <v>129</v>
      </c>
      <c r="ED8470" s="1" t="s">
        <v>130</v>
      </c>
      <c r="GD8470" s="1" t="s">
        <v>189</v>
      </c>
    </row>
    <row r="8471" spans="1:187" ht="11.25" customHeight="1">
      <c r="A8471" s="1" t="s">
        <v>11886</v>
      </c>
      <c r="B8471" s="1" t="str">
        <f ca="1">IFERROR(__xludf.DUMMYFUNCTION("GOOGLETRANSLATE(A8471, ""en"", ""fr"")"),"Enregistrement n ° 1")</f>
        <v>Enregistrement n ° 1</v>
      </c>
      <c r="C8471" s="1" t="s">
        <v>185</v>
      </c>
      <c r="BC8471" s="1" t="s">
        <v>51</v>
      </c>
      <c r="BH8471" s="1" t="s">
        <v>56</v>
      </c>
      <c r="GD8471" s="1" t="s">
        <v>193</v>
      </c>
      <c r="GE8471" s="1" t="s">
        <v>190</v>
      </c>
    </row>
    <row r="8472" spans="1:187" ht="11.25" customHeight="1">
      <c r="A8472" s="1" t="s">
        <v>11887</v>
      </c>
      <c r="B8472" s="1" t="str">
        <f ca="1">IFERROR(__xludf.DUMMYFUNCTION("GOOGLETRANSLATE(A8472, ""en"", ""fr"")"),"Registre n ° 2")</f>
        <v>Registre n ° 2</v>
      </c>
      <c r="C8472" s="1" t="s">
        <v>185</v>
      </c>
      <c r="O8472" s="1" t="s">
        <v>11</v>
      </c>
      <c r="CO8472" s="1" t="s">
        <v>89</v>
      </c>
      <c r="DN8472" s="1" t="s">
        <v>114</v>
      </c>
      <c r="FP8472" s="1" t="s">
        <v>168</v>
      </c>
      <c r="GD8472" s="1" t="s">
        <v>189</v>
      </c>
      <c r="GE8472" s="1" t="s">
        <v>190</v>
      </c>
    </row>
    <row r="8473" spans="1:187" ht="11.25" customHeight="1">
      <c r="A8473" s="1" t="s">
        <v>11888</v>
      </c>
      <c r="B8473" s="1" t="str">
        <f ca="1">IFERROR(__xludf.DUMMYFUNCTION("GOOGLETRANSLATE(A8473, ""en"", ""fr"")"),"Inscrit")</f>
        <v>Inscrit</v>
      </c>
      <c r="C8473" s="1" t="s">
        <v>185</v>
      </c>
      <c r="O8473" s="1" t="s">
        <v>11</v>
      </c>
      <c r="AE8473" s="1" t="s">
        <v>27</v>
      </c>
      <c r="AJ8473" s="1" t="s">
        <v>32</v>
      </c>
      <c r="AT8473" s="1" t="s">
        <v>42</v>
      </c>
      <c r="DZ8473" s="1" t="s">
        <v>126</v>
      </c>
      <c r="ED8473" s="1" t="s">
        <v>130</v>
      </c>
      <c r="GD8473" s="1" t="s">
        <v>193</v>
      </c>
      <c r="GE8473" s="1" t="s">
        <v>190</v>
      </c>
    </row>
    <row r="8474" spans="1:187" ht="11.25" customHeight="1">
      <c r="A8474" s="1" t="s">
        <v>11889</v>
      </c>
      <c r="B8474" s="1" t="str">
        <f ca="1">IFERROR(__xludf.DUMMYFUNCTION("GOOGLETRANSLATE(A8474, ""en"", ""fr"")"),"INSCRIPTION")</f>
        <v>INSCRIPTION</v>
      </c>
      <c r="C8474" s="1" t="s">
        <v>185</v>
      </c>
      <c r="AE8474" s="1" t="s">
        <v>27</v>
      </c>
      <c r="BK8474" s="1" t="s">
        <v>59</v>
      </c>
      <c r="BL8474" s="1" t="s">
        <v>60</v>
      </c>
      <c r="GC8474" s="1" t="s">
        <v>181</v>
      </c>
      <c r="GD8474" s="1" t="s">
        <v>193</v>
      </c>
      <c r="GE8474" s="1" t="s">
        <v>190</v>
      </c>
    </row>
    <row r="8475" spans="1:187" ht="11.25" customHeight="1">
      <c r="A8475" s="1" t="s">
        <v>11890</v>
      </c>
      <c r="B8475" s="1" t="str">
        <f ca="1">IFERROR(__xludf.DUMMYFUNCTION("GOOGLETRANSLATE(A8475, ""en"", ""fr"")"),"RÉGRESSER")</f>
        <v>RÉGRESSER</v>
      </c>
      <c r="C8475" s="1" t="s">
        <v>185</v>
      </c>
      <c r="E8475" s="1" t="s">
        <v>16613</v>
      </c>
      <c r="H8475" s="1" t="s">
        <v>4</v>
      </c>
      <c r="L8475" s="1" t="s">
        <v>8</v>
      </c>
      <c r="O8475" s="1" t="s">
        <v>11</v>
      </c>
      <c r="BT8475" s="1" t="s">
        <v>68</v>
      </c>
      <c r="DN8475" s="1" t="s">
        <v>114</v>
      </c>
      <c r="FP8475" s="1" t="s">
        <v>168</v>
      </c>
      <c r="GD8475" s="1" t="s">
        <v>189</v>
      </c>
      <c r="GE8475" s="1" t="s">
        <v>190</v>
      </c>
    </row>
    <row r="8476" spans="1:187" ht="11.25" customHeight="1">
      <c r="A8476" s="1" t="s">
        <v>11891</v>
      </c>
      <c r="B8476" s="1" t="str">
        <f ca="1">IFERROR(__xludf.DUMMYFUNCTION("GOOGLETRANSLATE(A8476, ""en"", ""fr"")"),"RÉGRESSION")</f>
        <v>RÉGRESSION</v>
      </c>
      <c r="C8476" s="1" t="s">
        <v>185</v>
      </c>
      <c r="E8476" s="1" t="s">
        <v>16613</v>
      </c>
      <c r="H8476" s="1" t="s">
        <v>4</v>
      </c>
      <c r="L8476" s="1" t="s">
        <v>8</v>
      </c>
      <c r="O8476" s="1" t="s">
        <v>11</v>
      </c>
      <c r="V8476" s="1" t="s">
        <v>18</v>
      </c>
      <c r="FP8476" s="1" t="s">
        <v>168</v>
      </c>
      <c r="GD8476" s="1" t="s">
        <v>193</v>
      </c>
      <c r="GE8476" s="1" t="s">
        <v>190</v>
      </c>
    </row>
    <row r="8477" spans="1:187" ht="11.25" customHeight="1">
      <c r="A8477" s="1" t="s">
        <v>11892</v>
      </c>
      <c r="B8477" s="1" t="str">
        <f ca="1">IFERROR(__xludf.DUMMYFUNCTION("GOOGLETRANSLATE(A8477, ""en"", ""fr"")"),"Regret # 1")</f>
        <v>Regret # 1</v>
      </c>
      <c r="C8477" s="1" t="s">
        <v>185</v>
      </c>
      <c r="E8477" s="1" t="s">
        <v>16613</v>
      </c>
      <c r="H8477" s="1" t="s">
        <v>4</v>
      </c>
      <c r="L8477" s="1" t="s">
        <v>8</v>
      </c>
      <c r="O8477" s="1" t="s">
        <v>11</v>
      </c>
      <c r="Q8477" s="1" t="s">
        <v>13</v>
      </c>
      <c r="DP8477" s="1" t="s">
        <v>116</v>
      </c>
      <c r="EE8477" s="1" t="s">
        <v>131</v>
      </c>
      <c r="EJ8477" s="1" t="s">
        <v>136</v>
      </c>
      <c r="GD8477" s="1" t="s">
        <v>189</v>
      </c>
      <c r="GE8477" s="1" t="s">
        <v>11893</v>
      </c>
    </row>
    <row r="8478" spans="1:187" ht="11.25" customHeight="1">
      <c r="A8478" s="1" t="s">
        <v>11894</v>
      </c>
      <c r="B8478" s="1" t="str">
        <f ca="1">IFERROR(__xludf.DUMMYFUNCTION("GOOGLETRANSLATE(A8478, ""en"", ""fr"")"),"Regret # 2")</f>
        <v>Regret # 2</v>
      </c>
      <c r="C8478" s="1" t="s">
        <v>185</v>
      </c>
      <c r="E8478" s="1" t="s">
        <v>16613</v>
      </c>
      <c r="H8478" s="1" t="s">
        <v>4</v>
      </c>
      <c r="L8478" s="1" t="s">
        <v>8</v>
      </c>
      <c r="O8478" s="1" t="s">
        <v>11</v>
      </c>
      <c r="Q8478" s="1" t="s">
        <v>13</v>
      </c>
      <c r="T8478" s="1" t="s">
        <v>16</v>
      </c>
      <c r="EE8478" s="1" t="s">
        <v>131</v>
      </c>
      <c r="EJ8478" s="1" t="s">
        <v>136</v>
      </c>
      <c r="GD8478" s="1" t="s">
        <v>193</v>
      </c>
      <c r="GE8478" s="1" t="s">
        <v>11895</v>
      </c>
    </row>
    <row r="8479" spans="1:187" ht="11.25" customHeight="1">
      <c r="A8479" s="1" t="s">
        <v>11896</v>
      </c>
      <c r="B8479" s="1" t="str">
        <f ca="1">IFERROR(__xludf.DUMMYFUNCTION("GOOGLETRANSLATE(A8479, ""en"", ""fr"")"),"REGRETTABLE")</f>
        <v>REGRETTABLE</v>
      </c>
      <c r="C8479" s="1" t="s">
        <v>192</v>
      </c>
      <c r="E8479" s="1" t="s">
        <v>16613</v>
      </c>
      <c r="Q8479" s="1" t="s">
        <v>13</v>
      </c>
      <c r="T8479" s="1" t="s">
        <v>16</v>
      </c>
      <c r="V8479" s="1" t="s">
        <v>18</v>
      </c>
      <c r="DR8479" s="1" t="s">
        <v>118</v>
      </c>
      <c r="GD8479" s="1" t="s">
        <v>202</v>
      </c>
      <c r="GE8479" s="1" t="s">
        <v>190</v>
      </c>
    </row>
    <row r="8480" spans="1:187" ht="11.25" customHeight="1">
      <c r="A8480" s="1" t="s">
        <v>11897</v>
      </c>
      <c r="B8480" s="1" t="str">
        <f ca="1">IFERROR(__xludf.DUMMYFUNCTION("GOOGLETRANSLATE(A8480, ""en"", ""fr"")"),"SE REGROUPER")</f>
        <v>SE REGROUPER</v>
      </c>
      <c r="C8480" s="1" t="s">
        <v>196</v>
      </c>
      <c r="EC8480" s="1" t="s">
        <v>129</v>
      </c>
      <c r="ED8480" s="1" t="s">
        <v>130</v>
      </c>
      <c r="GD8480" s="1" t="s">
        <v>189</v>
      </c>
    </row>
    <row r="8481" spans="1:187" ht="11.25" customHeight="1">
      <c r="A8481" s="1" t="s">
        <v>11898</v>
      </c>
      <c r="B8481" s="1" t="str">
        <f ca="1">IFERROR(__xludf.DUMMYFUNCTION("GOOGLETRANSLATE(A8481, ""en"", ""fr"")"),"RÉGULIER")</f>
        <v>RÉGULIER</v>
      </c>
      <c r="C8481" s="1" t="s">
        <v>185</v>
      </c>
      <c r="J8481" s="1" t="s">
        <v>6</v>
      </c>
      <c r="W8481" s="1" t="s">
        <v>19</v>
      </c>
      <c r="CN8481" s="1" t="s">
        <v>88</v>
      </c>
      <c r="CW8481" s="1" t="s">
        <v>97</v>
      </c>
      <c r="GD8481" s="1" t="s">
        <v>202</v>
      </c>
      <c r="GE8481" s="1" t="s">
        <v>11899</v>
      </c>
    </row>
    <row r="8482" spans="1:187" ht="11.25" customHeight="1">
      <c r="A8482" s="1" t="s">
        <v>11900</v>
      </c>
      <c r="B8482" s="1" t="str">
        <f ca="1">IFERROR(__xludf.DUMMYFUNCTION("GOOGLETRANSLATE(A8482, ""en"", ""fr"")"),"RÉGULARITÉ")</f>
        <v>RÉGULARITÉ</v>
      </c>
      <c r="C8482" s="1" t="s">
        <v>185</v>
      </c>
      <c r="CW8482" s="1" t="s">
        <v>97</v>
      </c>
      <c r="CZ8482" s="1" t="s">
        <v>100</v>
      </c>
      <c r="GD8482" s="1" t="s">
        <v>193</v>
      </c>
      <c r="GE8482" s="1" t="s">
        <v>190</v>
      </c>
    </row>
    <row r="8483" spans="1:187" ht="11.25" customHeight="1">
      <c r="A8483" s="1" t="s">
        <v>11901</v>
      </c>
      <c r="B8483" s="1" t="str">
        <f ca="1">IFERROR(__xludf.DUMMYFUNCTION("GOOGLETRANSLATE(A8483, ""en"", ""fr"")"),"RÉGLEMENTER")</f>
        <v>RÉGLEMENTER</v>
      </c>
      <c r="C8483" s="1" t="s">
        <v>185</v>
      </c>
      <c r="J8483" s="1" t="s">
        <v>6</v>
      </c>
      <c r="K8483" s="1" t="s">
        <v>7</v>
      </c>
      <c r="N8483" s="1" t="s">
        <v>10</v>
      </c>
      <c r="AN8483" s="1" t="s">
        <v>36</v>
      </c>
      <c r="DN8483" s="1" t="s">
        <v>114</v>
      </c>
      <c r="EC8483" s="1" t="s">
        <v>129</v>
      </c>
      <c r="ED8483" s="1" t="s">
        <v>130</v>
      </c>
      <c r="GD8483" s="1" t="s">
        <v>189</v>
      </c>
      <c r="GE8483" s="1" t="s">
        <v>190</v>
      </c>
    </row>
    <row r="8484" spans="1:187" ht="11.25" customHeight="1">
      <c r="A8484" s="1" t="s">
        <v>11902</v>
      </c>
      <c r="B8484" s="1" t="str">
        <f ca="1">IFERROR(__xludf.DUMMYFUNCTION("GOOGLETRANSLATE(A8484, ""en"", ""fr"")"),"RÉGULATION")</f>
        <v>RÉGULATION</v>
      </c>
      <c r="C8484" s="1" t="s">
        <v>185</v>
      </c>
      <c r="J8484" s="1" t="s">
        <v>6</v>
      </c>
      <c r="Z8484" s="1" t="s">
        <v>22</v>
      </c>
      <c r="AC8484" s="1" t="s">
        <v>25</v>
      </c>
      <c r="AH8484" s="1" t="s">
        <v>30</v>
      </c>
      <c r="EC8484" s="1" t="s">
        <v>129</v>
      </c>
      <c r="ED8484" s="1" t="s">
        <v>130</v>
      </c>
      <c r="GD8484" s="1" t="s">
        <v>193</v>
      </c>
      <c r="GE8484" s="1" t="s">
        <v>190</v>
      </c>
    </row>
    <row r="8485" spans="1:187" ht="11.25" customHeight="1">
      <c r="A8485" s="1" t="s">
        <v>11903</v>
      </c>
      <c r="B8485" s="1" t="str">
        <f ca="1">IFERROR(__xludf.DUMMYFUNCTION("GOOGLETRANSLATE(A8485, ""en"", ""fr"")"),"RÉHABILITER")</f>
        <v>RÉHABILITER</v>
      </c>
      <c r="C8485" s="1" t="s">
        <v>196</v>
      </c>
      <c r="FP8485" s="1" t="s">
        <v>168</v>
      </c>
      <c r="GD8485" s="1" t="s">
        <v>189</v>
      </c>
    </row>
    <row r="8486" spans="1:187" ht="11.25" customHeight="1">
      <c r="A8486" s="1" t="s">
        <v>11904</v>
      </c>
      <c r="B8486" s="1" t="str">
        <f ca="1">IFERROR(__xludf.DUMMYFUNCTION("GOOGLETRANSLATE(A8486, ""en"", ""fr"")"),"RÉHABILITATION")</f>
        <v>RÉHABILITATION</v>
      </c>
      <c r="C8486" s="1" t="s">
        <v>192</v>
      </c>
      <c r="D8486" s="1" t="s">
        <v>16612</v>
      </c>
      <c r="M8486" s="1" t="s">
        <v>9</v>
      </c>
      <c r="CO8486" s="1" t="s">
        <v>89</v>
      </c>
      <c r="GD8486" s="1" t="s">
        <v>193</v>
      </c>
      <c r="GE8486" s="1" t="s">
        <v>190</v>
      </c>
    </row>
    <row r="8487" spans="1:187" ht="11.25" customHeight="1">
      <c r="A8487" s="1" t="s">
        <v>11905</v>
      </c>
      <c r="B8487" s="1" t="str">
        <f ca="1">IFERROR(__xludf.DUMMYFUNCTION("GOOGLETRANSLATE(A8487, ""en"", ""fr"")"),"RÈGNE")</f>
        <v>RÈGNE</v>
      </c>
      <c r="C8487" s="1" t="s">
        <v>196</v>
      </c>
      <c r="EB8487" s="1" t="s">
        <v>128</v>
      </c>
      <c r="ED8487" s="1" t="s">
        <v>130</v>
      </c>
      <c r="GD8487" s="1" t="s">
        <v>470</v>
      </c>
    </row>
    <row r="8488" spans="1:187" ht="11.25" customHeight="1">
      <c r="A8488" s="1" t="s">
        <v>11906</v>
      </c>
      <c r="B8488" s="1" t="str">
        <f ca="1">IFERROR(__xludf.DUMMYFUNCTION("GOOGLETRANSLATE(A8488, ""en"", ""fr"")"),"RENFORCER")</f>
        <v>RENFORCER</v>
      </c>
      <c r="C8488" s="1" t="s">
        <v>185</v>
      </c>
      <c r="J8488" s="1" t="s">
        <v>6</v>
      </c>
      <c r="K8488" s="1" t="s">
        <v>7</v>
      </c>
      <c r="N8488" s="1" t="s">
        <v>10</v>
      </c>
      <c r="AN8488" s="1" t="s">
        <v>36</v>
      </c>
      <c r="DN8488" s="1" t="s">
        <v>114</v>
      </c>
      <c r="DS8488" s="1" t="s">
        <v>119</v>
      </c>
      <c r="ED8488" s="1" t="s">
        <v>130</v>
      </c>
      <c r="GD8488" s="1" t="s">
        <v>189</v>
      </c>
      <c r="GE8488" s="1" t="s">
        <v>190</v>
      </c>
    </row>
    <row r="8489" spans="1:187" ht="11.25" customHeight="1">
      <c r="A8489" s="1" t="s">
        <v>11907</v>
      </c>
      <c r="B8489" s="1" t="str">
        <f ca="1">IFERROR(__xludf.DUMMYFUNCTION("GOOGLETRANSLATE(A8489, ""en"", ""fr"")"),"RENFORCEMENT")</f>
        <v>RENFORCEMENT</v>
      </c>
      <c r="C8489" s="1" t="s">
        <v>192</v>
      </c>
      <c r="D8489" s="1" t="s">
        <v>16612</v>
      </c>
      <c r="G8489" s="1" t="s">
        <v>3</v>
      </c>
      <c r="GD8489" s="1" t="s">
        <v>193</v>
      </c>
      <c r="GE8489" s="1" t="s">
        <v>190</v>
      </c>
    </row>
    <row r="8490" spans="1:187" ht="11.25" customHeight="1">
      <c r="A8490" s="1" t="s">
        <v>11908</v>
      </c>
      <c r="B8490" s="1" t="str">
        <f ca="1">IFERROR(__xludf.DUMMYFUNCTION("GOOGLETRANSLATE(A8490, ""en"", ""fr"")"),"RÉTABLIR")</f>
        <v>RÉTABLIR</v>
      </c>
      <c r="C8490" s="1" t="s">
        <v>192</v>
      </c>
      <c r="D8490" s="1" t="s">
        <v>16612</v>
      </c>
      <c r="K8490" s="1" t="s">
        <v>7</v>
      </c>
      <c r="N8490" s="1" t="s">
        <v>10</v>
      </c>
      <c r="AE8490" s="1" t="s">
        <v>27</v>
      </c>
      <c r="AG8490" s="1" t="s">
        <v>29</v>
      </c>
      <c r="DN8490" s="1" t="s">
        <v>114</v>
      </c>
      <c r="GD8490" s="1" t="s">
        <v>670</v>
      </c>
      <c r="GE8490" s="1" t="s">
        <v>190</v>
      </c>
    </row>
    <row r="8491" spans="1:187" ht="11.25" customHeight="1">
      <c r="A8491" s="1" t="s">
        <v>11909</v>
      </c>
      <c r="B8491" s="1" t="str">
        <f ca="1">IFERROR(__xludf.DUMMYFUNCTION("GOOGLETRANSLATE(A8491, ""en"", ""fr"")"),"RÉITÉRER")</f>
        <v>RÉITÉRER</v>
      </c>
      <c r="C8491" s="1" t="s">
        <v>185</v>
      </c>
      <c r="J8491" s="1" t="s">
        <v>6</v>
      </c>
      <c r="N8491" s="1" t="s">
        <v>10</v>
      </c>
      <c r="BK8491" s="1" t="s">
        <v>59</v>
      </c>
      <c r="DN8491" s="1" t="s">
        <v>114</v>
      </c>
      <c r="FH8491" s="1" t="s">
        <v>160</v>
      </c>
      <c r="FI8491" s="1" t="s">
        <v>161</v>
      </c>
      <c r="GD8491" s="1" t="s">
        <v>189</v>
      </c>
      <c r="GE8491" s="1" t="s">
        <v>190</v>
      </c>
    </row>
    <row r="8492" spans="1:187" ht="11.25" customHeight="1">
      <c r="A8492" s="1" t="s">
        <v>11910</v>
      </c>
      <c r="B8492" s="1" t="str">
        <f ca="1">IFERROR(__xludf.DUMMYFUNCTION("GOOGLETRANSLATE(A8492, ""en"", ""fr"")"),"REJETER")</f>
        <v>REJETER</v>
      </c>
      <c r="C8492" s="1" t="s">
        <v>185</v>
      </c>
      <c r="E8492" s="1" t="s">
        <v>16613</v>
      </c>
      <c r="H8492" s="1" t="s">
        <v>4</v>
      </c>
      <c r="I8492" s="1" t="s">
        <v>5</v>
      </c>
      <c r="J8492" s="1" t="s">
        <v>6</v>
      </c>
      <c r="N8492" s="1" t="s">
        <v>10</v>
      </c>
      <c r="AN8492" s="1" t="s">
        <v>36</v>
      </c>
      <c r="DO8492" s="1" t="s">
        <v>115</v>
      </c>
      <c r="GA8492" s="1" t="s">
        <v>179</v>
      </c>
      <c r="GD8492" s="1" t="s">
        <v>189</v>
      </c>
      <c r="GE8492" s="1" t="s">
        <v>11911</v>
      </c>
    </row>
    <row r="8493" spans="1:187" ht="11.25" customHeight="1">
      <c r="A8493" s="1" t="s">
        <v>11912</v>
      </c>
      <c r="B8493" s="1" t="str">
        <f ca="1">IFERROR(__xludf.DUMMYFUNCTION("GOOGLETRANSLATE(A8493, ""en"", ""fr"")"),"REJET")</f>
        <v>REJET</v>
      </c>
      <c r="C8493" s="1" t="s">
        <v>185</v>
      </c>
      <c r="E8493" s="1" t="s">
        <v>16613</v>
      </c>
      <c r="H8493" s="1" t="s">
        <v>4</v>
      </c>
      <c r="I8493" s="1" t="s">
        <v>5</v>
      </c>
      <c r="J8493" s="1" t="s">
        <v>6</v>
      </c>
      <c r="N8493" s="1" t="s">
        <v>10</v>
      </c>
      <c r="V8493" s="1" t="s">
        <v>18</v>
      </c>
      <c r="GA8493" s="1" t="s">
        <v>179</v>
      </c>
      <c r="GD8493" s="1" t="s">
        <v>193</v>
      </c>
      <c r="GE8493" s="1" t="s">
        <v>190</v>
      </c>
    </row>
    <row r="8494" spans="1:187" ht="11.25" customHeight="1">
      <c r="A8494" s="1" t="s">
        <v>11913</v>
      </c>
      <c r="B8494" s="1" t="str">
        <f ca="1">IFERROR(__xludf.DUMMYFUNCTION("GOOGLETRANSLATE(A8494, ""en"", ""fr"")"),"RÉJOUIR")</f>
        <v>RÉJOUIR</v>
      </c>
      <c r="C8494" s="1" t="s">
        <v>185</v>
      </c>
      <c r="D8494" s="1" t="s">
        <v>16612</v>
      </c>
      <c r="N8494" s="1" t="s">
        <v>10</v>
      </c>
      <c r="P8494" s="1" t="s">
        <v>12</v>
      </c>
      <c r="DN8494" s="1" t="s">
        <v>114</v>
      </c>
      <c r="FX8494" s="1" t="s">
        <v>176</v>
      </c>
      <c r="GD8494" s="1" t="s">
        <v>189</v>
      </c>
      <c r="GE8494" s="1" t="s">
        <v>190</v>
      </c>
    </row>
    <row r="8495" spans="1:187" ht="11.25" customHeight="1">
      <c r="A8495" s="1" t="s">
        <v>11914</v>
      </c>
      <c r="B8495" s="1" t="str">
        <f ca="1">IFERROR(__xludf.DUMMYFUNCTION("GOOGLETRANSLATE(A8495, ""en"", ""fr"")"),"RECHUTE")</f>
        <v>RECHUTE</v>
      </c>
      <c r="C8495" s="1" t="s">
        <v>192</v>
      </c>
      <c r="E8495" s="1" t="s">
        <v>16613</v>
      </c>
      <c r="L8495" s="1" t="s">
        <v>8</v>
      </c>
      <c r="M8495" s="1" t="s">
        <v>9</v>
      </c>
      <c r="O8495" s="1" t="s">
        <v>11</v>
      </c>
      <c r="DN8495" s="1" t="s">
        <v>114</v>
      </c>
      <c r="GD8495" s="1" t="s">
        <v>189</v>
      </c>
      <c r="GE8495" s="1" t="s">
        <v>190</v>
      </c>
    </row>
    <row r="8496" spans="1:187" ht="11.25" customHeight="1">
      <c r="A8496" s="1" t="s">
        <v>11915</v>
      </c>
      <c r="B8496" s="1" t="str">
        <f ca="1">IFERROR(__xludf.DUMMYFUNCTION("GOOGLETRANSLATE(A8496, ""en"", ""fr"")"),"Rester # 1")</f>
        <v>Rester # 1</v>
      </c>
      <c r="C8496" s="1" t="s">
        <v>185</v>
      </c>
      <c r="DD8496" s="1" t="s">
        <v>104</v>
      </c>
      <c r="DN8496" s="1" t="s">
        <v>114</v>
      </c>
      <c r="FD8496" s="1" t="s">
        <v>156</v>
      </c>
      <c r="FI8496" s="1" t="s">
        <v>161</v>
      </c>
      <c r="GD8496" s="1" t="s">
        <v>400</v>
      </c>
      <c r="GE8496" s="1" t="s">
        <v>11916</v>
      </c>
    </row>
    <row r="8497" spans="1:187" ht="11.25" customHeight="1">
      <c r="A8497" s="1" t="s">
        <v>11917</v>
      </c>
      <c r="B8497" s="1" t="str">
        <f ca="1">IFERROR(__xludf.DUMMYFUNCTION("GOOGLETRANSLATE(A8497, ""en"", ""fr"")"),"Raconter # 2")</f>
        <v>Raconter # 2</v>
      </c>
      <c r="C8497" s="1" t="s">
        <v>185</v>
      </c>
      <c r="BK8497" s="1" t="s">
        <v>59</v>
      </c>
      <c r="DN8497" s="1" t="s">
        <v>114</v>
      </c>
      <c r="FD8497" s="1" t="s">
        <v>156</v>
      </c>
      <c r="FI8497" s="1" t="s">
        <v>161</v>
      </c>
      <c r="GD8497" s="1" t="s">
        <v>189</v>
      </c>
      <c r="GE8497" s="1" t="s">
        <v>11918</v>
      </c>
    </row>
    <row r="8498" spans="1:187" ht="11.25" customHeight="1">
      <c r="A8498" s="1" t="s">
        <v>11919</v>
      </c>
      <c r="B8498" s="1" t="str">
        <f ca="1">IFERROR(__xludf.DUMMYFUNCTION("GOOGLETRANSLATE(A8498, ""en"", ""fr"")"),"CONNEXE # 1")</f>
        <v>CONNEXE # 1</v>
      </c>
      <c r="C8498" s="1" t="s">
        <v>185</v>
      </c>
      <c r="DD8498" s="1" t="s">
        <v>104</v>
      </c>
      <c r="DN8498" s="1" t="s">
        <v>114</v>
      </c>
      <c r="GD8498" s="1" t="s">
        <v>189</v>
      </c>
      <c r="GE8498" s="1" t="s">
        <v>11920</v>
      </c>
    </row>
    <row r="8499" spans="1:187" ht="11.25" customHeight="1">
      <c r="A8499" s="1" t="s">
        <v>11921</v>
      </c>
      <c r="B8499" s="1" t="str">
        <f ca="1">IFERROR(__xludf.DUMMYFUNCTION("GOOGLETRANSLATE(A8499, ""en"", ""fr"")"),"CONNEXE # 2")</f>
        <v>CONNEXE # 2</v>
      </c>
      <c r="C8499" s="1" t="s">
        <v>185</v>
      </c>
      <c r="BK8499" s="1" t="s">
        <v>59</v>
      </c>
      <c r="DN8499" s="1" t="s">
        <v>114</v>
      </c>
      <c r="FD8499" s="1" t="s">
        <v>156</v>
      </c>
      <c r="FI8499" s="1" t="s">
        <v>161</v>
      </c>
      <c r="GD8499" s="1" t="s">
        <v>1076</v>
      </c>
      <c r="GE8499" s="1" t="s">
        <v>11922</v>
      </c>
    </row>
    <row r="8500" spans="1:187" ht="11.25" customHeight="1">
      <c r="A8500" s="1" t="s">
        <v>11923</v>
      </c>
      <c r="B8500" s="1" t="str">
        <f ca="1">IFERROR(__xludf.DUMMYFUNCTION("GOOGLETRANSLATE(A8500, ""en"", ""fr"")"),"CONNEXE # 3")</f>
        <v>CONNEXE # 3</v>
      </c>
      <c r="C8500" s="1" t="s">
        <v>185</v>
      </c>
      <c r="CH8500" s="1" t="s">
        <v>82</v>
      </c>
      <c r="GD8500" s="1" t="s">
        <v>202</v>
      </c>
      <c r="GE8500" s="1" t="s">
        <v>11924</v>
      </c>
    </row>
    <row r="8501" spans="1:187" ht="11.25" customHeight="1">
      <c r="A8501" s="1" t="s">
        <v>11925</v>
      </c>
      <c r="B8501" s="1" t="str">
        <f ca="1">IFERROR(__xludf.DUMMYFUNCTION("GOOGLETRANSLATE(A8501, ""en"", ""fr"")"),"Relation # 1")</f>
        <v>Relation # 1</v>
      </c>
      <c r="C8501" s="1" t="s">
        <v>185</v>
      </c>
      <c r="CH8501" s="1" t="s">
        <v>82</v>
      </c>
      <c r="CP8501" s="1" t="s">
        <v>90</v>
      </c>
      <c r="CQ8501" s="1" t="s">
        <v>91</v>
      </c>
      <c r="EC8501" s="1" t="s">
        <v>129</v>
      </c>
      <c r="ED8501" s="1" t="s">
        <v>130</v>
      </c>
      <c r="GD8501" s="1" t="s">
        <v>193</v>
      </c>
      <c r="GE8501" s="1" t="s">
        <v>11926</v>
      </c>
    </row>
    <row r="8502" spans="1:187" ht="11.25" customHeight="1">
      <c r="A8502" s="1" t="s">
        <v>11927</v>
      </c>
      <c r="B8502" s="1" t="str">
        <f ca="1">IFERROR(__xludf.DUMMYFUNCTION("GOOGLETRANSLATE(A8502, ""en"", ""fr"")"),"Relation # 2")</f>
        <v>Relation # 2</v>
      </c>
      <c r="C8502" s="1" t="s">
        <v>185</v>
      </c>
      <c r="AJ8502" s="1" t="s">
        <v>32</v>
      </c>
      <c r="AP8502" s="1" t="s">
        <v>38</v>
      </c>
      <c r="AT8502" s="1" t="s">
        <v>42</v>
      </c>
      <c r="EQ8502" s="1" t="s">
        <v>143</v>
      </c>
      <c r="ES8502" s="1" t="s">
        <v>145</v>
      </c>
      <c r="GD8502" s="1" t="s">
        <v>837</v>
      </c>
      <c r="GE8502" s="1" t="s">
        <v>11928</v>
      </c>
    </row>
    <row r="8503" spans="1:187" ht="11.25" customHeight="1">
      <c r="A8503" s="1" t="s">
        <v>11929</v>
      </c>
      <c r="B8503" s="1" t="str">
        <f ca="1">IFERROR(__xludf.DUMMYFUNCTION("GOOGLETRANSLATE(A8503, ""en"", ""fr"")"),"Relation # 3")</f>
        <v>Relation # 3</v>
      </c>
      <c r="C8503" s="1" t="s">
        <v>185</v>
      </c>
      <c r="G8503" s="1" t="s">
        <v>3</v>
      </c>
      <c r="BU8503" s="1" t="s">
        <v>69</v>
      </c>
      <c r="EO8503" s="1" t="s">
        <v>141</v>
      </c>
      <c r="ES8503" s="1" t="s">
        <v>145</v>
      </c>
      <c r="GD8503" s="1" t="s">
        <v>193</v>
      </c>
      <c r="GE8503" s="1" t="s">
        <v>11930</v>
      </c>
    </row>
    <row r="8504" spans="1:187" ht="11.25" customHeight="1">
      <c r="A8504" s="1" t="s">
        <v>11931</v>
      </c>
      <c r="B8504" s="1" t="str">
        <f ca="1">IFERROR(__xludf.DUMMYFUNCTION("GOOGLETRANSLATE(A8504, ""en"", ""fr"")"),"RELATION")</f>
        <v>RELATION</v>
      </c>
      <c r="C8504" s="1" t="s">
        <v>185</v>
      </c>
      <c r="CP8504" s="1" t="s">
        <v>90</v>
      </c>
      <c r="CQ8504" s="1" t="s">
        <v>91</v>
      </c>
      <c r="DD8504" s="1" t="s">
        <v>104</v>
      </c>
      <c r="GD8504" s="1" t="s">
        <v>193</v>
      </c>
      <c r="GE8504" s="1" t="s">
        <v>11932</v>
      </c>
    </row>
    <row r="8505" spans="1:187" ht="11.25" customHeight="1">
      <c r="A8505" s="1" t="s">
        <v>11933</v>
      </c>
      <c r="B8505" s="1" t="str">
        <f ca="1">IFERROR(__xludf.DUMMYFUNCTION("GOOGLETRANSLATE(A8505, ""en"", ""fr"")"),"Relatif n ° 1")</f>
        <v>Relatif n ° 1</v>
      </c>
      <c r="C8505" s="1" t="s">
        <v>185</v>
      </c>
      <c r="AJ8505" s="1" t="s">
        <v>32</v>
      </c>
      <c r="AP8505" s="1" t="s">
        <v>38</v>
      </c>
      <c r="AT8505" s="1" t="s">
        <v>42</v>
      </c>
      <c r="EQ8505" s="1" t="s">
        <v>143</v>
      </c>
      <c r="ES8505" s="1" t="s">
        <v>145</v>
      </c>
      <c r="GD8505" s="1" t="s">
        <v>837</v>
      </c>
      <c r="GE8505" s="1" t="s">
        <v>11934</v>
      </c>
    </row>
    <row r="8506" spans="1:187" ht="11.25" customHeight="1">
      <c r="A8506" s="1" t="s">
        <v>11935</v>
      </c>
      <c r="B8506" s="1" t="str">
        <f ca="1">IFERROR(__xludf.DUMMYFUNCTION("GOOGLETRANSLATE(A8506, ""en"", ""fr"")"),"Relatif # 2")</f>
        <v>Relatif # 2</v>
      </c>
      <c r="C8506" s="1" t="s">
        <v>185</v>
      </c>
      <c r="L8506" s="1" t="s">
        <v>8</v>
      </c>
      <c r="O8506" s="1" t="s">
        <v>11</v>
      </c>
      <c r="X8506" s="1" t="s">
        <v>20</v>
      </c>
      <c r="CH8506" s="1" t="s">
        <v>82</v>
      </c>
      <c r="GD8506" s="1" t="s">
        <v>202</v>
      </c>
      <c r="GE8506" s="1" t="s">
        <v>11936</v>
      </c>
    </row>
    <row r="8507" spans="1:187" ht="11.25" customHeight="1">
      <c r="A8507" s="1" t="s">
        <v>11937</v>
      </c>
      <c r="B8507" s="1" t="str">
        <f ca="1">IFERROR(__xludf.DUMMYFUNCTION("GOOGLETRANSLATE(A8507, ""en"", ""fr"")"),"Relatif # 3")</f>
        <v>Relatif # 3</v>
      </c>
      <c r="C8507" s="1" t="s">
        <v>185</v>
      </c>
      <c r="L8507" s="1" t="s">
        <v>8</v>
      </c>
      <c r="O8507" s="1" t="s">
        <v>11</v>
      </c>
      <c r="X8507" s="1" t="s">
        <v>20</v>
      </c>
      <c r="CH8507" s="1" t="s">
        <v>82</v>
      </c>
      <c r="GD8507" s="1" t="s">
        <v>236</v>
      </c>
      <c r="GE8507" s="1" t="s">
        <v>11938</v>
      </c>
    </row>
    <row r="8508" spans="1:187" ht="11.25" customHeight="1">
      <c r="A8508" s="1" t="s">
        <v>11939</v>
      </c>
      <c r="B8508" s="1" t="str">
        <f ca="1">IFERROR(__xludf.DUMMYFUNCTION("GOOGLETRANSLATE(A8508, ""en"", ""fr"")"),"Relancer")</f>
        <v>Relancer</v>
      </c>
      <c r="C8508" s="1" t="s">
        <v>196</v>
      </c>
      <c r="FR8508" s="1" t="s">
        <v>170</v>
      </c>
      <c r="GD8508" s="1" t="s">
        <v>189</v>
      </c>
    </row>
    <row r="8509" spans="1:187" ht="11.25" customHeight="1">
      <c r="A8509" s="1" t="s">
        <v>11940</v>
      </c>
      <c r="B8509" s="1" t="str">
        <f ca="1">IFERROR(__xludf.DUMMYFUNCTION("GOOGLETRANSLATE(A8509, ""en"", ""fr"")"),"SE DÉTENDRE")</f>
        <v>SE DÉTENDRE</v>
      </c>
      <c r="C8509" s="1" t="s">
        <v>185</v>
      </c>
      <c r="L8509" s="1" t="s">
        <v>8</v>
      </c>
      <c r="O8509" s="1" t="s">
        <v>11</v>
      </c>
      <c r="BU8509" s="1" t="s">
        <v>69</v>
      </c>
      <c r="DN8509" s="1" t="s">
        <v>114</v>
      </c>
      <c r="EX8509" s="1" t="s">
        <v>150</v>
      </c>
      <c r="FC8509" s="1" t="s">
        <v>155</v>
      </c>
      <c r="GD8509" s="1" t="s">
        <v>189</v>
      </c>
      <c r="GE8509" s="1" t="s">
        <v>190</v>
      </c>
    </row>
    <row r="8510" spans="1:187" ht="11.25" customHeight="1">
      <c r="A8510" s="1" t="s">
        <v>11941</v>
      </c>
      <c r="B8510" s="1" t="str">
        <f ca="1">IFERROR(__xludf.DUMMYFUNCTION("GOOGLETRANSLATE(A8510, ""en"", ""fr"")"),"RELAXATION")</f>
        <v>RELAXATION</v>
      </c>
      <c r="C8510" s="1" t="s">
        <v>185</v>
      </c>
      <c r="D8510" s="1" t="s">
        <v>16612</v>
      </c>
      <c r="P8510" s="1" t="s">
        <v>12</v>
      </c>
      <c r="T8510" s="1" t="s">
        <v>16</v>
      </c>
      <c r="FA8510" s="1" t="s">
        <v>153</v>
      </c>
      <c r="FC8510" s="1" t="s">
        <v>155</v>
      </c>
      <c r="GD8510" s="1" t="s">
        <v>193</v>
      </c>
      <c r="GE8510" s="1" t="s">
        <v>190</v>
      </c>
    </row>
    <row r="8511" spans="1:187" ht="11.25" customHeight="1">
      <c r="A8511" s="1" t="s">
        <v>11942</v>
      </c>
      <c r="B8511" s="1" t="str">
        <f ca="1">IFERROR(__xludf.DUMMYFUNCTION("GOOGLETRANSLATE(A8511, ""en"", ""fr"")"),"Version n ° 1")</f>
        <v>Version n ° 1</v>
      </c>
      <c r="C8511" s="1" t="s">
        <v>185</v>
      </c>
      <c r="N8511" s="1" t="s">
        <v>10</v>
      </c>
      <c r="CD8511" s="1" t="s">
        <v>78</v>
      </c>
      <c r="DN8511" s="1" t="s">
        <v>114</v>
      </c>
      <c r="FP8511" s="1" t="s">
        <v>168</v>
      </c>
      <c r="GD8511" s="1" t="s">
        <v>189</v>
      </c>
      <c r="GE8511" s="1" t="s">
        <v>11943</v>
      </c>
    </row>
    <row r="8512" spans="1:187" ht="11.25" customHeight="1">
      <c r="A8512" s="1" t="s">
        <v>11944</v>
      </c>
      <c r="B8512" s="1" t="str">
        <f ca="1">IFERROR(__xludf.DUMMYFUNCTION("GOOGLETRANSLATE(A8512, ""en"", ""fr"")"),"Version n ° 2")</f>
        <v>Version n ° 2</v>
      </c>
      <c r="C8512" s="1" t="s">
        <v>185</v>
      </c>
      <c r="G8512" s="1" t="s">
        <v>3</v>
      </c>
      <c r="N8512" s="1" t="s">
        <v>10</v>
      </c>
      <c r="AN8512" s="1" t="s">
        <v>36</v>
      </c>
      <c r="GD8512" s="1" t="s">
        <v>202</v>
      </c>
      <c r="GE8512" s="1" t="s">
        <v>11945</v>
      </c>
    </row>
    <row r="8513" spans="1:187" ht="11.25" customHeight="1">
      <c r="A8513" s="1" t="s">
        <v>11946</v>
      </c>
      <c r="B8513" s="1" t="str">
        <f ca="1">IFERROR(__xludf.DUMMYFUNCTION("GOOGLETRANSLATE(A8513, ""en"", ""fr"")"),"SANS RELÂCHE")</f>
        <v>SANS RELÂCHE</v>
      </c>
      <c r="C8513" s="1" t="s">
        <v>185</v>
      </c>
      <c r="J8513" s="1" t="s">
        <v>6</v>
      </c>
      <c r="K8513" s="1" t="s">
        <v>7</v>
      </c>
      <c r="V8513" s="1" t="s">
        <v>18</v>
      </c>
      <c r="GD8513" s="1" t="s">
        <v>202</v>
      </c>
      <c r="GE8513" s="1" t="s">
        <v>190</v>
      </c>
    </row>
    <row r="8514" spans="1:187" ht="11.25" customHeight="1">
      <c r="A8514" s="1" t="s">
        <v>11947</v>
      </c>
      <c r="B8514" s="1" t="str">
        <f ca="1">IFERROR(__xludf.DUMMYFUNCTION("GOOGLETRANSLATE(A8514, ""en"", ""fr"")"),"PERTINENCE")</f>
        <v>PERTINENCE</v>
      </c>
      <c r="C8514" s="1" t="s">
        <v>185</v>
      </c>
      <c r="D8514" s="1" t="s">
        <v>16612</v>
      </c>
      <c r="F8514" s="1" t="s">
        <v>2</v>
      </c>
      <c r="CH8514" s="1" t="s">
        <v>82</v>
      </c>
      <c r="FR8514" s="1" t="s">
        <v>170</v>
      </c>
      <c r="GD8514" s="1" t="s">
        <v>193</v>
      </c>
      <c r="GE8514" s="1" t="s">
        <v>190</v>
      </c>
    </row>
    <row r="8515" spans="1:187" ht="11.25" customHeight="1">
      <c r="A8515" s="1" t="s">
        <v>11948</v>
      </c>
      <c r="B8515" s="1" t="str">
        <f ca="1">IFERROR(__xludf.DUMMYFUNCTION("GOOGLETRANSLATE(A8515, ""en"", ""fr"")"),"PERTINENCE")</f>
        <v>PERTINENCE</v>
      </c>
      <c r="C8515" s="1" t="s">
        <v>192</v>
      </c>
      <c r="D8515" s="1" t="s">
        <v>16612</v>
      </c>
      <c r="W8515" s="1" t="s">
        <v>19</v>
      </c>
      <c r="CM8515" s="1" t="s">
        <v>87</v>
      </c>
      <c r="GD8515" s="1" t="s">
        <v>193</v>
      </c>
      <c r="GE8515" s="1" t="s">
        <v>190</v>
      </c>
    </row>
    <row r="8516" spans="1:187" ht="11.25" customHeight="1">
      <c r="A8516" s="1" t="s">
        <v>11949</v>
      </c>
      <c r="B8516" s="1" t="str">
        <f ca="1">IFERROR(__xludf.DUMMYFUNCTION("GOOGLETRANSLATE(A8516, ""en"", ""fr"")"),"PERTINENT")</f>
        <v>PERTINENT</v>
      </c>
      <c r="C8516" s="1" t="s">
        <v>185</v>
      </c>
      <c r="D8516" s="1" t="s">
        <v>16612</v>
      </c>
      <c r="F8516" s="1" t="s">
        <v>2</v>
      </c>
      <c r="CH8516" s="1" t="s">
        <v>82</v>
      </c>
      <c r="CN8516" s="1" t="s">
        <v>88</v>
      </c>
      <c r="FR8516" s="1" t="s">
        <v>170</v>
      </c>
      <c r="GD8516" s="1" t="s">
        <v>202</v>
      </c>
      <c r="GE8516" s="1" t="s">
        <v>190</v>
      </c>
    </row>
    <row r="8517" spans="1:187" ht="11.25" customHeight="1">
      <c r="A8517" s="1" t="s">
        <v>11950</v>
      </c>
      <c r="B8517" s="1" t="str">
        <f ca="1">IFERROR(__xludf.DUMMYFUNCTION("GOOGLETRANSLATE(A8517, ""en"", ""fr"")"),"FIABILITÉ")</f>
        <v>FIABILITÉ</v>
      </c>
      <c r="C8517" s="1" t="s">
        <v>185</v>
      </c>
      <c r="D8517" s="1" t="s">
        <v>16612</v>
      </c>
      <c r="F8517" s="1" t="s">
        <v>2</v>
      </c>
      <c r="J8517" s="1" t="s">
        <v>6</v>
      </c>
      <c r="U8517" s="1" t="s">
        <v>17</v>
      </c>
      <c r="W8517" s="1" t="s">
        <v>19</v>
      </c>
      <c r="GD8517" s="1" t="s">
        <v>193</v>
      </c>
      <c r="GE8517" s="1" t="s">
        <v>190</v>
      </c>
    </row>
    <row r="8518" spans="1:187" ht="11.25" customHeight="1">
      <c r="A8518" s="1" t="s">
        <v>11951</v>
      </c>
      <c r="B8518" s="1" t="str">
        <f ca="1">IFERROR(__xludf.DUMMYFUNCTION("GOOGLETRANSLATE(A8518, ""en"", ""fr"")"),"FIABLE")</f>
        <v>FIABLE</v>
      </c>
      <c r="C8518" s="1" t="s">
        <v>185</v>
      </c>
      <c r="D8518" s="1" t="s">
        <v>16612</v>
      </c>
      <c r="F8518" s="1" t="s">
        <v>2</v>
      </c>
      <c r="J8518" s="1" t="s">
        <v>6</v>
      </c>
      <c r="U8518" s="1" t="s">
        <v>17</v>
      </c>
      <c r="W8518" s="1" t="s">
        <v>19</v>
      </c>
      <c r="CN8518" s="1" t="s">
        <v>88</v>
      </c>
      <c r="DR8518" s="1" t="s">
        <v>118</v>
      </c>
      <c r="GD8518" s="1" t="s">
        <v>202</v>
      </c>
      <c r="GE8518" s="1" t="s">
        <v>190</v>
      </c>
    </row>
    <row r="8519" spans="1:187" ht="11.25" customHeight="1">
      <c r="A8519" s="1" t="s">
        <v>11952</v>
      </c>
      <c r="B8519" s="1" t="str">
        <f ca="1">IFERROR(__xludf.DUMMYFUNCTION("GOOGLETRANSLATE(A8519, ""en"", ""fr"")"),"DÉPENDANCE")</f>
        <v>DÉPENDANCE</v>
      </c>
      <c r="C8519" s="1" t="s">
        <v>185</v>
      </c>
      <c r="L8519" s="1" t="s">
        <v>8</v>
      </c>
      <c r="M8519" s="1" t="s">
        <v>9</v>
      </c>
      <c r="AN8519" s="1" t="s">
        <v>36</v>
      </c>
      <c r="DN8519" s="1" t="s">
        <v>114</v>
      </c>
      <c r="FP8519" s="1" t="s">
        <v>168</v>
      </c>
      <c r="GD8519" s="1" t="s">
        <v>189</v>
      </c>
      <c r="GE8519" s="1" t="s">
        <v>190</v>
      </c>
    </row>
    <row r="8520" spans="1:187" ht="11.25" customHeight="1">
      <c r="A8520" s="1" t="s">
        <v>11953</v>
      </c>
      <c r="B8520" s="1" t="str">
        <f ca="1">IFERROR(__xludf.DUMMYFUNCTION("GOOGLETRANSLATE(A8520, ""en"", ""fr"")"),"RELIEF")</f>
        <v>RELIEF</v>
      </c>
      <c r="C8520" s="1" t="s">
        <v>185</v>
      </c>
      <c r="D8520" s="1" t="s">
        <v>16612</v>
      </c>
      <c r="F8520" s="1" t="s">
        <v>2</v>
      </c>
      <c r="O8520" s="1" t="s">
        <v>11</v>
      </c>
      <c r="P8520" s="1" t="s">
        <v>12</v>
      </c>
      <c r="EZ8520" s="1" t="s">
        <v>152</v>
      </c>
      <c r="FC8520" s="1" t="s">
        <v>155</v>
      </c>
      <c r="GD8520" s="1" t="s">
        <v>193</v>
      </c>
      <c r="GE8520" s="1" t="s">
        <v>190</v>
      </c>
    </row>
    <row r="8521" spans="1:187" ht="11.25" customHeight="1">
      <c r="A8521" s="1" t="s">
        <v>11954</v>
      </c>
      <c r="B8521" s="1" t="str">
        <f ca="1">IFERROR(__xludf.DUMMYFUNCTION("GOOGLETRANSLATE(A8521, ""en"", ""fr"")"),"Soulager # 1")</f>
        <v>Soulager # 1</v>
      </c>
      <c r="C8521" s="1" t="s">
        <v>185</v>
      </c>
      <c r="J8521" s="1" t="s">
        <v>6</v>
      </c>
      <c r="K8521" s="1" t="s">
        <v>7</v>
      </c>
      <c r="AN8521" s="1" t="s">
        <v>36</v>
      </c>
      <c r="DN8521" s="1" t="s">
        <v>114</v>
      </c>
      <c r="FP8521" s="1" t="s">
        <v>168</v>
      </c>
      <c r="GD8521" s="1" t="s">
        <v>189</v>
      </c>
      <c r="GE8521" s="1" t="s">
        <v>11955</v>
      </c>
    </row>
    <row r="8522" spans="1:187" ht="11.25" customHeight="1">
      <c r="A8522" s="1" t="s">
        <v>11956</v>
      </c>
      <c r="B8522" s="1" t="str">
        <f ca="1">IFERROR(__xludf.DUMMYFUNCTION("GOOGLETRANSLATE(A8522, ""en"", ""fr"")"),"Soulager # 2")</f>
        <v>Soulager # 2</v>
      </c>
      <c r="C8522" s="1" t="s">
        <v>185</v>
      </c>
      <c r="BU8522" s="1" t="s">
        <v>69</v>
      </c>
      <c r="DN8522" s="1" t="s">
        <v>114</v>
      </c>
      <c r="EZ8522" s="1" t="s">
        <v>152</v>
      </c>
      <c r="FC8522" s="1" t="s">
        <v>155</v>
      </c>
      <c r="GD8522" s="1" t="s">
        <v>189</v>
      </c>
      <c r="GE8522" s="1" t="s">
        <v>11957</v>
      </c>
    </row>
    <row r="8523" spans="1:187" ht="11.25" customHeight="1">
      <c r="A8523" s="1" t="s">
        <v>11958</v>
      </c>
      <c r="B8523" s="1" t="str">
        <f ca="1">IFERROR(__xludf.DUMMYFUNCTION("GOOGLETRANSLATE(A8523, ""en"", ""fr"")"),"Soulager # 3")</f>
        <v>Soulager # 3</v>
      </c>
      <c r="C8523" s="1" t="s">
        <v>185</v>
      </c>
      <c r="D8523" s="1" t="s">
        <v>16612</v>
      </c>
      <c r="F8523" s="1" t="s">
        <v>2</v>
      </c>
      <c r="O8523" s="1" t="s">
        <v>11</v>
      </c>
      <c r="P8523" s="1" t="s">
        <v>12</v>
      </c>
      <c r="T8523" s="1" t="s">
        <v>16</v>
      </c>
      <c r="FA8523" s="1" t="s">
        <v>153</v>
      </c>
      <c r="FC8523" s="1" t="s">
        <v>155</v>
      </c>
      <c r="GD8523" s="1" t="s">
        <v>202</v>
      </c>
      <c r="GE8523" s="1" t="s">
        <v>11959</v>
      </c>
    </row>
    <row r="8524" spans="1:187" ht="11.25" customHeight="1">
      <c r="A8524" s="1" t="s">
        <v>11960</v>
      </c>
      <c r="B8524" s="1" t="str">
        <f ca="1">IFERROR(__xludf.DUMMYFUNCTION("GOOGLETRANSLATE(A8524, ""en"", ""fr"")"),"RELIGION")</f>
        <v>RELIGION</v>
      </c>
      <c r="C8524" s="1" t="s">
        <v>185</v>
      </c>
      <c r="Z8524" s="1" t="s">
        <v>22</v>
      </c>
      <c r="AI8524" s="1" t="s">
        <v>31</v>
      </c>
      <c r="CP8524" s="1" t="s">
        <v>90</v>
      </c>
      <c r="CQ8524" s="1" t="s">
        <v>91</v>
      </c>
      <c r="EF8524" s="1" t="s">
        <v>132</v>
      </c>
      <c r="EJ8524" s="1" t="s">
        <v>136</v>
      </c>
      <c r="GD8524" s="1" t="s">
        <v>193</v>
      </c>
      <c r="GE8524" s="1" t="s">
        <v>11961</v>
      </c>
    </row>
    <row r="8525" spans="1:187" ht="11.25" customHeight="1">
      <c r="A8525" s="1" t="s">
        <v>11962</v>
      </c>
      <c r="B8525" s="1" t="str">
        <f ca="1">IFERROR(__xludf.DUMMYFUNCTION("GOOGLETRANSLATE(A8525, ""en"", ""fr"")"),"Religieux # 1")</f>
        <v>Religieux # 1</v>
      </c>
      <c r="C8525" s="1" t="s">
        <v>185</v>
      </c>
      <c r="D8525" s="1" t="s">
        <v>16612</v>
      </c>
      <c r="F8525" s="1" t="s">
        <v>2</v>
      </c>
      <c r="T8525" s="1" t="s">
        <v>16</v>
      </c>
      <c r="Z8525" s="1" t="s">
        <v>22</v>
      </c>
      <c r="AI8525" s="1" t="s">
        <v>31</v>
      </c>
      <c r="EF8525" s="1" t="s">
        <v>132</v>
      </c>
      <c r="EJ8525" s="1" t="s">
        <v>136</v>
      </c>
      <c r="GD8525" s="1" t="s">
        <v>202</v>
      </c>
      <c r="GE8525" s="1" t="s">
        <v>11963</v>
      </c>
    </row>
    <row r="8526" spans="1:187" ht="11.25" customHeight="1">
      <c r="A8526" s="1" t="s">
        <v>11964</v>
      </c>
      <c r="B8526" s="1" t="str">
        <f ca="1">IFERROR(__xludf.DUMMYFUNCTION("GOOGLETRANSLATE(A8526, ""en"", ""fr"")"),"Religieux # 2")</f>
        <v>Religieux # 2</v>
      </c>
      <c r="C8526" s="1" t="s">
        <v>185</v>
      </c>
      <c r="Z8526" s="1" t="s">
        <v>22</v>
      </c>
      <c r="AI8526" s="1" t="s">
        <v>31</v>
      </c>
      <c r="EF8526" s="1" t="s">
        <v>132</v>
      </c>
      <c r="EJ8526" s="1" t="s">
        <v>136</v>
      </c>
      <c r="GD8526" s="1" t="s">
        <v>202</v>
      </c>
      <c r="GE8526" s="1" t="s">
        <v>11965</v>
      </c>
    </row>
    <row r="8527" spans="1:187" ht="11.25" customHeight="1">
      <c r="A8527" s="1" t="s">
        <v>11966</v>
      </c>
      <c r="B8527" s="1" t="str">
        <f ca="1">IFERROR(__xludf.DUMMYFUNCTION("GOOGLETRANSLATE(A8527, ""en"", ""fr"")"),"RENONCER")</f>
        <v>RENONCER</v>
      </c>
      <c r="C8527" s="1" t="s">
        <v>185</v>
      </c>
      <c r="L8527" s="1" t="s">
        <v>8</v>
      </c>
      <c r="M8527" s="1" t="s">
        <v>9</v>
      </c>
      <c r="O8527" s="1" t="s">
        <v>11</v>
      </c>
      <c r="AN8527" s="1" t="s">
        <v>36</v>
      </c>
      <c r="DO8527" s="1" t="s">
        <v>115</v>
      </c>
      <c r="GD8527" s="1" t="s">
        <v>189</v>
      </c>
      <c r="GE8527" s="1" t="s">
        <v>190</v>
      </c>
    </row>
    <row r="8528" spans="1:187" ht="11.25" customHeight="1">
      <c r="A8528" s="1" t="s">
        <v>11967</v>
      </c>
      <c r="B8528" s="1" t="str">
        <f ca="1">IFERROR(__xludf.DUMMYFUNCTION("GOOGLETRANSLATE(A8528, ""en"", ""fr"")"),"GOÛT")</f>
        <v>GOÛT</v>
      </c>
      <c r="C8528" s="1" t="s">
        <v>192</v>
      </c>
      <c r="D8528" s="1" t="s">
        <v>16612</v>
      </c>
      <c r="O8528" s="1" t="s">
        <v>11</v>
      </c>
      <c r="P8528" s="1" t="s">
        <v>12</v>
      </c>
      <c r="T8528" s="1" t="s">
        <v>16</v>
      </c>
      <c r="BN8528" s="1" t="s">
        <v>62</v>
      </c>
      <c r="DN8528" s="1" t="s">
        <v>114</v>
      </c>
      <c r="GD8528" s="1" t="s">
        <v>189</v>
      </c>
      <c r="GE8528" s="1" t="s">
        <v>190</v>
      </c>
    </row>
    <row r="8529" spans="1:187" ht="11.25" customHeight="1">
      <c r="A8529" s="1" t="s">
        <v>11968</v>
      </c>
      <c r="B8529" s="1" t="str">
        <f ca="1">IFERROR(__xludf.DUMMYFUNCTION("GOOGLETRANSLATE(A8529, ""en"", ""fr"")"),"RÉTICENT")</f>
        <v>RÉTICENT</v>
      </c>
      <c r="C8529" s="1" t="s">
        <v>185</v>
      </c>
      <c r="E8529" s="1" t="s">
        <v>16613</v>
      </c>
      <c r="H8529" s="1" t="s">
        <v>4</v>
      </c>
      <c r="L8529" s="1" t="s">
        <v>8</v>
      </c>
      <c r="O8529" s="1" t="s">
        <v>11</v>
      </c>
      <c r="S8529" s="1" t="s">
        <v>15</v>
      </c>
      <c r="DR8529" s="1" t="s">
        <v>118</v>
      </c>
      <c r="FZ8529" s="1" t="s">
        <v>178</v>
      </c>
      <c r="GD8529" s="1" t="s">
        <v>202</v>
      </c>
      <c r="GE8529" s="1" t="s">
        <v>190</v>
      </c>
    </row>
    <row r="8530" spans="1:187" ht="11.25" customHeight="1">
      <c r="A8530" s="1" t="s">
        <v>11969</v>
      </c>
      <c r="B8530" s="1" t="str">
        <f ca="1">IFERROR(__xludf.DUMMYFUNCTION("GOOGLETRANSLATE(A8530, ""en"", ""fr"")"),"COMPTER SUR")</f>
        <v>COMPTER SUR</v>
      </c>
      <c r="C8530" s="1" t="s">
        <v>185</v>
      </c>
      <c r="L8530" s="1" t="s">
        <v>8</v>
      </c>
      <c r="M8530" s="1" t="s">
        <v>9</v>
      </c>
      <c r="O8530" s="1" t="s">
        <v>11</v>
      </c>
      <c r="W8530" s="1" t="s">
        <v>19</v>
      </c>
      <c r="AN8530" s="1" t="s">
        <v>36</v>
      </c>
      <c r="DN8530" s="1" t="s">
        <v>114</v>
      </c>
      <c r="EC8530" s="1" t="s">
        <v>129</v>
      </c>
      <c r="ED8530" s="1" t="s">
        <v>130</v>
      </c>
      <c r="GD8530" s="1" t="s">
        <v>189</v>
      </c>
      <c r="GE8530" s="1" t="s">
        <v>190</v>
      </c>
    </row>
    <row r="8531" spans="1:187" ht="11.25" customHeight="1">
      <c r="A8531" s="1" t="s">
        <v>11970</v>
      </c>
      <c r="B8531" s="1" t="str">
        <f ca="1">IFERROR(__xludf.DUMMYFUNCTION("GOOGLETRANSLATE(A8531, ""en"", ""fr"")"),"Rester n ° 1")</f>
        <v>Rester n ° 1</v>
      </c>
      <c r="C8531" s="1" t="s">
        <v>185</v>
      </c>
      <c r="O8531" s="1" t="s">
        <v>11</v>
      </c>
      <c r="CA8531" s="1" t="s">
        <v>75</v>
      </c>
      <c r="DO8531" s="1" t="s">
        <v>115</v>
      </c>
      <c r="FP8531" s="1" t="s">
        <v>168</v>
      </c>
      <c r="GD8531" s="1" t="s">
        <v>11971</v>
      </c>
      <c r="GE8531" s="1" t="s">
        <v>11972</v>
      </c>
    </row>
    <row r="8532" spans="1:187" ht="11.25" customHeight="1">
      <c r="A8532" s="1" t="s">
        <v>11973</v>
      </c>
      <c r="B8532" s="1" t="str">
        <f ca="1">IFERROR(__xludf.DUMMYFUNCTION("GOOGLETRANSLATE(A8532, ""en"", ""fr"")"),"Rester # 2")</f>
        <v>Rester # 2</v>
      </c>
      <c r="C8532" s="1" t="s">
        <v>185</v>
      </c>
      <c r="O8532" s="1" t="s">
        <v>11</v>
      </c>
      <c r="CS8532" s="1" t="s">
        <v>93</v>
      </c>
      <c r="GD8532" s="1" t="s">
        <v>202</v>
      </c>
      <c r="GE8532" s="1" t="s">
        <v>11974</v>
      </c>
    </row>
    <row r="8533" spans="1:187" ht="11.25" customHeight="1">
      <c r="A8533" s="1" t="s">
        <v>11975</v>
      </c>
      <c r="B8533" s="1" t="str">
        <f ca="1">IFERROR(__xludf.DUMMYFUNCTION("GOOGLETRANSLATE(A8533, ""en"", ""fr"")"),"RESTE")</f>
        <v>RESTE</v>
      </c>
      <c r="C8533" s="1" t="s">
        <v>185</v>
      </c>
      <c r="CS8533" s="1" t="s">
        <v>93</v>
      </c>
      <c r="GD8533" s="1" t="s">
        <v>193</v>
      </c>
      <c r="GE8533" s="1" t="s">
        <v>190</v>
      </c>
    </row>
    <row r="8534" spans="1:187" ht="11.25" customHeight="1">
      <c r="A8534" s="1" t="s">
        <v>11976</v>
      </c>
      <c r="B8534" s="1" t="str">
        <f ca="1">IFERROR(__xludf.DUMMYFUNCTION("GOOGLETRANSLATE(A8534, ""en"", ""fr"")"),"Remarque n ° 1")</f>
        <v>Remarque n ° 1</v>
      </c>
      <c r="C8534" s="1" t="s">
        <v>185</v>
      </c>
      <c r="BK8534" s="1" t="s">
        <v>59</v>
      </c>
      <c r="BL8534" s="1" t="s">
        <v>60</v>
      </c>
      <c r="FH8534" s="1" t="s">
        <v>160</v>
      </c>
      <c r="FI8534" s="1" t="s">
        <v>161</v>
      </c>
      <c r="GC8534" s="1" t="s">
        <v>181</v>
      </c>
      <c r="GD8534" s="1" t="s">
        <v>193</v>
      </c>
      <c r="GE8534" s="1" t="s">
        <v>11977</v>
      </c>
    </row>
    <row r="8535" spans="1:187" ht="11.25" customHeight="1">
      <c r="A8535" s="1" t="s">
        <v>11978</v>
      </c>
      <c r="B8535" s="1" t="str">
        <f ca="1">IFERROR(__xludf.DUMMYFUNCTION("GOOGLETRANSLATE(A8535, ""en"", ""fr"")"),"Remarque n ° 2")</f>
        <v>Remarque n ° 2</v>
      </c>
      <c r="C8535" s="1" t="s">
        <v>185</v>
      </c>
      <c r="BK8535" s="1" t="s">
        <v>59</v>
      </c>
      <c r="DN8535" s="1" t="s">
        <v>114</v>
      </c>
      <c r="FP8535" s="1" t="s">
        <v>168</v>
      </c>
      <c r="GD8535" s="1" t="s">
        <v>189</v>
      </c>
      <c r="GE8535" s="1" t="s">
        <v>11979</v>
      </c>
    </row>
    <row r="8536" spans="1:187" ht="11.25" customHeight="1">
      <c r="A8536" s="1" t="s">
        <v>11980</v>
      </c>
      <c r="B8536" s="1" t="str">
        <f ca="1">IFERROR(__xludf.DUMMYFUNCTION("GOOGLETRANSLATE(A8536, ""en"", ""fr"")"),"REMARQUABLE")</f>
        <v>REMARQUABLE</v>
      </c>
      <c r="C8536" s="1" t="s">
        <v>185</v>
      </c>
      <c r="D8536" s="1" t="s">
        <v>16612</v>
      </c>
      <c r="F8536" s="1" t="s">
        <v>2</v>
      </c>
      <c r="J8536" s="1" t="s">
        <v>6</v>
      </c>
      <c r="U8536" s="1" t="s">
        <v>17</v>
      </c>
      <c r="W8536" s="1" t="s">
        <v>19</v>
      </c>
      <c r="CN8536" s="1" t="s">
        <v>88</v>
      </c>
      <c r="FY8536" s="1" t="s">
        <v>177</v>
      </c>
      <c r="GD8536" s="1" t="s">
        <v>202</v>
      </c>
      <c r="GE8536" s="1" t="s">
        <v>190</v>
      </c>
    </row>
    <row r="8537" spans="1:187" ht="11.25" customHeight="1">
      <c r="A8537" s="1" t="s">
        <v>11981</v>
      </c>
      <c r="B8537" s="1" t="str">
        <f ca="1">IFERROR(__xludf.DUMMYFUNCTION("GOOGLETRANSLATE(A8537, ""en"", ""fr"")"),"REMARQUABLEMENT")</f>
        <v>REMARQUABLEMENT</v>
      </c>
      <c r="C8537" s="1" t="s">
        <v>185</v>
      </c>
      <c r="D8537" s="1" t="s">
        <v>16612</v>
      </c>
      <c r="F8537" s="1" t="s">
        <v>2</v>
      </c>
      <c r="J8537" s="1" t="s">
        <v>6</v>
      </c>
      <c r="U8537" s="1" t="s">
        <v>17</v>
      </c>
      <c r="W8537" s="1" t="s">
        <v>19</v>
      </c>
      <c r="CN8537" s="1" t="s">
        <v>88</v>
      </c>
      <c r="FY8537" s="1" t="s">
        <v>177</v>
      </c>
      <c r="GD8537" s="1" t="s">
        <v>236</v>
      </c>
      <c r="GE8537" s="1" t="s">
        <v>190</v>
      </c>
    </row>
    <row r="8538" spans="1:187" ht="11.25" customHeight="1">
      <c r="A8538" s="1" t="s">
        <v>11982</v>
      </c>
      <c r="B8538" s="1" t="str">
        <f ca="1">IFERROR(__xludf.DUMMYFUNCTION("GOOGLETRANSLATE(A8538, ""en"", ""fr"")"),"REMÈDE")</f>
        <v>REMÈDE</v>
      </c>
      <c r="C8538" s="1" t="s">
        <v>185</v>
      </c>
      <c r="D8538" s="1" t="s">
        <v>16612</v>
      </c>
      <c r="F8538" s="1" t="s">
        <v>2</v>
      </c>
      <c r="BQ8538" s="1" t="s">
        <v>65</v>
      </c>
      <c r="EZ8538" s="1" t="s">
        <v>152</v>
      </c>
      <c r="FC8538" s="1" t="s">
        <v>155</v>
      </c>
      <c r="GD8538" s="1" t="s">
        <v>193</v>
      </c>
      <c r="GE8538" s="1" t="s">
        <v>190</v>
      </c>
    </row>
    <row r="8539" spans="1:187" ht="11.25" customHeight="1">
      <c r="A8539" s="1" t="s">
        <v>11983</v>
      </c>
      <c r="B8539" s="1" t="str">
        <f ca="1">IFERROR(__xludf.DUMMYFUNCTION("GOOGLETRANSLATE(A8539, ""en"", ""fr"")"),"SOUVIENS-TOI")</f>
        <v>SOUVIENS-TOI</v>
      </c>
      <c r="C8539" s="1" t="s">
        <v>185</v>
      </c>
      <c r="O8539" s="1" t="s">
        <v>11</v>
      </c>
      <c r="CO8539" s="1" t="s">
        <v>89</v>
      </c>
      <c r="DO8539" s="1" t="s">
        <v>115</v>
      </c>
      <c r="FH8539" s="1" t="s">
        <v>160</v>
      </c>
      <c r="FI8539" s="1" t="s">
        <v>161</v>
      </c>
      <c r="GD8539" s="1" t="s">
        <v>189</v>
      </c>
      <c r="GE8539" s="1" t="s">
        <v>11984</v>
      </c>
    </row>
    <row r="8540" spans="1:187" ht="11.25" customHeight="1">
      <c r="A8540" s="1" t="s">
        <v>11985</v>
      </c>
      <c r="B8540" s="1" t="str">
        <f ca="1">IFERROR(__xludf.DUMMYFUNCTION("GOOGLETRANSLATE(A8540, ""en"", ""fr"")"),"RAPPELER")</f>
        <v>RAPPELER</v>
      </c>
      <c r="C8540" s="1" t="s">
        <v>185</v>
      </c>
      <c r="BK8540" s="1" t="s">
        <v>59</v>
      </c>
      <c r="DN8540" s="1" t="s">
        <v>114</v>
      </c>
      <c r="FD8540" s="1" t="s">
        <v>156</v>
      </c>
      <c r="FI8540" s="1" t="s">
        <v>161</v>
      </c>
      <c r="GD8540" s="1" t="s">
        <v>189</v>
      </c>
      <c r="GE8540" s="1" t="s">
        <v>11986</v>
      </c>
    </row>
    <row r="8541" spans="1:187" ht="11.25" customHeight="1">
      <c r="A8541" s="1" t="s">
        <v>11987</v>
      </c>
      <c r="B8541" s="1" t="str">
        <f ca="1">IFERROR(__xludf.DUMMYFUNCTION("GOOGLETRANSLATE(A8541, ""en"", ""fr"")"),"RAPPEL")</f>
        <v>RAPPEL</v>
      </c>
      <c r="C8541" s="1" t="s">
        <v>185</v>
      </c>
      <c r="BK8541" s="1" t="s">
        <v>59</v>
      </c>
      <c r="BL8541" s="1" t="s">
        <v>60</v>
      </c>
      <c r="FH8541" s="1" t="s">
        <v>160</v>
      </c>
      <c r="FI8541" s="1" t="s">
        <v>161</v>
      </c>
      <c r="GC8541" s="1" t="s">
        <v>181</v>
      </c>
      <c r="GD8541" s="1" t="s">
        <v>193</v>
      </c>
      <c r="GE8541" s="1" t="s">
        <v>190</v>
      </c>
    </row>
    <row r="8542" spans="1:187" ht="11.25" customHeight="1">
      <c r="A8542" s="1" t="s">
        <v>11988</v>
      </c>
      <c r="B8542" s="1" t="str">
        <f ca="1">IFERROR(__xludf.DUMMYFUNCTION("GOOGLETRANSLATE(A8542, ""en"", ""fr"")"),"REMODELER")</f>
        <v>REMODELER</v>
      </c>
      <c r="C8542" s="1" t="s">
        <v>192</v>
      </c>
      <c r="D8542" s="1" t="s">
        <v>16612</v>
      </c>
      <c r="N8542" s="1" t="s">
        <v>10</v>
      </c>
      <c r="DN8542" s="1" t="s">
        <v>114</v>
      </c>
      <c r="GD8542" s="1" t="s">
        <v>189</v>
      </c>
      <c r="GE8542" s="1" t="s">
        <v>190</v>
      </c>
    </row>
    <row r="8543" spans="1:187" ht="11.25" customHeight="1">
      <c r="A8543" s="1" t="s">
        <v>11989</v>
      </c>
      <c r="B8543" s="1" t="str">
        <f ca="1">IFERROR(__xludf.DUMMYFUNCTION("GOOGLETRANSLATE(A8543, ""en"", ""fr"")"),"REMORDS")</f>
        <v>REMORDS</v>
      </c>
      <c r="C8543" s="1" t="s">
        <v>192</v>
      </c>
      <c r="E8543" s="1" t="s">
        <v>16613</v>
      </c>
      <c r="Q8543" s="1" t="s">
        <v>13</v>
      </c>
      <c r="T8543" s="1" t="s">
        <v>16</v>
      </c>
      <c r="GD8543" s="1" t="s">
        <v>193</v>
      </c>
      <c r="GE8543" s="1" t="s">
        <v>190</v>
      </c>
    </row>
    <row r="8544" spans="1:187" ht="11.25" customHeight="1">
      <c r="A8544" s="1" t="s">
        <v>11990</v>
      </c>
      <c r="B8544" s="1" t="str">
        <f ca="1">IFERROR(__xludf.DUMMYFUNCTION("GOOGLETRANSLATE(A8544, ""en"", ""fr"")"),"TÉLÉCOMMANDE")</f>
        <v>TÉLÉCOMMANDE</v>
      </c>
      <c r="C8544" s="1" t="s">
        <v>185</v>
      </c>
      <c r="L8544" s="1" t="s">
        <v>8</v>
      </c>
      <c r="DA8544" s="1" t="s">
        <v>101</v>
      </c>
      <c r="GD8544" s="1" t="s">
        <v>202</v>
      </c>
      <c r="GE8544" s="1" t="s">
        <v>190</v>
      </c>
    </row>
    <row r="8545" spans="1:187" ht="11.25" customHeight="1">
      <c r="A8545" s="1" t="s">
        <v>11991</v>
      </c>
      <c r="B8545" s="1" t="str">
        <f ca="1">IFERROR(__xludf.DUMMYFUNCTION("GOOGLETRANSLATE(A8545, ""en"", ""fr"")"),"SUPPRESSION")</f>
        <v>SUPPRESSION</v>
      </c>
      <c r="C8545" s="1" t="s">
        <v>185</v>
      </c>
      <c r="J8545" s="1" t="s">
        <v>6</v>
      </c>
      <c r="N8545" s="1" t="s">
        <v>10</v>
      </c>
      <c r="CE8545" s="1" t="s">
        <v>79</v>
      </c>
      <c r="DT8545" s="1" t="s">
        <v>120</v>
      </c>
      <c r="ED8545" s="1" t="s">
        <v>130</v>
      </c>
      <c r="GD8545" s="1" t="s">
        <v>193</v>
      </c>
      <c r="GE8545" s="1" t="s">
        <v>190</v>
      </c>
    </row>
    <row r="8546" spans="1:187" ht="11.25" customHeight="1">
      <c r="A8546" s="1" t="s">
        <v>11992</v>
      </c>
      <c r="B8546" s="1" t="str">
        <f ca="1">IFERROR(__xludf.DUMMYFUNCTION("GOOGLETRANSLATE(A8546, ""en"", ""fr"")"),"RETIRER")</f>
        <v>RETIRER</v>
      </c>
      <c r="C8546" s="1" t="s">
        <v>185</v>
      </c>
      <c r="J8546" s="1" t="s">
        <v>6</v>
      </c>
      <c r="N8546" s="1" t="s">
        <v>10</v>
      </c>
      <c r="CD8546" s="1" t="s">
        <v>78</v>
      </c>
      <c r="DO8546" s="1" t="s">
        <v>115</v>
      </c>
      <c r="DT8546" s="1" t="s">
        <v>120</v>
      </c>
      <c r="ED8546" s="1" t="s">
        <v>130</v>
      </c>
      <c r="GD8546" s="1" t="s">
        <v>189</v>
      </c>
      <c r="GE8546" s="1" t="s">
        <v>11993</v>
      </c>
    </row>
    <row r="8547" spans="1:187" ht="11.25" customHeight="1">
      <c r="A8547" s="1" t="s">
        <v>11994</v>
      </c>
      <c r="B8547" s="1" t="str">
        <f ca="1">IFERROR(__xludf.DUMMYFUNCTION("GOOGLETRANSLATE(A8547, ""en"", ""fr"")"),"RÉMUNÉRATION")</f>
        <v>RÉMUNÉRATION</v>
      </c>
      <c r="C8547" s="1" t="s">
        <v>196</v>
      </c>
      <c r="EV8547" s="1" t="s">
        <v>148</v>
      </c>
      <c r="EW8547" s="1" t="s">
        <v>149</v>
      </c>
      <c r="GD8547" s="1" t="s">
        <v>875</v>
      </c>
    </row>
    <row r="8548" spans="1:187" ht="11.25" customHeight="1">
      <c r="A8548" s="1" t="s">
        <v>11995</v>
      </c>
      <c r="B8548" s="1" t="str">
        <f ca="1">IFERROR(__xludf.DUMMYFUNCTION("GOOGLETRANSLATE(A8548, ""en"", ""fr"")"),"RENAISSANCE")</f>
        <v>RENAISSANCE</v>
      </c>
      <c r="C8548" s="1" t="s">
        <v>192</v>
      </c>
      <c r="D8548" s="1" t="s">
        <v>16612</v>
      </c>
      <c r="BV8548" s="1" t="s">
        <v>70</v>
      </c>
      <c r="BX8548" s="1" t="s">
        <v>72</v>
      </c>
      <c r="GD8548" s="1" t="s">
        <v>193</v>
      </c>
      <c r="GE8548" s="1" t="s">
        <v>190</v>
      </c>
    </row>
    <row r="8549" spans="1:187" ht="11.25" customHeight="1">
      <c r="A8549" s="1" t="s">
        <v>11996</v>
      </c>
      <c r="B8549" s="1" t="str">
        <f ca="1">IFERROR(__xludf.DUMMYFUNCTION("GOOGLETRANSLATE(A8549, ""en"", ""fr"")"),"RENDRE")</f>
        <v>RENDRE</v>
      </c>
      <c r="C8549" s="1" t="s">
        <v>185</v>
      </c>
      <c r="J8549" s="1" t="s">
        <v>6</v>
      </c>
      <c r="AL8549" s="1" t="s">
        <v>34</v>
      </c>
      <c r="DN8549" s="1" t="s">
        <v>114</v>
      </c>
      <c r="FP8549" s="1" t="s">
        <v>168</v>
      </c>
      <c r="GD8549" s="1" t="s">
        <v>189</v>
      </c>
      <c r="GE8549" s="1" t="s">
        <v>190</v>
      </c>
    </row>
    <row r="8550" spans="1:187" ht="11.25" customHeight="1">
      <c r="A8550" s="1" t="s">
        <v>11997</v>
      </c>
      <c r="B8550" s="1" t="str">
        <f ca="1">IFERROR(__xludf.DUMMYFUNCTION("GOOGLETRANSLATE(A8550, ""en"", ""fr"")"),"RENOUVELER")</f>
        <v>RENOUVELER</v>
      </c>
      <c r="C8550" s="1" t="s">
        <v>185</v>
      </c>
      <c r="J8550" s="1" t="s">
        <v>6</v>
      </c>
      <c r="AL8550" s="1" t="s">
        <v>34</v>
      </c>
      <c r="DN8550" s="1" t="s">
        <v>114</v>
      </c>
      <c r="FP8550" s="1" t="s">
        <v>168</v>
      </c>
      <c r="GD8550" s="1" t="s">
        <v>189</v>
      </c>
      <c r="GE8550" s="1" t="s">
        <v>190</v>
      </c>
    </row>
    <row r="8551" spans="1:187" ht="11.25" customHeight="1">
      <c r="A8551" s="1" t="s">
        <v>11998</v>
      </c>
      <c r="B8551" s="1" t="str">
        <f ca="1">IFERROR(__xludf.DUMMYFUNCTION("GOOGLETRANSLATE(A8551, ""en"", ""fr"")"),"RENOUVELLEMENT")</f>
        <v>RENOUVELLEMENT</v>
      </c>
      <c r="C8551" s="1" t="s">
        <v>192</v>
      </c>
      <c r="D8551" s="1" t="s">
        <v>16612</v>
      </c>
      <c r="BV8551" s="1" t="s">
        <v>70</v>
      </c>
      <c r="GD8551" s="1" t="s">
        <v>3263</v>
      </c>
      <c r="GE8551" s="1" t="s">
        <v>190</v>
      </c>
    </row>
    <row r="8552" spans="1:187" ht="11.25" customHeight="1">
      <c r="A8552" s="1" t="s">
        <v>11999</v>
      </c>
      <c r="B8552" s="1" t="str">
        <f ca="1">IFERROR(__xludf.DUMMYFUNCTION("GOOGLETRANSLATE(A8552, ""en"", ""fr"")"),"RENONCER")</f>
        <v>RENONCER</v>
      </c>
      <c r="C8552" s="1" t="s">
        <v>185</v>
      </c>
      <c r="E8552" s="1" t="s">
        <v>16613</v>
      </c>
      <c r="I8552" s="1" t="s">
        <v>5</v>
      </c>
      <c r="N8552" s="1" t="s">
        <v>10</v>
      </c>
      <c r="BK8552" s="1" t="s">
        <v>59</v>
      </c>
      <c r="DN8552" s="1" t="s">
        <v>114</v>
      </c>
      <c r="DT8552" s="1" t="s">
        <v>120</v>
      </c>
      <c r="ED8552" s="1" t="s">
        <v>130</v>
      </c>
      <c r="GD8552" s="1" t="s">
        <v>670</v>
      </c>
      <c r="GE8552" s="1" t="s">
        <v>190</v>
      </c>
    </row>
    <row r="8553" spans="1:187" ht="11.25" customHeight="1">
      <c r="A8553" s="1" t="s">
        <v>12000</v>
      </c>
      <c r="B8553" s="1" t="str">
        <f ca="1">IFERROR(__xludf.DUMMYFUNCTION("GOOGLETRANSLATE(A8553, ""en"", ""fr"")"),"RÉNOVER")</f>
        <v>RÉNOVER</v>
      </c>
      <c r="C8553" s="1" t="s">
        <v>185</v>
      </c>
      <c r="D8553" s="1" t="s">
        <v>16612</v>
      </c>
      <c r="N8553" s="1" t="s">
        <v>10</v>
      </c>
      <c r="DN8553" s="1" t="s">
        <v>114</v>
      </c>
      <c r="FP8553" s="1" t="s">
        <v>168</v>
      </c>
      <c r="GD8553" s="1" t="s">
        <v>189</v>
      </c>
      <c r="GE8553" s="1" t="s">
        <v>190</v>
      </c>
    </row>
    <row r="8554" spans="1:187" ht="11.25" customHeight="1">
      <c r="A8554" s="1" t="s">
        <v>12001</v>
      </c>
      <c r="B8554" s="1" t="str">
        <f ca="1">IFERROR(__xludf.DUMMYFUNCTION("GOOGLETRANSLATE(A8554, ""en"", ""fr"")"),"RÉNOVATION")</f>
        <v>RÉNOVATION</v>
      </c>
      <c r="C8554" s="1" t="s">
        <v>192</v>
      </c>
      <c r="D8554" s="1" t="s">
        <v>16612</v>
      </c>
      <c r="GD8554" s="1" t="s">
        <v>193</v>
      </c>
      <c r="GE8554" s="1" t="s">
        <v>190</v>
      </c>
    </row>
    <row r="8555" spans="1:187" ht="11.25" customHeight="1">
      <c r="A8555" s="1" t="s">
        <v>12002</v>
      </c>
      <c r="B8555" s="1" t="str">
        <f ca="1">IFERROR(__xludf.DUMMYFUNCTION("GOOGLETRANSLATE(A8555, ""en"", ""fr"")"),"RENOMMÉE")</f>
        <v>RENOMMÉE</v>
      </c>
      <c r="C8555" s="1" t="s">
        <v>185</v>
      </c>
      <c r="D8555" s="1" t="s">
        <v>16612</v>
      </c>
      <c r="G8555" s="1" t="s">
        <v>3</v>
      </c>
      <c r="U8555" s="1" t="s">
        <v>17</v>
      </c>
      <c r="CM8555" s="1" t="s">
        <v>87</v>
      </c>
      <c r="EM8555" s="1" t="s">
        <v>139</v>
      </c>
      <c r="EN8555" s="1" t="s">
        <v>140</v>
      </c>
      <c r="GD8555" s="1" t="s">
        <v>193</v>
      </c>
      <c r="GE8555" s="1" t="s">
        <v>190</v>
      </c>
    </row>
    <row r="8556" spans="1:187" ht="11.25" customHeight="1">
      <c r="A8556" s="1" t="s">
        <v>12003</v>
      </c>
      <c r="B8556" s="1" t="str">
        <f ca="1">IFERROR(__xludf.DUMMYFUNCTION("GOOGLETRANSLATE(A8556, ""en"", ""fr"")"),"Loyer n ° 1")</f>
        <v>Loyer n ° 1</v>
      </c>
      <c r="C8556" s="1" t="s">
        <v>185</v>
      </c>
      <c r="AA8556" s="1" t="s">
        <v>23</v>
      </c>
      <c r="AC8556" s="1" t="s">
        <v>25</v>
      </c>
      <c r="AH8556" s="1" t="s">
        <v>30</v>
      </c>
      <c r="BK8556" s="1" t="s">
        <v>59</v>
      </c>
      <c r="BL8556" s="1" t="s">
        <v>60</v>
      </c>
      <c r="EV8556" s="1" t="s">
        <v>148</v>
      </c>
      <c r="EW8556" s="1" t="s">
        <v>149</v>
      </c>
      <c r="GC8556" s="1" t="s">
        <v>181</v>
      </c>
      <c r="GD8556" s="1" t="s">
        <v>193</v>
      </c>
      <c r="GE8556" s="1" t="s">
        <v>12004</v>
      </c>
    </row>
    <row r="8557" spans="1:187" ht="11.25" customHeight="1">
      <c r="A8557" s="1" t="s">
        <v>12005</v>
      </c>
      <c r="B8557" s="1" t="str">
        <f ca="1">IFERROR(__xludf.DUMMYFUNCTION("GOOGLETRANSLATE(A8557, ""en"", ""fr"")"),"Loyer n ° 2")</f>
        <v>Loyer n ° 2</v>
      </c>
      <c r="C8557" s="1" t="s">
        <v>185</v>
      </c>
      <c r="AA8557" s="1" t="s">
        <v>23</v>
      </c>
      <c r="AB8557" s="1" t="s">
        <v>24</v>
      </c>
      <c r="DO8557" s="1" t="s">
        <v>115</v>
      </c>
      <c r="EU8557" s="1" t="s">
        <v>147</v>
      </c>
      <c r="EW8557" s="1" t="s">
        <v>149</v>
      </c>
      <c r="GD8557" s="1" t="s">
        <v>189</v>
      </c>
      <c r="GE8557" s="1" t="s">
        <v>12006</v>
      </c>
    </row>
    <row r="8558" spans="1:187" ht="11.25" customHeight="1">
      <c r="A8558" s="1" t="s">
        <v>12007</v>
      </c>
      <c r="B8558" s="1" t="str">
        <f ca="1">IFERROR(__xludf.DUMMYFUNCTION("GOOGLETRANSLATE(A8558, ""en"", ""fr"")"),"DE LOCATION")</f>
        <v>DE LOCATION</v>
      </c>
      <c r="C8558" s="1" t="s">
        <v>185</v>
      </c>
      <c r="AA8558" s="1" t="s">
        <v>23</v>
      </c>
      <c r="AC8558" s="1" t="s">
        <v>25</v>
      </c>
      <c r="BQ8558" s="1" t="s">
        <v>65</v>
      </c>
      <c r="EV8558" s="1" t="s">
        <v>148</v>
      </c>
      <c r="EW8558" s="1" t="s">
        <v>149</v>
      </c>
      <c r="GD8558" s="1" t="s">
        <v>193</v>
      </c>
      <c r="GE8558" s="1" t="s">
        <v>190</v>
      </c>
    </row>
    <row r="8559" spans="1:187" ht="11.25" customHeight="1">
      <c r="A8559" s="1" t="s">
        <v>12008</v>
      </c>
      <c r="B8559" s="1" t="str">
        <f ca="1">IFERROR(__xludf.DUMMYFUNCTION("GOOGLETRANSLATE(A8559, ""en"", ""fr"")"),"RENONCIATION")</f>
        <v>RENONCIATION</v>
      </c>
      <c r="C8559" s="1" t="s">
        <v>192</v>
      </c>
      <c r="E8559" s="1" t="s">
        <v>16613</v>
      </c>
      <c r="I8559" s="1" t="s">
        <v>5</v>
      </c>
      <c r="AN8559" s="1" t="s">
        <v>36</v>
      </c>
      <c r="BK8559" s="1" t="s">
        <v>59</v>
      </c>
      <c r="GD8559" s="1" t="s">
        <v>193</v>
      </c>
      <c r="GE8559" s="1" t="s">
        <v>190</v>
      </c>
    </row>
    <row r="8560" spans="1:187" ht="11.25" customHeight="1">
      <c r="A8560" s="1" t="s">
        <v>12009</v>
      </c>
      <c r="B8560" s="1" t="str">
        <f ca="1">IFERROR(__xludf.DUMMYFUNCTION("GOOGLETRANSLATE(A8560, ""en"", ""fr"")"),"RÉORGANISATION")</f>
        <v>RÉORGANISATION</v>
      </c>
      <c r="C8560" s="1" t="s">
        <v>185</v>
      </c>
      <c r="N8560" s="1" t="s">
        <v>10</v>
      </c>
      <c r="BW8560" s="1" t="s">
        <v>71</v>
      </c>
      <c r="EC8560" s="1" t="s">
        <v>129</v>
      </c>
      <c r="ED8560" s="1" t="s">
        <v>130</v>
      </c>
      <c r="GD8560" s="1" t="s">
        <v>193</v>
      </c>
      <c r="GE8560" s="1" t="s">
        <v>190</v>
      </c>
    </row>
    <row r="8561" spans="1:187" ht="11.25" customHeight="1">
      <c r="A8561" s="1" t="s">
        <v>12010</v>
      </c>
      <c r="B8561" s="1" t="str">
        <f ca="1">IFERROR(__xludf.DUMMYFUNCTION("GOOGLETRANSLATE(A8561, ""en"", ""fr"")"),"RÉORGANISER")</f>
        <v>RÉORGANISER</v>
      </c>
      <c r="C8561" s="1" t="s">
        <v>196</v>
      </c>
      <c r="FP8561" s="1" t="s">
        <v>168</v>
      </c>
      <c r="GD8561" s="1" t="s">
        <v>189</v>
      </c>
    </row>
    <row r="8562" spans="1:187" ht="11.25" customHeight="1">
      <c r="A8562" s="1" t="s">
        <v>12011</v>
      </c>
      <c r="B8562" s="1" t="str">
        <f ca="1">IFERROR(__xludf.DUMMYFUNCTION("GOOGLETRANSLATE(A8562, ""en"", ""fr"")"),"REPRÉSENTANT")</f>
        <v>REPRÉSENTANT</v>
      </c>
      <c r="C8562" s="1" t="s">
        <v>196</v>
      </c>
      <c r="GD8562" s="1" t="s">
        <v>12012</v>
      </c>
    </row>
    <row r="8563" spans="1:187" ht="11.25" customHeight="1">
      <c r="A8563" s="1" t="s">
        <v>12013</v>
      </c>
      <c r="B8563" s="1" t="str">
        <f ca="1">IFERROR(__xludf.DUMMYFUNCTION("GOOGLETRANSLATE(A8563, ""en"", ""fr"")"),"Remboursé")</f>
        <v>Remboursé</v>
      </c>
      <c r="C8563" s="1" t="s">
        <v>185</v>
      </c>
      <c r="N8563" s="1" t="s">
        <v>10</v>
      </c>
      <c r="AA8563" s="1" t="s">
        <v>23</v>
      </c>
      <c r="AB8563" s="1" t="s">
        <v>24</v>
      </c>
      <c r="DN8563" s="1" t="s">
        <v>114</v>
      </c>
      <c r="EU8563" s="1" t="s">
        <v>147</v>
      </c>
      <c r="EW8563" s="1" t="s">
        <v>149</v>
      </c>
      <c r="GD8563" s="1" t="s">
        <v>1076</v>
      </c>
      <c r="GE8563" s="1" t="s">
        <v>190</v>
      </c>
    </row>
    <row r="8564" spans="1:187" ht="11.25" customHeight="1">
      <c r="A8564" s="1" t="s">
        <v>12014</v>
      </c>
      <c r="B8564" s="1" t="str">
        <f ca="1">IFERROR(__xludf.DUMMYFUNCTION("GOOGLETRANSLATE(A8564, ""en"", ""fr"")"),"Réparation n ° 1")</f>
        <v>Réparation n ° 1</v>
      </c>
      <c r="C8564" s="1" t="s">
        <v>185</v>
      </c>
      <c r="D8564" s="1" t="s">
        <v>16612</v>
      </c>
      <c r="F8564" s="1" t="s">
        <v>2</v>
      </c>
      <c r="J8564" s="1" t="s">
        <v>6</v>
      </c>
      <c r="N8564" s="1" t="s">
        <v>10</v>
      </c>
      <c r="BQ8564" s="1" t="s">
        <v>65</v>
      </c>
      <c r="EZ8564" s="1" t="s">
        <v>152</v>
      </c>
      <c r="FC8564" s="1" t="s">
        <v>155</v>
      </c>
      <c r="GD8564" s="1" t="s">
        <v>193</v>
      </c>
      <c r="GE8564" s="1" t="s">
        <v>190</v>
      </c>
    </row>
    <row r="8565" spans="1:187" ht="11.25" customHeight="1">
      <c r="A8565" s="1" t="s">
        <v>12015</v>
      </c>
      <c r="B8565" s="1" t="str">
        <f ca="1">IFERROR(__xludf.DUMMYFUNCTION("GOOGLETRANSLATE(A8565, ""en"", ""fr"")"),"Réparation n ° 2")</f>
        <v>Réparation n ° 2</v>
      </c>
      <c r="C8565" s="1" t="s">
        <v>185</v>
      </c>
      <c r="D8565" s="1" t="s">
        <v>16612</v>
      </c>
      <c r="F8565" s="1" t="s">
        <v>2</v>
      </c>
      <c r="J8565" s="1" t="s">
        <v>6</v>
      </c>
      <c r="N8565" s="1" t="s">
        <v>10</v>
      </c>
      <c r="AL8565" s="1" t="s">
        <v>34</v>
      </c>
      <c r="DN8565" s="1" t="s">
        <v>114</v>
      </c>
      <c r="EZ8565" s="1" t="s">
        <v>152</v>
      </c>
      <c r="FC8565" s="1" t="s">
        <v>155</v>
      </c>
      <c r="GD8565" s="1" t="s">
        <v>189</v>
      </c>
      <c r="GE8565" s="1" t="s">
        <v>190</v>
      </c>
    </row>
    <row r="8566" spans="1:187" ht="11.25" customHeight="1">
      <c r="A8566" s="1" t="s">
        <v>12016</v>
      </c>
      <c r="B8566" s="1" t="str">
        <f ca="1">IFERROR(__xludf.DUMMYFUNCTION("GOOGLETRANSLATE(A8566, ""en"", ""fr"")"),"RÉPARATION")</f>
        <v>RÉPARATION</v>
      </c>
      <c r="C8566" s="1" t="s">
        <v>185</v>
      </c>
      <c r="D8566" s="1" t="s">
        <v>16612</v>
      </c>
      <c r="M8566" s="1" t="s">
        <v>9</v>
      </c>
      <c r="AB8566" s="1" t="s">
        <v>24</v>
      </c>
      <c r="AN8566" s="1" t="s">
        <v>36</v>
      </c>
      <c r="CO8566" s="1" t="s">
        <v>89</v>
      </c>
      <c r="EG8566" s="1" t="s">
        <v>133</v>
      </c>
      <c r="EJ8566" s="1" t="s">
        <v>136</v>
      </c>
      <c r="GD8566" s="1" t="s">
        <v>193</v>
      </c>
      <c r="GE8566" s="1" t="s">
        <v>190</v>
      </c>
    </row>
    <row r="8567" spans="1:187" ht="11.25" customHeight="1">
      <c r="A8567" s="1" t="s">
        <v>12017</v>
      </c>
      <c r="B8567" s="1" t="str">
        <f ca="1">IFERROR(__xludf.DUMMYFUNCTION("GOOGLETRANSLATE(A8567, ""en"", ""fr"")"),"REMBOURSER")</f>
        <v>REMBOURSER</v>
      </c>
      <c r="C8567" s="1" t="s">
        <v>185</v>
      </c>
      <c r="N8567" s="1" t="s">
        <v>10</v>
      </c>
      <c r="AA8567" s="1" t="s">
        <v>23</v>
      </c>
      <c r="AB8567" s="1" t="s">
        <v>24</v>
      </c>
      <c r="DN8567" s="1" t="s">
        <v>114</v>
      </c>
      <c r="EU8567" s="1" t="s">
        <v>147</v>
      </c>
      <c r="EW8567" s="1" t="s">
        <v>149</v>
      </c>
      <c r="GD8567" s="1" t="s">
        <v>189</v>
      </c>
      <c r="GE8567" s="1" t="s">
        <v>190</v>
      </c>
    </row>
    <row r="8568" spans="1:187" ht="11.25" customHeight="1">
      <c r="A8568" s="1" t="s">
        <v>12018</v>
      </c>
      <c r="B8568" s="1" t="str">
        <f ca="1">IFERROR(__xludf.DUMMYFUNCTION("GOOGLETRANSLATE(A8568, ""en"", ""fr"")"),"ABROGATION")</f>
        <v>ABROGATION</v>
      </c>
      <c r="C8568" s="1" t="s">
        <v>185</v>
      </c>
      <c r="E8568" s="1" t="s">
        <v>16613</v>
      </c>
      <c r="AE8568" s="1" t="s">
        <v>27</v>
      </c>
      <c r="BK8568" s="1" t="s">
        <v>59</v>
      </c>
      <c r="DN8568" s="1" t="s">
        <v>114</v>
      </c>
      <c r="DT8568" s="1" t="s">
        <v>120</v>
      </c>
      <c r="ED8568" s="1" t="s">
        <v>130</v>
      </c>
      <c r="GD8568" s="1" t="s">
        <v>189</v>
      </c>
      <c r="GE8568" s="1" t="s">
        <v>190</v>
      </c>
    </row>
    <row r="8569" spans="1:187" ht="11.25" customHeight="1">
      <c r="A8569" s="1" t="s">
        <v>12019</v>
      </c>
      <c r="B8569" s="1" t="str">
        <f ca="1">IFERROR(__xludf.DUMMYFUNCTION("GOOGLETRANSLATE(A8569, ""en"", ""fr"")"),"Répéter # 1")</f>
        <v>Répéter # 1</v>
      </c>
      <c r="C8569" s="1" t="s">
        <v>185</v>
      </c>
      <c r="N8569" s="1" t="s">
        <v>10</v>
      </c>
      <c r="BK8569" s="1" t="s">
        <v>59</v>
      </c>
      <c r="DO8569" s="1" t="s">
        <v>115</v>
      </c>
      <c r="FP8569" s="1" t="s">
        <v>168</v>
      </c>
      <c r="GD8569" s="1" t="s">
        <v>189</v>
      </c>
      <c r="GE8569" s="1" t="s">
        <v>12020</v>
      </c>
    </row>
    <row r="8570" spans="1:187" ht="11.25" customHeight="1">
      <c r="A8570" s="1" t="s">
        <v>12021</v>
      </c>
      <c r="B8570" s="1" t="str">
        <f ca="1">IFERROR(__xludf.DUMMYFUNCTION("GOOGLETRANSLATE(A8570, ""en"", ""fr"")"),"Répéter # 2")</f>
        <v>Répéter # 2</v>
      </c>
      <c r="C8570" s="1" t="s">
        <v>185</v>
      </c>
      <c r="CW8570" s="1" t="s">
        <v>97</v>
      </c>
      <c r="GD8570" s="1" t="s">
        <v>202</v>
      </c>
      <c r="GE8570" s="1" t="s">
        <v>12022</v>
      </c>
    </row>
    <row r="8571" spans="1:187" ht="11.25" customHeight="1">
      <c r="A8571" s="1" t="s">
        <v>12023</v>
      </c>
      <c r="B8571" s="1" t="str">
        <f ca="1">IFERROR(__xludf.DUMMYFUNCTION("GOOGLETRANSLATE(A8571, ""en"", ""fr"")"),"Répéter # 3")</f>
        <v>Répéter # 3</v>
      </c>
      <c r="C8571" s="1" t="s">
        <v>185</v>
      </c>
      <c r="N8571" s="1" t="s">
        <v>10</v>
      </c>
      <c r="CW8571" s="1" t="s">
        <v>97</v>
      </c>
      <c r="GD8571" s="1" t="s">
        <v>236</v>
      </c>
      <c r="GE8571" s="1" t="s">
        <v>12024</v>
      </c>
    </row>
    <row r="8572" spans="1:187" ht="11.25" customHeight="1">
      <c r="A8572" s="1" t="s">
        <v>12025</v>
      </c>
      <c r="B8572" s="1" t="str">
        <f ca="1">IFERROR(__xludf.DUMMYFUNCTION("GOOGLETRANSLATE(A8572, ""en"", ""fr"")"),"REPOUSSER")</f>
        <v>REPOUSSER</v>
      </c>
      <c r="C8572" s="1" t="s">
        <v>185</v>
      </c>
      <c r="I8572" s="1" t="s">
        <v>5</v>
      </c>
      <c r="J8572" s="1" t="s">
        <v>6</v>
      </c>
      <c r="N8572" s="1" t="s">
        <v>10</v>
      </c>
      <c r="DW8572" s="1" t="s">
        <v>123</v>
      </c>
      <c r="ED8572" s="1" t="s">
        <v>130</v>
      </c>
      <c r="GD8572" s="1" t="s">
        <v>189</v>
      </c>
      <c r="GE8572" s="1" t="s">
        <v>190</v>
      </c>
    </row>
    <row r="8573" spans="1:187" ht="11.25" customHeight="1">
      <c r="A8573" s="1" t="s">
        <v>12026</v>
      </c>
      <c r="B8573" s="1" t="str">
        <f ca="1">IFERROR(__xludf.DUMMYFUNCTION("GOOGLETRANSLATE(A8573, ""en"", ""fr"")"),"SE REPENTIR")</f>
        <v>SE REPENTIR</v>
      </c>
      <c r="C8573" s="1" t="s">
        <v>192</v>
      </c>
      <c r="D8573" s="1" t="s">
        <v>16612</v>
      </c>
      <c r="M8573" s="1" t="s">
        <v>9</v>
      </c>
      <c r="N8573" s="1" t="s">
        <v>10</v>
      </c>
      <c r="CO8573" s="1" t="s">
        <v>89</v>
      </c>
      <c r="DN8573" s="1" t="s">
        <v>114</v>
      </c>
      <c r="GD8573" s="1" t="s">
        <v>189</v>
      </c>
      <c r="GE8573" s="1" t="s">
        <v>190</v>
      </c>
    </row>
    <row r="8574" spans="1:187" ht="11.25" customHeight="1">
      <c r="A8574" s="1" t="s">
        <v>12027</v>
      </c>
      <c r="B8574" s="1" t="str">
        <f ca="1">IFERROR(__xludf.DUMMYFUNCTION("GOOGLETRANSLATE(A8574, ""en"", ""fr"")"),"REPENTIR")</f>
        <v>REPENTIR</v>
      </c>
      <c r="C8574" s="1" t="s">
        <v>192</v>
      </c>
      <c r="D8574" s="1" t="s">
        <v>16612</v>
      </c>
      <c r="M8574" s="1" t="s">
        <v>9</v>
      </c>
      <c r="CO8574" s="1" t="s">
        <v>89</v>
      </c>
      <c r="GD8574" s="1" t="s">
        <v>193</v>
      </c>
      <c r="GE8574" s="1" t="s">
        <v>190</v>
      </c>
    </row>
    <row r="8575" spans="1:187" ht="11.25" customHeight="1">
      <c r="A8575" s="1" t="s">
        <v>12028</v>
      </c>
      <c r="B8575" s="1" t="str">
        <f ca="1">IFERROR(__xludf.DUMMYFUNCTION("GOOGLETRANSLATE(A8575, ""en"", ""fr"")"),"RÉPÉTITION")</f>
        <v>RÉPÉTITION</v>
      </c>
      <c r="C8575" s="1" t="s">
        <v>185</v>
      </c>
      <c r="CW8575" s="1" t="s">
        <v>97</v>
      </c>
      <c r="GD8575" s="1" t="s">
        <v>193</v>
      </c>
      <c r="GE8575" s="1" t="s">
        <v>190</v>
      </c>
    </row>
    <row r="8576" spans="1:187" ht="11.25" customHeight="1">
      <c r="A8576" s="1" t="s">
        <v>12029</v>
      </c>
      <c r="B8576" s="1" t="str">
        <f ca="1">IFERROR(__xludf.DUMMYFUNCTION("GOOGLETRANSLATE(A8576, ""en"", ""fr"")"),"REMPLACER")</f>
        <v>REMPLACER</v>
      </c>
      <c r="C8576" s="1" t="s">
        <v>185</v>
      </c>
      <c r="N8576" s="1" t="s">
        <v>10</v>
      </c>
      <c r="AL8576" s="1" t="s">
        <v>34</v>
      </c>
      <c r="DN8576" s="1" t="s">
        <v>114</v>
      </c>
      <c r="FP8576" s="1" t="s">
        <v>168</v>
      </c>
      <c r="GD8576" s="1" t="s">
        <v>189</v>
      </c>
      <c r="GE8576" s="1" t="s">
        <v>190</v>
      </c>
    </row>
    <row r="8577" spans="1:187" ht="11.25" customHeight="1">
      <c r="A8577" s="1" t="s">
        <v>12030</v>
      </c>
      <c r="B8577" s="1" t="str">
        <f ca="1">IFERROR(__xludf.DUMMYFUNCTION("GOOGLETRANSLATE(A8577, ""en"", ""fr"")"),"REMPLACEMENT")</f>
        <v>REMPLACEMENT</v>
      </c>
      <c r="C8577" s="1" t="s">
        <v>185</v>
      </c>
      <c r="BW8577" s="1" t="s">
        <v>71</v>
      </c>
      <c r="GD8577" s="1" t="s">
        <v>193</v>
      </c>
      <c r="GE8577" s="1" t="s">
        <v>190</v>
      </c>
    </row>
    <row r="8578" spans="1:187" ht="11.25" customHeight="1">
      <c r="A8578" s="1" t="s">
        <v>12031</v>
      </c>
      <c r="B8578" s="1" t="str">
        <f ca="1">IFERROR(__xludf.DUMMYFUNCTION("GOOGLETRANSLATE(A8578, ""en"", ""fr"")"),"REMPLIR")</f>
        <v>REMPLIR</v>
      </c>
      <c r="C8578" s="1" t="s">
        <v>185</v>
      </c>
      <c r="J8578" s="1" t="s">
        <v>6</v>
      </c>
      <c r="N8578" s="1" t="s">
        <v>10</v>
      </c>
      <c r="AL8578" s="1" t="s">
        <v>34</v>
      </c>
      <c r="DN8578" s="1" t="s">
        <v>114</v>
      </c>
      <c r="FN8578" s="1" t="s">
        <v>166</v>
      </c>
      <c r="GD8578" s="1" t="s">
        <v>189</v>
      </c>
      <c r="GE8578" s="1" t="s">
        <v>190</v>
      </c>
    </row>
    <row r="8579" spans="1:187" ht="11.25" customHeight="1">
      <c r="A8579" s="1" t="s">
        <v>12032</v>
      </c>
      <c r="B8579" s="1" t="str">
        <f ca="1">IFERROR(__xludf.DUMMYFUNCTION("GOOGLETRANSLATE(A8579, ""en"", ""fr"")"),"Réponse n ° 1")</f>
        <v>Réponse n ° 1</v>
      </c>
      <c r="C8579" s="1" t="s">
        <v>185</v>
      </c>
      <c r="O8579" s="1" t="s">
        <v>11</v>
      </c>
      <c r="BK8579" s="1" t="s">
        <v>59</v>
      </c>
      <c r="DN8579" s="1" t="s">
        <v>114</v>
      </c>
      <c r="FH8579" s="1" t="s">
        <v>160</v>
      </c>
      <c r="FI8579" s="1" t="s">
        <v>161</v>
      </c>
      <c r="GD8579" s="1" t="s">
        <v>189</v>
      </c>
      <c r="GE8579" s="1" t="s">
        <v>12033</v>
      </c>
    </row>
    <row r="8580" spans="1:187" ht="11.25" customHeight="1">
      <c r="A8580" s="1" t="s">
        <v>12034</v>
      </c>
      <c r="B8580" s="1" t="str">
        <f ca="1">IFERROR(__xludf.DUMMYFUNCTION("GOOGLETRANSLATE(A8580, ""en"", ""fr"")"),"Réponse n ° 2")</f>
        <v>Réponse n ° 2</v>
      </c>
      <c r="C8580" s="1" t="s">
        <v>185</v>
      </c>
      <c r="O8580" s="1" t="s">
        <v>11</v>
      </c>
      <c r="BK8580" s="1" t="s">
        <v>59</v>
      </c>
      <c r="BL8580" s="1" t="s">
        <v>60</v>
      </c>
      <c r="FH8580" s="1" t="s">
        <v>160</v>
      </c>
      <c r="FI8580" s="1" t="s">
        <v>161</v>
      </c>
      <c r="GC8580" s="1" t="s">
        <v>181</v>
      </c>
      <c r="GD8580" s="1" t="s">
        <v>193</v>
      </c>
      <c r="GE8580" s="1" t="s">
        <v>12035</v>
      </c>
    </row>
    <row r="8581" spans="1:187" ht="11.25" customHeight="1">
      <c r="A8581" s="1" t="s">
        <v>12036</v>
      </c>
      <c r="B8581" s="1" t="str">
        <f ca="1">IFERROR(__xludf.DUMMYFUNCTION("GOOGLETRANSLATE(A8581, ""en"", ""fr"")"),"Rapport n ° 1")</f>
        <v>Rapport n ° 1</v>
      </c>
      <c r="C8581" s="1" t="s">
        <v>185</v>
      </c>
      <c r="N8581" s="1" t="s">
        <v>10</v>
      </c>
      <c r="BC8581" s="1" t="s">
        <v>51</v>
      </c>
      <c r="BH8581" s="1" t="s">
        <v>56</v>
      </c>
      <c r="BL8581" s="1" t="s">
        <v>60</v>
      </c>
      <c r="FH8581" s="1" t="s">
        <v>160</v>
      </c>
      <c r="FI8581" s="1" t="s">
        <v>161</v>
      </c>
      <c r="GD8581" s="1" t="s">
        <v>193</v>
      </c>
      <c r="GE8581" s="1" t="s">
        <v>12037</v>
      </c>
    </row>
    <row r="8582" spans="1:187" ht="11.25" customHeight="1">
      <c r="A8582" s="1" t="s">
        <v>12038</v>
      </c>
      <c r="B8582" s="1" t="str">
        <f ca="1">IFERROR(__xludf.DUMMYFUNCTION("GOOGLETRANSLATE(A8582, ""en"", ""fr"")"),"Rapport n ° 2")</f>
        <v>Rapport n ° 2</v>
      </c>
      <c r="C8582" s="1" t="s">
        <v>185</v>
      </c>
      <c r="BK8582" s="1" t="s">
        <v>59</v>
      </c>
      <c r="FH8582" s="1" t="s">
        <v>160</v>
      </c>
      <c r="FI8582" s="1" t="s">
        <v>161</v>
      </c>
      <c r="GC8582" s="1" t="s">
        <v>181</v>
      </c>
      <c r="GD8582" s="1" t="s">
        <v>202</v>
      </c>
      <c r="GE8582" s="1" t="s">
        <v>12039</v>
      </c>
    </row>
    <row r="8583" spans="1:187" ht="11.25" customHeight="1">
      <c r="A8583" s="1" t="s">
        <v>12040</v>
      </c>
      <c r="B8583" s="1" t="str">
        <f ca="1">IFERROR(__xludf.DUMMYFUNCTION("GOOGLETRANSLATE(A8583, ""en"", ""fr"")"),"Rapport n ° 3")</f>
        <v>Rapport n ° 3</v>
      </c>
      <c r="C8583" s="1" t="s">
        <v>185</v>
      </c>
      <c r="N8583" s="1" t="s">
        <v>10</v>
      </c>
      <c r="BK8583" s="1" t="s">
        <v>59</v>
      </c>
      <c r="DN8583" s="1" t="s">
        <v>114</v>
      </c>
      <c r="FD8583" s="1" t="s">
        <v>156</v>
      </c>
      <c r="FI8583" s="1" t="s">
        <v>161</v>
      </c>
      <c r="GD8583" s="1" t="s">
        <v>189</v>
      </c>
      <c r="GE8583" s="1" t="s">
        <v>12041</v>
      </c>
    </row>
    <row r="8584" spans="1:187" ht="11.25" customHeight="1">
      <c r="A8584" s="1" t="s">
        <v>12042</v>
      </c>
      <c r="B8584" s="1" t="str">
        <f ca="1">IFERROR(__xludf.DUMMYFUNCTION("GOOGLETRANSLATE(A8584, ""en"", ""fr"")"),"Rapport n ° 4")</f>
        <v>Rapport n ° 4</v>
      </c>
      <c r="C8584" s="1" t="s">
        <v>185</v>
      </c>
      <c r="N8584" s="1" t="s">
        <v>10</v>
      </c>
      <c r="BK8584" s="1" t="s">
        <v>59</v>
      </c>
      <c r="BL8584" s="1" t="s">
        <v>60</v>
      </c>
      <c r="FH8584" s="1" t="s">
        <v>160</v>
      </c>
      <c r="FI8584" s="1" t="s">
        <v>161</v>
      </c>
      <c r="GC8584" s="1" t="s">
        <v>181</v>
      </c>
      <c r="GD8584" s="1" t="s">
        <v>193</v>
      </c>
      <c r="GE8584" s="1" t="s">
        <v>12043</v>
      </c>
    </row>
    <row r="8585" spans="1:187" ht="11.25" customHeight="1">
      <c r="A8585" s="1" t="s">
        <v>12044</v>
      </c>
      <c r="B8585" s="1" t="str">
        <f ca="1">IFERROR(__xludf.DUMMYFUNCTION("GOOGLETRANSLATE(A8585, ""en"", ""fr"")"),"Rapport n ° 5")</f>
        <v>Rapport n ° 5</v>
      </c>
      <c r="C8585" s="1" t="s">
        <v>185</v>
      </c>
      <c r="BK8585" s="1" t="s">
        <v>59</v>
      </c>
      <c r="FH8585" s="1" t="s">
        <v>160</v>
      </c>
      <c r="FI8585" s="1" t="s">
        <v>161</v>
      </c>
      <c r="GC8585" s="1" t="s">
        <v>181</v>
      </c>
      <c r="GD8585" s="1" t="s">
        <v>236</v>
      </c>
      <c r="GE8585" s="1" t="s">
        <v>12045</v>
      </c>
    </row>
    <row r="8586" spans="1:187" ht="11.25" customHeight="1">
      <c r="A8586" s="1" t="s">
        <v>12046</v>
      </c>
      <c r="B8586" s="1" t="str">
        <f ca="1">IFERROR(__xludf.DUMMYFUNCTION("GOOGLETRANSLATE(A8586, ""en"", ""fr"")"),"JOURNALISTE")</f>
        <v>JOURNALISTE</v>
      </c>
      <c r="C8586" s="1" t="s">
        <v>185</v>
      </c>
      <c r="AA8586" s="1" t="s">
        <v>23</v>
      </c>
      <c r="AJ8586" s="1" t="s">
        <v>32</v>
      </c>
      <c r="AT8586" s="1" t="s">
        <v>42</v>
      </c>
      <c r="FG8586" s="1" t="s">
        <v>159</v>
      </c>
      <c r="FI8586" s="1" t="s">
        <v>161</v>
      </c>
      <c r="GD8586" s="1" t="s">
        <v>193</v>
      </c>
      <c r="GE8586" s="1" t="s">
        <v>190</v>
      </c>
    </row>
    <row r="8587" spans="1:187" ht="11.25" customHeight="1">
      <c r="A8587" s="1" t="s">
        <v>12047</v>
      </c>
      <c r="B8587" s="1" t="str">
        <f ca="1">IFERROR(__xludf.DUMMYFUNCTION("GOOGLETRANSLATE(A8587, ""en"", ""fr"")"),"REPOS")</f>
        <v>REPOS</v>
      </c>
      <c r="C8587" s="1" t="s">
        <v>192</v>
      </c>
      <c r="D8587" s="1" t="s">
        <v>16612</v>
      </c>
      <c r="O8587" s="1" t="s">
        <v>11</v>
      </c>
      <c r="P8587" s="1" t="s">
        <v>12</v>
      </c>
      <c r="CA8587" s="1" t="s">
        <v>75</v>
      </c>
      <c r="DN8587" s="1" t="s">
        <v>114</v>
      </c>
      <c r="GD8587" s="1" t="s">
        <v>189</v>
      </c>
      <c r="GE8587" s="1" t="s">
        <v>190</v>
      </c>
    </row>
    <row r="8588" spans="1:187" ht="11.25" customHeight="1">
      <c r="A8588" s="1" t="s">
        <v>12048</v>
      </c>
      <c r="B8588" s="1" t="str">
        <f ca="1">IFERROR(__xludf.DUMMYFUNCTION("GOOGLETRANSLATE(A8588, ""en"", ""fr"")"),"RÉPRÉHENSIBLE")</f>
        <v>RÉPRÉHENSIBLE</v>
      </c>
      <c r="C8588" s="1" t="s">
        <v>192</v>
      </c>
      <c r="E8588" s="1" t="s">
        <v>16613</v>
      </c>
      <c r="V8588" s="1" t="s">
        <v>18</v>
      </c>
      <c r="CM8588" s="1" t="s">
        <v>87</v>
      </c>
      <c r="DQ8588" s="1" t="s">
        <v>117</v>
      </c>
      <c r="GD8588" s="1" t="s">
        <v>202</v>
      </c>
      <c r="GE8588" s="1" t="s">
        <v>190</v>
      </c>
    </row>
    <row r="8589" spans="1:187" ht="11.25" customHeight="1">
      <c r="A8589" s="1" t="s">
        <v>12049</v>
      </c>
      <c r="B8589" s="1" t="str">
        <f ca="1">IFERROR(__xludf.DUMMYFUNCTION("GOOGLETRANSLATE(A8589, ""en"", ""fr"")"),"REPRÉSENTER")</f>
        <v>REPRÉSENTER</v>
      </c>
      <c r="C8589" s="1" t="s">
        <v>185</v>
      </c>
      <c r="N8589" s="1" t="s">
        <v>10</v>
      </c>
      <c r="BK8589" s="1" t="s">
        <v>59</v>
      </c>
      <c r="DN8589" s="1" t="s">
        <v>114</v>
      </c>
      <c r="EC8589" s="1" t="s">
        <v>129</v>
      </c>
      <c r="ED8589" s="1" t="s">
        <v>130</v>
      </c>
      <c r="GD8589" s="1" t="s">
        <v>189</v>
      </c>
      <c r="GE8589" s="1" t="s">
        <v>12050</v>
      </c>
    </row>
    <row r="8590" spans="1:187" ht="11.25" customHeight="1">
      <c r="A8590" s="1" t="s">
        <v>12051</v>
      </c>
      <c r="B8590" s="1" t="str">
        <f ca="1">IFERROR(__xludf.DUMMYFUNCTION("GOOGLETRANSLATE(A8590, ""en"", ""fr"")"),"REPRÉSENTATION")</f>
        <v>REPRÉSENTATION</v>
      </c>
      <c r="C8590" s="1" t="s">
        <v>185</v>
      </c>
      <c r="N8590" s="1" t="s">
        <v>10</v>
      </c>
      <c r="AH8590" s="1" t="s">
        <v>30</v>
      </c>
      <c r="BK8590" s="1" t="s">
        <v>59</v>
      </c>
      <c r="BL8590" s="1" t="s">
        <v>60</v>
      </c>
      <c r="EB8590" s="1" t="s">
        <v>128</v>
      </c>
      <c r="ED8590" s="1" t="s">
        <v>130</v>
      </c>
      <c r="GC8590" s="1" t="s">
        <v>181</v>
      </c>
      <c r="GD8590" s="1" t="s">
        <v>193</v>
      </c>
      <c r="GE8590" s="1" t="s">
        <v>190</v>
      </c>
    </row>
    <row r="8591" spans="1:187" ht="11.25" customHeight="1">
      <c r="A8591" s="1" t="s">
        <v>12052</v>
      </c>
      <c r="B8591" s="1" t="str">
        <f ca="1">IFERROR(__xludf.DUMMYFUNCTION("GOOGLETRANSLATE(A8591, ""en"", ""fr"")"),"Représentant # 1")</f>
        <v>Représentant # 1</v>
      </c>
      <c r="C8591" s="1" t="s">
        <v>185</v>
      </c>
      <c r="AG8591" s="1" t="s">
        <v>29</v>
      </c>
      <c r="AH8591" s="1" t="s">
        <v>30</v>
      </c>
      <c r="AJ8591" s="1" t="s">
        <v>32</v>
      </c>
      <c r="AT8591" s="1" t="s">
        <v>42</v>
      </c>
      <c r="DY8591" s="1" t="s">
        <v>125</v>
      </c>
      <c r="ED8591" s="1" t="s">
        <v>130</v>
      </c>
      <c r="GD8591" s="1" t="s">
        <v>193</v>
      </c>
      <c r="GE8591" s="1" t="s">
        <v>12053</v>
      </c>
    </row>
    <row r="8592" spans="1:187" ht="11.25" customHeight="1">
      <c r="A8592" s="1" t="s">
        <v>12054</v>
      </c>
      <c r="B8592" s="1" t="str">
        <f ca="1">IFERROR(__xludf.DUMMYFUNCTION("GOOGLETRANSLATE(A8592, ""en"", ""fr"")"),"Représentant # 2")</f>
        <v>Représentant # 2</v>
      </c>
      <c r="C8592" s="1" t="s">
        <v>185</v>
      </c>
      <c r="BQ8592" s="1" t="s">
        <v>65</v>
      </c>
      <c r="GD8592" s="1" t="s">
        <v>202</v>
      </c>
      <c r="GE8592" s="1" t="s">
        <v>12055</v>
      </c>
    </row>
    <row r="8593" spans="1:187" ht="11.25" customHeight="1">
      <c r="A8593" s="1" t="s">
        <v>12056</v>
      </c>
      <c r="B8593" s="1" t="str">
        <f ca="1">IFERROR(__xludf.DUMMYFUNCTION("GOOGLETRANSLATE(A8593, ""en"", ""fr"")"),"Représentant # 3")</f>
        <v>Représentant # 3</v>
      </c>
      <c r="C8593" s="1" t="s">
        <v>185</v>
      </c>
      <c r="GD8593" s="1" t="s">
        <v>225</v>
      </c>
      <c r="GE8593" s="1" t="s">
        <v>12057</v>
      </c>
    </row>
    <row r="8594" spans="1:187" ht="11.25" customHeight="1">
      <c r="A8594" s="1" t="s">
        <v>12058</v>
      </c>
      <c r="B8594" s="1" t="str">
        <f ca="1">IFERROR(__xludf.DUMMYFUNCTION("GOOGLETRANSLATE(A8594, ""en"", ""fr"")"),"RÉPRIMER")</f>
        <v>RÉPRIMER</v>
      </c>
      <c r="C8594" s="1" t="s">
        <v>185</v>
      </c>
      <c r="E8594" s="1" t="s">
        <v>16613</v>
      </c>
      <c r="K8594" s="1" t="s">
        <v>7</v>
      </c>
      <c r="N8594" s="1" t="s">
        <v>10</v>
      </c>
      <c r="R8594" s="1" t="s">
        <v>14</v>
      </c>
      <c r="DN8594" s="1" t="s">
        <v>114</v>
      </c>
      <c r="DT8594" s="1" t="s">
        <v>120</v>
      </c>
      <c r="ED8594" s="1" t="s">
        <v>130</v>
      </c>
      <c r="GD8594" s="1" t="s">
        <v>189</v>
      </c>
      <c r="GE8594" s="1" t="s">
        <v>190</v>
      </c>
    </row>
    <row r="8595" spans="1:187" ht="11.25" customHeight="1">
      <c r="A8595" s="1" t="s">
        <v>12059</v>
      </c>
      <c r="B8595" s="1" t="str">
        <f ca="1">IFERROR(__xludf.DUMMYFUNCTION("GOOGLETRANSLATE(A8595, ""en"", ""fr"")"),"REPRÉSAILLES")</f>
        <v>REPRÉSAILLES</v>
      </c>
      <c r="C8595" s="1" t="s">
        <v>196</v>
      </c>
      <c r="DW8595" s="1" t="s">
        <v>123</v>
      </c>
      <c r="ED8595" s="1" t="s">
        <v>130</v>
      </c>
      <c r="GD8595" s="1" t="s">
        <v>470</v>
      </c>
    </row>
    <row r="8596" spans="1:187" ht="11.25" customHeight="1">
      <c r="A8596" s="1" t="s">
        <v>12060</v>
      </c>
      <c r="B8596" s="1" t="str">
        <f ca="1">IFERROR(__xludf.DUMMYFUNCTION("GOOGLETRANSLATE(A8596, ""en"", ""fr"")"),"REPROCHE")</f>
        <v>REPROCHE</v>
      </c>
      <c r="C8596" s="1" t="s">
        <v>192</v>
      </c>
      <c r="E8596" s="1" t="s">
        <v>16613</v>
      </c>
      <c r="I8596" s="1" t="s">
        <v>5</v>
      </c>
      <c r="N8596" s="1" t="s">
        <v>10</v>
      </c>
      <c r="BK8596" s="1" t="s">
        <v>59</v>
      </c>
      <c r="DN8596" s="1" t="s">
        <v>114</v>
      </c>
      <c r="GD8596" s="1" t="s">
        <v>670</v>
      </c>
      <c r="GE8596" s="1" t="s">
        <v>190</v>
      </c>
    </row>
    <row r="8597" spans="1:187" ht="11.25" customHeight="1">
      <c r="A8597" s="1" t="s">
        <v>12061</v>
      </c>
      <c r="B8597" s="1" t="str">
        <f ca="1">IFERROR(__xludf.DUMMYFUNCTION("GOOGLETRANSLATE(A8597, ""en"", ""fr"")"),"RÉPUBLIQUE")</f>
        <v>RÉPUBLIQUE</v>
      </c>
      <c r="C8597" s="1" t="s">
        <v>185</v>
      </c>
      <c r="AG8597" s="1" t="s">
        <v>29</v>
      </c>
      <c r="AH8597" s="1" t="s">
        <v>30</v>
      </c>
      <c r="AK8597" s="1" t="s">
        <v>33</v>
      </c>
      <c r="AT8597" s="1" t="s">
        <v>42</v>
      </c>
      <c r="DV8597" s="1" t="s">
        <v>122</v>
      </c>
      <c r="ED8597" s="1" t="s">
        <v>130</v>
      </c>
      <c r="GD8597" s="1" t="s">
        <v>193</v>
      </c>
      <c r="GE8597" s="1" t="s">
        <v>12062</v>
      </c>
    </row>
    <row r="8598" spans="1:187" ht="11.25" customHeight="1">
      <c r="A8598" s="1" t="s">
        <v>12063</v>
      </c>
      <c r="B8598" s="1" t="str">
        <f ca="1">IFERROR(__xludf.DUMMYFUNCTION("GOOGLETRANSLATE(A8598, ""en"", ""fr"")"),"RÉPUBLICAIN")</f>
        <v>RÉPUBLICAIN</v>
      </c>
      <c r="C8598" s="1" t="s">
        <v>185</v>
      </c>
      <c r="AG8598" s="1" t="s">
        <v>29</v>
      </c>
      <c r="AH8598" s="1" t="s">
        <v>30</v>
      </c>
      <c r="AJ8598" s="1" t="s">
        <v>32</v>
      </c>
      <c r="AT8598" s="1" t="s">
        <v>42</v>
      </c>
      <c r="DY8598" s="1" t="s">
        <v>125</v>
      </c>
      <c r="ED8598" s="1" t="s">
        <v>130</v>
      </c>
      <c r="GD8598" s="1" t="s">
        <v>193</v>
      </c>
      <c r="GE8598" s="1" t="s">
        <v>12064</v>
      </c>
    </row>
    <row r="8599" spans="1:187" ht="11.25" customHeight="1">
      <c r="A8599" s="1" t="s">
        <v>12065</v>
      </c>
      <c r="B8599" s="1" t="str">
        <f ca="1">IFERROR(__xludf.DUMMYFUNCTION("GOOGLETRANSLATE(A8599, ""en"", ""fr"")"),"RÉPUDIER")</f>
        <v>RÉPUDIER</v>
      </c>
      <c r="C8599" s="1" t="s">
        <v>185</v>
      </c>
      <c r="E8599" s="1" t="s">
        <v>16613</v>
      </c>
      <c r="J8599" s="1" t="s">
        <v>6</v>
      </c>
      <c r="N8599" s="1" t="s">
        <v>10</v>
      </c>
      <c r="BK8599" s="1" t="s">
        <v>59</v>
      </c>
      <c r="DN8599" s="1" t="s">
        <v>114</v>
      </c>
      <c r="EM8599" s="1" t="s">
        <v>139</v>
      </c>
      <c r="EN8599" s="1" t="s">
        <v>140</v>
      </c>
      <c r="GD8599" s="1" t="s">
        <v>189</v>
      </c>
      <c r="GE8599" s="1" t="s">
        <v>190</v>
      </c>
    </row>
    <row r="8600" spans="1:187" ht="11.25" customHeight="1">
      <c r="A8600" s="1" t="s">
        <v>12066</v>
      </c>
      <c r="B8600" s="1" t="str">
        <f ca="1">IFERROR(__xludf.DUMMYFUNCTION("GOOGLETRANSLATE(A8600, ""en"", ""fr"")"),"RÉPUGNANT")</f>
        <v>RÉPUGNANT</v>
      </c>
      <c r="C8600" s="1" t="s">
        <v>185</v>
      </c>
      <c r="E8600" s="1" t="s">
        <v>16613</v>
      </c>
      <c r="V8600" s="1" t="s">
        <v>18</v>
      </c>
      <c r="CM8600" s="1" t="s">
        <v>87</v>
      </c>
      <c r="DR8600" s="1" t="s">
        <v>118</v>
      </c>
      <c r="EM8600" s="1" t="s">
        <v>139</v>
      </c>
      <c r="EN8600" s="1" t="s">
        <v>140</v>
      </c>
      <c r="GD8600" s="1" t="s">
        <v>202</v>
      </c>
      <c r="GE8600" s="1" t="s">
        <v>190</v>
      </c>
    </row>
    <row r="8601" spans="1:187" ht="11.25" customHeight="1">
      <c r="A8601" s="1" t="s">
        <v>12067</v>
      </c>
      <c r="B8601" s="1" t="str">
        <f ca="1">IFERROR(__xludf.DUMMYFUNCTION("GOOGLETRANSLATE(A8601, ""en"", ""fr"")"),"REPOUSSER")</f>
        <v>REPOUSSER</v>
      </c>
      <c r="C8601" s="1" t="s">
        <v>185</v>
      </c>
      <c r="E8601" s="1" t="s">
        <v>16613</v>
      </c>
      <c r="H8601" s="1" t="s">
        <v>4</v>
      </c>
      <c r="I8601" s="1" t="s">
        <v>5</v>
      </c>
      <c r="J8601" s="1" t="s">
        <v>6</v>
      </c>
      <c r="K8601" s="1" t="s">
        <v>7</v>
      </c>
      <c r="N8601" s="1" t="s">
        <v>10</v>
      </c>
      <c r="AN8601" s="1" t="s">
        <v>36</v>
      </c>
      <c r="DN8601" s="1" t="s">
        <v>114</v>
      </c>
      <c r="DS8601" s="1" t="s">
        <v>119</v>
      </c>
      <c r="ED8601" s="1" t="s">
        <v>130</v>
      </c>
      <c r="GD8601" s="1" t="s">
        <v>189</v>
      </c>
      <c r="GE8601" s="1" t="s">
        <v>190</v>
      </c>
    </row>
    <row r="8602" spans="1:187" ht="11.25" customHeight="1">
      <c r="A8602" s="1" t="s">
        <v>12068</v>
      </c>
      <c r="B8602" s="1" t="str">
        <f ca="1">IFERROR(__xludf.DUMMYFUNCTION("GOOGLETRANSLATE(A8602, ""en"", ""fr"")"),"REPOUSSANT")</f>
        <v>REPOUSSANT</v>
      </c>
      <c r="C8602" s="1" t="s">
        <v>185</v>
      </c>
      <c r="E8602" s="1" t="s">
        <v>16613</v>
      </c>
      <c r="H8602" s="1" t="s">
        <v>4</v>
      </c>
      <c r="V8602" s="1" t="s">
        <v>18</v>
      </c>
      <c r="CN8602" s="1" t="s">
        <v>88</v>
      </c>
      <c r="FW8602" s="1" t="s">
        <v>175</v>
      </c>
      <c r="GD8602" s="1" t="s">
        <v>202</v>
      </c>
      <c r="GE8602" s="1" t="s">
        <v>190</v>
      </c>
    </row>
    <row r="8603" spans="1:187" ht="11.25" customHeight="1">
      <c r="A8603" s="1" t="s">
        <v>12069</v>
      </c>
      <c r="B8603" s="1" t="str">
        <f ca="1">IFERROR(__xludf.DUMMYFUNCTION("GOOGLETRANSLATE(A8603, ""en"", ""fr"")"),"HONORABLE")</f>
        <v>HONORABLE</v>
      </c>
      <c r="C8603" s="1" t="s">
        <v>185</v>
      </c>
      <c r="D8603" s="1" t="s">
        <v>16612</v>
      </c>
      <c r="F8603" s="1" t="s">
        <v>2</v>
      </c>
      <c r="U8603" s="1" t="s">
        <v>17</v>
      </c>
      <c r="EM8603" s="1" t="s">
        <v>139</v>
      </c>
      <c r="EN8603" s="1" t="s">
        <v>140</v>
      </c>
      <c r="GD8603" s="1" t="s">
        <v>202</v>
      </c>
      <c r="GE8603" s="1" t="s">
        <v>190</v>
      </c>
    </row>
    <row r="8604" spans="1:187" ht="11.25" customHeight="1">
      <c r="A8604" s="1" t="s">
        <v>12070</v>
      </c>
      <c r="B8604" s="1" t="str">
        <f ca="1">IFERROR(__xludf.DUMMYFUNCTION("GOOGLETRANSLATE(A8604, ""en"", ""fr"")"),"RÉPUTATION")</f>
        <v>RÉPUTATION</v>
      </c>
      <c r="C8604" s="1" t="s">
        <v>185</v>
      </c>
      <c r="Z8604" s="1" t="s">
        <v>22</v>
      </c>
      <c r="CP8604" s="1" t="s">
        <v>90</v>
      </c>
      <c r="CQ8604" s="1" t="s">
        <v>91</v>
      </c>
      <c r="EM8604" s="1" t="s">
        <v>139</v>
      </c>
      <c r="EN8604" s="1" t="s">
        <v>140</v>
      </c>
      <c r="GD8604" s="1" t="s">
        <v>193</v>
      </c>
      <c r="GE8604" s="1" t="s">
        <v>190</v>
      </c>
    </row>
    <row r="8605" spans="1:187" ht="11.25" customHeight="1">
      <c r="A8605" s="1" t="s">
        <v>12071</v>
      </c>
      <c r="B8605" s="1" t="str">
        <f ca="1">IFERROR(__xludf.DUMMYFUNCTION("GOOGLETRANSLATE(A8605, ""en"", ""fr"")"),"Demande n ° 1")</f>
        <v>Demande n ° 1</v>
      </c>
      <c r="C8605" s="1" t="s">
        <v>185</v>
      </c>
      <c r="L8605" s="1" t="s">
        <v>8</v>
      </c>
      <c r="M8605" s="1" t="s">
        <v>9</v>
      </c>
      <c r="O8605" s="1" t="s">
        <v>11</v>
      </c>
      <c r="BK8605" s="1" t="s">
        <v>59</v>
      </c>
      <c r="BL8605" s="1" t="s">
        <v>60</v>
      </c>
      <c r="EC8605" s="1" t="s">
        <v>129</v>
      </c>
      <c r="ED8605" s="1" t="s">
        <v>130</v>
      </c>
      <c r="GC8605" s="1" t="s">
        <v>181</v>
      </c>
      <c r="GD8605" s="1" t="s">
        <v>193</v>
      </c>
      <c r="GE8605" s="1" t="s">
        <v>12072</v>
      </c>
    </row>
    <row r="8606" spans="1:187" ht="11.25" customHeight="1">
      <c r="A8606" s="1" t="s">
        <v>12073</v>
      </c>
      <c r="B8606" s="1" t="str">
        <f ca="1">IFERROR(__xludf.DUMMYFUNCTION("GOOGLETRANSLATE(A8606, ""en"", ""fr"")"),"Demande n ° 2")</f>
        <v>Demande n ° 2</v>
      </c>
      <c r="C8606" s="1" t="s">
        <v>185</v>
      </c>
      <c r="L8606" s="1" t="s">
        <v>8</v>
      </c>
      <c r="M8606" s="1" t="s">
        <v>9</v>
      </c>
      <c r="O8606" s="1" t="s">
        <v>11</v>
      </c>
      <c r="BK8606" s="1" t="s">
        <v>59</v>
      </c>
      <c r="DN8606" s="1" t="s">
        <v>114</v>
      </c>
      <c r="EC8606" s="1" t="s">
        <v>129</v>
      </c>
      <c r="ED8606" s="1" t="s">
        <v>130</v>
      </c>
      <c r="GD8606" s="1" t="s">
        <v>189</v>
      </c>
      <c r="GE8606" s="1" t="s">
        <v>12074</v>
      </c>
    </row>
    <row r="8607" spans="1:187" ht="11.25" customHeight="1">
      <c r="A8607" s="1" t="s">
        <v>12075</v>
      </c>
      <c r="B8607" s="1" t="str">
        <f ca="1">IFERROR(__xludf.DUMMYFUNCTION("GOOGLETRANSLATE(A8607, ""en"", ""fr"")"),"Demande n ° 3")</f>
        <v>Demande n ° 3</v>
      </c>
      <c r="C8607" s="1" t="s">
        <v>185</v>
      </c>
      <c r="L8607" s="1" t="s">
        <v>8</v>
      </c>
      <c r="O8607" s="1" t="s">
        <v>11</v>
      </c>
      <c r="BK8607" s="1" t="s">
        <v>59</v>
      </c>
      <c r="EC8607" s="1" t="s">
        <v>129</v>
      </c>
      <c r="ED8607" s="1" t="s">
        <v>130</v>
      </c>
      <c r="GD8607" s="1" t="s">
        <v>202</v>
      </c>
      <c r="GE8607" s="1" t="s">
        <v>12076</v>
      </c>
    </row>
    <row r="8608" spans="1:187" ht="11.25" customHeight="1">
      <c r="A8608" s="1" t="s">
        <v>12077</v>
      </c>
      <c r="B8608" s="1" t="str">
        <f ca="1">IFERROR(__xludf.DUMMYFUNCTION("GOOGLETRANSLATE(A8608, ""en"", ""fr"")"),"Exiger # 1")</f>
        <v>Exiger # 1</v>
      </c>
      <c r="C8608" s="1" t="s">
        <v>185</v>
      </c>
      <c r="J8608" s="1" t="s">
        <v>6</v>
      </c>
      <c r="K8608" s="1" t="s">
        <v>7</v>
      </c>
      <c r="N8608" s="1" t="s">
        <v>10</v>
      </c>
      <c r="AN8608" s="1" t="s">
        <v>36</v>
      </c>
      <c r="DN8608" s="1" t="s">
        <v>114</v>
      </c>
      <c r="DU8608" s="1" t="s">
        <v>121</v>
      </c>
      <c r="ED8608" s="1" t="s">
        <v>130</v>
      </c>
      <c r="GD8608" s="1" t="s">
        <v>400</v>
      </c>
      <c r="GE8608" s="1" t="s">
        <v>12078</v>
      </c>
    </row>
    <row r="8609" spans="1:187" ht="11.25" customHeight="1">
      <c r="A8609" s="1" t="s">
        <v>12079</v>
      </c>
      <c r="B8609" s="1" t="str">
        <f ca="1">IFERROR(__xludf.DUMMYFUNCTION("GOOGLETRANSLATE(A8609, ""en"", ""fr"")"),"Exiger # 2")</f>
        <v>Exiger # 2</v>
      </c>
      <c r="C8609" s="1" t="s">
        <v>185</v>
      </c>
      <c r="K8609" s="1" t="s">
        <v>7</v>
      </c>
      <c r="BQ8609" s="1" t="s">
        <v>65</v>
      </c>
      <c r="EC8609" s="1" t="s">
        <v>129</v>
      </c>
      <c r="ED8609" s="1" t="s">
        <v>130</v>
      </c>
      <c r="GD8609" s="1" t="s">
        <v>202</v>
      </c>
      <c r="GE8609" s="1" t="s">
        <v>12080</v>
      </c>
    </row>
    <row r="8610" spans="1:187" ht="11.25" customHeight="1">
      <c r="A8610" s="1" t="s">
        <v>12081</v>
      </c>
      <c r="B8610" s="1" t="str">
        <f ca="1">IFERROR(__xludf.DUMMYFUNCTION("GOOGLETRANSLATE(A8610, ""en"", ""fr"")"),"EXIGENCE")</f>
        <v>EXIGENCE</v>
      </c>
      <c r="C8610" s="1" t="s">
        <v>185</v>
      </c>
      <c r="J8610" s="1" t="s">
        <v>6</v>
      </c>
      <c r="K8610" s="1" t="s">
        <v>7</v>
      </c>
      <c r="BQ8610" s="1" t="s">
        <v>65</v>
      </c>
      <c r="FR8610" s="1" t="s">
        <v>170</v>
      </c>
      <c r="GD8610" s="1" t="s">
        <v>193</v>
      </c>
      <c r="GE8610" s="1" t="s">
        <v>190</v>
      </c>
    </row>
    <row r="8611" spans="1:187" ht="11.25" customHeight="1">
      <c r="A8611" s="1" t="s">
        <v>12082</v>
      </c>
      <c r="B8611" s="1" t="str">
        <f ca="1">IFERROR(__xludf.DUMMYFUNCTION("GOOGLETRANSLATE(A8611, ""en"", ""fr"")"),"REQUIS")</f>
        <v>REQUIS</v>
      </c>
      <c r="C8611" s="1" t="s">
        <v>185</v>
      </c>
      <c r="BQ8611" s="1" t="s">
        <v>65</v>
      </c>
      <c r="FR8611" s="1" t="s">
        <v>170</v>
      </c>
      <c r="GD8611" s="1" t="s">
        <v>202</v>
      </c>
      <c r="GE8611" s="1" t="s">
        <v>190</v>
      </c>
    </row>
    <row r="8612" spans="1:187" ht="11.25" customHeight="1">
      <c r="A8612" s="1" t="s">
        <v>12083</v>
      </c>
      <c r="B8612" s="1" t="str">
        <f ca="1">IFERROR(__xludf.DUMMYFUNCTION("GOOGLETRANSLATE(A8612, ""en"", ""fr"")"),"Rescue n ° 1")</f>
        <v>Rescue n ° 1</v>
      </c>
      <c r="C8612" s="1" t="s">
        <v>185</v>
      </c>
      <c r="D8612" s="1" t="s">
        <v>16612</v>
      </c>
      <c r="F8612" s="1" t="s">
        <v>2</v>
      </c>
      <c r="G8612" s="1" t="s">
        <v>3</v>
      </c>
      <c r="K8612" s="1" t="s">
        <v>7</v>
      </c>
      <c r="N8612" s="1" t="s">
        <v>10</v>
      </c>
      <c r="U8612" s="1" t="s">
        <v>17</v>
      </c>
      <c r="FN8612" s="1" t="s">
        <v>166</v>
      </c>
      <c r="GD8612" s="1" t="s">
        <v>193</v>
      </c>
      <c r="GE8612" s="1" t="s">
        <v>190</v>
      </c>
    </row>
    <row r="8613" spans="1:187" ht="11.25" customHeight="1">
      <c r="A8613" s="1" t="s">
        <v>12084</v>
      </c>
      <c r="B8613" s="1" t="str">
        <f ca="1">IFERROR(__xludf.DUMMYFUNCTION("GOOGLETRANSLATE(A8613, ""en"", ""fr"")"),"Rescue n ° 2")</f>
        <v>Rescue n ° 2</v>
      </c>
      <c r="C8613" s="1" t="s">
        <v>185</v>
      </c>
      <c r="D8613" s="1" t="s">
        <v>16612</v>
      </c>
      <c r="F8613" s="1" t="s">
        <v>2</v>
      </c>
      <c r="G8613" s="1" t="s">
        <v>3</v>
      </c>
      <c r="N8613" s="1" t="s">
        <v>10</v>
      </c>
      <c r="AN8613" s="1" t="s">
        <v>36</v>
      </c>
      <c r="DN8613" s="1" t="s">
        <v>114</v>
      </c>
      <c r="FN8613" s="1" t="s">
        <v>166</v>
      </c>
      <c r="GD8613" s="1" t="s">
        <v>189</v>
      </c>
      <c r="GE8613" s="1" t="s">
        <v>190</v>
      </c>
    </row>
    <row r="8614" spans="1:187" ht="11.25" customHeight="1">
      <c r="A8614" s="1" t="s">
        <v>12085</v>
      </c>
      <c r="B8614" s="1" t="str">
        <f ca="1">IFERROR(__xludf.DUMMYFUNCTION("GOOGLETRANSLATE(A8614, ""en"", ""fr"")"),"RECHERCHE")</f>
        <v>RECHERCHE</v>
      </c>
      <c r="C8614" s="1" t="s">
        <v>185</v>
      </c>
      <c r="N8614" s="1" t="s">
        <v>10</v>
      </c>
      <c r="Y8614" s="1" t="s">
        <v>21</v>
      </c>
      <c r="BQ8614" s="1" t="s">
        <v>65</v>
      </c>
      <c r="FH8614" s="1" t="s">
        <v>160</v>
      </c>
      <c r="FI8614" s="1" t="s">
        <v>161</v>
      </c>
      <c r="GD8614" s="1" t="s">
        <v>193</v>
      </c>
      <c r="GE8614" s="1" t="s">
        <v>190</v>
      </c>
    </row>
    <row r="8615" spans="1:187" ht="11.25" customHeight="1">
      <c r="A8615" s="1" t="s">
        <v>12086</v>
      </c>
      <c r="B8615" s="1" t="str">
        <f ca="1">IFERROR(__xludf.DUMMYFUNCTION("GOOGLETRANSLATE(A8615, ""en"", ""fr"")"),"CHERCHEUR")</f>
        <v>CHERCHEUR</v>
      </c>
      <c r="C8615" s="1" t="s">
        <v>185</v>
      </c>
      <c r="N8615" s="1" t="s">
        <v>10</v>
      </c>
      <c r="Y8615" s="1" t="s">
        <v>21</v>
      </c>
      <c r="AJ8615" s="1" t="s">
        <v>32</v>
      </c>
      <c r="AT8615" s="1" t="s">
        <v>42</v>
      </c>
      <c r="FG8615" s="1" t="s">
        <v>159</v>
      </c>
      <c r="FI8615" s="1" t="s">
        <v>161</v>
      </c>
      <c r="GD8615" s="1" t="s">
        <v>193</v>
      </c>
      <c r="GE8615" s="1" t="s">
        <v>190</v>
      </c>
    </row>
    <row r="8616" spans="1:187" ht="11.25" customHeight="1">
      <c r="A8616" s="1" t="s">
        <v>12087</v>
      </c>
      <c r="B8616" s="1" t="str">
        <f ca="1">IFERROR(__xludf.DUMMYFUNCTION("GOOGLETRANSLATE(A8616, ""en"", ""fr"")"),"RESSEMBLER")</f>
        <v>RESSEMBLER</v>
      </c>
      <c r="C8616" s="1" t="s">
        <v>196</v>
      </c>
      <c r="GD8616" s="1" t="s">
        <v>189</v>
      </c>
    </row>
    <row r="8617" spans="1:187" ht="11.25" customHeight="1">
      <c r="A8617" s="1" t="s">
        <v>12088</v>
      </c>
      <c r="B8617" s="1" t="str">
        <f ca="1">IFERROR(__xludf.DUMMYFUNCTION("GOOGLETRANSLATE(A8617, ""en"", ""fr"")"),"Ne pas vouloir")</f>
        <v>Ne pas vouloir</v>
      </c>
      <c r="C8617" s="1" t="s">
        <v>185</v>
      </c>
      <c r="E8617" s="1" t="s">
        <v>16613</v>
      </c>
      <c r="H8617" s="1" t="s">
        <v>4</v>
      </c>
      <c r="I8617" s="1" t="s">
        <v>5</v>
      </c>
      <c r="O8617" s="1" t="s">
        <v>11</v>
      </c>
      <c r="AN8617" s="1" t="s">
        <v>36</v>
      </c>
      <c r="DN8617" s="1" t="s">
        <v>114</v>
      </c>
      <c r="FW8617" s="1" t="s">
        <v>175</v>
      </c>
      <c r="GD8617" s="1" t="s">
        <v>189</v>
      </c>
      <c r="GE8617" s="1" t="s">
        <v>12089</v>
      </c>
    </row>
    <row r="8618" spans="1:187" ht="11.25" customHeight="1">
      <c r="A8618" s="1" t="s">
        <v>12090</v>
      </c>
      <c r="B8618" s="1" t="str">
        <f ca="1">IFERROR(__xludf.DUMMYFUNCTION("GOOGLETRANSLATE(A8618, ""en"", ""fr"")"),"IRRITÉ")</f>
        <v>IRRITÉ</v>
      </c>
      <c r="C8618" s="1" t="s">
        <v>192</v>
      </c>
      <c r="E8618" s="1" t="s">
        <v>16613</v>
      </c>
      <c r="I8618" s="1" t="s">
        <v>5</v>
      </c>
      <c r="Q8618" s="1" t="s">
        <v>13</v>
      </c>
      <c r="T8618" s="1" t="s">
        <v>16</v>
      </c>
      <c r="DR8618" s="1" t="s">
        <v>118</v>
      </c>
      <c r="GD8618" s="1" t="s">
        <v>202</v>
      </c>
      <c r="GE8618" s="1" t="s">
        <v>190</v>
      </c>
    </row>
    <row r="8619" spans="1:187" ht="11.25" customHeight="1">
      <c r="A8619" s="1" t="s">
        <v>12091</v>
      </c>
      <c r="B8619" s="1" t="str">
        <f ca="1">IFERROR(__xludf.DUMMYFUNCTION("GOOGLETRANSLATE(A8619, ""en"", ""fr"")"),"RESSENTIMENT")</f>
        <v>RESSENTIMENT</v>
      </c>
      <c r="C8619" s="1" t="s">
        <v>185</v>
      </c>
      <c r="E8619" s="1" t="s">
        <v>16613</v>
      </c>
      <c r="H8619" s="1" t="s">
        <v>4</v>
      </c>
      <c r="I8619" s="1" t="s">
        <v>5</v>
      </c>
      <c r="O8619" s="1" t="s">
        <v>11</v>
      </c>
      <c r="Q8619" s="1" t="s">
        <v>13</v>
      </c>
      <c r="T8619" s="1" t="s">
        <v>16</v>
      </c>
      <c r="FW8619" s="1" t="s">
        <v>175</v>
      </c>
      <c r="GD8619" s="1" t="s">
        <v>202</v>
      </c>
      <c r="GE8619" s="1" t="s">
        <v>190</v>
      </c>
    </row>
    <row r="8620" spans="1:187" ht="11.25" customHeight="1">
      <c r="A8620" s="1" t="s">
        <v>12092</v>
      </c>
      <c r="B8620" s="1" t="str">
        <f ca="1">IFERROR(__xludf.DUMMYFUNCTION("GOOGLETRANSLATE(A8620, ""en"", ""fr"")"),"RÉSERVATION")</f>
        <v>RÉSERVATION</v>
      </c>
      <c r="C8620" s="1" t="s">
        <v>185</v>
      </c>
      <c r="X8620" s="1" t="s">
        <v>20</v>
      </c>
      <c r="BQ8620" s="1" t="s">
        <v>65</v>
      </c>
      <c r="GD8620" s="1" t="s">
        <v>193</v>
      </c>
      <c r="GE8620" s="1" t="s">
        <v>190</v>
      </c>
    </row>
    <row r="8621" spans="1:187" ht="11.25" customHeight="1">
      <c r="A8621" s="1" t="s">
        <v>12093</v>
      </c>
      <c r="B8621" s="1" t="str">
        <f ca="1">IFERROR(__xludf.DUMMYFUNCTION("GOOGLETRANSLATE(A8621, ""en"", ""fr"")"),"Réserve n ° 1")</f>
        <v>Réserve n ° 1</v>
      </c>
      <c r="C8621" s="1" t="s">
        <v>185</v>
      </c>
      <c r="J8621" s="1" t="s">
        <v>6</v>
      </c>
      <c r="N8621" s="1" t="s">
        <v>10</v>
      </c>
      <c r="X8621" s="1" t="s">
        <v>20</v>
      </c>
      <c r="CD8621" s="1" t="s">
        <v>78</v>
      </c>
      <c r="DN8621" s="1" t="s">
        <v>114</v>
      </c>
      <c r="FP8621" s="1" t="s">
        <v>168</v>
      </c>
      <c r="GD8621" s="1" t="s">
        <v>189</v>
      </c>
      <c r="GE8621" s="1" t="s">
        <v>12094</v>
      </c>
    </row>
    <row r="8622" spans="1:187" ht="11.25" customHeight="1">
      <c r="A8622" s="1" t="s">
        <v>12095</v>
      </c>
      <c r="B8622" s="1" t="str">
        <f ca="1">IFERROR(__xludf.DUMMYFUNCTION("GOOGLETRANSLATE(A8622, ""en"", ""fr"")"),"Réserve n ° 2")</f>
        <v>Réserve n ° 2</v>
      </c>
      <c r="C8622" s="1" t="s">
        <v>185</v>
      </c>
      <c r="BQ8622" s="1" t="s">
        <v>65</v>
      </c>
      <c r="EP8622" s="1" t="s">
        <v>142</v>
      </c>
      <c r="ES8622" s="1" t="s">
        <v>145</v>
      </c>
      <c r="GD8622" s="1" t="s">
        <v>202</v>
      </c>
      <c r="GE8622" s="1" t="s">
        <v>12096</v>
      </c>
    </row>
    <row r="8623" spans="1:187" ht="11.25" customHeight="1">
      <c r="A8623" s="1" t="s">
        <v>12097</v>
      </c>
      <c r="B8623" s="1" t="str">
        <f ca="1">IFERROR(__xludf.DUMMYFUNCTION("GOOGLETRANSLATE(A8623, ""en"", ""fr"")"),"Réserve n ° 3")</f>
        <v>Réserve n ° 3</v>
      </c>
      <c r="C8623" s="1" t="s">
        <v>185</v>
      </c>
      <c r="J8623" s="1" t="s">
        <v>6</v>
      </c>
      <c r="X8623" s="1" t="s">
        <v>20</v>
      </c>
      <c r="AC8623" s="1" t="s">
        <v>25</v>
      </c>
      <c r="BQ8623" s="1" t="s">
        <v>65</v>
      </c>
      <c r="FR8623" s="1" t="s">
        <v>170</v>
      </c>
      <c r="GD8623" s="1" t="s">
        <v>193</v>
      </c>
      <c r="GE8623" s="1" t="s">
        <v>12098</v>
      </c>
    </row>
    <row r="8624" spans="1:187" ht="11.25" customHeight="1">
      <c r="A8624" s="1" t="s">
        <v>12099</v>
      </c>
      <c r="B8624" s="1" t="str">
        <f ca="1">IFERROR(__xludf.DUMMYFUNCTION("GOOGLETRANSLATE(A8624, ""en"", ""fr"")"),"RÉSIDENCE")</f>
        <v>RÉSIDENCE</v>
      </c>
      <c r="C8624" s="1" t="s">
        <v>185</v>
      </c>
      <c r="AV8624" s="1" t="s">
        <v>44</v>
      </c>
      <c r="AW8624" s="1" t="s">
        <v>45</v>
      </c>
      <c r="GD8624" s="1" t="s">
        <v>193</v>
      </c>
      <c r="GE8624" s="1" t="s">
        <v>190</v>
      </c>
    </row>
    <row r="8625" spans="1:187" ht="11.25" customHeight="1">
      <c r="A8625" s="1" t="s">
        <v>12100</v>
      </c>
      <c r="B8625" s="1" t="str">
        <f ca="1">IFERROR(__xludf.DUMMYFUNCTION("GOOGLETRANSLATE(A8625, ""en"", ""fr"")"),"RÉSIDENT")</f>
        <v>RÉSIDENT</v>
      </c>
      <c r="C8625" s="1" t="s">
        <v>185</v>
      </c>
      <c r="O8625" s="1" t="s">
        <v>11</v>
      </c>
      <c r="AJ8625" s="1" t="s">
        <v>32</v>
      </c>
      <c r="AT8625" s="1" t="s">
        <v>42</v>
      </c>
      <c r="FT8625" s="1" t="s">
        <v>172</v>
      </c>
      <c r="GD8625" s="1" t="s">
        <v>193</v>
      </c>
      <c r="GE8625" s="1" t="s">
        <v>190</v>
      </c>
    </row>
    <row r="8626" spans="1:187" ht="11.25" customHeight="1">
      <c r="A8626" s="1" t="s">
        <v>12101</v>
      </c>
      <c r="B8626" s="1" t="str">
        <f ca="1">IFERROR(__xludf.DUMMYFUNCTION("GOOGLETRANSLATE(A8626, ""en"", ""fr"")"),"RÉSIDENTIEL")</f>
        <v>RÉSIDENTIEL</v>
      </c>
      <c r="C8626" s="1" t="s">
        <v>185</v>
      </c>
      <c r="AV8626" s="1" t="s">
        <v>44</v>
      </c>
      <c r="AX8626" s="1" t="s">
        <v>46</v>
      </c>
      <c r="GD8626" s="1" t="s">
        <v>202</v>
      </c>
      <c r="GE8626" s="1" t="s">
        <v>190</v>
      </c>
    </row>
    <row r="8627" spans="1:187" ht="11.25" customHeight="1">
      <c r="A8627" s="1" t="s">
        <v>12102</v>
      </c>
      <c r="B8627" s="1" t="str">
        <f ca="1">IFERROR(__xludf.DUMMYFUNCTION("GOOGLETRANSLATE(A8627, ""en"", ""fr"")"),"DÉMISSIONNER")</f>
        <v>DÉMISSIONNER</v>
      </c>
      <c r="C8627" s="1" t="s">
        <v>185</v>
      </c>
      <c r="L8627" s="1" t="s">
        <v>8</v>
      </c>
      <c r="M8627" s="1" t="s">
        <v>9</v>
      </c>
      <c r="O8627" s="1" t="s">
        <v>11</v>
      </c>
      <c r="AN8627" s="1" t="s">
        <v>36</v>
      </c>
      <c r="DN8627" s="1" t="s">
        <v>114</v>
      </c>
      <c r="DT8627" s="1" t="s">
        <v>120</v>
      </c>
      <c r="ED8627" s="1" t="s">
        <v>130</v>
      </c>
      <c r="GD8627" s="1" t="s">
        <v>189</v>
      </c>
      <c r="GE8627" s="1" t="s">
        <v>190</v>
      </c>
    </row>
    <row r="8628" spans="1:187" ht="11.25" customHeight="1">
      <c r="A8628" s="1" t="s">
        <v>12103</v>
      </c>
      <c r="B8628" s="1" t="str">
        <f ca="1">IFERROR(__xludf.DUMMYFUNCTION("GOOGLETRANSLATE(A8628, ""en"", ""fr"")"),"DÉMISSION")</f>
        <v>DÉMISSION</v>
      </c>
      <c r="C8628" s="1" t="s">
        <v>192</v>
      </c>
      <c r="E8628" s="1" t="s">
        <v>16613</v>
      </c>
      <c r="G8628" s="1" t="s">
        <v>3</v>
      </c>
      <c r="BT8628" s="1" t="s">
        <v>68</v>
      </c>
      <c r="GD8628" s="1" t="s">
        <v>193</v>
      </c>
      <c r="GE8628" s="1" t="s">
        <v>190</v>
      </c>
    </row>
    <row r="8629" spans="1:187" ht="11.25" customHeight="1">
      <c r="A8629" s="1" t="s">
        <v>12104</v>
      </c>
      <c r="B8629" s="1" t="str">
        <f ca="1">IFERROR(__xludf.DUMMYFUNCTION("GOOGLETRANSLATE(A8629, ""en"", ""fr"")"),"RÉSISTER")</f>
        <v>RÉSISTER</v>
      </c>
      <c r="C8629" s="1" t="s">
        <v>185</v>
      </c>
      <c r="I8629" s="1" t="s">
        <v>5</v>
      </c>
      <c r="J8629" s="1" t="s">
        <v>6</v>
      </c>
      <c r="N8629" s="1" t="s">
        <v>10</v>
      </c>
      <c r="AN8629" s="1" t="s">
        <v>36</v>
      </c>
      <c r="DN8629" s="1" t="s">
        <v>114</v>
      </c>
      <c r="DW8629" s="1" t="s">
        <v>123</v>
      </c>
      <c r="ED8629" s="1" t="s">
        <v>130</v>
      </c>
      <c r="GD8629" s="1" t="s">
        <v>189</v>
      </c>
      <c r="GE8629" s="1" t="s">
        <v>190</v>
      </c>
    </row>
    <row r="8630" spans="1:187" ht="11.25" customHeight="1">
      <c r="A8630" s="1" t="s">
        <v>12105</v>
      </c>
      <c r="B8630" s="1" t="str">
        <f ca="1">IFERROR(__xludf.DUMMYFUNCTION("GOOGLETRANSLATE(A8630, ""en"", ""fr"")"),"RÉSISTANCE")</f>
        <v>RÉSISTANCE</v>
      </c>
      <c r="C8630" s="1" t="s">
        <v>185</v>
      </c>
      <c r="I8630" s="1" t="s">
        <v>5</v>
      </c>
      <c r="J8630" s="1" t="s">
        <v>6</v>
      </c>
      <c r="N8630" s="1" t="s">
        <v>10</v>
      </c>
      <c r="V8630" s="1" t="s">
        <v>18</v>
      </c>
      <c r="DW8630" s="1" t="s">
        <v>123</v>
      </c>
      <c r="ED8630" s="1" t="s">
        <v>130</v>
      </c>
      <c r="GD8630" s="1" t="s">
        <v>193</v>
      </c>
      <c r="GE8630" s="1" t="s">
        <v>190</v>
      </c>
    </row>
    <row r="8631" spans="1:187" ht="11.25" customHeight="1">
      <c r="A8631" s="1" t="s">
        <v>12106</v>
      </c>
      <c r="B8631" s="1" t="str">
        <f ca="1">IFERROR(__xludf.DUMMYFUNCTION("GOOGLETRANSLATE(A8631, ""en"", ""fr"")"),"RÉSOLU")</f>
        <v>RÉSOLU</v>
      </c>
      <c r="C8631" s="1" t="s">
        <v>185</v>
      </c>
      <c r="D8631" s="1" t="s">
        <v>16612</v>
      </c>
      <c r="J8631" s="1" t="s">
        <v>6</v>
      </c>
      <c r="R8631" s="1" t="s">
        <v>14</v>
      </c>
      <c r="DR8631" s="1" t="s">
        <v>118</v>
      </c>
      <c r="EC8631" s="1" t="s">
        <v>129</v>
      </c>
      <c r="ED8631" s="1" t="s">
        <v>130</v>
      </c>
      <c r="GD8631" s="1" t="s">
        <v>202</v>
      </c>
      <c r="GE8631" s="1" t="s">
        <v>190</v>
      </c>
    </row>
    <row r="8632" spans="1:187" ht="11.25" customHeight="1">
      <c r="A8632" s="1" t="s">
        <v>12107</v>
      </c>
      <c r="B8632" s="1" t="str">
        <f ca="1">IFERROR(__xludf.DUMMYFUNCTION("GOOGLETRANSLATE(A8632, ""en"", ""fr"")"),"RÉSOLUTION")</f>
        <v>RÉSOLUTION</v>
      </c>
      <c r="C8632" s="1" t="s">
        <v>185</v>
      </c>
      <c r="J8632" s="1" t="s">
        <v>6</v>
      </c>
      <c r="AH8632" s="1" t="s">
        <v>30</v>
      </c>
      <c r="BK8632" s="1" t="s">
        <v>59</v>
      </c>
      <c r="BL8632" s="1" t="s">
        <v>60</v>
      </c>
      <c r="EC8632" s="1" t="s">
        <v>129</v>
      </c>
      <c r="ED8632" s="1" t="s">
        <v>130</v>
      </c>
      <c r="GC8632" s="1" t="s">
        <v>181</v>
      </c>
      <c r="GD8632" s="1" t="s">
        <v>193</v>
      </c>
      <c r="GE8632" s="1" t="s">
        <v>190</v>
      </c>
    </row>
    <row r="8633" spans="1:187" ht="11.25" customHeight="1">
      <c r="A8633" s="1" t="s">
        <v>12108</v>
      </c>
      <c r="B8633" s="1" t="str">
        <f ca="1">IFERROR(__xludf.DUMMYFUNCTION("GOOGLETRANSLATE(A8633, ""en"", ""fr"")"),"Résoudre n ° 1")</f>
        <v>Résoudre n ° 1</v>
      </c>
      <c r="C8633" s="1" t="s">
        <v>185</v>
      </c>
      <c r="D8633" s="1" t="s">
        <v>16612</v>
      </c>
      <c r="F8633" s="1" t="s">
        <v>2</v>
      </c>
      <c r="J8633" s="1" t="s">
        <v>6</v>
      </c>
      <c r="N8633" s="1" t="s">
        <v>10</v>
      </c>
      <c r="P8633" s="1" t="s">
        <v>12</v>
      </c>
      <c r="DU8633" s="1" t="s">
        <v>121</v>
      </c>
      <c r="ED8633" s="1" t="s">
        <v>130</v>
      </c>
      <c r="GD8633" s="1" t="s">
        <v>193</v>
      </c>
      <c r="GE8633" s="1" t="s">
        <v>190</v>
      </c>
    </row>
    <row r="8634" spans="1:187" ht="11.25" customHeight="1">
      <c r="A8634" s="1" t="s">
        <v>12109</v>
      </c>
      <c r="B8634" s="1" t="str">
        <f ca="1">IFERROR(__xludf.DUMMYFUNCTION("GOOGLETRANSLATE(A8634, ""en"", ""fr"")"),"Résoudre n ° 2")</f>
        <v>Résoudre n ° 2</v>
      </c>
      <c r="C8634" s="1" t="s">
        <v>185</v>
      </c>
      <c r="D8634" s="1" t="s">
        <v>16612</v>
      </c>
      <c r="F8634" s="1" t="s">
        <v>2</v>
      </c>
      <c r="J8634" s="1" t="s">
        <v>6</v>
      </c>
      <c r="N8634" s="1" t="s">
        <v>10</v>
      </c>
      <c r="CO8634" s="1" t="s">
        <v>89</v>
      </c>
      <c r="DN8634" s="1" t="s">
        <v>114</v>
      </c>
      <c r="DU8634" s="1" t="s">
        <v>121</v>
      </c>
      <c r="ED8634" s="1" t="s">
        <v>130</v>
      </c>
      <c r="GD8634" s="1" t="s">
        <v>189</v>
      </c>
      <c r="GE8634" s="1" t="s">
        <v>190</v>
      </c>
    </row>
    <row r="8635" spans="1:187" ht="11.25" customHeight="1">
      <c r="A8635" s="1" t="s">
        <v>12110</v>
      </c>
      <c r="B8635" s="1" t="str">
        <f ca="1">IFERROR(__xludf.DUMMYFUNCTION("GOOGLETRANSLATE(A8635, ""en"", ""fr"")"),"RÉSOLU")</f>
        <v>RÉSOLU</v>
      </c>
      <c r="C8635" s="1" t="s">
        <v>192</v>
      </c>
      <c r="D8635" s="1" t="s">
        <v>16612</v>
      </c>
      <c r="J8635" s="1" t="s">
        <v>6</v>
      </c>
      <c r="R8635" s="1" t="s">
        <v>14</v>
      </c>
      <c r="CA8635" s="1" t="s">
        <v>75</v>
      </c>
      <c r="DR8635" s="1" t="s">
        <v>118</v>
      </c>
      <c r="GD8635" s="1" t="s">
        <v>202</v>
      </c>
      <c r="GE8635" s="1" t="s">
        <v>190</v>
      </c>
    </row>
    <row r="8636" spans="1:187" ht="11.25" customHeight="1">
      <c r="A8636" s="1" t="s">
        <v>12111</v>
      </c>
      <c r="B8636" s="1" t="str">
        <f ca="1">IFERROR(__xludf.DUMMYFUNCTION("GOOGLETRANSLATE(A8636, ""en"", ""fr"")"),"Resort n ° 1")</f>
        <v>Resort n ° 1</v>
      </c>
      <c r="C8636" s="1" t="s">
        <v>196</v>
      </c>
      <c r="FA8636" s="1" t="s">
        <v>153</v>
      </c>
      <c r="FC8636" s="1" t="s">
        <v>155</v>
      </c>
      <c r="GD8636" s="1" t="s">
        <v>193</v>
      </c>
    </row>
    <row r="8637" spans="1:187" ht="11.25" customHeight="1">
      <c r="A8637" s="1" t="s">
        <v>12112</v>
      </c>
      <c r="B8637" s="1" t="str">
        <f ca="1">IFERROR(__xludf.DUMMYFUNCTION("GOOGLETRANSLATE(A8637, ""en"", ""fr"")"),"Resort n ° 2")</f>
        <v>Resort n ° 2</v>
      </c>
      <c r="C8637" s="1" t="s">
        <v>196</v>
      </c>
      <c r="GD8637" s="1" t="s">
        <v>189</v>
      </c>
    </row>
    <row r="8638" spans="1:187" ht="11.25" customHeight="1">
      <c r="A8638" s="1" t="s">
        <v>12113</v>
      </c>
      <c r="B8638" s="1" t="str">
        <f ca="1">IFERROR(__xludf.DUMMYFUNCTION("GOOGLETRANSLATE(A8638, ""en"", ""fr"")"),"RETENTIR")</f>
        <v>RETENTIR</v>
      </c>
      <c r="C8638" s="1" t="s">
        <v>192</v>
      </c>
      <c r="D8638" s="1" t="s">
        <v>16612</v>
      </c>
      <c r="J8638" s="1" t="s">
        <v>6</v>
      </c>
      <c r="N8638" s="1" t="s">
        <v>10</v>
      </c>
      <c r="BK8638" s="1" t="s">
        <v>59</v>
      </c>
      <c r="CE8638" s="1" t="s">
        <v>79</v>
      </c>
      <c r="DN8638" s="1" t="s">
        <v>114</v>
      </c>
      <c r="GD8638" s="1" t="s">
        <v>189</v>
      </c>
      <c r="GE8638" s="1" t="s">
        <v>190</v>
      </c>
    </row>
    <row r="8639" spans="1:187" ht="11.25" customHeight="1">
      <c r="A8639" s="1" t="s">
        <v>12114</v>
      </c>
      <c r="B8639" s="1" t="str">
        <f ca="1">IFERROR(__xludf.DUMMYFUNCTION("GOOGLETRANSLATE(A8639, ""en"", ""fr"")"),"RESSOURCE")</f>
        <v>RESSOURCE</v>
      </c>
      <c r="C8639" s="1" t="s">
        <v>185</v>
      </c>
      <c r="J8639" s="1" t="s">
        <v>6</v>
      </c>
      <c r="AC8639" s="1" t="s">
        <v>25</v>
      </c>
      <c r="BQ8639" s="1" t="s">
        <v>65</v>
      </c>
      <c r="EV8639" s="1" t="s">
        <v>148</v>
      </c>
      <c r="EW8639" s="1" t="s">
        <v>149</v>
      </c>
      <c r="GD8639" s="1" t="s">
        <v>193</v>
      </c>
      <c r="GE8639" s="1" t="s">
        <v>12115</v>
      </c>
    </row>
    <row r="8640" spans="1:187" ht="11.25" customHeight="1">
      <c r="A8640" s="1" t="s">
        <v>12116</v>
      </c>
      <c r="B8640" s="1" t="str">
        <f ca="1">IFERROR(__xludf.DUMMYFUNCTION("GOOGLETRANSLATE(A8640, ""en"", ""fr"")"),"INGÉNIEUX")</f>
        <v>INGÉNIEUX</v>
      </c>
      <c r="C8640" s="1" t="s">
        <v>192</v>
      </c>
      <c r="D8640" s="1" t="s">
        <v>16612</v>
      </c>
      <c r="J8640" s="1" t="s">
        <v>6</v>
      </c>
      <c r="U8640" s="1" t="s">
        <v>17</v>
      </c>
      <c r="CH8640" s="1" t="s">
        <v>82</v>
      </c>
      <c r="DR8640" s="1" t="s">
        <v>118</v>
      </c>
      <c r="GD8640" s="1" t="s">
        <v>202</v>
      </c>
      <c r="GE8640" s="1" t="s">
        <v>190</v>
      </c>
    </row>
    <row r="8641" spans="1:187" ht="11.25" customHeight="1">
      <c r="A8641" s="1" t="s">
        <v>12117</v>
      </c>
      <c r="B8641" s="1" t="str">
        <f ca="1">IFERROR(__xludf.DUMMYFUNCTION("GOOGLETRANSLATE(A8641, ""en"", ""fr"")"),"INGÉNIOSITÉ")</f>
        <v>INGÉNIOSITÉ</v>
      </c>
      <c r="C8641" s="1" t="s">
        <v>192</v>
      </c>
      <c r="D8641" s="1" t="s">
        <v>16612</v>
      </c>
      <c r="J8641" s="1" t="s">
        <v>6</v>
      </c>
      <c r="U8641" s="1" t="s">
        <v>17</v>
      </c>
      <c r="CH8641" s="1" t="s">
        <v>82</v>
      </c>
      <c r="GD8641" s="1" t="s">
        <v>193</v>
      </c>
      <c r="GE8641" s="1" t="s">
        <v>190</v>
      </c>
    </row>
    <row r="8642" spans="1:187" ht="11.25" customHeight="1">
      <c r="A8642" s="1" t="s">
        <v>12118</v>
      </c>
      <c r="B8642" s="1" t="str">
        <f ca="1">IFERROR(__xludf.DUMMYFUNCTION("GOOGLETRANSLATE(A8642, ""en"", ""fr"")"),"Respect n ° 1")</f>
        <v>Respect n ° 1</v>
      </c>
      <c r="C8642" s="1" t="s">
        <v>185</v>
      </c>
      <c r="D8642" s="1" t="s">
        <v>16612</v>
      </c>
      <c r="F8642" s="1" t="s">
        <v>2</v>
      </c>
      <c r="M8642" s="1" t="s">
        <v>9</v>
      </c>
      <c r="O8642" s="1" t="s">
        <v>11</v>
      </c>
      <c r="AN8642" s="1" t="s">
        <v>36</v>
      </c>
      <c r="DN8642" s="1" t="s">
        <v>114</v>
      </c>
      <c r="EK8642" s="1" t="s">
        <v>137</v>
      </c>
      <c r="EN8642" s="1" t="s">
        <v>140</v>
      </c>
      <c r="GD8642" s="1" t="s">
        <v>189</v>
      </c>
      <c r="GE8642" s="1" t="s">
        <v>12119</v>
      </c>
    </row>
    <row r="8643" spans="1:187" ht="11.25" customHeight="1">
      <c r="A8643" s="1" t="s">
        <v>12120</v>
      </c>
      <c r="B8643" s="1" t="str">
        <f ca="1">IFERROR(__xludf.DUMMYFUNCTION("GOOGLETRANSLATE(A8643, ""en"", ""fr"")"),"Respect n ° 2")</f>
        <v>Respect n ° 2</v>
      </c>
      <c r="C8643" s="1" t="s">
        <v>185</v>
      </c>
      <c r="D8643" s="1" t="s">
        <v>16612</v>
      </c>
      <c r="F8643" s="1" t="s">
        <v>2</v>
      </c>
      <c r="G8643" s="1" t="s">
        <v>3</v>
      </c>
      <c r="M8643" s="1" t="s">
        <v>9</v>
      </c>
      <c r="O8643" s="1" t="s">
        <v>11</v>
      </c>
      <c r="S8643" s="1" t="s">
        <v>15</v>
      </c>
      <c r="EM8643" s="1" t="s">
        <v>139</v>
      </c>
      <c r="EN8643" s="1" t="s">
        <v>140</v>
      </c>
      <c r="GD8643" s="1" t="s">
        <v>193</v>
      </c>
      <c r="GE8643" s="1" t="s">
        <v>12121</v>
      </c>
    </row>
    <row r="8644" spans="1:187" ht="11.25" customHeight="1">
      <c r="A8644" s="1" t="s">
        <v>12122</v>
      </c>
      <c r="B8644" s="1" t="str">
        <f ca="1">IFERROR(__xludf.DUMMYFUNCTION("GOOGLETRANSLATE(A8644, ""en"", ""fr"")"),"Respect # 3")</f>
        <v>Respect # 3</v>
      </c>
      <c r="C8644" s="1" t="s">
        <v>185</v>
      </c>
      <c r="CH8644" s="1" t="s">
        <v>82</v>
      </c>
      <c r="FH8644" s="1" t="s">
        <v>160</v>
      </c>
      <c r="FI8644" s="1" t="s">
        <v>161</v>
      </c>
      <c r="GD8644" s="1" t="s">
        <v>193</v>
      </c>
      <c r="GE8644" s="1" t="s">
        <v>12123</v>
      </c>
    </row>
    <row r="8645" spans="1:187" ht="11.25" customHeight="1">
      <c r="A8645" s="1" t="s">
        <v>12124</v>
      </c>
      <c r="B8645" s="1" t="str">
        <f ca="1">IFERROR(__xludf.DUMMYFUNCTION("GOOGLETRANSLATE(A8645, ""en"", ""fr"")"),"Respect n ° 4")</f>
        <v>Respect n ° 4</v>
      </c>
      <c r="C8645" s="1" t="s">
        <v>185</v>
      </c>
      <c r="CH8645" s="1" t="s">
        <v>82</v>
      </c>
      <c r="FH8645" s="1" t="s">
        <v>160</v>
      </c>
      <c r="FI8645" s="1" t="s">
        <v>161</v>
      </c>
      <c r="GD8645" s="1" t="s">
        <v>193</v>
      </c>
      <c r="GE8645" s="1" t="s">
        <v>12125</v>
      </c>
    </row>
    <row r="8646" spans="1:187" ht="11.25" customHeight="1">
      <c r="A8646" s="1" t="s">
        <v>12126</v>
      </c>
      <c r="B8646" s="1" t="str">
        <f ca="1">IFERROR(__xludf.DUMMYFUNCTION("GOOGLETRANSLATE(A8646, ""en"", ""fr"")"),"Respect # 5")</f>
        <v>Respect # 5</v>
      </c>
      <c r="C8646" s="1" t="s">
        <v>185</v>
      </c>
      <c r="D8646" s="1" t="s">
        <v>16612</v>
      </c>
      <c r="F8646" s="1" t="s">
        <v>2</v>
      </c>
      <c r="G8646" s="1" t="s">
        <v>3</v>
      </c>
      <c r="M8646" s="1" t="s">
        <v>9</v>
      </c>
      <c r="O8646" s="1" t="s">
        <v>11</v>
      </c>
      <c r="BK8646" s="1" t="s">
        <v>59</v>
      </c>
      <c r="DN8646" s="1" t="s">
        <v>114</v>
      </c>
      <c r="EM8646" s="1" t="s">
        <v>139</v>
      </c>
      <c r="EN8646" s="1" t="s">
        <v>140</v>
      </c>
      <c r="GD8646" s="1" t="s">
        <v>189</v>
      </c>
      <c r="GE8646" s="1" t="s">
        <v>12127</v>
      </c>
    </row>
    <row r="8647" spans="1:187" ht="11.25" customHeight="1">
      <c r="A8647" s="1" t="s">
        <v>12128</v>
      </c>
      <c r="B8647" s="1" t="str">
        <f ca="1">IFERROR(__xludf.DUMMYFUNCTION("GOOGLETRANSLATE(A8647, ""en"", ""fr"")"),"RESPECTABLE")</f>
        <v>RESPECTABLE</v>
      </c>
      <c r="C8647" s="1" t="s">
        <v>185</v>
      </c>
      <c r="D8647" s="1" t="s">
        <v>16612</v>
      </c>
      <c r="F8647" s="1" t="s">
        <v>2</v>
      </c>
      <c r="U8647" s="1" t="s">
        <v>17</v>
      </c>
      <c r="CN8647" s="1" t="s">
        <v>88</v>
      </c>
      <c r="EM8647" s="1" t="s">
        <v>139</v>
      </c>
      <c r="EN8647" s="1" t="s">
        <v>140</v>
      </c>
      <c r="GD8647" s="1" t="s">
        <v>202</v>
      </c>
      <c r="GE8647" s="1" t="s">
        <v>190</v>
      </c>
    </row>
    <row r="8648" spans="1:187" ht="11.25" customHeight="1">
      <c r="A8648" s="1" t="s">
        <v>12129</v>
      </c>
      <c r="B8648" s="1" t="str">
        <f ca="1">IFERROR(__xludf.DUMMYFUNCTION("GOOGLETRANSLATE(A8648, ""en"", ""fr"")"),"RESPECTUEUX")</f>
        <v>RESPECTUEUX</v>
      </c>
      <c r="C8648" s="1" t="s">
        <v>192</v>
      </c>
      <c r="D8648" s="1" t="s">
        <v>16612</v>
      </c>
      <c r="M8648" s="1" t="s">
        <v>9</v>
      </c>
      <c r="U8648" s="1" t="s">
        <v>17</v>
      </c>
      <c r="CJ8648" s="1" t="s">
        <v>84</v>
      </c>
      <c r="DR8648" s="1" t="s">
        <v>118</v>
      </c>
      <c r="GD8648" s="1" t="s">
        <v>202</v>
      </c>
      <c r="GE8648" s="1" t="s">
        <v>190</v>
      </c>
    </row>
    <row r="8649" spans="1:187" ht="11.25" customHeight="1">
      <c r="A8649" s="1" t="s">
        <v>12130</v>
      </c>
      <c r="B8649" s="1" t="str">
        <f ca="1">IFERROR(__xludf.DUMMYFUNCTION("GOOGLETRANSLATE(A8649, ""en"", ""fr"")"),"RESPECTIF")</f>
        <v>RESPECTIF</v>
      </c>
      <c r="C8649" s="1" t="s">
        <v>185</v>
      </c>
      <c r="CH8649" s="1" t="s">
        <v>82</v>
      </c>
      <c r="GD8649" s="1" t="s">
        <v>202</v>
      </c>
      <c r="GE8649" s="1" t="s">
        <v>190</v>
      </c>
    </row>
    <row r="8650" spans="1:187" ht="11.25" customHeight="1">
      <c r="A8650" s="1" t="s">
        <v>12131</v>
      </c>
      <c r="B8650" s="1" t="str">
        <f ca="1">IFERROR(__xludf.DUMMYFUNCTION("GOOGLETRANSLATE(A8650, ""en"", ""fr"")"),"RÉPIT")</f>
        <v>RÉPIT</v>
      </c>
      <c r="C8650" s="1" t="s">
        <v>192</v>
      </c>
      <c r="D8650" s="1" t="s">
        <v>16612</v>
      </c>
      <c r="P8650" s="1" t="s">
        <v>12</v>
      </c>
      <c r="CA8650" s="1" t="s">
        <v>75</v>
      </c>
      <c r="GD8650" s="1" t="s">
        <v>193</v>
      </c>
      <c r="GE8650" s="1" t="s">
        <v>190</v>
      </c>
    </row>
    <row r="8651" spans="1:187" ht="11.25" customHeight="1">
      <c r="A8651" s="1" t="s">
        <v>12132</v>
      </c>
      <c r="B8651" s="1" t="str">
        <f ca="1">IFERROR(__xludf.DUMMYFUNCTION("GOOGLETRANSLATE(A8651, ""en"", ""fr"")"),"RESPLENDISSANT")</f>
        <v>RESPLENDISSANT</v>
      </c>
      <c r="C8651" s="1" t="s">
        <v>192</v>
      </c>
      <c r="D8651" s="1" t="s">
        <v>16612</v>
      </c>
      <c r="K8651" s="1" t="s">
        <v>7</v>
      </c>
      <c r="U8651" s="1" t="s">
        <v>17</v>
      </c>
      <c r="DR8651" s="1" t="s">
        <v>118</v>
      </c>
      <c r="GD8651" s="1" t="s">
        <v>202</v>
      </c>
      <c r="GE8651" s="1" t="s">
        <v>190</v>
      </c>
    </row>
    <row r="8652" spans="1:187" ht="11.25" customHeight="1">
      <c r="A8652" s="1" t="s">
        <v>12133</v>
      </c>
      <c r="B8652" s="1" t="str">
        <f ca="1">IFERROR(__xludf.DUMMYFUNCTION("GOOGLETRANSLATE(A8652, ""en"", ""fr"")"),"RÉPONDRE")</f>
        <v>RÉPONDRE</v>
      </c>
      <c r="C8652" s="1" t="s">
        <v>185</v>
      </c>
      <c r="G8652" s="1" t="s">
        <v>3</v>
      </c>
      <c r="M8652" s="1" t="s">
        <v>9</v>
      </c>
      <c r="O8652" s="1" t="s">
        <v>11</v>
      </c>
      <c r="BK8652" s="1" t="s">
        <v>59</v>
      </c>
      <c r="DN8652" s="1" t="s">
        <v>114</v>
      </c>
      <c r="EC8652" s="1" t="s">
        <v>129</v>
      </c>
      <c r="ED8652" s="1" t="s">
        <v>130</v>
      </c>
      <c r="GD8652" s="1" t="s">
        <v>189</v>
      </c>
      <c r="GE8652" s="1" t="s">
        <v>190</v>
      </c>
    </row>
    <row r="8653" spans="1:187" ht="11.25" customHeight="1">
      <c r="A8653" s="1" t="s">
        <v>12134</v>
      </c>
      <c r="B8653" s="1" t="str">
        <f ca="1">IFERROR(__xludf.DUMMYFUNCTION("GOOGLETRANSLATE(A8653, ""en"", ""fr"")"),"RÉPONSE")</f>
        <v>RÉPONSE</v>
      </c>
      <c r="C8653" s="1" t="s">
        <v>185</v>
      </c>
      <c r="G8653" s="1" t="s">
        <v>3</v>
      </c>
      <c r="O8653" s="1" t="s">
        <v>11</v>
      </c>
      <c r="BK8653" s="1" t="s">
        <v>59</v>
      </c>
      <c r="BL8653" s="1" t="s">
        <v>60</v>
      </c>
      <c r="CP8653" s="1" t="s">
        <v>90</v>
      </c>
      <c r="CQ8653" s="1" t="s">
        <v>91</v>
      </c>
      <c r="EC8653" s="1" t="s">
        <v>129</v>
      </c>
      <c r="ED8653" s="1" t="s">
        <v>130</v>
      </c>
      <c r="GC8653" s="1" t="s">
        <v>181</v>
      </c>
      <c r="GD8653" s="1" t="s">
        <v>193</v>
      </c>
      <c r="GE8653" s="1" t="s">
        <v>12135</v>
      </c>
    </row>
    <row r="8654" spans="1:187" ht="11.25" customHeight="1">
      <c r="A8654" s="1" t="s">
        <v>12136</v>
      </c>
      <c r="B8654" s="1" t="str">
        <f ca="1">IFERROR(__xludf.DUMMYFUNCTION("GOOGLETRANSLATE(A8654, ""en"", ""fr"")"),"RESPONSABILITÉ")</f>
        <v>RESPONSABILITÉ</v>
      </c>
      <c r="C8654" s="1" t="s">
        <v>185</v>
      </c>
      <c r="D8654" s="1" t="s">
        <v>16612</v>
      </c>
      <c r="F8654" s="1" t="s">
        <v>2</v>
      </c>
      <c r="K8654" s="1" t="s">
        <v>7</v>
      </c>
      <c r="U8654" s="1" t="s">
        <v>17</v>
      </c>
      <c r="CP8654" s="1" t="s">
        <v>90</v>
      </c>
      <c r="CQ8654" s="1" t="s">
        <v>91</v>
      </c>
      <c r="EE8654" s="1" t="s">
        <v>131</v>
      </c>
      <c r="EJ8654" s="1" t="s">
        <v>136</v>
      </c>
      <c r="GD8654" s="1" t="s">
        <v>193</v>
      </c>
      <c r="GE8654" s="1" t="s">
        <v>12137</v>
      </c>
    </row>
    <row r="8655" spans="1:187" ht="11.25" customHeight="1">
      <c r="A8655" s="1" t="s">
        <v>12138</v>
      </c>
      <c r="B8655" s="1" t="str">
        <f ca="1">IFERROR(__xludf.DUMMYFUNCTION("GOOGLETRANSLATE(A8655, ""en"", ""fr"")"),"Responsable n ° 1")</f>
        <v>Responsable n ° 1</v>
      </c>
      <c r="C8655" s="1" t="s">
        <v>185</v>
      </c>
      <c r="D8655" s="1" t="s">
        <v>16612</v>
      </c>
      <c r="F8655" s="1" t="s">
        <v>2</v>
      </c>
      <c r="K8655" s="1" t="s">
        <v>7</v>
      </c>
      <c r="U8655" s="1" t="s">
        <v>17</v>
      </c>
      <c r="EE8655" s="1" t="s">
        <v>131</v>
      </c>
      <c r="EJ8655" s="1" t="s">
        <v>136</v>
      </c>
      <c r="GD8655" s="1" t="s">
        <v>202</v>
      </c>
      <c r="GE8655" s="1" t="s">
        <v>12139</v>
      </c>
    </row>
    <row r="8656" spans="1:187" ht="11.25" customHeight="1">
      <c r="A8656" s="1" t="s">
        <v>12140</v>
      </c>
      <c r="B8656" s="1" t="str">
        <f ca="1">IFERROR(__xludf.DUMMYFUNCTION("GOOGLETRANSLATE(A8656, ""en"", ""fr"")"),"Responsable n ° 2")</f>
        <v>Responsable n ° 2</v>
      </c>
      <c r="C8656" s="1" t="s">
        <v>185</v>
      </c>
      <c r="CI8656" s="1" t="s">
        <v>83</v>
      </c>
      <c r="EE8656" s="1" t="s">
        <v>131</v>
      </c>
      <c r="EJ8656" s="1" t="s">
        <v>136</v>
      </c>
      <c r="GD8656" s="1" t="s">
        <v>202</v>
      </c>
      <c r="GE8656" s="1" t="s">
        <v>12141</v>
      </c>
    </row>
    <row r="8657" spans="1:187" ht="11.25" customHeight="1">
      <c r="A8657" s="1" t="s">
        <v>12142</v>
      </c>
      <c r="B8657" s="1" t="str">
        <f ca="1">IFERROR(__xludf.DUMMYFUNCTION("GOOGLETRANSLATE(A8657, ""en"", ""fr"")"),"SENSIBLE")</f>
        <v>SENSIBLE</v>
      </c>
      <c r="C8657" s="1" t="s">
        <v>185</v>
      </c>
      <c r="D8657" s="1" t="s">
        <v>16612</v>
      </c>
      <c r="F8657" s="1" t="s">
        <v>2</v>
      </c>
      <c r="G8657" s="1" t="s">
        <v>3</v>
      </c>
      <c r="S8657" s="1" t="s">
        <v>15</v>
      </c>
      <c r="GD8657" s="1" t="s">
        <v>202</v>
      </c>
      <c r="GE8657" s="1" t="s">
        <v>190</v>
      </c>
    </row>
    <row r="8658" spans="1:187" ht="11.25" customHeight="1">
      <c r="A8658" s="1" t="s">
        <v>12143</v>
      </c>
      <c r="B8658" s="1" t="str">
        <f ca="1">IFERROR(__xludf.DUMMYFUNCTION("GOOGLETRANSLATE(A8658, ""en"", ""fr"")"),"Repos n ° 1")</f>
        <v>Repos n ° 1</v>
      </c>
      <c r="C8658" s="1" t="s">
        <v>185</v>
      </c>
      <c r="CS8658" s="1" t="s">
        <v>93</v>
      </c>
      <c r="GD8658" s="1" t="s">
        <v>193</v>
      </c>
      <c r="GE8658" s="1" t="s">
        <v>12144</v>
      </c>
    </row>
    <row r="8659" spans="1:187" ht="11.25" customHeight="1">
      <c r="A8659" s="1" t="s">
        <v>12145</v>
      </c>
      <c r="B8659" s="1" t="str">
        <f ca="1">IFERROR(__xludf.DUMMYFUNCTION("GOOGLETRANSLATE(A8659, ""en"", ""fr"")"),"Repos n ° 2")</f>
        <v>Repos n ° 2</v>
      </c>
      <c r="C8659" s="1" t="s">
        <v>185</v>
      </c>
      <c r="O8659" s="1" t="s">
        <v>11</v>
      </c>
      <c r="P8659" s="1" t="s">
        <v>12</v>
      </c>
      <c r="EZ8659" s="1" t="s">
        <v>152</v>
      </c>
      <c r="FC8659" s="1" t="s">
        <v>155</v>
      </c>
      <c r="GD8659" s="1" t="s">
        <v>193</v>
      </c>
      <c r="GE8659" s="1" t="s">
        <v>12146</v>
      </c>
    </row>
    <row r="8660" spans="1:187" ht="11.25" customHeight="1">
      <c r="A8660" s="1" t="s">
        <v>12147</v>
      </c>
      <c r="B8660" s="1" t="str">
        <f ca="1">IFERROR(__xludf.DUMMYFUNCTION("GOOGLETRANSLATE(A8660, ""en"", ""fr"")"),"Repos n ° 3")</f>
        <v>Repos n ° 3</v>
      </c>
      <c r="C8660" s="1" t="s">
        <v>185</v>
      </c>
      <c r="O8660" s="1" t="s">
        <v>11</v>
      </c>
      <c r="CA8660" s="1" t="s">
        <v>75</v>
      </c>
      <c r="DN8660" s="1" t="s">
        <v>114</v>
      </c>
      <c r="EX8660" s="1" t="s">
        <v>150</v>
      </c>
      <c r="FC8660" s="1" t="s">
        <v>155</v>
      </c>
      <c r="GD8660" s="1" t="s">
        <v>189</v>
      </c>
      <c r="GE8660" s="1" t="s">
        <v>12148</v>
      </c>
    </row>
    <row r="8661" spans="1:187" ht="11.25" customHeight="1">
      <c r="A8661" s="1" t="s">
        <v>12149</v>
      </c>
      <c r="B8661" s="1" t="str">
        <f ca="1">IFERROR(__xludf.DUMMYFUNCTION("GOOGLETRANSLATE(A8661, ""en"", ""fr"")"),"Repos n ° 4")</f>
        <v>Repos n ° 4</v>
      </c>
      <c r="C8661" s="1" t="s">
        <v>185</v>
      </c>
      <c r="CA8661" s="1" t="s">
        <v>75</v>
      </c>
      <c r="DN8661" s="1" t="s">
        <v>114</v>
      </c>
      <c r="EZ8661" s="1" t="s">
        <v>152</v>
      </c>
      <c r="FC8661" s="1" t="s">
        <v>155</v>
      </c>
      <c r="GD8661" s="1" t="s">
        <v>189</v>
      </c>
      <c r="GE8661" s="1" t="s">
        <v>12150</v>
      </c>
    </row>
    <row r="8662" spans="1:187" ht="11.25" customHeight="1">
      <c r="A8662" s="1" t="s">
        <v>12151</v>
      </c>
      <c r="B8662" s="1" t="str">
        <f ca="1">IFERROR(__xludf.DUMMYFUNCTION("GOOGLETRANSLATE(A8662, ""en"", ""fr"")"),"Retraitement")</f>
        <v>Retraitement</v>
      </c>
      <c r="C8662" s="1" t="s">
        <v>196</v>
      </c>
      <c r="FH8662" s="1" t="s">
        <v>160</v>
      </c>
      <c r="FI8662" s="1" t="s">
        <v>161</v>
      </c>
      <c r="GD8662" s="1" t="s">
        <v>193</v>
      </c>
    </row>
    <row r="8663" spans="1:187" ht="11.25" customHeight="1">
      <c r="A8663" s="1" t="s">
        <v>12152</v>
      </c>
      <c r="B8663" s="1" t="str">
        <f ca="1">IFERROR(__xludf.DUMMYFUNCTION("GOOGLETRANSLATE(A8663, ""en"", ""fr"")"),"RESTAURANT")</f>
        <v>RESTAURANT</v>
      </c>
      <c r="C8663" s="1" t="s">
        <v>185</v>
      </c>
      <c r="AA8663" s="1" t="s">
        <v>23</v>
      </c>
      <c r="AC8663" s="1" t="s">
        <v>25</v>
      </c>
      <c r="AV8663" s="1" t="s">
        <v>44</v>
      </c>
      <c r="AW8663" s="1" t="s">
        <v>45</v>
      </c>
      <c r="GD8663" s="1" t="s">
        <v>193</v>
      </c>
      <c r="GE8663" s="1" t="s">
        <v>190</v>
      </c>
    </row>
    <row r="8664" spans="1:187" ht="11.25" customHeight="1">
      <c r="A8664" s="1" t="s">
        <v>12153</v>
      </c>
      <c r="B8664" s="1" t="str">
        <f ca="1">IFERROR(__xludf.DUMMYFUNCTION("GOOGLETRANSLATE(A8664, ""en"", ""fr"")"),"REPOSANT")</f>
        <v>REPOSANT</v>
      </c>
      <c r="C8664" s="1" t="s">
        <v>192</v>
      </c>
      <c r="D8664" s="1" t="s">
        <v>16612</v>
      </c>
      <c r="P8664" s="1" t="s">
        <v>12</v>
      </c>
      <c r="CA8664" s="1" t="s">
        <v>75</v>
      </c>
      <c r="DR8664" s="1" t="s">
        <v>118</v>
      </c>
      <c r="GD8664" s="1" t="s">
        <v>202</v>
      </c>
      <c r="GE8664" s="1" t="s">
        <v>190</v>
      </c>
    </row>
    <row r="8665" spans="1:187" ht="11.25" customHeight="1">
      <c r="A8665" s="1" t="s">
        <v>12154</v>
      </c>
      <c r="B8665" s="1" t="str">
        <f ca="1">IFERROR(__xludf.DUMMYFUNCTION("GOOGLETRANSLATE(A8665, ""en"", ""fr"")"),"RESTITUTION")</f>
        <v>RESTITUTION</v>
      </c>
      <c r="C8665" s="1" t="s">
        <v>196</v>
      </c>
      <c r="EG8665" s="1" t="s">
        <v>133</v>
      </c>
      <c r="EJ8665" s="1" t="s">
        <v>136</v>
      </c>
      <c r="GD8665" s="1" t="s">
        <v>193</v>
      </c>
    </row>
    <row r="8666" spans="1:187" ht="11.25" customHeight="1">
      <c r="A8666" s="1" t="s">
        <v>12155</v>
      </c>
      <c r="B8666" s="1" t="str">
        <f ca="1">IFERROR(__xludf.DUMMYFUNCTION("GOOGLETRANSLATE(A8666, ""en"", ""fr"")"),"AGITÉ")</f>
        <v>AGITÉ</v>
      </c>
      <c r="C8666" s="1" t="s">
        <v>185</v>
      </c>
      <c r="E8666" s="1" t="s">
        <v>16613</v>
      </c>
      <c r="H8666" s="1" t="s">
        <v>4</v>
      </c>
      <c r="S8666" s="1" t="s">
        <v>15</v>
      </c>
      <c r="T8666" s="1" t="s">
        <v>16</v>
      </c>
      <c r="DR8666" s="1" t="s">
        <v>118</v>
      </c>
      <c r="FA8666" s="1" t="s">
        <v>153</v>
      </c>
      <c r="FC8666" s="1" t="s">
        <v>155</v>
      </c>
      <c r="GD8666" s="1" t="s">
        <v>202</v>
      </c>
      <c r="GE8666" s="1" t="s">
        <v>190</v>
      </c>
    </row>
    <row r="8667" spans="1:187" ht="11.25" customHeight="1">
      <c r="A8667" s="1" t="s">
        <v>12156</v>
      </c>
      <c r="B8667" s="1" t="str">
        <f ca="1">IFERROR(__xludf.DUMMYFUNCTION("GOOGLETRANSLATE(A8667, ""en"", ""fr"")"),"AGITATION")</f>
        <v>AGITATION</v>
      </c>
      <c r="C8667" s="1" t="s">
        <v>192</v>
      </c>
      <c r="E8667" s="1" t="s">
        <v>16613</v>
      </c>
      <c r="Q8667" s="1" t="s">
        <v>13</v>
      </c>
      <c r="T8667" s="1" t="s">
        <v>16</v>
      </c>
      <c r="GD8667" s="1" t="s">
        <v>193</v>
      </c>
      <c r="GE8667" s="1" t="s">
        <v>190</v>
      </c>
    </row>
    <row r="8668" spans="1:187" ht="11.25" customHeight="1">
      <c r="A8668" s="1" t="s">
        <v>12157</v>
      </c>
      <c r="B8668" s="1" t="str">
        <f ca="1">IFERROR(__xludf.DUMMYFUNCTION("GOOGLETRANSLATE(A8668, ""en"", ""fr"")"),"RESTAURATION")</f>
        <v>RESTAURATION</v>
      </c>
      <c r="C8668" s="1" t="s">
        <v>185</v>
      </c>
      <c r="D8668" s="1" t="s">
        <v>16612</v>
      </c>
      <c r="G8668" s="1" t="s">
        <v>3</v>
      </c>
      <c r="CD8668" s="1" t="s">
        <v>78</v>
      </c>
      <c r="DS8668" s="1" t="s">
        <v>119</v>
      </c>
      <c r="ED8668" s="1" t="s">
        <v>130</v>
      </c>
      <c r="GD8668" s="1" t="s">
        <v>193</v>
      </c>
      <c r="GE8668" s="1" t="s">
        <v>190</v>
      </c>
    </row>
    <row r="8669" spans="1:187" ht="11.25" customHeight="1">
      <c r="A8669" s="1" t="s">
        <v>12158</v>
      </c>
      <c r="B8669" s="1" t="str">
        <f ca="1">IFERROR(__xludf.DUMMYFUNCTION("GOOGLETRANSLATE(A8669, ""en"", ""fr"")"),"RESTAURER")</f>
        <v>RESTAURER</v>
      </c>
      <c r="C8669" s="1" t="s">
        <v>185</v>
      </c>
      <c r="D8669" s="1" t="s">
        <v>16612</v>
      </c>
      <c r="F8669" s="1" t="s">
        <v>2</v>
      </c>
      <c r="J8669" s="1" t="s">
        <v>6</v>
      </c>
      <c r="N8669" s="1" t="s">
        <v>10</v>
      </c>
      <c r="AL8669" s="1" t="s">
        <v>34</v>
      </c>
      <c r="DN8669" s="1" t="s">
        <v>114</v>
      </c>
      <c r="DS8669" s="1" t="s">
        <v>119</v>
      </c>
      <c r="ED8669" s="1" t="s">
        <v>130</v>
      </c>
      <c r="GD8669" s="1" t="s">
        <v>189</v>
      </c>
      <c r="GE8669" s="1" t="s">
        <v>190</v>
      </c>
    </row>
    <row r="8670" spans="1:187" ht="11.25" customHeight="1">
      <c r="A8670" s="1" t="s">
        <v>12159</v>
      </c>
      <c r="B8670" s="1" t="str">
        <f ca="1">IFERROR(__xludf.DUMMYFUNCTION("GOOGLETRANSLATE(A8670, ""en"", ""fr"")"),"RESTREINDRE")</f>
        <v>RESTREINDRE</v>
      </c>
      <c r="C8670" s="1" t="s">
        <v>185</v>
      </c>
      <c r="I8670" s="1" t="s">
        <v>5</v>
      </c>
      <c r="J8670" s="1" t="s">
        <v>6</v>
      </c>
      <c r="K8670" s="1" t="s">
        <v>7</v>
      </c>
      <c r="N8670" s="1" t="s">
        <v>10</v>
      </c>
      <c r="AN8670" s="1" t="s">
        <v>36</v>
      </c>
      <c r="DN8670" s="1" t="s">
        <v>114</v>
      </c>
      <c r="DT8670" s="1" t="s">
        <v>120</v>
      </c>
      <c r="ED8670" s="1" t="s">
        <v>130</v>
      </c>
      <c r="GD8670" s="1" t="s">
        <v>189</v>
      </c>
      <c r="GE8670" s="1" t="s">
        <v>190</v>
      </c>
    </row>
    <row r="8671" spans="1:187" ht="11.25" customHeight="1">
      <c r="A8671" s="1" t="s">
        <v>12160</v>
      </c>
      <c r="B8671" s="1" t="str">
        <f ca="1">IFERROR(__xludf.DUMMYFUNCTION("GOOGLETRANSLATE(A8671, ""en"", ""fr"")"),"RETENUE")</f>
        <v>RETENUE</v>
      </c>
      <c r="C8671" s="1" t="s">
        <v>185</v>
      </c>
      <c r="J8671" s="1" t="s">
        <v>6</v>
      </c>
      <c r="K8671" s="1" t="s">
        <v>7</v>
      </c>
      <c r="S8671" s="1" t="s">
        <v>15</v>
      </c>
      <c r="EC8671" s="1" t="s">
        <v>129</v>
      </c>
      <c r="ED8671" s="1" t="s">
        <v>130</v>
      </c>
      <c r="GD8671" s="1" t="s">
        <v>193</v>
      </c>
      <c r="GE8671" s="1" t="s">
        <v>190</v>
      </c>
    </row>
    <row r="8672" spans="1:187" ht="11.25" customHeight="1">
      <c r="A8672" s="1" t="s">
        <v>12161</v>
      </c>
      <c r="B8672" s="1" t="str">
        <f ca="1">IFERROR(__xludf.DUMMYFUNCTION("GOOGLETRANSLATE(A8672, ""en"", ""fr"")"),"Restreindre n ° 1")</f>
        <v>Restreindre n ° 1</v>
      </c>
      <c r="C8672" s="1" t="s">
        <v>185</v>
      </c>
      <c r="E8672" s="1" t="s">
        <v>16613</v>
      </c>
      <c r="H8672" s="1" t="s">
        <v>4</v>
      </c>
      <c r="I8672" s="1" t="s">
        <v>5</v>
      </c>
      <c r="J8672" s="1" t="s">
        <v>6</v>
      </c>
      <c r="K8672" s="1" t="s">
        <v>7</v>
      </c>
      <c r="N8672" s="1" t="s">
        <v>10</v>
      </c>
      <c r="AN8672" s="1" t="s">
        <v>36</v>
      </c>
      <c r="DN8672" s="1" t="s">
        <v>114</v>
      </c>
      <c r="DT8672" s="1" t="s">
        <v>120</v>
      </c>
      <c r="ED8672" s="1" t="s">
        <v>130</v>
      </c>
      <c r="GD8672" s="1" t="s">
        <v>400</v>
      </c>
      <c r="GE8672" s="1" t="s">
        <v>12162</v>
      </c>
    </row>
    <row r="8673" spans="1:187" ht="11.25" customHeight="1">
      <c r="A8673" s="1" t="s">
        <v>12163</v>
      </c>
      <c r="B8673" s="1" t="str">
        <f ca="1">IFERROR(__xludf.DUMMYFUNCTION("GOOGLETRANSLATE(A8673, ""en"", ""fr"")"),"Restreindre # 2")</f>
        <v>Restreindre # 2</v>
      </c>
      <c r="C8673" s="1" t="s">
        <v>185</v>
      </c>
      <c r="E8673" s="1" t="s">
        <v>16613</v>
      </c>
      <c r="H8673" s="1" t="s">
        <v>4</v>
      </c>
      <c r="K8673" s="1" t="s">
        <v>7</v>
      </c>
      <c r="L8673" s="1" t="s">
        <v>8</v>
      </c>
      <c r="O8673" s="1" t="s">
        <v>11</v>
      </c>
      <c r="DA8673" s="1" t="s">
        <v>101</v>
      </c>
      <c r="DT8673" s="1" t="s">
        <v>120</v>
      </c>
      <c r="ED8673" s="1" t="s">
        <v>130</v>
      </c>
      <c r="GD8673" s="1" t="s">
        <v>202</v>
      </c>
      <c r="GE8673" s="1" t="s">
        <v>12164</v>
      </c>
    </row>
    <row r="8674" spans="1:187" ht="11.25" customHeight="1">
      <c r="A8674" s="1" t="s">
        <v>12165</v>
      </c>
      <c r="B8674" s="1" t="str">
        <f ca="1">IFERROR(__xludf.DUMMYFUNCTION("GOOGLETRANSLATE(A8674, ""en"", ""fr"")"),"Restreindre # 3")</f>
        <v>Restreindre # 3</v>
      </c>
      <c r="C8674" s="1" t="s">
        <v>185</v>
      </c>
      <c r="E8674" s="1" t="s">
        <v>16613</v>
      </c>
      <c r="H8674" s="1" t="s">
        <v>4</v>
      </c>
      <c r="J8674" s="1" t="s">
        <v>6</v>
      </c>
      <c r="V8674" s="1" t="s">
        <v>18</v>
      </c>
      <c r="DT8674" s="1" t="s">
        <v>120</v>
      </c>
      <c r="ED8674" s="1" t="s">
        <v>130</v>
      </c>
      <c r="GD8674" s="1" t="s">
        <v>202</v>
      </c>
      <c r="GE8674" s="1" t="s">
        <v>12166</v>
      </c>
    </row>
    <row r="8675" spans="1:187" ht="11.25" customHeight="1">
      <c r="A8675" s="1" t="s">
        <v>12167</v>
      </c>
      <c r="B8675" s="1" t="str">
        <f ca="1">IFERROR(__xludf.DUMMYFUNCTION("GOOGLETRANSLATE(A8675, ""en"", ""fr"")"),"RESTRICTION")</f>
        <v>RESTRICTION</v>
      </c>
      <c r="C8675" s="1" t="s">
        <v>185</v>
      </c>
      <c r="E8675" s="1" t="s">
        <v>16613</v>
      </c>
      <c r="AE8675" s="1" t="s">
        <v>27</v>
      </c>
      <c r="CA8675" s="1" t="s">
        <v>75</v>
      </c>
      <c r="DT8675" s="1" t="s">
        <v>120</v>
      </c>
      <c r="ED8675" s="1" t="s">
        <v>130</v>
      </c>
      <c r="GD8675" s="1" t="s">
        <v>193</v>
      </c>
      <c r="GE8675" s="1" t="s">
        <v>190</v>
      </c>
    </row>
    <row r="8676" spans="1:187" ht="11.25" customHeight="1">
      <c r="A8676" s="1" t="s">
        <v>12168</v>
      </c>
      <c r="B8676" s="1" t="str">
        <f ca="1">IFERROR(__xludf.DUMMYFUNCTION("GOOGLETRANSLATE(A8676, ""en"", ""fr"")"),"CONTRAIGNANT")</f>
        <v>CONTRAIGNANT</v>
      </c>
      <c r="C8676" s="1" t="s">
        <v>196</v>
      </c>
      <c r="DT8676" s="1" t="s">
        <v>120</v>
      </c>
      <c r="ED8676" s="1" t="s">
        <v>130</v>
      </c>
      <c r="GD8676" s="1" t="s">
        <v>212</v>
      </c>
    </row>
    <row r="8677" spans="1:187" ht="11.25" customHeight="1">
      <c r="A8677" s="1" t="s">
        <v>12169</v>
      </c>
      <c r="B8677" s="1" t="str">
        <f ca="1">IFERROR(__xludf.DUMMYFUNCTION("GOOGLETRANSLATE(A8677, ""en"", ""fr"")"),"Résultat n ° 1")</f>
        <v>Résultat n ° 1</v>
      </c>
      <c r="C8677" s="1" t="s">
        <v>185</v>
      </c>
      <c r="BO8677" s="1" t="s">
        <v>63</v>
      </c>
      <c r="FR8677" s="1" t="s">
        <v>170</v>
      </c>
      <c r="GD8677" s="1" t="s">
        <v>193</v>
      </c>
      <c r="GE8677" s="1" t="s">
        <v>12170</v>
      </c>
    </row>
    <row r="8678" spans="1:187" ht="11.25" customHeight="1">
      <c r="A8678" s="1" t="s">
        <v>12171</v>
      </c>
      <c r="B8678" s="1" t="str">
        <f ca="1">IFERROR(__xludf.DUMMYFUNCTION("GOOGLETRANSLATE(A8678, ""en"", ""fr"")"),"Résultat n ° 2")</f>
        <v>Résultat n ° 2</v>
      </c>
      <c r="C8678" s="1" t="s">
        <v>185</v>
      </c>
      <c r="BZ8678" s="1" t="s">
        <v>74</v>
      </c>
      <c r="DN8678" s="1" t="s">
        <v>114</v>
      </c>
      <c r="GD8678" s="1" t="s">
        <v>189</v>
      </c>
      <c r="GE8678" s="1" t="s">
        <v>12172</v>
      </c>
    </row>
    <row r="8679" spans="1:187" ht="11.25" customHeight="1">
      <c r="A8679" s="1" t="s">
        <v>12173</v>
      </c>
      <c r="B8679" s="1" t="str">
        <f ca="1">IFERROR(__xludf.DUMMYFUNCTION("GOOGLETRANSLATE(A8679, ""en"", ""fr"")"),"Résultat n ° 3")</f>
        <v>Résultat n ° 3</v>
      </c>
      <c r="C8679" s="1" t="s">
        <v>185</v>
      </c>
      <c r="CI8679" s="1" t="s">
        <v>83</v>
      </c>
      <c r="GD8679" s="1" t="s">
        <v>202</v>
      </c>
      <c r="GE8679" s="1" t="s">
        <v>12174</v>
      </c>
    </row>
    <row r="8680" spans="1:187" ht="11.25" customHeight="1">
      <c r="A8680" s="1" t="s">
        <v>12175</v>
      </c>
      <c r="B8680" s="1" t="str">
        <f ca="1">IFERROR(__xludf.DUMMYFUNCTION("GOOGLETRANSLATE(A8680, ""en"", ""fr"")"),"RÉSULTANT")</f>
        <v>RÉSULTANT</v>
      </c>
      <c r="C8680" s="1" t="s">
        <v>185</v>
      </c>
      <c r="BO8680" s="1" t="s">
        <v>63</v>
      </c>
      <c r="GD8680" s="1" t="s">
        <v>193</v>
      </c>
      <c r="GE8680" s="1" t="s">
        <v>190</v>
      </c>
    </row>
    <row r="8681" spans="1:187" ht="11.25" customHeight="1">
      <c r="A8681" s="1" t="s">
        <v>12176</v>
      </c>
      <c r="B8681" s="1" t="str">
        <f ca="1">IFERROR(__xludf.DUMMYFUNCTION("GOOGLETRANSLATE(A8681, ""en"", ""fr"")"),"CV n ° 1")</f>
        <v>CV n ° 1</v>
      </c>
      <c r="C8681" s="1" t="s">
        <v>185</v>
      </c>
      <c r="BC8681" s="1" t="s">
        <v>51</v>
      </c>
      <c r="BH8681" s="1" t="s">
        <v>56</v>
      </c>
      <c r="BL8681" s="1" t="s">
        <v>60</v>
      </c>
      <c r="FL8681" s="1" t="s">
        <v>164</v>
      </c>
      <c r="FM8681" s="1" t="s">
        <v>418</v>
      </c>
      <c r="GD8681" s="1" t="s">
        <v>193</v>
      </c>
      <c r="GE8681" s="1" t="s">
        <v>190</v>
      </c>
    </row>
    <row r="8682" spans="1:187" ht="11.25" customHeight="1">
      <c r="A8682" s="1" t="s">
        <v>12177</v>
      </c>
      <c r="B8682" s="1" t="str">
        <f ca="1">IFERROR(__xludf.DUMMYFUNCTION("GOOGLETRANSLATE(A8682, ""en"", ""fr"")"),"CV n ° 2")</f>
        <v>CV n ° 2</v>
      </c>
      <c r="C8682" s="1" t="s">
        <v>185</v>
      </c>
      <c r="N8682" s="1" t="s">
        <v>10</v>
      </c>
      <c r="BW8682" s="1" t="s">
        <v>71</v>
      </c>
      <c r="DN8682" s="1" t="s">
        <v>114</v>
      </c>
      <c r="FP8682" s="1" t="s">
        <v>168</v>
      </c>
      <c r="GD8682" s="1" t="s">
        <v>189</v>
      </c>
      <c r="GE8682" s="1" t="s">
        <v>190</v>
      </c>
    </row>
    <row r="8683" spans="1:187" ht="11.25" customHeight="1">
      <c r="A8683" s="1" t="s">
        <v>12178</v>
      </c>
      <c r="B8683" s="1" t="str">
        <f ca="1">IFERROR(__xludf.DUMMYFUNCTION("GOOGLETRANSLATE(A8683, ""en"", ""fr"")"),"REPRISE")</f>
        <v>REPRISE</v>
      </c>
      <c r="C8683" s="1" t="s">
        <v>185</v>
      </c>
      <c r="J8683" s="1" t="s">
        <v>6</v>
      </c>
      <c r="N8683" s="1" t="s">
        <v>10</v>
      </c>
      <c r="BV8683" s="1" t="s">
        <v>70</v>
      </c>
      <c r="GD8683" s="1" t="s">
        <v>6628</v>
      </c>
      <c r="GE8683" s="1" t="s">
        <v>190</v>
      </c>
    </row>
    <row r="8684" spans="1:187" ht="11.25" customHeight="1">
      <c r="A8684" s="1" t="s">
        <v>12179</v>
      </c>
      <c r="B8684" s="1" t="str">
        <f ca="1">IFERROR(__xludf.DUMMYFUNCTION("GOOGLETRANSLATE(A8684, ""en"", ""fr"")"),"RESSUSCITER")</f>
        <v>RESSUSCITER</v>
      </c>
      <c r="C8684" s="1" t="s">
        <v>192</v>
      </c>
      <c r="D8684" s="1" t="s">
        <v>16612</v>
      </c>
      <c r="G8684" s="1" t="s">
        <v>3</v>
      </c>
      <c r="N8684" s="1" t="s">
        <v>10</v>
      </c>
      <c r="CD8684" s="1" t="s">
        <v>78</v>
      </c>
      <c r="DN8684" s="1" t="s">
        <v>114</v>
      </c>
      <c r="GD8684" s="1" t="s">
        <v>189</v>
      </c>
      <c r="GE8684" s="1" t="s">
        <v>190</v>
      </c>
    </row>
    <row r="8685" spans="1:187" ht="11.25" customHeight="1">
      <c r="A8685" s="1" t="s">
        <v>12180</v>
      </c>
      <c r="B8685" s="1" t="str">
        <f ca="1">IFERROR(__xludf.DUMMYFUNCTION("GOOGLETRANSLATE(A8685, ""en"", ""fr"")"),"Retail n ° 1")</f>
        <v>Retail n ° 1</v>
      </c>
      <c r="C8685" s="1" t="s">
        <v>185</v>
      </c>
      <c r="AA8685" s="1" t="s">
        <v>23</v>
      </c>
      <c r="AC8685" s="1" t="s">
        <v>25</v>
      </c>
      <c r="BQ8685" s="1" t="s">
        <v>65</v>
      </c>
      <c r="EV8685" s="1" t="s">
        <v>148</v>
      </c>
      <c r="EW8685" s="1" t="s">
        <v>149</v>
      </c>
      <c r="GD8685" s="1" t="s">
        <v>193</v>
      </c>
      <c r="GE8685" s="1" t="s">
        <v>190</v>
      </c>
    </row>
    <row r="8686" spans="1:187" ht="11.25" customHeight="1">
      <c r="A8686" s="1" t="s">
        <v>12181</v>
      </c>
      <c r="B8686" s="1" t="str">
        <f ca="1">IFERROR(__xludf.DUMMYFUNCTION("GOOGLETRANSLATE(A8686, ""en"", ""fr"")"),"Retail n ° 2")</f>
        <v>Retail n ° 2</v>
      </c>
      <c r="C8686" s="1" t="s">
        <v>185</v>
      </c>
      <c r="AA8686" s="1" t="s">
        <v>23</v>
      </c>
      <c r="AB8686" s="1" t="s">
        <v>24</v>
      </c>
      <c r="DN8686" s="1" t="s">
        <v>114</v>
      </c>
      <c r="EU8686" s="1" t="s">
        <v>147</v>
      </c>
      <c r="EW8686" s="1" t="s">
        <v>149</v>
      </c>
      <c r="GD8686" s="1" t="s">
        <v>189</v>
      </c>
      <c r="GE8686" s="1" t="s">
        <v>190</v>
      </c>
    </row>
    <row r="8687" spans="1:187" ht="11.25" customHeight="1">
      <c r="A8687" s="1" t="s">
        <v>12182</v>
      </c>
      <c r="B8687" s="1" t="str">
        <f ca="1">IFERROR(__xludf.DUMMYFUNCTION("GOOGLETRANSLATE(A8687, ""en"", ""fr"")"),"RETENIR")</f>
        <v>RETENIR</v>
      </c>
      <c r="C8687" s="1" t="s">
        <v>185</v>
      </c>
      <c r="J8687" s="1" t="s">
        <v>6</v>
      </c>
      <c r="CD8687" s="1" t="s">
        <v>78</v>
      </c>
      <c r="DN8687" s="1" t="s">
        <v>114</v>
      </c>
      <c r="GD8687" s="1" t="s">
        <v>189</v>
      </c>
      <c r="GE8687" s="1" t="s">
        <v>190</v>
      </c>
    </row>
    <row r="8688" spans="1:187" ht="11.25" customHeight="1">
      <c r="A8688" s="1" t="s">
        <v>12183</v>
      </c>
      <c r="B8688" s="1" t="str">
        <f ca="1">IFERROR(__xludf.DUMMYFUNCTION("GOOGLETRANSLATE(A8688, ""en"", ""fr"")"),"USER DE REPRÉSAILLES")</f>
        <v>USER DE REPRÉSAILLES</v>
      </c>
      <c r="C8688" s="1" t="s">
        <v>192</v>
      </c>
      <c r="E8688" s="1" t="s">
        <v>16613</v>
      </c>
      <c r="I8688" s="1" t="s">
        <v>5</v>
      </c>
      <c r="N8688" s="1" t="s">
        <v>10</v>
      </c>
      <c r="AN8688" s="1" t="s">
        <v>36</v>
      </c>
      <c r="CC8688" s="1" t="s">
        <v>77</v>
      </c>
      <c r="DN8688" s="1" t="s">
        <v>114</v>
      </c>
      <c r="GD8688" s="1" t="s">
        <v>189</v>
      </c>
      <c r="GE8688" s="1" t="s">
        <v>190</v>
      </c>
    </row>
    <row r="8689" spans="1:187" ht="11.25" customHeight="1">
      <c r="A8689" s="1" t="s">
        <v>12184</v>
      </c>
      <c r="B8689" s="1" t="str">
        <f ca="1">IFERROR(__xludf.DUMMYFUNCTION("GOOGLETRANSLATE(A8689, ""en"", ""fr"")"),"RETARD")</f>
        <v>RETARD</v>
      </c>
      <c r="C8689" s="1" t="s">
        <v>185</v>
      </c>
      <c r="E8689" s="1" t="s">
        <v>16613</v>
      </c>
      <c r="I8689" s="1" t="s">
        <v>5</v>
      </c>
      <c r="N8689" s="1" t="s">
        <v>10</v>
      </c>
      <c r="CC8689" s="1" t="s">
        <v>77</v>
      </c>
      <c r="DN8689" s="1" t="s">
        <v>114</v>
      </c>
      <c r="FO8689" s="1" t="s">
        <v>167</v>
      </c>
      <c r="GD8689" s="1" t="s">
        <v>189</v>
      </c>
      <c r="GE8689" s="1" t="s">
        <v>190</v>
      </c>
    </row>
    <row r="8690" spans="1:187" ht="11.25" customHeight="1">
      <c r="A8690" s="1" t="s">
        <v>12185</v>
      </c>
      <c r="B8690" s="1" t="str">
        <f ca="1">IFERROR(__xludf.DUMMYFUNCTION("GOOGLETRANSLATE(A8690, ""en"", ""fr"")"),"RETARDEMENT")</f>
        <v>RETARDEMENT</v>
      </c>
      <c r="C8690" s="1" t="s">
        <v>185</v>
      </c>
      <c r="BY8690" s="1" t="s">
        <v>73</v>
      </c>
      <c r="GD8690" s="1" t="s">
        <v>193</v>
      </c>
      <c r="GE8690" s="1" t="s">
        <v>190</v>
      </c>
    </row>
    <row r="8691" spans="1:187" ht="11.25" customHeight="1">
      <c r="A8691" s="1" t="s">
        <v>12186</v>
      </c>
      <c r="B8691" s="1" t="str">
        <f ca="1">IFERROR(__xludf.DUMMYFUNCTION("GOOGLETRANSLATE(A8691, ""en"", ""fr"")"),"RÉTENTION")</f>
        <v>RÉTENTION</v>
      </c>
      <c r="C8691" s="1" t="s">
        <v>185</v>
      </c>
      <c r="J8691" s="1" t="s">
        <v>6</v>
      </c>
      <c r="DD8691" s="1" t="s">
        <v>104</v>
      </c>
      <c r="GD8691" s="1" t="s">
        <v>193</v>
      </c>
      <c r="GE8691" s="1" t="s">
        <v>190</v>
      </c>
    </row>
    <row r="8692" spans="1:187" ht="11.25" customHeight="1">
      <c r="A8692" s="1" t="s">
        <v>12187</v>
      </c>
      <c r="B8692" s="1" t="str">
        <f ca="1">IFERROR(__xludf.DUMMYFUNCTION("GOOGLETRANSLATE(A8692, ""en"", ""fr"")"),"SE RETIRER")</f>
        <v>SE RETIRER</v>
      </c>
      <c r="C8692" s="1" t="s">
        <v>185</v>
      </c>
      <c r="E8692" s="1" t="s">
        <v>16613</v>
      </c>
      <c r="N8692" s="1" t="s">
        <v>10</v>
      </c>
      <c r="AL8692" s="1" t="s">
        <v>34</v>
      </c>
      <c r="BS8692" s="1" t="s">
        <v>67</v>
      </c>
      <c r="DN8692" s="1" t="s">
        <v>114</v>
      </c>
      <c r="EW8692" s="1" t="s">
        <v>149</v>
      </c>
      <c r="EZ8692" s="1" t="s">
        <v>152</v>
      </c>
      <c r="GD8692" s="1" t="s">
        <v>189</v>
      </c>
      <c r="GE8692" s="1" t="s">
        <v>190</v>
      </c>
    </row>
    <row r="8693" spans="1:187" ht="11.25" customHeight="1">
      <c r="A8693" s="1" t="s">
        <v>12188</v>
      </c>
      <c r="B8693" s="1" t="str">
        <f ca="1">IFERROR(__xludf.DUMMYFUNCTION("GOOGLETRANSLATE(A8693, ""en"", ""fr"")"),"RETRAITE")</f>
        <v>RETRAITE</v>
      </c>
      <c r="C8693" s="1" t="s">
        <v>185</v>
      </c>
      <c r="AC8693" s="1" t="s">
        <v>25</v>
      </c>
      <c r="BQ8693" s="1" t="s">
        <v>65</v>
      </c>
      <c r="EV8693" s="1" t="s">
        <v>148</v>
      </c>
      <c r="EW8693" s="1" t="s">
        <v>149</v>
      </c>
      <c r="GD8693" s="1" t="s">
        <v>193</v>
      </c>
      <c r="GE8693" s="1" t="s">
        <v>190</v>
      </c>
    </row>
    <row r="8694" spans="1:187" ht="11.25" customHeight="1">
      <c r="A8694" s="1" t="s">
        <v>12189</v>
      </c>
      <c r="B8694" s="1" t="str">
        <f ca="1">IFERROR(__xludf.DUMMYFUNCTION("GOOGLETRANSLATE(A8694, ""en"", ""fr"")"),"Retraite n ° 1")</f>
        <v>Retraite n ° 1</v>
      </c>
      <c r="C8694" s="1" t="s">
        <v>185</v>
      </c>
      <c r="E8694" s="1" t="s">
        <v>16613</v>
      </c>
      <c r="H8694" s="1" t="s">
        <v>4</v>
      </c>
      <c r="L8694" s="1" t="s">
        <v>8</v>
      </c>
      <c r="N8694" s="1" t="s">
        <v>10</v>
      </c>
      <c r="AM8694" s="1" t="s">
        <v>35</v>
      </c>
      <c r="DT8694" s="1" t="s">
        <v>120</v>
      </c>
      <c r="ED8694" s="1" t="s">
        <v>130</v>
      </c>
      <c r="GD8694" s="1" t="s">
        <v>193</v>
      </c>
      <c r="GE8694" s="1" t="s">
        <v>190</v>
      </c>
    </row>
    <row r="8695" spans="1:187" ht="11.25" customHeight="1">
      <c r="A8695" s="1" t="s">
        <v>12190</v>
      </c>
      <c r="B8695" s="1" t="str">
        <f ca="1">IFERROR(__xludf.DUMMYFUNCTION("GOOGLETRANSLATE(A8695, ""en"", ""fr"")"),"Retraite n ° 2")</f>
        <v>Retraite n ° 2</v>
      </c>
      <c r="C8695" s="1" t="s">
        <v>185</v>
      </c>
      <c r="E8695" s="1" t="s">
        <v>16613</v>
      </c>
      <c r="H8695" s="1" t="s">
        <v>4</v>
      </c>
      <c r="L8695" s="1" t="s">
        <v>8</v>
      </c>
      <c r="N8695" s="1" t="s">
        <v>10</v>
      </c>
      <c r="AF8695" s="1" t="s">
        <v>28</v>
      </c>
      <c r="CE8695" s="1" t="s">
        <v>79</v>
      </c>
      <c r="DN8695" s="1" t="s">
        <v>114</v>
      </c>
      <c r="DT8695" s="1" t="s">
        <v>120</v>
      </c>
      <c r="ED8695" s="1" t="s">
        <v>130</v>
      </c>
      <c r="GD8695" s="1" t="s">
        <v>189</v>
      </c>
      <c r="GE8695" s="1" t="s">
        <v>190</v>
      </c>
    </row>
    <row r="8696" spans="1:187" ht="11.25" customHeight="1">
      <c r="A8696" s="1" t="s">
        <v>12191</v>
      </c>
      <c r="B8696" s="1" t="str">
        <f ca="1">IFERROR(__xludf.DUMMYFUNCTION("GOOGLETRANSLATE(A8696, ""en"", ""fr"")"),"RETRANCHEMENT")</f>
        <v>RETRANCHEMENT</v>
      </c>
      <c r="C8696" s="1" t="s">
        <v>196</v>
      </c>
      <c r="FO8696" s="1" t="s">
        <v>167</v>
      </c>
      <c r="GD8696" s="1" t="s">
        <v>193</v>
      </c>
    </row>
    <row r="8697" spans="1:187" ht="11.25" customHeight="1">
      <c r="A8697" s="1" t="s">
        <v>12192</v>
      </c>
      <c r="B8697" s="1" t="str">
        <f ca="1">IFERROR(__xludf.DUMMYFUNCTION("GOOGLETRANSLATE(A8697, ""en"", ""fr"")"),"Retour n ° 1")</f>
        <v>Retour n ° 1</v>
      </c>
      <c r="C8697" s="1" t="s">
        <v>185</v>
      </c>
      <c r="N8697" s="1" t="s">
        <v>10</v>
      </c>
      <c r="CE8697" s="1" t="s">
        <v>79</v>
      </c>
      <c r="DN8697" s="1" t="s">
        <v>114</v>
      </c>
      <c r="GD8697" s="1" t="s">
        <v>189</v>
      </c>
      <c r="GE8697" s="1" t="s">
        <v>12193</v>
      </c>
    </row>
    <row r="8698" spans="1:187" ht="11.25" customHeight="1">
      <c r="A8698" s="1" t="s">
        <v>12194</v>
      </c>
      <c r="B8698" s="1" t="str">
        <f ca="1">IFERROR(__xludf.DUMMYFUNCTION("GOOGLETRANSLATE(A8698, ""en"", ""fr"")"),"Retour n ° 2")</f>
        <v>Retour n ° 2</v>
      </c>
      <c r="C8698" s="1" t="s">
        <v>185</v>
      </c>
      <c r="D8698" s="1" t="s">
        <v>16612</v>
      </c>
      <c r="F8698" s="1" t="s">
        <v>2</v>
      </c>
      <c r="G8698" s="1" t="s">
        <v>3</v>
      </c>
      <c r="N8698" s="1" t="s">
        <v>10</v>
      </c>
      <c r="U8698" s="1" t="s">
        <v>17</v>
      </c>
      <c r="GD8698" s="1" t="s">
        <v>193</v>
      </c>
      <c r="GE8698" s="1" t="s">
        <v>12195</v>
      </c>
    </row>
    <row r="8699" spans="1:187" ht="11.25" customHeight="1">
      <c r="A8699" s="1" t="s">
        <v>12196</v>
      </c>
      <c r="B8699" s="1" t="str">
        <f ca="1">IFERROR(__xludf.DUMMYFUNCTION("GOOGLETRANSLATE(A8699, ""en"", ""fr"")"),"Retour n ° 3")</f>
        <v>Retour n ° 3</v>
      </c>
      <c r="C8699" s="1" t="s">
        <v>185</v>
      </c>
      <c r="AA8699" s="1" t="s">
        <v>23</v>
      </c>
      <c r="AC8699" s="1" t="s">
        <v>25</v>
      </c>
      <c r="BO8699" s="1" t="s">
        <v>63</v>
      </c>
      <c r="EV8699" s="1" t="s">
        <v>148</v>
      </c>
      <c r="EW8699" s="1" t="s">
        <v>149</v>
      </c>
      <c r="GD8699" s="1" t="s">
        <v>193</v>
      </c>
      <c r="GE8699" s="1" t="s">
        <v>12197</v>
      </c>
    </row>
    <row r="8700" spans="1:187" ht="11.25" customHeight="1">
      <c r="A8700" s="1" t="s">
        <v>12198</v>
      </c>
      <c r="B8700" s="1" t="str">
        <f ca="1">IFERROR(__xludf.DUMMYFUNCTION("GOOGLETRANSLATE(A8700, ""en"", ""fr"")"),"Retour n ° 4")</f>
        <v>Retour n ° 4</v>
      </c>
      <c r="C8700" s="1" t="s">
        <v>185</v>
      </c>
      <c r="BW8700" s="1" t="s">
        <v>71</v>
      </c>
      <c r="GD8700" s="1" t="s">
        <v>193</v>
      </c>
      <c r="GE8700" s="1" t="s">
        <v>12199</v>
      </c>
    </row>
    <row r="8701" spans="1:187" ht="11.25" customHeight="1">
      <c r="A8701" s="1" t="s">
        <v>12200</v>
      </c>
      <c r="B8701" s="1" t="str">
        <f ca="1">IFERROR(__xludf.DUMMYFUNCTION("GOOGLETRANSLATE(A8701, ""en"", ""fr"")"),"Retour n ° 5")</f>
        <v>Retour n ° 5</v>
      </c>
      <c r="C8701" s="1" t="s">
        <v>185</v>
      </c>
      <c r="D8701" s="1" t="s">
        <v>16612</v>
      </c>
      <c r="F8701" s="1" t="s">
        <v>2</v>
      </c>
      <c r="N8701" s="1" t="s">
        <v>10</v>
      </c>
      <c r="CD8701" s="1" t="s">
        <v>78</v>
      </c>
      <c r="DN8701" s="1" t="s">
        <v>114</v>
      </c>
      <c r="GD8701" s="1" t="s">
        <v>189</v>
      </c>
      <c r="GE8701" s="1" t="s">
        <v>12201</v>
      </c>
    </row>
    <row r="8702" spans="1:187" ht="11.25" customHeight="1">
      <c r="A8702" s="1" t="s">
        <v>12202</v>
      </c>
      <c r="B8702" s="1" t="str">
        <f ca="1">IFERROR(__xludf.DUMMYFUNCTION("GOOGLETRANSLATE(A8702, ""en"", ""fr"")"),"Réunification")</f>
        <v>Réunification</v>
      </c>
      <c r="C8702" s="1" t="s">
        <v>196</v>
      </c>
      <c r="FH8702" s="1" t="s">
        <v>160</v>
      </c>
      <c r="FI8702" s="1" t="s">
        <v>161</v>
      </c>
      <c r="GD8702" s="1" t="s">
        <v>193</v>
      </c>
    </row>
    <row r="8703" spans="1:187" ht="11.25" customHeight="1">
      <c r="A8703" s="1" t="s">
        <v>12203</v>
      </c>
      <c r="B8703" s="1" t="str">
        <f ca="1">IFERROR(__xludf.DUMMYFUNCTION("GOOGLETRANSLATE(A8703, ""en"", ""fr"")"),"RÉUNIFIER")</f>
        <v>RÉUNIFIER</v>
      </c>
      <c r="C8703" s="1" t="s">
        <v>196</v>
      </c>
      <c r="DS8703" s="1" t="s">
        <v>119</v>
      </c>
      <c r="ED8703" s="1" t="s">
        <v>130</v>
      </c>
      <c r="GD8703" s="1" t="s">
        <v>189</v>
      </c>
    </row>
    <row r="8704" spans="1:187" ht="11.25" customHeight="1">
      <c r="A8704" s="1" t="s">
        <v>12204</v>
      </c>
      <c r="B8704" s="1" t="str">
        <f ca="1">IFERROR(__xludf.DUMMYFUNCTION("GOOGLETRANSLATE(A8704, ""en"", ""fr"")"),"RÉUNION")</f>
        <v>RÉUNION</v>
      </c>
      <c r="C8704" s="1" t="s">
        <v>192</v>
      </c>
      <c r="D8704" s="1" t="s">
        <v>16612</v>
      </c>
      <c r="AK8704" s="1" t="s">
        <v>33</v>
      </c>
      <c r="CE8704" s="1" t="s">
        <v>79</v>
      </c>
      <c r="GD8704" s="1" t="s">
        <v>193</v>
      </c>
      <c r="GE8704" s="1" t="s">
        <v>190</v>
      </c>
    </row>
    <row r="8705" spans="1:187" ht="11.25" customHeight="1">
      <c r="A8705" s="1" t="s">
        <v>12205</v>
      </c>
      <c r="B8705" s="1" t="str">
        <f ca="1">IFERROR(__xludf.DUMMYFUNCTION("GOOGLETRANSLATE(A8705, ""en"", ""fr"")"),"RÉUNIR")</f>
        <v>RÉUNIR</v>
      </c>
      <c r="C8705" s="1" t="s">
        <v>192</v>
      </c>
      <c r="D8705" s="1" t="s">
        <v>16612</v>
      </c>
      <c r="N8705" s="1" t="s">
        <v>10</v>
      </c>
      <c r="CE8705" s="1" t="s">
        <v>79</v>
      </c>
      <c r="DN8705" s="1" t="s">
        <v>114</v>
      </c>
      <c r="GD8705" s="1" t="s">
        <v>189</v>
      </c>
      <c r="GE8705" s="1" t="s">
        <v>190</v>
      </c>
    </row>
    <row r="8706" spans="1:187" ht="11.25" customHeight="1">
      <c r="A8706" s="1" t="s">
        <v>12206</v>
      </c>
      <c r="B8706" s="1" t="str">
        <f ca="1">IFERROR(__xludf.DUMMYFUNCTION("GOOGLETRANSLATE(A8706, ""en"", ""fr"")"),"RÉÉVALUATION")</f>
        <v>RÉÉVALUATION</v>
      </c>
      <c r="C8706" s="1" t="s">
        <v>196</v>
      </c>
      <c r="EU8706" s="1" t="s">
        <v>147</v>
      </c>
      <c r="EW8706" s="1" t="s">
        <v>149</v>
      </c>
      <c r="GD8706" s="1" t="s">
        <v>193</v>
      </c>
    </row>
    <row r="8707" spans="1:187" ht="11.25" customHeight="1">
      <c r="A8707" s="1" t="s">
        <v>12207</v>
      </c>
      <c r="B8707" s="1" t="str">
        <f ca="1">IFERROR(__xludf.DUMMYFUNCTION("GOOGLETRANSLATE(A8707, ""en"", ""fr"")"),"Révéler # 1")</f>
        <v>Révéler # 1</v>
      </c>
      <c r="C8707" s="1" t="s">
        <v>185</v>
      </c>
      <c r="BK8707" s="1" t="s">
        <v>59</v>
      </c>
      <c r="DN8707" s="1" t="s">
        <v>114</v>
      </c>
      <c r="FD8707" s="1" t="s">
        <v>156</v>
      </c>
      <c r="FI8707" s="1" t="s">
        <v>161</v>
      </c>
      <c r="GD8707" s="1" t="s">
        <v>400</v>
      </c>
      <c r="GE8707" s="1" t="s">
        <v>12208</v>
      </c>
    </row>
    <row r="8708" spans="1:187" ht="11.25" customHeight="1">
      <c r="A8708" s="1" t="s">
        <v>12209</v>
      </c>
      <c r="B8708" s="1" t="str">
        <f ca="1">IFERROR(__xludf.DUMMYFUNCTION("GOOGLETRANSLATE(A8708, ""en"", ""fr"")"),"Révéler # 2")</f>
        <v>Révéler # 2</v>
      </c>
      <c r="C8708" s="1" t="s">
        <v>185</v>
      </c>
      <c r="BK8708" s="1" t="s">
        <v>59</v>
      </c>
      <c r="FH8708" s="1" t="s">
        <v>160</v>
      </c>
      <c r="FI8708" s="1" t="s">
        <v>161</v>
      </c>
      <c r="GC8708" s="1" t="s">
        <v>181</v>
      </c>
      <c r="GD8708" s="1" t="s">
        <v>202</v>
      </c>
      <c r="GE8708" s="1" t="s">
        <v>12210</v>
      </c>
    </row>
    <row r="8709" spans="1:187" ht="11.25" customHeight="1">
      <c r="A8709" s="1" t="s">
        <v>12211</v>
      </c>
      <c r="B8709" s="1" t="str">
        <f ca="1">IFERROR(__xludf.DUMMYFUNCTION("GOOGLETRANSLATE(A8709, ""en"", ""fr"")"),"Révéler # 3")</f>
        <v>Révéler # 3</v>
      </c>
      <c r="C8709" s="1" t="s">
        <v>185</v>
      </c>
      <c r="O8709" s="1" t="s">
        <v>11</v>
      </c>
      <c r="BK8709" s="1" t="s">
        <v>59</v>
      </c>
      <c r="FH8709" s="1" t="s">
        <v>160</v>
      </c>
      <c r="FI8709" s="1" t="s">
        <v>161</v>
      </c>
      <c r="GC8709" s="1" t="s">
        <v>181</v>
      </c>
      <c r="GD8709" s="1" t="s">
        <v>202</v>
      </c>
      <c r="GE8709" s="1" t="s">
        <v>12212</v>
      </c>
    </row>
    <row r="8710" spans="1:187" ht="11.25" customHeight="1">
      <c r="A8710" s="1" t="s">
        <v>12213</v>
      </c>
      <c r="B8710" s="1" t="str">
        <f ca="1">IFERROR(__xludf.DUMMYFUNCTION("GOOGLETRANSLATE(A8710, ""en"", ""fr"")"),"SE DÉLECTER")</f>
        <v>SE DÉLECTER</v>
      </c>
      <c r="C8710" s="1" t="s">
        <v>192</v>
      </c>
      <c r="D8710" s="1" t="s">
        <v>16612</v>
      </c>
      <c r="N8710" s="1" t="s">
        <v>10</v>
      </c>
      <c r="P8710" s="1" t="s">
        <v>12</v>
      </c>
      <c r="DN8710" s="1" t="s">
        <v>114</v>
      </c>
      <c r="GD8710" s="1" t="s">
        <v>189</v>
      </c>
      <c r="GE8710" s="1" t="s">
        <v>190</v>
      </c>
    </row>
    <row r="8711" spans="1:187" ht="11.25" customHeight="1">
      <c r="A8711" s="1" t="s">
        <v>12214</v>
      </c>
      <c r="B8711" s="1" t="str">
        <f ca="1">IFERROR(__xludf.DUMMYFUNCTION("GOOGLETRANSLATE(A8711, ""en"", ""fr"")"),"RÉVÉLATION")</f>
        <v>RÉVÉLATION</v>
      </c>
      <c r="C8711" s="1" t="s">
        <v>192</v>
      </c>
      <c r="D8711" s="1" t="s">
        <v>16612</v>
      </c>
      <c r="CG8711" s="1" t="s">
        <v>81</v>
      </c>
      <c r="CO8711" s="1" t="s">
        <v>89</v>
      </c>
      <c r="GD8711" s="1" t="s">
        <v>193</v>
      </c>
      <c r="GE8711" s="1" t="s">
        <v>190</v>
      </c>
    </row>
    <row r="8712" spans="1:187" ht="11.25" customHeight="1">
      <c r="A8712" s="1" t="s">
        <v>12215</v>
      </c>
      <c r="B8712" s="1" t="str">
        <f ca="1">IFERROR(__xludf.DUMMYFUNCTION("GOOGLETRANSLATE(A8712, ""en"", ""fr"")"),"VENGEANCE")</f>
        <v>VENGEANCE</v>
      </c>
      <c r="C8712" s="1" t="s">
        <v>192</v>
      </c>
      <c r="E8712" s="1" t="s">
        <v>16613</v>
      </c>
      <c r="I8712" s="1" t="s">
        <v>5</v>
      </c>
      <c r="AN8712" s="1" t="s">
        <v>36</v>
      </c>
      <c r="GD8712" s="1" t="s">
        <v>193</v>
      </c>
      <c r="GE8712" s="1" t="s">
        <v>190</v>
      </c>
    </row>
    <row r="8713" spans="1:187" ht="11.25" customHeight="1">
      <c r="A8713" s="1" t="s">
        <v>12216</v>
      </c>
      <c r="B8713" s="1" t="str">
        <f ca="1">IFERROR(__xludf.DUMMYFUNCTION("GOOGLETRANSLATE(A8713, ""en"", ""fr"")"),"REVENU")</f>
        <v>REVENU</v>
      </c>
      <c r="C8713" s="1" t="s">
        <v>185</v>
      </c>
      <c r="J8713" s="1" t="s">
        <v>6</v>
      </c>
      <c r="AA8713" s="1" t="s">
        <v>23</v>
      </c>
      <c r="AC8713" s="1" t="s">
        <v>25</v>
      </c>
      <c r="AH8713" s="1" t="s">
        <v>30</v>
      </c>
      <c r="BQ8713" s="1" t="s">
        <v>65</v>
      </c>
      <c r="ET8713" s="1" t="s">
        <v>146</v>
      </c>
      <c r="EW8713" s="1" t="s">
        <v>149</v>
      </c>
      <c r="GD8713" s="1" t="s">
        <v>193</v>
      </c>
      <c r="GE8713" s="1" t="s">
        <v>190</v>
      </c>
    </row>
    <row r="8714" spans="1:187" ht="11.25" customHeight="1">
      <c r="A8714" s="1" t="s">
        <v>12217</v>
      </c>
      <c r="B8714" s="1" t="str">
        <f ca="1">IFERROR(__xludf.DUMMYFUNCTION("GOOGLETRANSLATE(A8714, ""en"", ""fr"")"),"RÉVÉRER")</f>
        <v>RÉVÉRER</v>
      </c>
      <c r="C8714" s="1" t="s">
        <v>192</v>
      </c>
      <c r="D8714" s="1" t="s">
        <v>16612</v>
      </c>
      <c r="G8714" s="1" t="s">
        <v>3</v>
      </c>
      <c r="M8714" s="1" t="s">
        <v>9</v>
      </c>
      <c r="N8714" s="1" t="s">
        <v>10</v>
      </c>
      <c r="CJ8714" s="1" t="s">
        <v>84</v>
      </c>
      <c r="DN8714" s="1" t="s">
        <v>114</v>
      </c>
      <c r="GD8714" s="1" t="s">
        <v>189</v>
      </c>
      <c r="GE8714" s="1" t="s">
        <v>190</v>
      </c>
    </row>
    <row r="8715" spans="1:187" ht="11.25" customHeight="1">
      <c r="A8715" s="1" t="s">
        <v>12218</v>
      </c>
      <c r="B8715" s="1" t="str">
        <f ca="1">IFERROR(__xludf.DUMMYFUNCTION("GOOGLETRANSLATE(A8715, ""en"", ""fr"")"),"RÉVÉRENCE")</f>
        <v>RÉVÉRENCE</v>
      </c>
      <c r="C8715" s="1" t="s">
        <v>185</v>
      </c>
      <c r="D8715" s="1" t="s">
        <v>16612</v>
      </c>
      <c r="G8715" s="1" t="s">
        <v>3</v>
      </c>
      <c r="M8715" s="1" t="s">
        <v>9</v>
      </c>
      <c r="CJ8715" s="1" t="s">
        <v>84</v>
      </c>
      <c r="EM8715" s="1" t="s">
        <v>139</v>
      </c>
      <c r="EN8715" s="1" t="s">
        <v>140</v>
      </c>
      <c r="GD8715" s="1" t="s">
        <v>193</v>
      </c>
      <c r="GE8715" s="1" t="s">
        <v>190</v>
      </c>
    </row>
    <row r="8716" spans="1:187" ht="11.25" customHeight="1">
      <c r="A8716" s="1" t="s">
        <v>12219</v>
      </c>
      <c r="B8716" s="1" t="str">
        <f ca="1">IFERROR(__xludf.DUMMYFUNCTION("GOOGLETRANSLATE(A8716, ""en"", ""fr"")"),"RÉVÉREND")</f>
        <v>RÉVÉREND</v>
      </c>
      <c r="C8716" s="1" t="s">
        <v>185</v>
      </c>
      <c r="AI8716" s="1" t="s">
        <v>31</v>
      </c>
      <c r="AJ8716" s="1" t="s">
        <v>32</v>
      </c>
      <c r="AT8716" s="1" t="s">
        <v>42</v>
      </c>
      <c r="EF8716" s="1" t="s">
        <v>132</v>
      </c>
      <c r="EJ8716" s="1" t="s">
        <v>136</v>
      </c>
      <c r="GD8716" s="1" t="s">
        <v>193</v>
      </c>
      <c r="GE8716" s="1" t="s">
        <v>190</v>
      </c>
    </row>
    <row r="8717" spans="1:187" ht="11.25" customHeight="1">
      <c r="A8717" s="1" t="s">
        <v>12220</v>
      </c>
      <c r="B8717" s="1" t="str">
        <f ca="1">IFERROR(__xludf.DUMMYFUNCTION("GOOGLETRANSLATE(A8717, ""en"", ""fr"")"),"RESPECTUEUX")</f>
        <v>RESPECTUEUX</v>
      </c>
      <c r="C8717" s="1" t="s">
        <v>192</v>
      </c>
      <c r="D8717" s="1" t="s">
        <v>16612</v>
      </c>
      <c r="G8717" s="1" t="s">
        <v>3</v>
      </c>
      <c r="M8717" s="1" t="s">
        <v>9</v>
      </c>
      <c r="CJ8717" s="1" t="s">
        <v>84</v>
      </c>
      <c r="DR8717" s="1" t="s">
        <v>118</v>
      </c>
      <c r="GD8717" s="1" t="s">
        <v>202</v>
      </c>
      <c r="GE8717" s="1" t="s">
        <v>190</v>
      </c>
    </row>
    <row r="8718" spans="1:187" ht="11.25" customHeight="1">
      <c r="A8718" s="1" t="s">
        <v>12221</v>
      </c>
      <c r="B8718" s="1" t="str">
        <f ca="1">IFERROR(__xludf.DUMMYFUNCTION("GOOGLETRANSLATE(A8718, ""en"", ""fr"")"),"De façon révérencieusement")</f>
        <v>De façon révérencieusement</v>
      </c>
      <c r="C8718" s="1" t="s">
        <v>192</v>
      </c>
      <c r="D8718" s="1" t="s">
        <v>16612</v>
      </c>
      <c r="G8718" s="1" t="s">
        <v>3</v>
      </c>
      <c r="M8718" s="1" t="s">
        <v>9</v>
      </c>
      <c r="N8718" s="1" t="s">
        <v>10</v>
      </c>
      <c r="CJ8718" s="1" t="s">
        <v>84</v>
      </c>
      <c r="GD8718" s="1" t="s">
        <v>202</v>
      </c>
      <c r="GE8718" s="1" t="s">
        <v>190</v>
      </c>
    </row>
    <row r="8719" spans="1:187" ht="11.25" customHeight="1">
      <c r="A8719" s="1" t="s">
        <v>12222</v>
      </c>
      <c r="B8719" s="1" t="str">
        <f ca="1">IFERROR(__xludf.DUMMYFUNCTION("GOOGLETRANSLATE(A8719, ""en"", ""fr"")"),"Inverse n ° 1")</f>
        <v>Inverse n ° 1</v>
      </c>
      <c r="C8719" s="1" t="s">
        <v>185</v>
      </c>
      <c r="BW8719" s="1" t="s">
        <v>71</v>
      </c>
      <c r="BY8719" s="1" t="s">
        <v>73</v>
      </c>
      <c r="GD8719" s="1" t="s">
        <v>193</v>
      </c>
      <c r="GE8719" s="1" t="s">
        <v>190</v>
      </c>
    </row>
    <row r="8720" spans="1:187" ht="11.25" customHeight="1">
      <c r="A8720" s="1" t="s">
        <v>12223</v>
      </c>
      <c r="B8720" s="1" t="str">
        <f ca="1">IFERROR(__xludf.DUMMYFUNCTION("GOOGLETRANSLATE(A8720, ""en"", ""fr"")"),"Inverse n ° 2")</f>
        <v>Inverse n ° 2</v>
      </c>
      <c r="C8720" s="1" t="s">
        <v>185</v>
      </c>
      <c r="N8720" s="1" t="s">
        <v>10</v>
      </c>
      <c r="BW8720" s="1" t="s">
        <v>71</v>
      </c>
      <c r="DN8720" s="1" t="s">
        <v>114</v>
      </c>
      <c r="GD8720" s="1" t="s">
        <v>189</v>
      </c>
      <c r="GE8720" s="1" t="s">
        <v>190</v>
      </c>
    </row>
    <row r="8721" spans="1:187" ht="11.25" customHeight="1">
      <c r="A8721" s="1" t="s">
        <v>12224</v>
      </c>
      <c r="B8721" s="1" t="str">
        <f ca="1">IFERROR(__xludf.DUMMYFUNCTION("GOOGLETRANSLATE(A8721, ""en"", ""fr"")"),"REVENIR")</f>
        <v>REVENIR</v>
      </c>
      <c r="C8721" s="1" t="s">
        <v>185</v>
      </c>
      <c r="E8721" s="1" t="s">
        <v>16613</v>
      </c>
      <c r="L8721" s="1" t="s">
        <v>8</v>
      </c>
      <c r="N8721" s="1" t="s">
        <v>10</v>
      </c>
      <c r="DN8721" s="1" t="s">
        <v>114</v>
      </c>
      <c r="FP8721" s="1" t="s">
        <v>168</v>
      </c>
      <c r="GD8721" s="1" t="s">
        <v>189</v>
      </c>
      <c r="GE8721" s="1" t="s">
        <v>190</v>
      </c>
    </row>
    <row r="8722" spans="1:187" ht="11.25" customHeight="1">
      <c r="A8722" s="1" t="s">
        <v>12225</v>
      </c>
      <c r="B8722" s="1" t="str">
        <f ca="1">IFERROR(__xludf.DUMMYFUNCTION("GOOGLETRANSLATE(A8722, ""en"", ""fr"")"),"Revue n ° 1")</f>
        <v>Revue n ° 1</v>
      </c>
      <c r="C8722" s="1" t="s">
        <v>185</v>
      </c>
      <c r="BQ8722" s="1" t="s">
        <v>65</v>
      </c>
      <c r="FH8722" s="1" t="s">
        <v>160</v>
      </c>
      <c r="FI8722" s="1" t="s">
        <v>161</v>
      </c>
      <c r="GD8722" s="1" t="s">
        <v>193</v>
      </c>
      <c r="GE8722" s="1" t="s">
        <v>190</v>
      </c>
    </row>
    <row r="8723" spans="1:187" ht="11.25" customHeight="1">
      <c r="A8723" s="1" t="s">
        <v>12226</v>
      </c>
      <c r="B8723" s="1" t="str">
        <f ca="1">IFERROR(__xludf.DUMMYFUNCTION("GOOGLETRANSLATE(A8723, ""en"", ""fr"")"),"Revue n ° 2")</f>
        <v>Revue n ° 2</v>
      </c>
      <c r="C8723" s="1" t="s">
        <v>185</v>
      </c>
      <c r="CO8723" s="1" t="s">
        <v>89</v>
      </c>
      <c r="DN8723" s="1" t="s">
        <v>114</v>
      </c>
      <c r="FH8723" s="1" t="s">
        <v>160</v>
      </c>
      <c r="FI8723" s="1" t="s">
        <v>161</v>
      </c>
      <c r="GD8723" s="1" t="s">
        <v>189</v>
      </c>
      <c r="GE8723" s="1" t="s">
        <v>190</v>
      </c>
    </row>
    <row r="8724" spans="1:187" ht="11.25" customHeight="1">
      <c r="A8724" s="1" t="s">
        <v>12227</v>
      </c>
      <c r="B8724" s="1" t="str">
        <f ca="1">IFERROR(__xludf.DUMMYFUNCTION("GOOGLETRANSLATE(A8724, ""en"", ""fr"")"),"Réviser # 1")</f>
        <v>Réviser # 1</v>
      </c>
      <c r="C8724" s="1" t="s">
        <v>185</v>
      </c>
      <c r="BW8724" s="1" t="s">
        <v>71</v>
      </c>
      <c r="FP8724" s="1" t="s">
        <v>168</v>
      </c>
      <c r="GD8724" s="1" t="s">
        <v>202</v>
      </c>
      <c r="GE8724" s="1" t="s">
        <v>190</v>
      </c>
    </row>
    <row r="8725" spans="1:187" ht="11.25" customHeight="1">
      <c r="A8725" s="1" t="s">
        <v>12228</v>
      </c>
      <c r="B8725" s="1" t="str">
        <f ca="1">IFERROR(__xludf.DUMMYFUNCTION("GOOGLETRANSLATE(A8725, ""en"", ""fr"")"),"Réviser # 2")</f>
        <v>Réviser # 2</v>
      </c>
      <c r="C8725" s="1" t="s">
        <v>185</v>
      </c>
      <c r="N8725" s="1" t="s">
        <v>10</v>
      </c>
      <c r="AL8725" s="1" t="s">
        <v>34</v>
      </c>
      <c r="DN8725" s="1" t="s">
        <v>114</v>
      </c>
      <c r="FP8725" s="1" t="s">
        <v>168</v>
      </c>
      <c r="GD8725" s="1" t="s">
        <v>189</v>
      </c>
      <c r="GE8725" s="1" t="s">
        <v>190</v>
      </c>
    </row>
    <row r="8726" spans="1:187" ht="11.25" customHeight="1">
      <c r="A8726" s="1" t="s">
        <v>12229</v>
      </c>
      <c r="B8726" s="1" t="str">
        <f ca="1">IFERROR(__xludf.DUMMYFUNCTION("GOOGLETRANSLATE(A8726, ""en"", ""fr"")"),"RÉVISION")</f>
        <v>RÉVISION</v>
      </c>
      <c r="C8726" s="1" t="s">
        <v>185</v>
      </c>
      <c r="BW8726" s="1" t="s">
        <v>71</v>
      </c>
      <c r="FP8726" s="1" t="s">
        <v>168</v>
      </c>
      <c r="GD8726" s="1" t="s">
        <v>193</v>
      </c>
      <c r="GE8726" s="1" t="s">
        <v>190</v>
      </c>
    </row>
    <row r="8727" spans="1:187" ht="11.25" customHeight="1">
      <c r="A8727" s="1" t="s">
        <v>12230</v>
      </c>
      <c r="B8727" s="1" t="str">
        <f ca="1">IFERROR(__xludf.DUMMYFUNCTION("GOOGLETRANSLATE(A8727, ""en"", ""fr"")"),"REVISITER")</f>
        <v>REVISITER</v>
      </c>
      <c r="C8727" s="1" t="s">
        <v>196</v>
      </c>
      <c r="FH8727" s="1" t="s">
        <v>160</v>
      </c>
      <c r="FI8727" s="1" t="s">
        <v>161</v>
      </c>
      <c r="GD8727" s="1" t="s">
        <v>189</v>
      </c>
    </row>
    <row r="8728" spans="1:187" ht="11.25" customHeight="1">
      <c r="A8728" s="1" t="s">
        <v>12231</v>
      </c>
      <c r="B8728" s="1" t="str">
        <f ca="1">IFERROR(__xludf.DUMMYFUNCTION("GOOGLETRANSLATE(A8728, ""en"", ""fr"")"),"Revitaliser")</f>
        <v>Revitaliser</v>
      </c>
      <c r="C8728" s="1" t="s">
        <v>192</v>
      </c>
      <c r="D8728" s="1" t="s">
        <v>16612</v>
      </c>
      <c r="G8728" s="1" t="s">
        <v>3</v>
      </c>
      <c r="N8728" s="1" t="s">
        <v>10</v>
      </c>
      <c r="CD8728" s="1" t="s">
        <v>78</v>
      </c>
      <c r="DN8728" s="1" t="s">
        <v>114</v>
      </c>
      <c r="GD8728" s="1" t="s">
        <v>189</v>
      </c>
      <c r="GE8728" s="1" t="s">
        <v>190</v>
      </c>
    </row>
    <row r="8729" spans="1:187" ht="11.25" customHeight="1">
      <c r="A8729" s="1" t="s">
        <v>12232</v>
      </c>
      <c r="B8729" s="1" t="str">
        <f ca="1">IFERROR(__xludf.DUMMYFUNCTION("GOOGLETRANSLATE(A8729, ""en"", ""fr"")"),"LA RELANCE")</f>
        <v>LA RELANCE</v>
      </c>
      <c r="C8729" s="1" t="s">
        <v>185</v>
      </c>
      <c r="D8729" s="1" t="s">
        <v>16612</v>
      </c>
      <c r="AK8729" s="1" t="s">
        <v>33</v>
      </c>
      <c r="CE8729" s="1" t="s">
        <v>79</v>
      </c>
      <c r="FP8729" s="1" t="s">
        <v>168</v>
      </c>
      <c r="GD8729" s="1" t="s">
        <v>193</v>
      </c>
      <c r="GE8729" s="1" t="s">
        <v>190</v>
      </c>
    </row>
    <row r="8730" spans="1:187" ht="11.25" customHeight="1">
      <c r="A8730" s="1" t="s">
        <v>12233</v>
      </c>
      <c r="B8730" s="1" t="str">
        <f ca="1">IFERROR(__xludf.DUMMYFUNCTION("GOOGLETRANSLATE(A8730, ""en"", ""fr"")"),"RELANCER")</f>
        <v>RELANCER</v>
      </c>
      <c r="C8730" s="1" t="s">
        <v>185</v>
      </c>
      <c r="D8730" s="1" t="s">
        <v>16612</v>
      </c>
      <c r="F8730" s="1" t="s">
        <v>2</v>
      </c>
      <c r="J8730" s="1" t="s">
        <v>6</v>
      </c>
      <c r="N8730" s="1" t="s">
        <v>10</v>
      </c>
      <c r="BV8730" s="1" t="s">
        <v>70</v>
      </c>
      <c r="DN8730" s="1" t="s">
        <v>114</v>
      </c>
      <c r="FP8730" s="1" t="s">
        <v>168</v>
      </c>
      <c r="GD8730" s="1" t="s">
        <v>189</v>
      </c>
      <c r="GE8730" s="1" t="s">
        <v>190</v>
      </c>
    </row>
    <row r="8731" spans="1:187" ht="11.25" customHeight="1">
      <c r="A8731" s="1" t="s">
        <v>12234</v>
      </c>
      <c r="B8731" s="1" t="str">
        <f ca="1">IFERROR(__xludf.DUMMYFUNCTION("GOOGLETRANSLATE(A8731, ""en"", ""fr"")"),"RÉVOQUER")</f>
        <v>RÉVOQUER</v>
      </c>
      <c r="C8731" s="1" t="s">
        <v>192</v>
      </c>
      <c r="E8731" s="1" t="s">
        <v>16613</v>
      </c>
      <c r="N8731" s="1" t="s">
        <v>10</v>
      </c>
      <c r="CD8731" s="1" t="s">
        <v>78</v>
      </c>
      <c r="DN8731" s="1" t="s">
        <v>114</v>
      </c>
      <c r="GD8731" s="1" t="s">
        <v>189</v>
      </c>
      <c r="GE8731" s="1" t="s">
        <v>190</v>
      </c>
    </row>
    <row r="8732" spans="1:187" ht="11.25" customHeight="1">
      <c r="A8732" s="1" t="s">
        <v>12235</v>
      </c>
      <c r="B8732" s="1" t="str">
        <f ca="1">IFERROR(__xludf.DUMMYFUNCTION("GOOGLETRANSLATE(A8732, ""en"", ""fr"")"),"RÉVOLTE")</f>
        <v>RÉVOLTE</v>
      </c>
      <c r="C8732" s="1" t="s">
        <v>185</v>
      </c>
      <c r="E8732" s="1" t="s">
        <v>16613</v>
      </c>
      <c r="G8732" s="1" t="s">
        <v>3</v>
      </c>
      <c r="I8732" s="1" t="s">
        <v>5</v>
      </c>
      <c r="N8732" s="1" t="s">
        <v>10</v>
      </c>
      <c r="AG8732" s="1" t="s">
        <v>29</v>
      </c>
      <c r="DN8732" s="1" t="s">
        <v>114</v>
      </c>
      <c r="DW8732" s="1" t="s">
        <v>123</v>
      </c>
      <c r="ED8732" s="1" t="s">
        <v>130</v>
      </c>
      <c r="FW8732" s="1" t="s">
        <v>175</v>
      </c>
      <c r="GD8732" s="1" t="s">
        <v>189</v>
      </c>
      <c r="GE8732" s="1" t="s">
        <v>190</v>
      </c>
    </row>
    <row r="8733" spans="1:187" ht="11.25" customHeight="1">
      <c r="A8733" s="1" t="s">
        <v>12236</v>
      </c>
      <c r="B8733" s="1" t="str">
        <f ca="1">IFERROR(__xludf.DUMMYFUNCTION("GOOGLETRANSLATE(A8733, ""en"", ""fr"")"),"RÉVOLUTION")</f>
        <v>RÉVOLUTION</v>
      </c>
      <c r="C8733" s="1" t="s">
        <v>185</v>
      </c>
      <c r="E8733" s="1" t="s">
        <v>16613</v>
      </c>
      <c r="H8733" s="1" t="s">
        <v>4</v>
      </c>
      <c r="I8733" s="1" t="s">
        <v>5</v>
      </c>
      <c r="AG8733" s="1" t="s">
        <v>29</v>
      </c>
      <c r="AH8733" s="1" t="s">
        <v>30</v>
      </c>
      <c r="AM8733" s="1" t="s">
        <v>35</v>
      </c>
      <c r="DW8733" s="1" t="s">
        <v>123</v>
      </c>
      <c r="ED8733" s="1" t="s">
        <v>130</v>
      </c>
      <c r="GD8733" s="1" t="s">
        <v>12237</v>
      </c>
      <c r="GE8733" s="1" t="s">
        <v>12238</v>
      </c>
    </row>
    <row r="8734" spans="1:187" ht="11.25" customHeight="1">
      <c r="A8734" s="1" t="s">
        <v>12239</v>
      </c>
      <c r="B8734" s="1" t="str">
        <f ca="1">IFERROR(__xludf.DUMMYFUNCTION("GOOGLETRANSLATE(A8734, ""en"", ""fr"")"),"RÉVOLUTIONNAIRE")</f>
        <v>RÉVOLUTIONNAIRE</v>
      </c>
      <c r="C8734" s="1" t="s">
        <v>185</v>
      </c>
      <c r="I8734" s="1" t="s">
        <v>5</v>
      </c>
      <c r="J8734" s="1" t="s">
        <v>6</v>
      </c>
      <c r="Z8734" s="1" t="s">
        <v>22</v>
      </c>
      <c r="AC8734" s="1" t="s">
        <v>25</v>
      </c>
      <c r="AG8734" s="1" t="s">
        <v>29</v>
      </c>
      <c r="AH8734" s="1" t="s">
        <v>30</v>
      </c>
      <c r="DW8734" s="1" t="s">
        <v>123</v>
      </c>
      <c r="ED8734" s="1" t="s">
        <v>130</v>
      </c>
      <c r="GD8734" s="1" t="s">
        <v>202</v>
      </c>
      <c r="GE8734" s="1" t="s">
        <v>190</v>
      </c>
    </row>
    <row r="8735" spans="1:187" ht="11.25" customHeight="1">
      <c r="A8735" s="1" t="s">
        <v>12240</v>
      </c>
      <c r="B8735" s="1" t="str">
        <f ca="1">IFERROR(__xludf.DUMMYFUNCTION("GOOGLETRANSLATE(A8735, ""en"", ""fr"")"),"Récompense n ° 1")</f>
        <v>Récompense n ° 1</v>
      </c>
      <c r="C8735" s="1" t="s">
        <v>185</v>
      </c>
      <c r="D8735" s="1" t="s">
        <v>16612</v>
      </c>
      <c r="F8735" s="1" t="s">
        <v>2</v>
      </c>
      <c r="J8735" s="1" t="s">
        <v>6</v>
      </c>
      <c r="AA8735" s="1" t="s">
        <v>23</v>
      </c>
      <c r="AC8735" s="1" t="s">
        <v>25</v>
      </c>
      <c r="BO8735" s="1" t="s">
        <v>63</v>
      </c>
      <c r="GD8735" s="1" t="s">
        <v>193</v>
      </c>
      <c r="GE8735" s="1" t="s">
        <v>12241</v>
      </c>
    </row>
    <row r="8736" spans="1:187" ht="11.25" customHeight="1">
      <c r="A8736" s="1" t="s">
        <v>12242</v>
      </c>
      <c r="B8736" s="1" t="str">
        <f ca="1">IFERROR(__xludf.DUMMYFUNCTION("GOOGLETRANSLATE(A8736, ""en"", ""fr"")"),"Récompense n ° 2")</f>
        <v>Récompense n ° 2</v>
      </c>
      <c r="C8736" s="1" t="s">
        <v>185</v>
      </c>
      <c r="D8736" s="1" t="s">
        <v>16612</v>
      </c>
      <c r="F8736" s="1" t="s">
        <v>2</v>
      </c>
      <c r="J8736" s="1" t="s">
        <v>6</v>
      </c>
      <c r="N8736" s="1" t="s">
        <v>10</v>
      </c>
      <c r="AB8736" s="1" t="s">
        <v>24</v>
      </c>
      <c r="DN8736" s="1" t="s">
        <v>114</v>
      </c>
      <c r="FN8736" s="1" t="s">
        <v>166</v>
      </c>
      <c r="GD8736" s="1" t="s">
        <v>189</v>
      </c>
      <c r="GE8736" s="1" t="s">
        <v>12243</v>
      </c>
    </row>
    <row r="8737" spans="1:187" ht="11.25" customHeight="1">
      <c r="A8737" s="1" t="s">
        <v>12244</v>
      </c>
      <c r="B8737" s="1" t="str">
        <f ca="1">IFERROR(__xludf.DUMMYFUNCTION("GOOGLETRANSLATE(A8737, ""en"", ""fr"")"),"Récompense n ° 3")</f>
        <v>Récompense n ° 3</v>
      </c>
      <c r="C8737" s="1" t="s">
        <v>185</v>
      </c>
      <c r="D8737" s="1" t="s">
        <v>16612</v>
      </c>
      <c r="F8737" s="1" t="s">
        <v>2</v>
      </c>
      <c r="J8737" s="1" t="s">
        <v>6</v>
      </c>
      <c r="U8737" s="1" t="s">
        <v>17</v>
      </c>
      <c r="CN8737" s="1" t="s">
        <v>88</v>
      </c>
      <c r="FX8737" s="1" t="s">
        <v>176</v>
      </c>
      <c r="GD8737" s="1" t="s">
        <v>202</v>
      </c>
      <c r="GE8737" s="1" t="s">
        <v>12245</v>
      </c>
    </row>
    <row r="8738" spans="1:187" ht="11.25" customHeight="1">
      <c r="A8738" s="1" t="s">
        <v>12246</v>
      </c>
      <c r="B8738" s="1" t="str">
        <f ca="1">IFERROR(__xludf.DUMMYFUNCTION("GOOGLETRANSLATE(A8738, ""en"", ""fr"")"),"RHIN")</f>
        <v>RHIN</v>
      </c>
      <c r="C8738" s="1" t="s">
        <v>196</v>
      </c>
      <c r="DV8738" s="1" t="s">
        <v>122</v>
      </c>
      <c r="ED8738" s="1" t="s">
        <v>130</v>
      </c>
      <c r="GD8738" s="1" t="s">
        <v>6392</v>
      </c>
    </row>
    <row r="8739" spans="1:187" ht="11.25" customHeight="1">
      <c r="A8739" s="1" t="s">
        <v>12247</v>
      </c>
      <c r="B8739" s="1" t="str">
        <f ca="1">IFERROR(__xludf.DUMMYFUNCTION("GOOGLETRANSLATE(A8739, ""en"", ""fr"")"),"Rhénanie")</f>
        <v>Rhénanie</v>
      </c>
      <c r="C8739" s="1" t="s">
        <v>196</v>
      </c>
      <c r="DV8739" s="1" t="s">
        <v>122</v>
      </c>
      <c r="ED8739" s="1" t="s">
        <v>130</v>
      </c>
      <c r="GD8739" s="1" t="s">
        <v>6392</v>
      </c>
    </row>
    <row r="8740" spans="1:187" ht="11.25" customHeight="1">
      <c r="A8740" s="1" t="s">
        <v>12248</v>
      </c>
      <c r="B8740" s="1" t="str">
        <f ca="1">IFERROR(__xludf.DUMMYFUNCTION("GOOGLETRANSLATE(A8740, ""en"", ""fr"")"),"RHINOCÉROS")</f>
        <v>RHINOCÉROS</v>
      </c>
      <c r="C8740" s="1" t="s">
        <v>185</v>
      </c>
      <c r="AU8740" s="1" t="s">
        <v>43</v>
      </c>
      <c r="GD8740" s="1" t="s">
        <v>193</v>
      </c>
      <c r="GE8740" s="1" t="s">
        <v>190</v>
      </c>
    </row>
    <row r="8741" spans="1:187" ht="11.25" customHeight="1">
      <c r="A8741" s="1" t="s">
        <v>12249</v>
      </c>
      <c r="B8741" s="1" t="str">
        <f ca="1">IFERROR(__xludf.DUMMYFUNCTION("GOOGLETRANSLATE(A8741, ""en"", ""fr"")"),"Rhode")</f>
        <v>Rhode</v>
      </c>
      <c r="C8741" s="1" t="s">
        <v>196</v>
      </c>
      <c r="GD8741" s="1" t="s">
        <v>653</v>
      </c>
    </row>
    <row r="8742" spans="1:187" ht="11.25" customHeight="1">
      <c r="A8742" s="1" t="s">
        <v>12250</v>
      </c>
      <c r="B8742" s="1" t="str">
        <f ca="1">IFERROR(__xludf.DUMMYFUNCTION("GOOGLETRANSLATE(A8742, ""en"", ""fr"")"),"Rhodésie")</f>
        <v>Rhodésie</v>
      </c>
      <c r="C8742" s="1" t="s">
        <v>196</v>
      </c>
      <c r="FU8742" s="1" t="s">
        <v>173</v>
      </c>
      <c r="GD8742" s="1" t="s">
        <v>269</v>
      </c>
    </row>
    <row r="8743" spans="1:187" ht="11.25" customHeight="1">
      <c r="A8743" s="1" t="s">
        <v>12251</v>
      </c>
      <c r="B8743" s="1" t="str">
        <f ca="1">IFERROR(__xludf.DUMMYFUNCTION("GOOGLETRANSLATE(A8743, ""en"", ""fr"")"),"Rhodésien")</f>
        <v>Rhodésien</v>
      </c>
      <c r="C8743" s="1" t="s">
        <v>196</v>
      </c>
      <c r="FU8743" s="1" t="s">
        <v>173</v>
      </c>
      <c r="GD8743" s="1" t="s">
        <v>1049</v>
      </c>
    </row>
    <row r="8744" spans="1:187" ht="11.25" customHeight="1">
      <c r="A8744" s="1" t="s">
        <v>12252</v>
      </c>
      <c r="B8744" s="1" t="str">
        <f ca="1">IFERROR(__xludf.DUMMYFUNCTION("GOOGLETRANSLATE(A8744, ""en"", ""fr"")"),"RYTHME")</f>
        <v>RYTHME</v>
      </c>
      <c r="C8744" s="1" t="s">
        <v>185</v>
      </c>
      <c r="CP8744" s="1" t="s">
        <v>90</v>
      </c>
      <c r="CQ8744" s="1" t="s">
        <v>91</v>
      </c>
      <c r="CY8744" s="1" t="s">
        <v>99</v>
      </c>
      <c r="GB8744" s="1" t="s">
        <v>180</v>
      </c>
      <c r="GD8744" s="1" t="s">
        <v>193</v>
      </c>
      <c r="GE8744" s="1" t="s">
        <v>190</v>
      </c>
    </row>
    <row r="8745" spans="1:187" ht="11.25" customHeight="1">
      <c r="A8745" s="1" t="s">
        <v>12253</v>
      </c>
      <c r="B8745" s="1" t="str">
        <f ca="1">IFERROR(__xludf.DUMMYFUNCTION("GOOGLETRANSLATE(A8745, ""en"", ""fr"")"),"RYTHMIQUE")</f>
        <v>RYTHMIQUE</v>
      </c>
      <c r="C8745" s="1" t="s">
        <v>185</v>
      </c>
      <c r="CY8745" s="1" t="s">
        <v>99</v>
      </c>
      <c r="GB8745" s="1" t="s">
        <v>180</v>
      </c>
      <c r="GD8745" s="1" t="s">
        <v>202</v>
      </c>
      <c r="GE8745" s="1" t="s">
        <v>190</v>
      </c>
    </row>
    <row r="8746" spans="1:187" ht="11.25" customHeight="1">
      <c r="A8746" s="1" t="s">
        <v>12254</v>
      </c>
      <c r="B8746" s="1" t="str">
        <f ca="1">IFERROR(__xludf.DUMMYFUNCTION("GOOGLETRANSLATE(A8746, ""en"", ""fr"")"),"CÔTE")</f>
        <v>CÔTE</v>
      </c>
      <c r="C8746" s="1" t="s">
        <v>185</v>
      </c>
      <c r="BJ8746" s="1" t="s">
        <v>58</v>
      </c>
      <c r="GD8746" s="1" t="s">
        <v>193</v>
      </c>
      <c r="GE8746" s="1" t="s">
        <v>190</v>
      </c>
    </row>
    <row r="8747" spans="1:187" ht="11.25" customHeight="1">
      <c r="A8747" s="1" t="s">
        <v>12255</v>
      </c>
      <c r="B8747" s="1" t="str">
        <f ca="1">IFERROR(__xludf.DUMMYFUNCTION("GOOGLETRANSLATE(A8747, ""en"", ""fr"")"),"RUBAN")</f>
        <v>RUBAN</v>
      </c>
      <c r="C8747" s="1" t="s">
        <v>185</v>
      </c>
      <c r="BC8747" s="1" t="s">
        <v>51</v>
      </c>
      <c r="BD8747" s="1" t="s">
        <v>52</v>
      </c>
      <c r="GD8747" s="1" t="s">
        <v>193</v>
      </c>
      <c r="GE8747" s="1" t="s">
        <v>190</v>
      </c>
    </row>
    <row r="8748" spans="1:187" ht="11.25" customHeight="1">
      <c r="A8748" s="1" t="s">
        <v>12256</v>
      </c>
      <c r="B8748" s="1" t="str">
        <f ca="1">IFERROR(__xludf.DUMMYFUNCTION("GOOGLETRANSLATE(A8748, ""en"", ""fr"")"),"RIZ")</f>
        <v>RIZ</v>
      </c>
      <c r="C8748" s="1" t="s">
        <v>185</v>
      </c>
      <c r="BC8748" s="1" t="s">
        <v>51</v>
      </c>
      <c r="BE8748" s="1" t="s">
        <v>53</v>
      </c>
      <c r="GD8748" s="1" t="s">
        <v>193</v>
      </c>
      <c r="GE8748" s="1" t="s">
        <v>12257</v>
      </c>
    </row>
    <row r="8749" spans="1:187" ht="11.25" customHeight="1">
      <c r="A8749" s="1" t="s">
        <v>12258</v>
      </c>
      <c r="B8749" s="1" t="str">
        <f ca="1">IFERROR(__xludf.DUMMYFUNCTION("GOOGLETRANSLATE(A8749, ""en"", ""fr"")"),"Rich # 1")</f>
        <v>Rich # 1</v>
      </c>
      <c r="C8749" s="1" t="s">
        <v>185</v>
      </c>
      <c r="D8749" s="1" t="s">
        <v>16612</v>
      </c>
      <c r="F8749" s="1" t="s">
        <v>2</v>
      </c>
      <c r="J8749" s="1" t="s">
        <v>6</v>
      </c>
      <c r="U8749" s="1" t="s">
        <v>17</v>
      </c>
      <c r="AA8749" s="1" t="s">
        <v>23</v>
      </c>
      <c r="AC8749" s="1" t="s">
        <v>25</v>
      </c>
      <c r="EV8749" s="1" t="s">
        <v>148</v>
      </c>
      <c r="EW8749" s="1" t="s">
        <v>149</v>
      </c>
      <c r="GD8749" s="1" t="s">
        <v>202</v>
      </c>
      <c r="GE8749" s="1" t="s">
        <v>12259</v>
      </c>
    </row>
    <row r="8750" spans="1:187" ht="11.25" customHeight="1">
      <c r="A8750" s="1" t="s">
        <v>12260</v>
      </c>
      <c r="B8750" s="1" t="str">
        <f ca="1">IFERROR(__xludf.DUMMYFUNCTION("GOOGLETRANSLATE(A8750, ""en"", ""fr"")"),"Rich # 2")</f>
        <v>Rich # 2</v>
      </c>
      <c r="C8750" s="1" t="s">
        <v>185</v>
      </c>
      <c r="D8750" s="1" t="s">
        <v>16612</v>
      </c>
      <c r="F8750" s="1" t="s">
        <v>2</v>
      </c>
      <c r="J8750" s="1" t="s">
        <v>6</v>
      </c>
      <c r="CR8750" s="1" t="s">
        <v>92</v>
      </c>
      <c r="GD8750" s="1" t="s">
        <v>202</v>
      </c>
      <c r="GE8750" s="1" t="s">
        <v>12261</v>
      </c>
    </row>
    <row r="8751" spans="1:187" ht="11.25" customHeight="1">
      <c r="A8751" s="1" t="s">
        <v>12262</v>
      </c>
      <c r="B8751" s="1" t="str">
        <f ca="1">IFERROR(__xludf.DUMMYFUNCTION("GOOGLETRANSLATE(A8751, ""en"", ""fr"")"),"Rich # 3")</f>
        <v>Rich # 3</v>
      </c>
      <c r="C8751" s="1" t="s">
        <v>185</v>
      </c>
      <c r="D8751" s="1" t="s">
        <v>16612</v>
      </c>
      <c r="F8751" s="1" t="s">
        <v>2</v>
      </c>
      <c r="J8751" s="1" t="s">
        <v>6</v>
      </c>
      <c r="U8751" s="1" t="s">
        <v>17</v>
      </c>
      <c r="AA8751" s="1" t="s">
        <v>23</v>
      </c>
      <c r="EV8751" s="1" t="s">
        <v>148</v>
      </c>
      <c r="EW8751" s="1" t="s">
        <v>149</v>
      </c>
      <c r="GD8751" s="1" t="s">
        <v>202</v>
      </c>
      <c r="GE8751" s="1" t="s">
        <v>12263</v>
      </c>
    </row>
    <row r="8752" spans="1:187" ht="11.25" customHeight="1">
      <c r="A8752" s="1" t="s">
        <v>12264</v>
      </c>
      <c r="B8752" s="1" t="str">
        <f ca="1">IFERROR(__xludf.DUMMYFUNCTION("GOOGLETRANSLATE(A8752, ""en"", ""fr"")"),"Rich # 4")</f>
        <v>Rich # 4</v>
      </c>
      <c r="C8752" s="1" t="s">
        <v>185</v>
      </c>
      <c r="D8752" s="1" t="s">
        <v>16612</v>
      </c>
      <c r="F8752" s="1" t="s">
        <v>2</v>
      </c>
      <c r="J8752" s="1" t="s">
        <v>6</v>
      </c>
      <c r="U8752" s="1" t="s">
        <v>17</v>
      </c>
      <c r="AA8752" s="1" t="s">
        <v>23</v>
      </c>
      <c r="EV8752" s="1" t="s">
        <v>148</v>
      </c>
      <c r="EW8752" s="1" t="s">
        <v>149</v>
      </c>
      <c r="GD8752" s="1" t="s">
        <v>202</v>
      </c>
      <c r="GE8752" s="1" t="s">
        <v>12265</v>
      </c>
    </row>
    <row r="8753" spans="1:187" ht="11.25" customHeight="1">
      <c r="A8753" s="1" t="s">
        <v>12266</v>
      </c>
      <c r="B8753" s="1" t="str">
        <f ca="1">IFERROR(__xludf.DUMMYFUNCTION("GOOGLETRANSLATE(A8753, ""en"", ""fr"")"),"Rich # 5")</f>
        <v>Rich # 5</v>
      </c>
      <c r="C8753" s="1" t="s">
        <v>185</v>
      </c>
      <c r="D8753" s="1" t="s">
        <v>16612</v>
      </c>
      <c r="F8753" s="1" t="s">
        <v>2</v>
      </c>
      <c r="J8753" s="1" t="s">
        <v>6</v>
      </c>
      <c r="AC8753" s="1" t="s">
        <v>25</v>
      </c>
      <c r="CR8753" s="1" t="s">
        <v>92</v>
      </c>
      <c r="GD8753" s="1" t="s">
        <v>236</v>
      </c>
      <c r="GE8753" s="1" t="s">
        <v>12267</v>
      </c>
    </row>
    <row r="8754" spans="1:187" ht="11.25" customHeight="1">
      <c r="A8754" s="1" t="s">
        <v>12268</v>
      </c>
      <c r="B8754" s="1" t="str">
        <f ca="1">IFERROR(__xludf.DUMMYFUNCTION("GOOGLETRANSLATE(A8754, ""en"", ""fr"")"),"Rich # 6")</f>
        <v>Rich # 6</v>
      </c>
      <c r="C8754" s="1" t="s">
        <v>185</v>
      </c>
      <c r="D8754" s="1" t="s">
        <v>16612</v>
      </c>
      <c r="F8754" s="1" t="s">
        <v>2</v>
      </c>
      <c r="J8754" s="1" t="s">
        <v>6</v>
      </c>
      <c r="K8754" s="1" t="s">
        <v>7</v>
      </c>
      <c r="AA8754" s="1" t="s">
        <v>23</v>
      </c>
      <c r="AC8754" s="1" t="s">
        <v>25</v>
      </c>
      <c r="BC8754" s="1" t="s">
        <v>51</v>
      </c>
      <c r="BH8754" s="1" t="s">
        <v>56</v>
      </c>
      <c r="EV8754" s="1" t="s">
        <v>148</v>
      </c>
      <c r="EW8754" s="1" t="s">
        <v>149</v>
      </c>
      <c r="GD8754" s="1" t="s">
        <v>193</v>
      </c>
      <c r="GE8754" s="1" t="s">
        <v>12269</v>
      </c>
    </row>
    <row r="8755" spans="1:187" ht="11.25" customHeight="1">
      <c r="A8755" s="1" t="s">
        <v>12270</v>
      </c>
      <c r="B8755" s="1" t="str">
        <f ca="1">IFERROR(__xludf.DUMMYFUNCTION("GOOGLETRANSLATE(A8755, ""en"", ""fr"")"),"RICHESSE")</f>
        <v>RICHESSE</v>
      </c>
      <c r="C8755" s="1" t="s">
        <v>192</v>
      </c>
      <c r="D8755" s="1" t="s">
        <v>16612</v>
      </c>
      <c r="K8755" s="1" t="s">
        <v>7</v>
      </c>
      <c r="AA8755" s="1" t="s">
        <v>23</v>
      </c>
      <c r="BC8755" s="1" t="s">
        <v>51</v>
      </c>
      <c r="GD8755" s="1" t="s">
        <v>193</v>
      </c>
      <c r="GE8755" s="1" t="s">
        <v>190</v>
      </c>
    </row>
    <row r="8756" spans="1:187" ht="11.25" customHeight="1">
      <c r="A8756" s="1" t="s">
        <v>12271</v>
      </c>
      <c r="B8756" s="1" t="str">
        <f ca="1">IFERROR(__xludf.DUMMYFUNCTION("GOOGLETRANSLATE(A8756, ""en"", ""fr"")"),"RICHESSE")</f>
        <v>RICHESSE</v>
      </c>
      <c r="C8756" s="1" t="s">
        <v>192</v>
      </c>
      <c r="D8756" s="1" t="s">
        <v>16612</v>
      </c>
      <c r="K8756" s="1" t="s">
        <v>7</v>
      </c>
      <c r="AA8756" s="1" t="s">
        <v>23</v>
      </c>
      <c r="GD8756" s="1" t="s">
        <v>193</v>
      </c>
      <c r="GE8756" s="1" t="s">
        <v>190</v>
      </c>
    </row>
    <row r="8757" spans="1:187" ht="11.25" customHeight="1">
      <c r="A8757" s="1" t="s">
        <v>12272</v>
      </c>
      <c r="B8757" s="1" t="str">
        <f ca="1">IFERROR(__xludf.DUMMYFUNCTION("GOOGLETRANSLATE(A8757, ""en"", ""fr"")"),"DÉBARRASSER")</f>
        <v>DÉBARRASSER</v>
      </c>
      <c r="C8757" s="1" t="s">
        <v>185</v>
      </c>
      <c r="E8757" s="1" t="s">
        <v>16613</v>
      </c>
      <c r="I8757" s="1" t="s">
        <v>5</v>
      </c>
      <c r="N8757" s="1" t="s">
        <v>10</v>
      </c>
      <c r="BY8757" s="1" t="s">
        <v>73</v>
      </c>
      <c r="DN8757" s="1" t="s">
        <v>114</v>
      </c>
      <c r="GD8757" s="1" t="s">
        <v>189</v>
      </c>
      <c r="GE8757" s="1" t="s">
        <v>190</v>
      </c>
    </row>
    <row r="8758" spans="1:187" ht="11.25" customHeight="1">
      <c r="A8758" s="1" t="s">
        <v>12273</v>
      </c>
      <c r="B8758" s="1" t="str">
        <f ca="1">IFERROR(__xludf.DUMMYFUNCTION("GOOGLETRANSLATE(A8758, ""en"", ""fr"")"),"Rouler n ° 1")</f>
        <v>Rouler n ° 1</v>
      </c>
      <c r="C8758" s="1" t="s">
        <v>185</v>
      </c>
      <c r="N8758" s="1" t="s">
        <v>10</v>
      </c>
      <c r="CE8758" s="1" t="s">
        <v>79</v>
      </c>
      <c r="DO8758" s="1" t="s">
        <v>115</v>
      </c>
      <c r="FP8758" s="1" t="s">
        <v>168</v>
      </c>
      <c r="GD8758" s="1" t="s">
        <v>189</v>
      </c>
      <c r="GE8758" s="1" t="s">
        <v>12274</v>
      </c>
    </row>
    <row r="8759" spans="1:187" ht="11.25" customHeight="1">
      <c r="A8759" s="1" t="s">
        <v>12275</v>
      </c>
      <c r="B8759" s="1" t="str">
        <f ca="1">IFERROR(__xludf.DUMMYFUNCTION("GOOGLETRANSLATE(A8759, ""en"", ""fr"")"),"Ride n ° 2")</f>
        <v>Ride n ° 2</v>
      </c>
      <c r="C8759" s="1" t="s">
        <v>185</v>
      </c>
      <c r="N8759" s="1" t="s">
        <v>10</v>
      </c>
      <c r="CE8759" s="1" t="s">
        <v>79</v>
      </c>
      <c r="GD8759" s="1" t="s">
        <v>193</v>
      </c>
      <c r="GE8759" s="1" t="s">
        <v>12276</v>
      </c>
    </row>
    <row r="8760" spans="1:187" ht="11.25" customHeight="1">
      <c r="A8760" s="1" t="s">
        <v>12277</v>
      </c>
      <c r="B8760" s="1" t="str">
        <f ca="1">IFERROR(__xludf.DUMMYFUNCTION("GOOGLETRANSLATE(A8760, ""en"", ""fr"")"),"Ride # 3")</f>
        <v>Ride # 3</v>
      </c>
      <c r="C8760" s="1" t="s">
        <v>185</v>
      </c>
      <c r="E8760" s="1" t="s">
        <v>16613</v>
      </c>
      <c r="H8760" s="1" t="s">
        <v>4</v>
      </c>
      <c r="I8760" s="1" t="s">
        <v>5</v>
      </c>
      <c r="N8760" s="1" t="s">
        <v>10</v>
      </c>
      <c r="BK8760" s="1" t="s">
        <v>59</v>
      </c>
      <c r="DN8760" s="1" t="s">
        <v>114</v>
      </c>
      <c r="EL8760" s="1" t="s">
        <v>138</v>
      </c>
      <c r="EN8760" s="1" t="s">
        <v>140</v>
      </c>
      <c r="GD8760" s="1" t="s">
        <v>189</v>
      </c>
      <c r="GE8760" s="1" t="s">
        <v>12278</v>
      </c>
    </row>
    <row r="8761" spans="1:187" ht="11.25" customHeight="1">
      <c r="A8761" s="1" t="s">
        <v>12279</v>
      </c>
      <c r="B8761" s="1" t="str">
        <f ca="1">IFERROR(__xludf.DUMMYFUNCTION("GOOGLETRANSLATE(A8761, ""en"", ""fr"")"),"Ride n ° 4")</f>
        <v>Ride n ° 4</v>
      </c>
      <c r="C8761" s="1" t="s">
        <v>185</v>
      </c>
      <c r="N8761" s="1" t="s">
        <v>10</v>
      </c>
      <c r="CE8761" s="1" t="s">
        <v>79</v>
      </c>
      <c r="GD8761" s="1" t="s">
        <v>202</v>
      </c>
      <c r="GE8761" s="1" t="s">
        <v>12280</v>
      </c>
    </row>
    <row r="8762" spans="1:187" ht="11.25" customHeight="1">
      <c r="A8762" s="1" t="s">
        <v>12281</v>
      </c>
      <c r="B8762" s="1" t="str">
        <f ca="1">IFERROR(__xludf.DUMMYFUNCTION("GOOGLETRANSLATE(A8762, ""en"", ""fr"")"),"CAVALIER")</f>
        <v>CAVALIER</v>
      </c>
      <c r="C8762" s="1" t="s">
        <v>185</v>
      </c>
      <c r="AJ8762" s="1" t="s">
        <v>32</v>
      </c>
      <c r="AT8762" s="1" t="s">
        <v>42</v>
      </c>
      <c r="BL8762" s="1" t="s">
        <v>60</v>
      </c>
      <c r="GD8762" s="1" t="s">
        <v>193</v>
      </c>
      <c r="GE8762" s="1" t="s">
        <v>190</v>
      </c>
    </row>
    <row r="8763" spans="1:187" ht="11.25" customHeight="1">
      <c r="A8763" s="1" t="s">
        <v>12282</v>
      </c>
      <c r="B8763" s="1" t="str">
        <f ca="1">IFERROR(__xludf.DUMMYFUNCTION("GOOGLETRANSLATE(A8763, ""en"", ""fr"")"),"CRÊTE")</f>
        <v>CRÊTE</v>
      </c>
      <c r="C8763" s="1" t="s">
        <v>185</v>
      </c>
      <c r="AV8763" s="1" t="s">
        <v>44</v>
      </c>
      <c r="BA8763" s="1" t="s">
        <v>49</v>
      </c>
      <c r="GD8763" s="1" t="s">
        <v>193</v>
      </c>
      <c r="GE8763" s="1" t="s">
        <v>190</v>
      </c>
    </row>
    <row r="8764" spans="1:187" ht="11.25" customHeight="1">
      <c r="A8764" s="1" t="s">
        <v>12283</v>
      </c>
      <c r="B8764" s="1" t="str">
        <f ca="1">IFERROR(__xludf.DUMMYFUNCTION("GOOGLETRANSLATE(A8764, ""en"", ""fr"")"),"Ridicule n ° 1")</f>
        <v>Ridicule n ° 1</v>
      </c>
      <c r="C8764" s="1" t="s">
        <v>185</v>
      </c>
      <c r="E8764" s="1" t="s">
        <v>16613</v>
      </c>
      <c r="H8764" s="1" t="s">
        <v>4</v>
      </c>
      <c r="I8764" s="1" t="s">
        <v>5</v>
      </c>
      <c r="N8764" s="1" t="s">
        <v>10</v>
      </c>
      <c r="BK8764" s="1" t="s">
        <v>59</v>
      </c>
      <c r="BL8764" s="1" t="s">
        <v>60</v>
      </c>
      <c r="EL8764" s="1" t="s">
        <v>138</v>
      </c>
      <c r="EN8764" s="1" t="s">
        <v>140</v>
      </c>
      <c r="GC8764" s="1" t="s">
        <v>181</v>
      </c>
      <c r="GD8764" s="1" t="s">
        <v>193</v>
      </c>
      <c r="GE8764" s="1" t="s">
        <v>190</v>
      </c>
    </row>
    <row r="8765" spans="1:187" ht="11.25" customHeight="1">
      <c r="A8765" s="1" t="s">
        <v>12284</v>
      </c>
      <c r="B8765" s="1" t="str">
        <f ca="1">IFERROR(__xludf.DUMMYFUNCTION("GOOGLETRANSLATE(A8765, ""en"", ""fr"")"),"Ridicule n ° 2")</f>
        <v>Ridicule n ° 2</v>
      </c>
      <c r="C8765" s="1" t="s">
        <v>185</v>
      </c>
      <c r="E8765" s="1" t="s">
        <v>16613</v>
      </c>
      <c r="H8765" s="1" t="s">
        <v>4</v>
      </c>
      <c r="I8765" s="1" t="s">
        <v>5</v>
      </c>
      <c r="N8765" s="1" t="s">
        <v>10</v>
      </c>
      <c r="BK8765" s="1" t="s">
        <v>59</v>
      </c>
      <c r="DN8765" s="1" t="s">
        <v>114</v>
      </c>
      <c r="EL8765" s="1" t="s">
        <v>138</v>
      </c>
      <c r="EN8765" s="1" t="s">
        <v>140</v>
      </c>
      <c r="GD8765" s="1" t="s">
        <v>189</v>
      </c>
      <c r="GE8765" s="1" t="s">
        <v>190</v>
      </c>
    </row>
    <row r="8766" spans="1:187" ht="11.25" customHeight="1">
      <c r="A8766" s="1" t="s">
        <v>12285</v>
      </c>
      <c r="B8766" s="1" t="str">
        <f ca="1">IFERROR(__xludf.DUMMYFUNCTION("GOOGLETRANSLATE(A8766, ""en"", ""fr"")"),"RIDICULE")</f>
        <v>RIDICULE</v>
      </c>
      <c r="C8766" s="1" t="s">
        <v>185</v>
      </c>
      <c r="E8766" s="1" t="s">
        <v>16613</v>
      </c>
      <c r="H8766" s="1" t="s">
        <v>4</v>
      </c>
      <c r="L8766" s="1" t="s">
        <v>8</v>
      </c>
      <c r="V8766" s="1" t="s">
        <v>18</v>
      </c>
      <c r="W8766" s="1" t="s">
        <v>19</v>
      </c>
      <c r="CN8766" s="1" t="s">
        <v>88</v>
      </c>
      <c r="EL8766" s="1" t="s">
        <v>138</v>
      </c>
      <c r="EN8766" s="1" t="s">
        <v>140</v>
      </c>
      <c r="GD8766" s="1" t="s">
        <v>202</v>
      </c>
      <c r="GE8766" s="1" t="s">
        <v>190</v>
      </c>
    </row>
    <row r="8767" spans="1:187" ht="11.25" customHeight="1">
      <c r="A8767" s="1" t="s">
        <v>12286</v>
      </c>
      <c r="B8767" s="1" t="str">
        <f ca="1">IFERROR(__xludf.DUMMYFUNCTION("GOOGLETRANSLATE(A8767, ""en"", ""fr"")"),"FUSIL")</f>
        <v>FUSIL</v>
      </c>
      <c r="C8767" s="1" t="s">
        <v>185</v>
      </c>
      <c r="I8767" s="1" t="s">
        <v>5</v>
      </c>
      <c r="AF8767" s="1" t="s">
        <v>28</v>
      </c>
      <c r="BC8767" s="1" t="s">
        <v>51</v>
      </c>
      <c r="BD8767" s="1" t="s">
        <v>52</v>
      </c>
      <c r="GD8767" s="1" t="s">
        <v>193</v>
      </c>
      <c r="GE8767" s="1" t="s">
        <v>190</v>
      </c>
    </row>
    <row r="8768" spans="1:187" ht="11.25" customHeight="1">
      <c r="A8768" s="1" t="s">
        <v>12287</v>
      </c>
      <c r="B8768" s="1" t="str">
        <f ca="1">IFERROR(__xludf.DUMMYFUNCTION("GOOGLETRANSLATE(A8768, ""en"", ""fr"")"),"À droite n ° 1")</f>
        <v>À droite n ° 1</v>
      </c>
      <c r="C8768" s="1" t="s">
        <v>185</v>
      </c>
      <c r="D8768" s="1" t="s">
        <v>16612</v>
      </c>
      <c r="F8768" s="1" t="s">
        <v>2</v>
      </c>
      <c r="J8768" s="1" t="s">
        <v>6</v>
      </c>
      <c r="K8768" s="1" t="s">
        <v>7</v>
      </c>
      <c r="AE8768" s="1" t="s">
        <v>27</v>
      </c>
      <c r="BQ8768" s="1" t="s">
        <v>65</v>
      </c>
      <c r="CP8768" s="1" t="s">
        <v>90</v>
      </c>
      <c r="CQ8768" s="1" t="s">
        <v>91</v>
      </c>
      <c r="EE8768" s="1" t="s">
        <v>131</v>
      </c>
      <c r="EJ8768" s="1" t="s">
        <v>136</v>
      </c>
      <c r="GD8768" s="1" t="s">
        <v>193</v>
      </c>
      <c r="GE8768" s="1" t="s">
        <v>12288</v>
      </c>
    </row>
    <row r="8769" spans="1:187" ht="11.25" customHeight="1">
      <c r="A8769" s="1" t="s">
        <v>12289</v>
      </c>
      <c r="B8769" s="1" t="str">
        <f ca="1">IFERROR(__xludf.DUMMYFUNCTION("GOOGLETRANSLATE(A8769, ""en"", ""fr"")"),"Droite # 10")</f>
        <v>Droite # 10</v>
      </c>
      <c r="C8769" s="1" t="s">
        <v>196</v>
      </c>
      <c r="GD8769" s="1" t="s">
        <v>225</v>
      </c>
    </row>
    <row r="8770" spans="1:187" ht="11.25" customHeight="1">
      <c r="A8770" s="1" t="s">
        <v>12290</v>
      </c>
      <c r="B8770" s="1" t="str">
        <f ca="1">IFERROR(__xludf.DUMMYFUNCTION("GOOGLETRANSLATE(A8770, ""en"", ""fr"")"),"Droite # 2")</f>
        <v>Droite # 2</v>
      </c>
      <c r="C8770" s="1" t="s">
        <v>185</v>
      </c>
      <c r="J8770" s="1" t="s">
        <v>6</v>
      </c>
      <c r="W8770" s="1" t="s">
        <v>19</v>
      </c>
      <c r="CS8770" s="1" t="s">
        <v>93</v>
      </c>
      <c r="GB8770" s="1" t="s">
        <v>180</v>
      </c>
      <c r="GD8770" s="1" t="s">
        <v>236</v>
      </c>
      <c r="GE8770" s="1" t="s">
        <v>12291</v>
      </c>
    </row>
    <row r="8771" spans="1:187" ht="11.25" customHeight="1">
      <c r="A8771" s="1" t="s">
        <v>12292</v>
      </c>
      <c r="B8771" s="1" t="str">
        <f ca="1">IFERROR(__xludf.DUMMYFUNCTION("GOOGLETRANSLATE(A8771, ""en"", ""fr"")"),"Droite # 3")</f>
        <v>Droite # 3</v>
      </c>
      <c r="C8771" s="1" t="s">
        <v>185</v>
      </c>
      <c r="DA8771" s="1" t="s">
        <v>101</v>
      </c>
      <c r="GB8771" s="1" t="s">
        <v>180</v>
      </c>
      <c r="GD8771" s="1" t="s">
        <v>202</v>
      </c>
      <c r="GE8771" s="1" t="s">
        <v>12293</v>
      </c>
    </row>
    <row r="8772" spans="1:187" ht="11.25" customHeight="1">
      <c r="A8772" s="1" t="s">
        <v>12294</v>
      </c>
      <c r="B8772" s="1" t="str">
        <f ca="1">IFERROR(__xludf.DUMMYFUNCTION("GOOGLETRANSLATE(A8772, ""en"", ""fr"")"),"Droite # 4")</f>
        <v>Droite # 4</v>
      </c>
      <c r="C8772" s="1" t="s">
        <v>185</v>
      </c>
      <c r="F8772" s="1" t="s">
        <v>2</v>
      </c>
      <c r="U8772" s="1" t="s">
        <v>17</v>
      </c>
      <c r="W8772" s="1" t="s">
        <v>19</v>
      </c>
      <c r="CN8772" s="1" t="s">
        <v>88</v>
      </c>
      <c r="DJ8772" s="1" t="s">
        <v>110</v>
      </c>
      <c r="FY8772" s="1" t="s">
        <v>177</v>
      </c>
      <c r="GD8772" s="1" t="s">
        <v>202</v>
      </c>
      <c r="GE8772" s="1" t="s">
        <v>12295</v>
      </c>
    </row>
    <row r="8773" spans="1:187" ht="11.25" customHeight="1">
      <c r="A8773" s="1" t="s">
        <v>12296</v>
      </c>
      <c r="B8773" s="1" t="str">
        <f ca="1">IFERROR(__xludf.DUMMYFUNCTION("GOOGLETRANSLATE(A8773, ""en"", ""fr"")"),"Droite # 5")</f>
        <v>Droite # 5</v>
      </c>
      <c r="C8773" s="1" t="s">
        <v>185</v>
      </c>
      <c r="F8773" s="1" t="s">
        <v>2</v>
      </c>
      <c r="U8773" s="1" t="s">
        <v>17</v>
      </c>
      <c r="DJ8773" s="1" t="s">
        <v>110</v>
      </c>
      <c r="DM8773" s="1" t="s">
        <v>113</v>
      </c>
      <c r="FY8773" s="1" t="s">
        <v>177</v>
      </c>
      <c r="GD8773" s="1" t="s">
        <v>193</v>
      </c>
      <c r="GE8773" s="1" t="s">
        <v>12297</v>
      </c>
    </row>
    <row r="8774" spans="1:187" ht="11.25" customHeight="1">
      <c r="A8774" s="1" t="s">
        <v>12298</v>
      </c>
      <c r="B8774" s="1" t="str">
        <f ca="1">IFERROR(__xludf.DUMMYFUNCTION("GOOGLETRANSLATE(A8774, ""en"", ""fr"")"),"Droite # 6")</f>
        <v>Droite # 6</v>
      </c>
      <c r="C8774" s="1" t="s">
        <v>185</v>
      </c>
      <c r="D8774" s="1" t="s">
        <v>16612</v>
      </c>
      <c r="F8774" s="1" t="s">
        <v>2</v>
      </c>
      <c r="J8774" s="1" t="s">
        <v>6</v>
      </c>
      <c r="AL8774" s="1" t="s">
        <v>34</v>
      </c>
      <c r="DN8774" s="1" t="s">
        <v>114</v>
      </c>
      <c r="EG8774" s="1" t="s">
        <v>133</v>
      </c>
      <c r="EJ8774" s="1" t="s">
        <v>136</v>
      </c>
      <c r="GD8774" s="1" t="s">
        <v>189</v>
      </c>
      <c r="GE8774" s="1" t="s">
        <v>12299</v>
      </c>
    </row>
    <row r="8775" spans="1:187" ht="11.25" customHeight="1">
      <c r="A8775" s="1" t="s">
        <v>12300</v>
      </c>
      <c r="B8775" s="1" t="str">
        <f ca="1">IFERROR(__xludf.DUMMYFUNCTION("GOOGLETRANSLATE(A8775, ""en"", ""fr"")"),"Droite # 7")</f>
        <v>Droite # 7</v>
      </c>
      <c r="C8775" s="1" t="s">
        <v>185</v>
      </c>
      <c r="GD8775" s="1" t="s">
        <v>225</v>
      </c>
      <c r="GE8775" s="1" t="s">
        <v>12301</v>
      </c>
    </row>
    <row r="8776" spans="1:187" ht="11.25" customHeight="1">
      <c r="A8776" s="1" t="s">
        <v>12302</v>
      </c>
      <c r="B8776" s="1" t="str">
        <f ca="1">IFERROR(__xludf.DUMMYFUNCTION("GOOGLETRANSLATE(A8776, ""en"", ""fr"")"),"Droite # 8")</f>
        <v>Droite # 8</v>
      </c>
      <c r="C8776" s="1" t="s">
        <v>185</v>
      </c>
      <c r="GD8776" s="1" t="s">
        <v>225</v>
      </c>
      <c r="GE8776" s="1" t="s">
        <v>12303</v>
      </c>
    </row>
    <row r="8777" spans="1:187" ht="11.25" customHeight="1">
      <c r="A8777" s="1" t="s">
        <v>12304</v>
      </c>
      <c r="B8777" s="1" t="str">
        <f ca="1">IFERROR(__xludf.DUMMYFUNCTION("GOOGLETRANSLATE(A8777, ""en"", ""fr"")"),"Droite # 9")</f>
        <v>Droite # 9</v>
      </c>
      <c r="C8777" s="1" t="s">
        <v>185</v>
      </c>
      <c r="GD8777" s="1" t="s">
        <v>225</v>
      </c>
      <c r="GE8777" s="1" t="s">
        <v>12305</v>
      </c>
    </row>
    <row r="8778" spans="1:187" ht="11.25" customHeight="1">
      <c r="A8778" s="1" t="s">
        <v>12306</v>
      </c>
      <c r="B8778" s="1" t="str">
        <f ca="1">IFERROR(__xludf.DUMMYFUNCTION("GOOGLETRANSLATE(A8778, ""en"", ""fr"")"),"Droite # _10")</f>
        <v>Droite # _10</v>
      </c>
      <c r="C8778" s="1" t="s">
        <v>192</v>
      </c>
      <c r="GD8778" s="1" t="s">
        <v>225</v>
      </c>
      <c r="GE8778" s="1" t="s">
        <v>12307</v>
      </c>
    </row>
    <row r="8779" spans="1:187" ht="11.25" customHeight="1">
      <c r="A8779" s="1" t="s">
        <v>12308</v>
      </c>
      <c r="B8779" s="1" t="str">
        <f ca="1">IFERROR(__xludf.DUMMYFUNCTION("GOOGLETRANSLATE(A8779, ""en"", ""fr"")"),"VERTUEUX")</f>
        <v>VERTUEUX</v>
      </c>
      <c r="C8779" s="1" t="s">
        <v>185</v>
      </c>
      <c r="D8779" s="1" t="s">
        <v>16612</v>
      </c>
      <c r="K8779" s="1" t="s">
        <v>7</v>
      </c>
      <c r="CJ8779" s="1" t="s">
        <v>84</v>
      </c>
      <c r="DR8779" s="1" t="s">
        <v>118</v>
      </c>
      <c r="EE8779" s="1" t="s">
        <v>131</v>
      </c>
      <c r="EJ8779" s="1" t="s">
        <v>136</v>
      </c>
      <c r="GD8779" s="1" t="s">
        <v>202</v>
      </c>
      <c r="GE8779" s="1" t="s">
        <v>190</v>
      </c>
    </row>
    <row r="8780" spans="1:187" ht="11.25" customHeight="1">
      <c r="A8780" s="1" t="s">
        <v>12309</v>
      </c>
      <c r="B8780" s="1" t="str">
        <f ca="1">IFERROR(__xludf.DUMMYFUNCTION("GOOGLETRANSLATE(A8780, ""en"", ""fr"")"),"DROITURE")</f>
        <v>DROITURE</v>
      </c>
      <c r="C8780" s="1" t="s">
        <v>185</v>
      </c>
      <c r="D8780" s="1" t="s">
        <v>16612</v>
      </c>
      <c r="K8780" s="1" t="s">
        <v>7</v>
      </c>
      <c r="CJ8780" s="1" t="s">
        <v>84</v>
      </c>
      <c r="EE8780" s="1" t="s">
        <v>131</v>
      </c>
      <c r="EJ8780" s="1" t="s">
        <v>136</v>
      </c>
      <c r="GD8780" s="1" t="s">
        <v>193</v>
      </c>
      <c r="GE8780" s="1" t="s">
        <v>190</v>
      </c>
    </row>
    <row r="8781" spans="1:187" ht="11.25" customHeight="1">
      <c r="A8781" s="1" t="s">
        <v>12310</v>
      </c>
      <c r="B8781" s="1" t="str">
        <f ca="1">IFERROR(__xludf.DUMMYFUNCTION("GOOGLETRANSLATE(A8781, ""en"", ""fr"")"),"LÉGITIME")</f>
        <v>LÉGITIME</v>
      </c>
      <c r="C8781" s="1" t="s">
        <v>185</v>
      </c>
      <c r="D8781" s="1" t="s">
        <v>16612</v>
      </c>
      <c r="AE8781" s="1" t="s">
        <v>27</v>
      </c>
      <c r="CJ8781" s="1" t="s">
        <v>84</v>
      </c>
      <c r="DR8781" s="1" t="s">
        <v>118</v>
      </c>
      <c r="EE8781" s="1" t="s">
        <v>131</v>
      </c>
      <c r="EJ8781" s="1" t="s">
        <v>136</v>
      </c>
      <c r="GD8781" s="1" t="s">
        <v>202</v>
      </c>
      <c r="GE8781" s="1" t="s">
        <v>190</v>
      </c>
    </row>
    <row r="8782" spans="1:187" ht="11.25" customHeight="1">
      <c r="A8782" s="1" t="s">
        <v>12311</v>
      </c>
      <c r="B8782" s="1" t="str">
        <f ca="1">IFERROR(__xludf.DUMMYFUNCTION("GOOGLETRANSLATE(A8782, ""en"", ""fr"")"),"RIGIDE")</f>
        <v>RIGIDE</v>
      </c>
      <c r="C8782" s="1" t="s">
        <v>185</v>
      </c>
      <c r="E8782" s="1" t="s">
        <v>16613</v>
      </c>
      <c r="R8782" s="1" t="s">
        <v>14</v>
      </c>
      <c r="V8782" s="1" t="s">
        <v>18</v>
      </c>
      <c r="CA8782" s="1" t="s">
        <v>75</v>
      </c>
      <c r="DR8782" s="1" t="s">
        <v>118</v>
      </c>
      <c r="GD8782" s="1" t="s">
        <v>202</v>
      </c>
      <c r="GE8782" s="1" t="s">
        <v>190</v>
      </c>
    </row>
    <row r="8783" spans="1:187" ht="11.25" customHeight="1">
      <c r="A8783" s="1" t="s">
        <v>12312</v>
      </c>
      <c r="B8783" s="1" t="str">
        <f ca="1">IFERROR(__xludf.DUMMYFUNCTION("GOOGLETRANSLATE(A8783, ""en"", ""fr"")"),"RIGUEUR")</f>
        <v>RIGUEUR</v>
      </c>
      <c r="C8783" s="1" t="s">
        <v>192</v>
      </c>
      <c r="E8783" s="1" t="s">
        <v>16613</v>
      </c>
      <c r="AL8783" s="1" t="s">
        <v>34</v>
      </c>
      <c r="GD8783" s="1" t="s">
        <v>193</v>
      </c>
      <c r="GE8783" s="1" t="s">
        <v>190</v>
      </c>
    </row>
    <row r="8784" spans="1:187" ht="11.25" customHeight="1">
      <c r="A8784" s="1" t="s">
        <v>12313</v>
      </c>
      <c r="B8784" s="1" t="str">
        <f ca="1">IFERROR(__xludf.DUMMYFUNCTION("GOOGLETRANSLATE(A8784, ""en"", ""fr"")"),"RIGOUREUX")</f>
        <v>RIGOUREUX</v>
      </c>
      <c r="C8784" s="1" t="s">
        <v>192</v>
      </c>
      <c r="E8784" s="1" t="s">
        <v>16613</v>
      </c>
      <c r="V8784" s="1" t="s">
        <v>18</v>
      </c>
      <c r="AL8784" s="1" t="s">
        <v>34</v>
      </c>
      <c r="DR8784" s="1" t="s">
        <v>118</v>
      </c>
      <c r="GD8784" s="1" t="s">
        <v>202</v>
      </c>
      <c r="GE8784" s="1" t="s">
        <v>190</v>
      </c>
    </row>
    <row r="8785" spans="1:187" ht="11.25" customHeight="1">
      <c r="A8785" s="1" t="s">
        <v>12314</v>
      </c>
      <c r="B8785" s="1" t="str">
        <f ca="1">IFERROR(__xludf.DUMMYFUNCTION("GOOGLETRANSLATE(A8785, ""en"", ""fr"")"),"Anneau # 1")</f>
        <v>Anneau # 1</v>
      </c>
      <c r="C8785" s="1" t="s">
        <v>185</v>
      </c>
      <c r="DA8785" s="1" t="s">
        <v>101</v>
      </c>
      <c r="GD8785" s="1" t="s">
        <v>849</v>
      </c>
      <c r="GE8785" s="1" t="s">
        <v>12315</v>
      </c>
    </row>
    <row r="8786" spans="1:187" ht="11.25" customHeight="1">
      <c r="A8786" s="1" t="s">
        <v>12316</v>
      </c>
      <c r="B8786" s="1" t="str">
        <f ca="1">IFERROR(__xludf.DUMMYFUNCTION("GOOGLETRANSLATE(A8786, ""en"", ""fr"")"),"Anneau # 2")</f>
        <v>Anneau # 2</v>
      </c>
      <c r="C8786" s="1" t="s">
        <v>185</v>
      </c>
      <c r="BK8786" s="1" t="s">
        <v>59</v>
      </c>
      <c r="DO8786" s="1" t="s">
        <v>115</v>
      </c>
      <c r="GD8786" s="1" t="s">
        <v>189</v>
      </c>
      <c r="GE8786" s="1" t="s">
        <v>12317</v>
      </c>
    </row>
    <row r="8787" spans="1:187" ht="11.25" customHeight="1">
      <c r="A8787" s="1" t="s">
        <v>12318</v>
      </c>
      <c r="B8787" s="1" t="str">
        <f ca="1">IFERROR(__xludf.DUMMYFUNCTION("GOOGLETRANSLATE(A8787, ""en"", ""fr"")"),"Anneau # 3")</f>
        <v>Anneau # 3</v>
      </c>
      <c r="C8787" s="1" t="s">
        <v>185</v>
      </c>
      <c r="CR8787" s="1" t="s">
        <v>92</v>
      </c>
      <c r="GD8787" s="1" t="s">
        <v>202</v>
      </c>
      <c r="GE8787" s="1" t="s">
        <v>12319</v>
      </c>
    </row>
    <row r="8788" spans="1:187" ht="11.25" customHeight="1">
      <c r="A8788" s="1" t="s">
        <v>12320</v>
      </c>
      <c r="B8788" s="1" t="str">
        <f ca="1">IFERROR(__xludf.DUMMYFUNCTION("GOOGLETRANSLATE(A8788, ""en"", ""fr"")"),"ÉMEUTE")</f>
        <v>ÉMEUTE</v>
      </c>
      <c r="C8788" s="1" t="s">
        <v>196</v>
      </c>
      <c r="DW8788" s="1" t="s">
        <v>123</v>
      </c>
      <c r="ED8788" s="1" t="s">
        <v>130</v>
      </c>
      <c r="GD8788" s="1" t="s">
        <v>470</v>
      </c>
    </row>
    <row r="8789" spans="1:187" ht="11.25" customHeight="1">
      <c r="A8789" s="1" t="s">
        <v>12321</v>
      </c>
      <c r="B8789" s="1" t="str">
        <f ca="1">IFERROR(__xludf.DUMMYFUNCTION("GOOGLETRANSLATE(A8789, ""en"", ""fr"")"),"RIP # 1")</f>
        <v>RIP # 1</v>
      </c>
      <c r="C8789" s="1" t="s">
        <v>185</v>
      </c>
      <c r="E8789" s="1" t="s">
        <v>16613</v>
      </c>
      <c r="H8789" s="1" t="s">
        <v>4</v>
      </c>
      <c r="CR8789" s="1" t="s">
        <v>92</v>
      </c>
      <c r="GD8789" s="1" t="s">
        <v>202</v>
      </c>
      <c r="GE8789" s="1" t="s">
        <v>190</v>
      </c>
    </row>
    <row r="8790" spans="1:187" ht="11.25" customHeight="1">
      <c r="A8790" s="1" t="s">
        <v>12322</v>
      </c>
      <c r="B8790" s="1" t="str">
        <f ca="1">IFERROR(__xludf.DUMMYFUNCTION("GOOGLETRANSLATE(A8790, ""en"", ""fr"")"),"RIP # 2")</f>
        <v>RIP # 2</v>
      </c>
      <c r="C8790" s="1" t="s">
        <v>185</v>
      </c>
      <c r="E8790" s="1" t="s">
        <v>16613</v>
      </c>
      <c r="H8790" s="1" t="s">
        <v>4</v>
      </c>
      <c r="I8790" s="1" t="s">
        <v>5</v>
      </c>
      <c r="J8790" s="1" t="s">
        <v>6</v>
      </c>
      <c r="N8790" s="1" t="s">
        <v>10</v>
      </c>
      <c r="CC8790" s="1" t="s">
        <v>77</v>
      </c>
      <c r="DO8790" s="1" t="s">
        <v>115</v>
      </c>
      <c r="FP8790" s="1" t="s">
        <v>168</v>
      </c>
      <c r="GD8790" s="1" t="s">
        <v>189</v>
      </c>
      <c r="GE8790" s="1" t="s">
        <v>190</v>
      </c>
    </row>
    <row r="8791" spans="1:187" ht="11.25" customHeight="1">
      <c r="A8791" s="1" t="s">
        <v>12323</v>
      </c>
      <c r="B8791" s="1" t="str">
        <f ca="1">IFERROR(__xludf.DUMMYFUNCTION("GOOGLETRANSLATE(A8791, ""en"", ""fr"")"),"MÛR")</f>
        <v>MÛR</v>
      </c>
      <c r="C8791" s="1" t="s">
        <v>185</v>
      </c>
      <c r="D8791" s="1" t="s">
        <v>16612</v>
      </c>
      <c r="F8791" s="1" t="s">
        <v>2</v>
      </c>
      <c r="CR8791" s="1" t="s">
        <v>92</v>
      </c>
      <c r="GD8791" s="1" t="s">
        <v>202</v>
      </c>
      <c r="GE8791" s="1" t="s">
        <v>190</v>
      </c>
    </row>
    <row r="8792" spans="1:187" ht="11.25" customHeight="1">
      <c r="A8792" s="1" t="s">
        <v>12324</v>
      </c>
      <c r="B8792" s="1" t="str">
        <f ca="1">IFERROR(__xludf.DUMMYFUNCTION("GOOGLETRANSLATE(A8792, ""en"", ""fr"")"),"MÛRIR")</f>
        <v>MÛRIR</v>
      </c>
      <c r="C8792" s="1" t="s">
        <v>192</v>
      </c>
      <c r="D8792" s="1" t="s">
        <v>16612</v>
      </c>
      <c r="O8792" s="1" t="s">
        <v>11</v>
      </c>
      <c r="BU8792" s="1" t="s">
        <v>69</v>
      </c>
      <c r="DN8792" s="1" t="s">
        <v>114</v>
      </c>
      <c r="GD8792" s="1" t="s">
        <v>189</v>
      </c>
      <c r="GE8792" s="1" t="s">
        <v>190</v>
      </c>
    </row>
    <row r="8793" spans="1:187" ht="11.25" customHeight="1">
      <c r="A8793" s="1" t="s">
        <v>12325</v>
      </c>
      <c r="B8793" s="1" t="str">
        <f ca="1">IFERROR(__xludf.DUMMYFUNCTION("GOOGLETRANSLATE(A8793, ""en"", ""fr"")"),"ONDULATION")</f>
        <v>ONDULATION</v>
      </c>
      <c r="C8793" s="1" t="s">
        <v>185</v>
      </c>
      <c r="CR8793" s="1" t="s">
        <v>92</v>
      </c>
      <c r="GD8793" s="1" t="s">
        <v>193</v>
      </c>
      <c r="GE8793" s="1" t="s">
        <v>190</v>
      </c>
    </row>
    <row r="8794" spans="1:187" ht="11.25" customHeight="1">
      <c r="A8794" s="1" t="s">
        <v>12326</v>
      </c>
      <c r="B8794" s="1" t="str">
        <f ca="1">IFERROR(__xludf.DUMMYFUNCTION("GOOGLETRANSLATE(A8794, ""en"", ""fr"")"),"Rise n ° 1")</f>
        <v>Rise n ° 1</v>
      </c>
      <c r="C8794" s="1" t="s">
        <v>185</v>
      </c>
      <c r="J8794" s="1" t="s">
        <v>6</v>
      </c>
      <c r="N8794" s="1" t="s">
        <v>10</v>
      </c>
      <c r="CB8794" s="1" t="s">
        <v>76</v>
      </c>
      <c r="DO8794" s="1" t="s">
        <v>115</v>
      </c>
      <c r="GD8794" s="1" t="s">
        <v>189</v>
      </c>
      <c r="GE8794" s="1" t="s">
        <v>12327</v>
      </c>
    </row>
    <row r="8795" spans="1:187" ht="11.25" customHeight="1">
      <c r="A8795" s="1" t="s">
        <v>12328</v>
      </c>
      <c r="B8795" s="1" t="str">
        <f ca="1">IFERROR(__xludf.DUMMYFUNCTION("GOOGLETRANSLATE(A8795, ""en"", ""fr"")"),"Rise # 2")</f>
        <v>Rise # 2</v>
      </c>
      <c r="C8795" s="1" t="s">
        <v>185</v>
      </c>
      <c r="J8795" s="1" t="s">
        <v>6</v>
      </c>
      <c r="BU8795" s="1" t="s">
        <v>69</v>
      </c>
      <c r="DN8795" s="1" t="s">
        <v>114</v>
      </c>
      <c r="EZ8795" s="1" t="s">
        <v>152</v>
      </c>
      <c r="FC8795" s="1" t="s">
        <v>155</v>
      </c>
      <c r="GD8795" s="1" t="s">
        <v>189</v>
      </c>
      <c r="GE8795" s="1" t="s">
        <v>12329</v>
      </c>
    </row>
    <row r="8796" spans="1:187" ht="11.25" customHeight="1">
      <c r="A8796" s="1" t="s">
        <v>12330</v>
      </c>
      <c r="B8796" s="1" t="str">
        <f ca="1">IFERROR(__xludf.DUMMYFUNCTION("GOOGLETRANSLATE(A8796, ""en"", ""fr"")"),"Rise # 3")</f>
        <v>Rise # 3</v>
      </c>
      <c r="C8796" s="1" t="s">
        <v>185</v>
      </c>
      <c r="J8796" s="1" t="s">
        <v>6</v>
      </c>
      <c r="N8796" s="1" t="s">
        <v>10</v>
      </c>
      <c r="BX8796" s="1" t="s">
        <v>72</v>
      </c>
      <c r="FN8796" s="1" t="s">
        <v>166</v>
      </c>
      <c r="GD8796" s="1" t="s">
        <v>193</v>
      </c>
      <c r="GE8796" s="1" t="s">
        <v>12331</v>
      </c>
    </row>
    <row r="8797" spans="1:187" ht="11.25" customHeight="1">
      <c r="A8797" s="1" t="s">
        <v>12332</v>
      </c>
      <c r="B8797" s="1" t="str">
        <f ca="1">IFERROR(__xludf.DUMMYFUNCTION("GOOGLETRANSLATE(A8797, ""en"", ""fr"")"),"Rise # 4")</f>
        <v>Rise # 4</v>
      </c>
      <c r="C8797" s="1" t="s">
        <v>185</v>
      </c>
      <c r="AV8797" s="1" t="s">
        <v>44</v>
      </c>
      <c r="BA8797" s="1" t="s">
        <v>49</v>
      </c>
      <c r="GD8797" s="1" t="s">
        <v>193</v>
      </c>
      <c r="GE8797" s="1" t="s">
        <v>12333</v>
      </c>
    </row>
    <row r="8798" spans="1:187" ht="11.25" customHeight="1">
      <c r="A8798" s="1" t="s">
        <v>12334</v>
      </c>
      <c r="B8798" s="1" t="str">
        <f ca="1">IFERROR(__xludf.DUMMYFUNCTION("GOOGLETRANSLATE(A8798, ""en"", ""fr"")"),"Rise # 5")</f>
        <v>Rise # 5</v>
      </c>
      <c r="C8798" s="1" t="s">
        <v>185</v>
      </c>
      <c r="J8798" s="1" t="s">
        <v>6</v>
      </c>
      <c r="N8798" s="1" t="s">
        <v>10</v>
      </c>
      <c r="CI8798" s="1" t="s">
        <v>83</v>
      </c>
      <c r="DN8798" s="1" t="s">
        <v>114</v>
      </c>
      <c r="GD8798" s="1" t="s">
        <v>189</v>
      </c>
      <c r="GE8798" s="1" t="s">
        <v>12335</v>
      </c>
    </row>
    <row r="8799" spans="1:187" ht="11.25" customHeight="1">
      <c r="A8799" s="1" t="s">
        <v>12336</v>
      </c>
      <c r="B8799" s="1" t="str">
        <f ca="1">IFERROR(__xludf.DUMMYFUNCTION("GOOGLETRANSLATE(A8799, ""en"", ""fr"")"),"Rise # 6")</f>
        <v>Rise # 6</v>
      </c>
      <c r="C8799" s="1" t="s">
        <v>185</v>
      </c>
      <c r="J8799" s="1" t="s">
        <v>6</v>
      </c>
      <c r="N8799" s="1" t="s">
        <v>10</v>
      </c>
      <c r="BX8799" s="1" t="s">
        <v>72</v>
      </c>
      <c r="GD8799" s="1" t="s">
        <v>202</v>
      </c>
      <c r="GE8799" s="1" t="s">
        <v>12337</v>
      </c>
    </row>
    <row r="8800" spans="1:187" ht="11.25" customHeight="1">
      <c r="A8800" s="1" t="s">
        <v>12338</v>
      </c>
      <c r="B8800" s="1" t="str">
        <f ca="1">IFERROR(__xludf.DUMMYFUNCTION("GOOGLETRANSLATE(A8800, ""en"", ""fr"")"),"Ressuscité n ° 1")</f>
        <v>Ressuscité n ° 1</v>
      </c>
      <c r="C8800" s="1" t="s">
        <v>192</v>
      </c>
      <c r="GD8800" s="1" t="s">
        <v>1085</v>
      </c>
      <c r="GE8800" s="1" t="s">
        <v>190</v>
      </c>
    </row>
    <row r="8801" spans="1:187" ht="11.25" customHeight="1">
      <c r="A8801" s="1" t="s">
        <v>12339</v>
      </c>
      <c r="B8801" s="1" t="str">
        <f ca="1">IFERROR(__xludf.DUMMYFUNCTION("GOOGLETRANSLATE(A8801, ""en"", ""fr"")"),"Risque n ° 1")</f>
        <v>Risque n ° 1</v>
      </c>
      <c r="C8801" s="1" t="s">
        <v>185</v>
      </c>
      <c r="BQ8801" s="1" t="s">
        <v>65</v>
      </c>
      <c r="FR8801" s="1" t="s">
        <v>170</v>
      </c>
      <c r="GD8801" s="1" t="s">
        <v>193</v>
      </c>
      <c r="GE8801" s="1" t="s">
        <v>190</v>
      </c>
    </row>
    <row r="8802" spans="1:187" ht="11.25" customHeight="1">
      <c r="A8802" s="1" t="s">
        <v>12340</v>
      </c>
      <c r="B8802" s="1" t="str">
        <f ca="1">IFERROR(__xludf.DUMMYFUNCTION("GOOGLETRANSLATE(A8802, ""en"", ""fr"")"),"Risque n ° 2")</f>
        <v>Risque n ° 2</v>
      </c>
      <c r="C8802" s="1" t="s">
        <v>185</v>
      </c>
      <c r="N8802" s="1" t="s">
        <v>10</v>
      </c>
      <c r="BP8802" s="1" t="s">
        <v>64</v>
      </c>
      <c r="DN8802" s="1" t="s">
        <v>114</v>
      </c>
      <c r="FR8802" s="1" t="s">
        <v>170</v>
      </c>
      <c r="GD8802" s="1" t="s">
        <v>189</v>
      </c>
      <c r="GE8802" s="1" t="s">
        <v>190</v>
      </c>
    </row>
    <row r="8803" spans="1:187" ht="11.25" customHeight="1">
      <c r="A8803" s="1" t="s">
        <v>12341</v>
      </c>
      <c r="B8803" s="1" t="str">
        <f ca="1">IFERROR(__xludf.DUMMYFUNCTION("GOOGLETRANSLATE(A8803, ""en"", ""fr"")"),"RISQUÉ")</f>
        <v>RISQUÉ</v>
      </c>
      <c r="C8803" s="1" t="s">
        <v>192</v>
      </c>
      <c r="E8803" s="1" t="s">
        <v>16613</v>
      </c>
      <c r="V8803" s="1" t="s">
        <v>18</v>
      </c>
      <c r="DR8803" s="1" t="s">
        <v>118</v>
      </c>
      <c r="GD8803" s="1" t="s">
        <v>202</v>
      </c>
      <c r="GE8803" s="1" t="s">
        <v>190</v>
      </c>
    </row>
    <row r="8804" spans="1:187" ht="11.25" customHeight="1">
      <c r="A8804" s="1" t="s">
        <v>12342</v>
      </c>
      <c r="B8804" s="1" t="str">
        <f ca="1">IFERROR(__xludf.DUMMYFUNCTION("GOOGLETRANSLATE(A8804, ""en"", ""fr"")"),"RITE")</f>
        <v>RITE</v>
      </c>
      <c r="C8804" s="1" t="s">
        <v>185</v>
      </c>
      <c r="AM8804" s="1" t="s">
        <v>35</v>
      </c>
      <c r="EI8804" s="1" t="s">
        <v>135</v>
      </c>
      <c r="EJ8804" s="1" t="s">
        <v>136</v>
      </c>
      <c r="GD8804" s="1" t="s">
        <v>193</v>
      </c>
      <c r="GE8804" s="1" t="s">
        <v>190</v>
      </c>
    </row>
    <row r="8805" spans="1:187" ht="11.25" customHeight="1">
      <c r="A8805" s="1" t="s">
        <v>12343</v>
      </c>
      <c r="B8805" s="1" t="str">
        <f ca="1">IFERROR(__xludf.DUMMYFUNCTION("GOOGLETRANSLATE(A8805, ""en"", ""fr"")"),"RITUEL")</f>
        <v>RITUEL</v>
      </c>
      <c r="C8805" s="1" t="s">
        <v>185</v>
      </c>
      <c r="AM8805" s="1" t="s">
        <v>35</v>
      </c>
      <c r="EI8805" s="1" t="s">
        <v>135</v>
      </c>
      <c r="EJ8805" s="1" t="s">
        <v>136</v>
      </c>
      <c r="GD8805" s="1" t="s">
        <v>193</v>
      </c>
      <c r="GE8805" s="1" t="s">
        <v>190</v>
      </c>
    </row>
    <row r="8806" spans="1:187" ht="11.25" customHeight="1">
      <c r="A8806" s="1" t="s">
        <v>12344</v>
      </c>
      <c r="B8806" s="1" t="str">
        <f ca="1">IFERROR(__xludf.DUMMYFUNCTION("GOOGLETRANSLATE(A8806, ""en"", ""fr"")"),"Rival n ° 1")</f>
        <v>Rival n ° 1</v>
      </c>
      <c r="C8806" s="1" t="s">
        <v>185</v>
      </c>
      <c r="E8806" s="1" t="s">
        <v>16613</v>
      </c>
      <c r="H8806" s="1" t="s">
        <v>4</v>
      </c>
      <c r="I8806" s="1" t="s">
        <v>5</v>
      </c>
      <c r="J8806" s="1" t="s">
        <v>6</v>
      </c>
      <c r="AJ8806" s="1" t="s">
        <v>32</v>
      </c>
      <c r="AT8806" s="1" t="s">
        <v>42</v>
      </c>
      <c r="DW8806" s="1" t="s">
        <v>123</v>
      </c>
      <c r="ED8806" s="1" t="s">
        <v>130</v>
      </c>
      <c r="GD8806" s="1" t="s">
        <v>193</v>
      </c>
      <c r="GE8806" s="1" t="s">
        <v>190</v>
      </c>
    </row>
    <row r="8807" spans="1:187" ht="11.25" customHeight="1">
      <c r="A8807" s="1" t="s">
        <v>12345</v>
      </c>
      <c r="B8807" s="1" t="str">
        <f ca="1">IFERROR(__xludf.DUMMYFUNCTION("GOOGLETRANSLATE(A8807, ""en"", ""fr"")"),"Rival n ° 2")</f>
        <v>Rival n ° 2</v>
      </c>
      <c r="C8807" s="1" t="s">
        <v>185</v>
      </c>
      <c r="E8807" s="1" t="s">
        <v>16613</v>
      </c>
      <c r="H8807" s="1" t="s">
        <v>4</v>
      </c>
      <c r="J8807" s="1" t="s">
        <v>6</v>
      </c>
      <c r="BP8807" s="1" t="s">
        <v>64</v>
      </c>
      <c r="DN8807" s="1" t="s">
        <v>114</v>
      </c>
      <c r="DW8807" s="1" t="s">
        <v>123</v>
      </c>
      <c r="ED8807" s="1" t="s">
        <v>130</v>
      </c>
      <c r="GD8807" s="1" t="s">
        <v>189</v>
      </c>
      <c r="GE8807" s="1" t="s">
        <v>190</v>
      </c>
    </row>
    <row r="8808" spans="1:187" ht="11.25" customHeight="1">
      <c r="A8808" s="1" t="s">
        <v>12346</v>
      </c>
      <c r="B8808" s="1" t="str">
        <f ca="1">IFERROR(__xludf.DUMMYFUNCTION("GOOGLETRANSLATE(A8808, ""en"", ""fr"")"),"RIVALITÉ")</f>
        <v>RIVALITÉ</v>
      </c>
      <c r="C8808" s="1" t="s">
        <v>192</v>
      </c>
      <c r="E8808" s="1" t="s">
        <v>16613</v>
      </c>
      <c r="I8808" s="1" t="s">
        <v>5</v>
      </c>
      <c r="AN8808" s="1" t="s">
        <v>36</v>
      </c>
      <c r="GD8808" s="1" t="s">
        <v>193</v>
      </c>
      <c r="GE8808" s="1" t="s">
        <v>190</v>
      </c>
    </row>
    <row r="8809" spans="1:187" ht="11.25" customHeight="1">
      <c r="A8809" s="1" t="s">
        <v>12347</v>
      </c>
      <c r="B8809" s="1" t="str">
        <f ca="1">IFERROR(__xludf.DUMMYFUNCTION("GOOGLETRANSLATE(A8809, ""en"", ""fr"")"),"RIVIÈRE")</f>
        <v>RIVIÈRE</v>
      </c>
      <c r="C8809" s="1" t="s">
        <v>185</v>
      </c>
      <c r="AV8809" s="1" t="s">
        <v>44</v>
      </c>
      <c r="AZ8809" s="1" t="s">
        <v>48</v>
      </c>
      <c r="GD8809" s="1" t="s">
        <v>193</v>
      </c>
      <c r="GE8809" s="1" t="s">
        <v>12348</v>
      </c>
    </row>
    <row r="8810" spans="1:187" ht="11.25" customHeight="1">
      <c r="A8810" s="1" t="s">
        <v>12349</v>
      </c>
      <c r="B8810" s="1" t="str">
        <f ca="1">IFERROR(__xludf.DUMMYFUNCTION("GOOGLETRANSLATE(A8810, ""en"", ""fr"")"),"Route n ° 1")</f>
        <v>Route n ° 1</v>
      </c>
      <c r="C8810" s="1" t="s">
        <v>185</v>
      </c>
      <c r="AV8810" s="1" t="s">
        <v>44</v>
      </c>
      <c r="AY8810" s="1" t="s">
        <v>47</v>
      </c>
      <c r="EV8810" s="1" t="s">
        <v>148</v>
      </c>
      <c r="EW8810" s="1" t="s">
        <v>149</v>
      </c>
      <c r="GD8810" s="1" t="s">
        <v>849</v>
      </c>
      <c r="GE8810" s="1" t="s">
        <v>12350</v>
      </c>
    </row>
    <row r="8811" spans="1:187" ht="11.25" customHeight="1">
      <c r="A8811" s="1" t="s">
        <v>12351</v>
      </c>
      <c r="B8811" s="1" t="str">
        <f ca="1">IFERROR(__xludf.DUMMYFUNCTION("GOOGLETRANSLATE(A8811, ""en"", ""fr"")"),"Route n ° 2")</f>
        <v>Route n ° 2</v>
      </c>
      <c r="C8811" s="1" t="s">
        <v>185</v>
      </c>
      <c r="BQ8811" s="1" t="s">
        <v>65</v>
      </c>
      <c r="FQ8811" s="1" t="s">
        <v>169</v>
      </c>
      <c r="GD8811" s="1" t="s">
        <v>193</v>
      </c>
      <c r="GE8811" s="1" t="s">
        <v>12352</v>
      </c>
    </row>
    <row r="8812" spans="1:187" ht="11.25" customHeight="1">
      <c r="A8812" s="1" t="s">
        <v>12353</v>
      </c>
      <c r="B8812" s="1" t="str">
        <f ca="1">IFERROR(__xludf.DUMMYFUNCTION("GOOGLETRANSLATE(A8812, ""en"", ""fr"")"),"Route n ° 3")</f>
        <v>Route n ° 3</v>
      </c>
      <c r="C8812" s="1" t="s">
        <v>185</v>
      </c>
      <c r="U8812" s="1" t="s">
        <v>17</v>
      </c>
      <c r="AG8812" s="1" t="s">
        <v>29</v>
      </c>
      <c r="FZ8812" s="1" t="s">
        <v>178</v>
      </c>
      <c r="GD8812" s="1" t="s">
        <v>202</v>
      </c>
      <c r="GE8812" s="1" t="s">
        <v>12354</v>
      </c>
    </row>
    <row r="8813" spans="1:187" ht="11.25" customHeight="1">
      <c r="A8813" s="1" t="s">
        <v>12355</v>
      </c>
      <c r="B8813" s="1" t="str">
        <f ca="1">IFERROR(__xludf.DUMMYFUNCTION("GOOGLETRANSLATE(A8813, ""en"", ""fr"")"),"Route n ° 4")</f>
        <v>Route n ° 4</v>
      </c>
      <c r="C8813" s="1" t="s">
        <v>185</v>
      </c>
      <c r="DA8813" s="1" t="s">
        <v>101</v>
      </c>
      <c r="GD8813" s="1" t="s">
        <v>236</v>
      </c>
      <c r="GE8813" s="1" t="s">
        <v>12356</v>
      </c>
    </row>
    <row r="8814" spans="1:187" ht="11.25" customHeight="1">
      <c r="A8814" s="1" t="s">
        <v>12357</v>
      </c>
      <c r="B8814" s="1" t="str">
        <f ca="1">IFERROR(__xludf.DUMMYFUNCTION("GOOGLETRANSLATE(A8814, ""en"", ""fr"")"),"Rugissement n ° 1")</f>
        <v>Rugissement n ° 1</v>
      </c>
      <c r="C8814" s="1" t="s">
        <v>185</v>
      </c>
      <c r="J8814" s="1" t="s">
        <v>6</v>
      </c>
      <c r="N8814" s="1" t="s">
        <v>10</v>
      </c>
      <c r="BK8814" s="1" t="s">
        <v>59</v>
      </c>
      <c r="BL8814" s="1" t="s">
        <v>60</v>
      </c>
      <c r="GC8814" s="1" t="s">
        <v>181</v>
      </c>
      <c r="GD8814" s="1" t="s">
        <v>193</v>
      </c>
      <c r="GE8814" s="1" t="s">
        <v>190</v>
      </c>
    </row>
    <row r="8815" spans="1:187" ht="11.25" customHeight="1">
      <c r="A8815" s="1" t="s">
        <v>12358</v>
      </c>
      <c r="B8815" s="1" t="str">
        <f ca="1">IFERROR(__xludf.DUMMYFUNCTION("GOOGLETRANSLATE(A8815, ""en"", ""fr"")"),"Rugissement n ° 2")</f>
        <v>Rugissement n ° 2</v>
      </c>
      <c r="C8815" s="1" t="s">
        <v>185</v>
      </c>
      <c r="J8815" s="1" t="s">
        <v>6</v>
      </c>
      <c r="N8815" s="1" t="s">
        <v>10</v>
      </c>
      <c r="BK8815" s="1" t="s">
        <v>59</v>
      </c>
      <c r="DO8815" s="1" t="s">
        <v>115</v>
      </c>
      <c r="GD8815" s="1" t="s">
        <v>189</v>
      </c>
      <c r="GE8815" s="1" t="s">
        <v>190</v>
      </c>
    </row>
    <row r="8816" spans="1:187" ht="11.25" customHeight="1">
      <c r="A8816" s="1" t="s">
        <v>12359</v>
      </c>
      <c r="B8816" s="1" t="str">
        <f ca="1">IFERROR(__xludf.DUMMYFUNCTION("GOOGLETRANSLATE(A8816, ""en"", ""fr"")"),"ROB")</f>
        <v>ROB</v>
      </c>
      <c r="C8816" s="1" t="s">
        <v>196</v>
      </c>
      <c r="EE8816" s="1" t="s">
        <v>131</v>
      </c>
      <c r="EJ8816" s="1" t="s">
        <v>136</v>
      </c>
      <c r="GD8816" s="1" t="s">
        <v>189</v>
      </c>
    </row>
    <row r="8817" spans="1:187" ht="11.25" customHeight="1">
      <c r="A8817" s="1" t="s">
        <v>12360</v>
      </c>
      <c r="B8817" s="1" t="str">
        <f ca="1">IFERROR(__xludf.DUMMYFUNCTION("GOOGLETRANSLATE(A8817, ""en"", ""fr"")"),"VOLEUR")</f>
        <v>VOLEUR</v>
      </c>
      <c r="C8817" s="1" t="s">
        <v>192</v>
      </c>
      <c r="E8817" s="1" t="s">
        <v>16613</v>
      </c>
      <c r="I8817" s="1" t="s">
        <v>5</v>
      </c>
      <c r="AE8817" s="1" t="s">
        <v>27</v>
      </c>
      <c r="AT8817" s="1" t="s">
        <v>42</v>
      </c>
      <c r="CD8817" s="1" t="s">
        <v>78</v>
      </c>
      <c r="GD8817" s="1" t="s">
        <v>193</v>
      </c>
      <c r="GE8817" s="1" t="s">
        <v>190</v>
      </c>
    </row>
    <row r="8818" spans="1:187" ht="11.25" customHeight="1">
      <c r="A8818" s="1" t="s">
        <v>12361</v>
      </c>
      <c r="B8818" s="1" t="str">
        <f ca="1">IFERROR(__xludf.DUMMYFUNCTION("GOOGLETRANSLATE(A8818, ""en"", ""fr"")"),"VOL")</f>
        <v>VOL</v>
      </c>
      <c r="C8818" s="1" t="s">
        <v>192</v>
      </c>
      <c r="E8818" s="1" t="s">
        <v>16613</v>
      </c>
      <c r="I8818" s="1" t="s">
        <v>5</v>
      </c>
      <c r="AE8818" s="1" t="s">
        <v>27</v>
      </c>
      <c r="CD8818" s="1" t="s">
        <v>78</v>
      </c>
      <c r="GD8818" s="1" t="s">
        <v>193</v>
      </c>
      <c r="GE8818" s="1" t="s">
        <v>190</v>
      </c>
    </row>
    <row r="8819" spans="1:187" ht="11.25" customHeight="1">
      <c r="A8819" s="1" t="s">
        <v>12362</v>
      </c>
      <c r="B8819" s="1" t="str">
        <f ca="1">IFERROR(__xludf.DUMMYFUNCTION("GOOGLETRANSLATE(A8819, ""en"", ""fr"")"),"ROBUSTE")</f>
        <v>ROBUSTE</v>
      </c>
      <c r="C8819" s="1" t="s">
        <v>192</v>
      </c>
      <c r="D8819" s="1" t="s">
        <v>16612</v>
      </c>
      <c r="J8819" s="1" t="s">
        <v>6</v>
      </c>
      <c r="W8819" s="1" t="s">
        <v>19</v>
      </c>
      <c r="DR8819" s="1" t="s">
        <v>118</v>
      </c>
      <c r="GD8819" s="1" t="s">
        <v>202</v>
      </c>
      <c r="GE8819" s="1" t="s">
        <v>190</v>
      </c>
    </row>
    <row r="8820" spans="1:187" ht="11.25" customHeight="1">
      <c r="A8820" s="1" t="s">
        <v>12363</v>
      </c>
      <c r="B8820" s="1" t="str">
        <f ca="1">IFERROR(__xludf.DUMMYFUNCTION("GOOGLETRANSLATE(A8820, ""en"", ""fr"")"),"Rock # 1")</f>
        <v>Rock # 1</v>
      </c>
      <c r="C8820" s="1" t="s">
        <v>185</v>
      </c>
      <c r="BC8820" s="1" t="s">
        <v>51</v>
      </c>
      <c r="BI8820" s="1" t="s">
        <v>57</v>
      </c>
      <c r="GD8820" s="1" t="s">
        <v>849</v>
      </c>
      <c r="GE8820" s="1" t="s">
        <v>12364</v>
      </c>
    </row>
    <row r="8821" spans="1:187" ht="11.25" customHeight="1">
      <c r="A8821" s="1" t="s">
        <v>12365</v>
      </c>
      <c r="B8821" s="1" t="str">
        <f ca="1">IFERROR(__xludf.DUMMYFUNCTION("GOOGLETRANSLATE(A8821, ""en"", ""fr"")"),"Rock # 2")</f>
        <v>Rock # 2</v>
      </c>
      <c r="C8821" s="1" t="s">
        <v>185</v>
      </c>
      <c r="N8821" s="1" t="s">
        <v>10</v>
      </c>
      <c r="CC8821" s="1" t="s">
        <v>77</v>
      </c>
      <c r="DO8821" s="1" t="s">
        <v>115</v>
      </c>
      <c r="GD8821" s="1" t="s">
        <v>189</v>
      </c>
      <c r="GE8821" s="1" t="s">
        <v>12366</v>
      </c>
    </row>
    <row r="8822" spans="1:187" ht="11.25" customHeight="1">
      <c r="A8822" s="1" t="s">
        <v>12367</v>
      </c>
      <c r="B8822" s="1" t="str">
        <f ca="1">IFERROR(__xludf.DUMMYFUNCTION("GOOGLETRANSLATE(A8822, ""en"", ""fr"")"),"Rock # 3")</f>
        <v>Rock # 3</v>
      </c>
      <c r="C8822" s="1" t="s">
        <v>185</v>
      </c>
      <c r="AD8822" s="1" t="s">
        <v>26</v>
      </c>
      <c r="BK8822" s="1" t="s">
        <v>59</v>
      </c>
      <c r="BL8822" s="1" t="s">
        <v>60</v>
      </c>
      <c r="FJ8822" s="1" t="s">
        <v>162</v>
      </c>
      <c r="FM8822" s="1" t="s">
        <v>418</v>
      </c>
      <c r="GC8822" s="1" t="s">
        <v>181</v>
      </c>
      <c r="GD8822" s="1" t="s">
        <v>193</v>
      </c>
      <c r="GE8822" s="1" t="s">
        <v>12368</v>
      </c>
    </row>
    <row r="8823" spans="1:187" ht="11.25" customHeight="1">
      <c r="A8823" s="1" t="s">
        <v>12369</v>
      </c>
      <c r="B8823" s="1" t="str">
        <f ca="1">IFERROR(__xludf.DUMMYFUNCTION("GOOGLETRANSLATE(A8823, ""en"", ""fr"")"),"Rock # 4")</f>
        <v>Rock # 4</v>
      </c>
      <c r="C8823" s="1" t="s">
        <v>185</v>
      </c>
      <c r="CE8823" s="1" t="s">
        <v>79</v>
      </c>
      <c r="GD8823" s="1" t="s">
        <v>202</v>
      </c>
      <c r="GE8823" s="1" t="s">
        <v>12370</v>
      </c>
    </row>
    <row r="8824" spans="1:187" ht="11.25" customHeight="1">
      <c r="A8824" s="1" t="s">
        <v>12371</v>
      </c>
      <c r="B8824" s="1" t="str">
        <f ca="1">IFERROR(__xludf.DUMMYFUNCTION("GOOGLETRANSLATE(A8824, ""en"", ""fr"")"),"BASCULE")</f>
        <v>BASCULE</v>
      </c>
      <c r="C8824" s="1" t="s">
        <v>185</v>
      </c>
      <c r="BC8824" s="1" t="s">
        <v>51</v>
      </c>
      <c r="BD8824" s="1" t="s">
        <v>52</v>
      </c>
      <c r="GD8824" s="1" t="s">
        <v>193</v>
      </c>
      <c r="GE8824" s="1" t="s">
        <v>190</v>
      </c>
    </row>
    <row r="8825" spans="1:187" ht="11.25" customHeight="1">
      <c r="A8825" s="1" t="s">
        <v>12372</v>
      </c>
      <c r="B8825" s="1" t="str">
        <f ca="1">IFERROR(__xludf.DUMMYFUNCTION("GOOGLETRANSLATE(A8825, ""en"", ""fr"")"),"FUSÉE")</f>
        <v>FUSÉE</v>
      </c>
      <c r="C8825" s="1" t="s">
        <v>185</v>
      </c>
      <c r="AF8825" s="1" t="s">
        <v>28</v>
      </c>
      <c r="BC8825" s="1" t="s">
        <v>51</v>
      </c>
      <c r="BF8825" s="1" t="s">
        <v>54</v>
      </c>
      <c r="GD8825" s="1" t="s">
        <v>193</v>
      </c>
      <c r="GE8825" s="1" t="s">
        <v>190</v>
      </c>
    </row>
    <row r="8826" spans="1:187" ht="11.25" customHeight="1">
      <c r="A8826" s="1" t="s">
        <v>12373</v>
      </c>
      <c r="B8826" s="1" t="str">
        <f ca="1">IFERROR(__xludf.DUMMYFUNCTION("GOOGLETRANSLATE(A8826, ""en"", ""fr"")"),"ROCHEUX")</f>
        <v>ROCHEUX</v>
      </c>
      <c r="C8826" s="1" t="s">
        <v>185</v>
      </c>
      <c r="CR8826" s="1" t="s">
        <v>92</v>
      </c>
      <c r="GD8826" s="1" t="s">
        <v>202</v>
      </c>
      <c r="GE8826" s="1" t="s">
        <v>190</v>
      </c>
    </row>
    <row r="8827" spans="1:187" ht="11.25" customHeight="1">
      <c r="A8827" s="1" t="s">
        <v>12374</v>
      </c>
      <c r="B8827" s="1" t="str">
        <f ca="1">IFERROR(__xludf.DUMMYFUNCTION("GOOGLETRANSLATE(A8827, ""en"", ""fr"")"),"TIGE")</f>
        <v>TIGE</v>
      </c>
      <c r="C8827" s="1" t="s">
        <v>196</v>
      </c>
      <c r="GD8827" s="1" t="s">
        <v>193</v>
      </c>
    </row>
    <row r="8828" spans="1:187" ht="11.25" customHeight="1">
      <c r="A8828" s="1" t="s">
        <v>12375</v>
      </c>
      <c r="B8828" s="1" t="str">
        <f ca="1">IFERROR(__xludf.DUMMYFUNCTION("GOOGLETRANSLATE(A8828, ""en"", ""fr"")"),"Rouler")</f>
        <v>Rouler</v>
      </c>
      <c r="C8828" s="1" t="s">
        <v>185</v>
      </c>
      <c r="CE8828" s="1" t="s">
        <v>79</v>
      </c>
      <c r="DO8828" s="1" t="s">
        <v>115</v>
      </c>
      <c r="GD8828" s="1" t="s">
        <v>1076</v>
      </c>
      <c r="GE8828" s="1" t="s">
        <v>12376</v>
      </c>
    </row>
    <row r="8829" spans="1:187" ht="11.25" customHeight="1">
      <c r="A8829" s="1" t="s">
        <v>12377</v>
      </c>
      <c r="B8829" s="1" t="str">
        <f ca="1">IFERROR(__xludf.DUMMYFUNCTION("GOOGLETRANSLATE(A8829, ""en"", ""fr"")"),"RONGEUR")</f>
        <v>RONGEUR</v>
      </c>
      <c r="C8829" s="1" t="s">
        <v>185</v>
      </c>
      <c r="AU8829" s="1" t="s">
        <v>43</v>
      </c>
      <c r="GD8829" s="1" t="s">
        <v>193</v>
      </c>
      <c r="GE8829" s="1" t="s">
        <v>190</v>
      </c>
    </row>
    <row r="8830" spans="1:187" ht="11.25" customHeight="1">
      <c r="A8830" s="1" t="s">
        <v>12378</v>
      </c>
      <c r="B8830" s="1" t="str">
        <f ca="1">IFERROR(__xludf.DUMMYFUNCTION("GOOGLETRANSLATE(A8830, ""en"", ""fr"")"),"VOYOU")</f>
        <v>VOYOU</v>
      </c>
      <c r="C8830" s="1" t="s">
        <v>185</v>
      </c>
      <c r="E8830" s="1" t="s">
        <v>16613</v>
      </c>
      <c r="H8830" s="1" t="s">
        <v>4</v>
      </c>
      <c r="I8830" s="1" t="s">
        <v>5</v>
      </c>
      <c r="AJ8830" s="1" t="s">
        <v>32</v>
      </c>
      <c r="AT8830" s="1" t="s">
        <v>42</v>
      </c>
      <c r="GD8830" s="1" t="s">
        <v>193</v>
      </c>
      <c r="GE8830" s="1" t="s">
        <v>190</v>
      </c>
    </row>
    <row r="8831" spans="1:187" ht="11.25" customHeight="1">
      <c r="A8831" s="1" t="s">
        <v>12379</v>
      </c>
      <c r="B8831" s="1" t="str">
        <f ca="1">IFERROR(__xludf.DUMMYFUNCTION("GOOGLETRANSLATE(A8831, ""en"", ""fr"")"),"RÔLE")</f>
        <v>RÔLE</v>
      </c>
      <c r="C8831" s="1" t="s">
        <v>185</v>
      </c>
      <c r="AJ8831" s="1" t="s">
        <v>32</v>
      </c>
      <c r="AT8831" s="1" t="s">
        <v>42</v>
      </c>
      <c r="GD8831" s="1" t="s">
        <v>193</v>
      </c>
      <c r="GE8831" s="1" t="s">
        <v>12380</v>
      </c>
    </row>
    <row r="8832" spans="1:187" ht="11.25" customHeight="1">
      <c r="A8832" s="1" t="s">
        <v>12381</v>
      </c>
      <c r="B8832" s="1" t="str">
        <f ca="1">IFERROR(__xludf.DUMMYFUNCTION("GOOGLETRANSLATE(A8832, ""en"", ""fr"")"),"Roll # 1")</f>
        <v>Roll # 1</v>
      </c>
      <c r="C8832" s="1" t="s">
        <v>185</v>
      </c>
      <c r="N8832" s="1" t="s">
        <v>10</v>
      </c>
      <c r="AL8832" s="1" t="s">
        <v>34</v>
      </c>
      <c r="DO8832" s="1" t="s">
        <v>115</v>
      </c>
      <c r="GD8832" s="1" t="s">
        <v>400</v>
      </c>
      <c r="GE8832" s="1" t="s">
        <v>12382</v>
      </c>
    </row>
    <row r="8833" spans="1:187" ht="11.25" customHeight="1">
      <c r="A8833" s="1" t="s">
        <v>12383</v>
      </c>
      <c r="B8833" s="1" t="str">
        <f ca="1">IFERROR(__xludf.DUMMYFUNCTION("GOOGLETRANSLATE(A8833, ""en"", ""fr"")"),"Roll # 2")</f>
        <v>Roll # 2</v>
      </c>
      <c r="C8833" s="1" t="s">
        <v>185</v>
      </c>
      <c r="BC8833" s="1" t="s">
        <v>51</v>
      </c>
      <c r="BH8833" s="1" t="s">
        <v>56</v>
      </c>
      <c r="BL8833" s="1" t="s">
        <v>60</v>
      </c>
      <c r="GD8833" s="1" t="s">
        <v>193</v>
      </c>
      <c r="GE8833" s="1" t="s">
        <v>12384</v>
      </c>
    </row>
    <row r="8834" spans="1:187" ht="11.25" customHeight="1">
      <c r="A8834" s="1" t="s">
        <v>12385</v>
      </c>
      <c r="B8834" s="1" t="str">
        <f ca="1">IFERROR(__xludf.DUMMYFUNCTION("GOOGLETRANSLATE(A8834, ""en"", ""fr"")"),"Roll # 3")</f>
        <v>Roll # 3</v>
      </c>
      <c r="C8834" s="1" t="s">
        <v>185</v>
      </c>
      <c r="AD8834" s="1" t="s">
        <v>26</v>
      </c>
      <c r="BK8834" s="1" t="s">
        <v>59</v>
      </c>
      <c r="BL8834" s="1" t="s">
        <v>60</v>
      </c>
      <c r="FJ8834" s="1" t="s">
        <v>162</v>
      </c>
      <c r="FM8834" s="1" t="s">
        <v>418</v>
      </c>
      <c r="GC8834" s="1" t="s">
        <v>181</v>
      </c>
      <c r="GD8834" s="1" t="s">
        <v>5405</v>
      </c>
      <c r="GE8834" s="1" t="s">
        <v>12386</v>
      </c>
    </row>
    <row r="8835" spans="1:187" ht="11.25" customHeight="1">
      <c r="A8835" s="1" t="s">
        <v>12387</v>
      </c>
      <c r="B8835" s="1" t="str">
        <f ca="1">IFERROR(__xludf.DUMMYFUNCTION("GOOGLETRANSLATE(A8835, ""en"", ""fr"")"),"Roll # 4")</f>
        <v>Roll # 4</v>
      </c>
      <c r="C8835" s="1" t="s">
        <v>185</v>
      </c>
      <c r="CE8835" s="1" t="s">
        <v>79</v>
      </c>
      <c r="GD8835" s="1" t="s">
        <v>202</v>
      </c>
      <c r="GE8835" s="1" t="s">
        <v>12388</v>
      </c>
    </row>
    <row r="8836" spans="1:187" ht="11.25" customHeight="1">
      <c r="A8836" s="1" t="s">
        <v>12389</v>
      </c>
      <c r="B8836" s="1" t="str">
        <f ca="1">IFERROR(__xludf.DUMMYFUNCTION("GOOGLETRANSLATE(A8836, ""en"", ""fr"")"),"Roll # 5")</f>
        <v>Roll # 5</v>
      </c>
      <c r="C8836" s="1" t="s">
        <v>185</v>
      </c>
      <c r="N8836" s="1" t="s">
        <v>10</v>
      </c>
      <c r="CE8836" s="1" t="s">
        <v>79</v>
      </c>
      <c r="GD8836" s="1" t="s">
        <v>193</v>
      </c>
      <c r="GE8836" s="1" t="s">
        <v>12390</v>
      </c>
    </row>
    <row r="8837" spans="1:187" ht="11.25" customHeight="1">
      <c r="A8837" s="1" t="s">
        <v>12391</v>
      </c>
      <c r="B8837" s="1" t="str">
        <f ca="1">IFERROR(__xludf.DUMMYFUNCTION("GOOGLETRANSLATE(A8837, ""en"", ""fr"")"),"Roll # 6")</f>
        <v>Roll # 6</v>
      </c>
      <c r="C8837" s="1" t="s">
        <v>185</v>
      </c>
      <c r="BC8837" s="1" t="s">
        <v>51</v>
      </c>
      <c r="BD8837" s="1" t="s">
        <v>52</v>
      </c>
      <c r="GD8837" s="1" t="s">
        <v>193</v>
      </c>
      <c r="GE8837" s="1" t="s">
        <v>12392</v>
      </c>
    </row>
    <row r="8838" spans="1:187" ht="11.25" customHeight="1">
      <c r="A8838" s="1" t="s">
        <v>12393</v>
      </c>
      <c r="B8838" s="1" t="str">
        <f ca="1">IFERROR(__xludf.DUMMYFUNCTION("GOOGLETRANSLATE(A8838, ""en"", ""fr"")"),"Roll # 7")</f>
        <v>Roll # 7</v>
      </c>
      <c r="C8838" s="1" t="s">
        <v>185</v>
      </c>
      <c r="BC8838" s="1" t="s">
        <v>51</v>
      </c>
      <c r="BE8838" s="1" t="s">
        <v>53</v>
      </c>
      <c r="GD8838" s="1" t="s">
        <v>193</v>
      </c>
      <c r="GE8838" s="1" t="s">
        <v>12394</v>
      </c>
    </row>
    <row r="8839" spans="1:187" ht="11.25" customHeight="1">
      <c r="A8839" s="1" t="s">
        <v>12395</v>
      </c>
      <c r="B8839" s="1" t="str">
        <f ca="1">IFERROR(__xludf.DUMMYFUNCTION("GOOGLETRANSLATE(A8839, ""en"", ""fr"")"),"ROULEAU")</f>
        <v>ROULEAU</v>
      </c>
      <c r="C8839" s="1" t="s">
        <v>185</v>
      </c>
      <c r="BC8839" s="1" t="s">
        <v>51</v>
      </c>
      <c r="BD8839" s="1" t="s">
        <v>52</v>
      </c>
      <c r="GD8839" s="1" t="s">
        <v>193</v>
      </c>
      <c r="GE8839" s="1" t="s">
        <v>190</v>
      </c>
    </row>
    <row r="8840" spans="1:187" ht="11.25" customHeight="1">
      <c r="A8840" s="1" t="s">
        <v>12396</v>
      </c>
      <c r="B8840" s="1" t="str">
        <f ca="1">IFERROR(__xludf.DUMMYFUNCTION("GOOGLETRANSLATE(A8840, ""en"", ""fr"")"),"ROMANCE")</f>
        <v>ROMANCE</v>
      </c>
      <c r="C8840" s="1" t="s">
        <v>192</v>
      </c>
      <c r="D8840" s="1" t="s">
        <v>16612</v>
      </c>
      <c r="P8840" s="1" t="s">
        <v>12</v>
      </c>
      <c r="T8840" s="1" t="s">
        <v>16</v>
      </c>
      <c r="AN8840" s="1" t="s">
        <v>36</v>
      </c>
      <c r="GD8840" s="1" t="s">
        <v>193</v>
      </c>
      <c r="GE8840" s="1" t="s">
        <v>190</v>
      </c>
    </row>
    <row r="8841" spans="1:187" ht="11.25" customHeight="1">
      <c r="A8841" s="1" t="s">
        <v>12397</v>
      </c>
      <c r="B8841" s="1" t="str">
        <f ca="1">IFERROR(__xludf.DUMMYFUNCTION("GOOGLETRANSLATE(A8841, ""en"", ""fr"")"),"ROMANTIQUE")</f>
        <v>ROMANTIQUE</v>
      </c>
      <c r="C8841" s="1" t="s">
        <v>185</v>
      </c>
      <c r="D8841" s="1" t="s">
        <v>16612</v>
      </c>
      <c r="F8841" s="1" t="s">
        <v>2</v>
      </c>
      <c r="G8841" s="1" t="s">
        <v>3</v>
      </c>
      <c r="P8841" s="1" t="s">
        <v>12</v>
      </c>
      <c r="T8841" s="1" t="s">
        <v>16</v>
      </c>
      <c r="GD8841" s="1" t="s">
        <v>202</v>
      </c>
      <c r="GE8841" s="1" t="s">
        <v>190</v>
      </c>
    </row>
    <row r="8842" spans="1:187" ht="11.25" customHeight="1">
      <c r="A8842" s="1" t="s">
        <v>12398</v>
      </c>
      <c r="B8842" s="1" t="str">
        <f ca="1">IFERROR(__xludf.DUMMYFUNCTION("GOOGLETRANSLATE(A8842, ""en"", ""fr"")"),"ROMANCER")</f>
        <v>ROMANCER</v>
      </c>
      <c r="C8842" s="1" t="s">
        <v>192</v>
      </c>
      <c r="D8842" s="1" t="s">
        <v>16612</v>
      </c>
      <c r="N8842" s="1" t="s">
        <v>10</v>
      </c>
      <c r="P8842" s="1" t="s">
        <v>12</v>
      </c>
      <c r="CG8842" s="1" t="s">
        <v>81</v>
      </c>
      <c r="DN8842" s="1" t="s">
        <v>114</v>
      </c>
      <c r="GD8842" s="1" t="s">
        <v>670</v>
      </c>
      <c r="GE8842" s="1" t="s">
        <v>190</v>
      </c>
    </row>
    <row r="8843" spans="1:187" ht="11.25" customHeight="1">
      <c r="A8843" s="1" t="s">
        <v>12399</v>
      </c>
      <c r="B8843" s="1" t="str">
        <f ca="1">IFERROR(__xludf.DUMMYFUNCTION("GOOGLETRANSLATE(A8843, ""en"", ""fr"")"),"ROME")</f>
        <v>ROME</v>
      </c>
      <c r="C8843" s="1" t="s">
        <v>185</v>
      </c>
      <c r="AC8843" s="1" t="s">
        <v>25</v>
      </c>
      <c r="AH8843" s="1" t="s">
        <v>30</v>
      </c>
      <c r="DI8843" s="1" t="s">
        <v>109</v>
      </c>
      <c r="GD8843" s="1" t="s">
        <v>193</v>
      </c>
      <c r="GE8843" s="1" t="s">
        <v>190</v>
      </c>
    </row>
    <row r="8844" spans="1:187" ht="11.25" customHeight="1">
      <c r="A8844" s="1" t="s">
        <v>12400</v>
      </c>
      <c r="B8844" s="1" t="str">
        <f ca="1">IFERROR(__xludf.DUMMYFUNCTION("GOOGLETRANSLATE(A8844, ""en"", ""fr"")"),"Toit n ° 1")</f>
        <v>Toit n ° 1</v>
      </c>
      <c r="C8844" s="1" t="s">
        <v>185</v>
      </c>
      <c r="BC8844" s="1" t="s">
        <v>51</v>
      </c>
      <c r="BG8844" s="1" t="s">
        <v>55</v>
      </c>
      <c r="GD8844" s="1" t="s">
        <v>849</v>
      </c>
      <c r="GE8844" s="1" t="s">
        <v>12401</v>
      </c>
    </row>
    <row r="8845" spans="1:187" ht="11.25" customHeight="1">
      <c r="A8845" s="1" t="s">
        <v>12402</v>
      </c>
      <c r="B8845" s="1" t="str">
        <f ca="1">IFERROR(__xludf.DUMMYFUNCTION("GOOGLETRANSLATE(A8845, ""en"", ""fr"")"),"Toit n ° 2")</f>
        <v>Toit n ° 2</v>
      </c>
      <c r="C8845" s="1" t="s">
        <v>185</v>
      </c>
      <c r="N8845" s="1" t="s">
        <v>10</v>
      </c>
      <c r="AL8845" s="1" t="s">
        <v>34</v>
      </c>
      <c r="DO8845" s="1" t="s">
        <v>115</v>
      </c>
      <c r="GD8845" s="1" t="s">
        <v>189</v>
      </c>
      <c r="GE8845" s="1" t="s">
        <v>12403</v>
      </c>
    </row>
    <row r="8846" spans="1:187" ht="11.25" customHeight="1">
      <c r="A8846" s="1" t="s">
        <v>12404</v>
      </c>
      <c r="B8846" s="1" t="str">
        <f ca="1">IFERROR(__xludf.DUMMYFUNCTION("GOOGLETRANSLATE(A8846, ""en"", ""fr"")"),"Couvreur")</f>
        <v>Couvreur</v>
      </c>
      <c r="C8846" s="1" t="s">
        <v>185</v>
      </c>
      <c r="AA8846" s="1" t="s">
        <v>23</v>
      </c>
      <c r="AC8846" s="1" t="s">
        <v>25</v>
      </c>
      <c r="AJ8846" s="1" t="s">
        <v>32</v>
      </c>
      <c r="AT8846" s="1" t="s">
        <v>42</v>
      </c>
      <c r="FK8846" s="1" t="s">
        <v>163</v>
      </c>
      <c r="FM8846" s="1" t="s">
        <v>418</v>
      </c>
      <c r="GD8846" s="1" t="s">
        <v>193</v>
      </c>
      <c r="GE8846" s="1" t="s">
        <v>190</v>
      </c>
    </row>
    <row r="8847" spans="1:187" ht="11.25" customHeight="1">
      <c r="A8847" s="1" t="s">
        <v>12405</v>
      </c>
      <c r="B8847" s="1" t="str">
        <f ca="1">IFERROR(__xludf.DUMMYFUNCTION("GOOGLETRANSLATE(A8847, ""en"", ""fr"")"),"Salle n ° 1")</f>
        <v>Salle n ° 1</v>
      </c>
      <c r="C8847" s="1" t="s">
        <v>185</v>
      </c>
      <c r="BC8847" s="1" t="s">
        <v>51</v>
      </c>
      <c r="BG8847" s="1" t="s">
        <v>55</v>
      </c>
      <c r="GD8847" s="1" t="s">
        <v>849</v>
      </c>
      <c r="GE8847" s="1" t="s">
        <v>12406</v>
      </c>
    </row>
    <row r="8848" spans="1:187" ht="11.25" customHeight="1">
      <c r="A8848" s="1" t="s">
        <v>12407</v>
      </c>
      <c r="B8848" s="1" t="str">
        <f ca="1">IFERROR(__xludf.DUMMYFUNCTION("GOOGLETRANSLATE(A8848, ""en"", ""fr"")"),"Salle n ° 2")</f>
        <v>Salle n ° 2</v>
      </c>
      <c r="C8848" s="1" t="s">
        <v>185</v>
      </c>
      <c r="DA8848" s="1" t="s">
        <v>101</v>
      </c>
      <c r="GD8848" s="1" t="s">
        <v>193</v>
      </c>
      <c r="GE8848" s="1" t="s">
        <v>12408</v>
      </c>
    </row>
    <row r="8849" spans="1:187" ht="11.25" customHeight="1">
      <c r="A8849" s="1" t="s">
        <v>12409</v>
      </c>
      <c r="B8849" s="1" t="str">
        <f ca="1">IFERROR(__xludf.DUMMYFUNCTION("GOOGLETRANSLATE(A8849, ""en"", ""fr"")"),"Salle n ° 3")</f>
        <v>Salle n ° 3</v>
      </c>
      <c r="C8849" s="1" t="s">
        <v>185</v>
      </c>
      <c r="G8849" s="1" t="s">
        <v>3</v>
      </c>
      <c r="AN8849" s="1" t="s">
        <v>36</v>
      </c>
      <c r="DO8849" s="1" t="s">
        <v>115</v>
      </c>
      <c r="EZ8849" s="1" t="s">
        <v>152</v>
      </c>
      <c r="FC8849" s="1" t="s">
        <v>155</v>
      </c>
      <c r="GD8849" s="1" t="s">
        <v>189</v>
      </c>
      <c r="GE8849" s="1" t="s">
        <v>12410</v>
      </c>
    </row>
    <row r="8850" spans="1:187" ht="11.25" customHeight="1">
      <c r="A8850" s="1" t="s">
        <v>12411</v>
      </c>
      <c r="B8850" s="1" t="str">
        <f ca="1">IFERROR(__xludf.DUMMYFUNCTION("GOOGLETRANSLATE(A8850, ""en"", ""fr"")"),"Salle n ° 4")</f>
        <v>Salle n ° 4</v>
      </c>
      <c r="C8850" s="1" t="s">
        <v>185</v>
      </c>
      <c r="AA8850" s="1" t="s">
        <v>23</v>
      </c>
      <c r="BQ8850" s="1" t="s">
        <v>65</v>
      </c>
      <c r="EZ8850" s="1" t="s">
        <v>152</v>
      </c>
      <c r="FC8850" s="1" t="s">
        <v>155</v>
      </c>
      <c r="GD8850" s="1" t="s">
        <v>193</v>
      </c>
      <c r="GE8850" s="1" t="s">
        <v>12412</v>
      </c>
    </row>
    <row r="8851" spans="1:187" ht="11.25" customHeight="1">
      <c r="A8851" s="1" t="s">
        <v>12413</v>
      </c>
      <c r="B8851" s="1" t="str">
        <f ca="1">IFERROR(__xludf.DUMMYFUNCTION("GOOGLETRANSLATE(A8851, ""en"", ""fr"")"),"Salle n ° 5")</f>
        <v>Salle n ° 5</v>
      </c>
      <c r="C8851" s="1" t="s">
        <v>185</v>
      </c>
      <c r="AA8851" s="1" t="s">
        <v>23</v>
      </c>
      <c r="AC8851" s="1" t="s">
        <v>25</v>
      </c>
      <c r="AV8851" s="1" t="s">
        <v>44</v>
      </c>
      <c r="AW8851" s="1" t="s">
        <v>45</v>
      </c>
      <c r="EZ8851" s="1" t="s">
        <v>152</v>
      </c>
      <c r="FC8851" s="1" t="s">
        <v>155</v>
      </c>
      <c r="GD8851" s="1" t="s">
        <v>193</v>
      </c>
      <c r="GE8851" s="1" t="s">
        <v>12414</v>
      </c>
    </row>
    <row r="8852" spans="1:187" ht="11.25" customHeight="1">
      <c r="A8852" s="1" t="s">
        <v>12415</v>
      </c>
      <c r="B8852" s="1" t="str">
        <f ca="1">IFERROR(__xludf.DUMMYFUNCTION("GOOGLETRANSLATE(A8852, ""en"", ""fr"")"),"COLOCATAIRE")</f>
        <v>COLOCATAIRE</v>
      </c>
      <c r="C8852" s="1" t="s">
        <v>185</v>
      </c>
      <c r="G8852" s="1" t="s">
        <v>3</v>
      </c>
      <c r="AJ8852" s="1" t="s">
        <v>32</v>
      </c>
      <c r="AT8852" s="1" t="s">
        <v>42</v>
      </c>
      <c r="EQ8852" s="1" t="s">
        <v>143</v>
      </c>
      <c r="ES8852" s="1" t="s">
        <v>145</v>
      </c>
      <c r="GD8852" s="1" t="s">
        <v>193</v>
      </c>
      <c r="GE8852" s="1" t="s">
        <v>12416</v>
      </c>
    </row>
    <row r="8853" spans="1:187" ht="11.25" customHeight="1">
      <c r="A8853" s="1" t="s">
        <v>12417</v>
      </c>
      <c r="B8853" s="1" t="str">
        <f ca="1">IFERROR(__xludf.DUMMYFUNCTION("GOOGLETRANSLATE(A8853, ""en"", ""fr"")"),"Roosevelt")</f>
        <v>Roosevelt</v>
      </c>
      <c r="C8853" s="1" t="s">
        <v>185</v>
      </c>
      <c r="AC8853" s="1" t="s">
        <v>25</v>
      </c>
      <c r="AH8853" s="1" t="s">
        <v>30</v>
      </c>
      <c r="DI8853" s="1" t="s">
        <v>109</v>
      </c>
      <c r="DY8853" s="1" t="s">
        <v>125</v>
      </c>
      <c r="ED8853" s="1" t="s">
        <v>130</v>
      </c>
      <c r="GD8853" s="1" t="s">
        <v>193</v>
      </c>
      <c r="GE8853" s="1" t="s">
        <v>190</v>
      </c>
    </row>
    <row r="8854" spans="1:187" ht="11.25" customHeight="1">
      <c r="A8854" s="1" t="s">
        <v>12418</v>
      </c>
      <c r="B8854" s="1" t="str">
        <f ca="1">IFERROR(__xludf.DUMMYFUNCTION("GOOGLETRANSLATE(A8854, ""en"", ""fr"")"),"Racine n ° 1")</f>
        <v>Racine n ° 1</v>
      </c>
      <c r="C8854" s="1" t="s">
        <v>185</v>
      </c>
      <c r="J8854" s="1" t="s">
        <v>6</v>
      </c>
      <c r="CI8854" s="1" t="s">
        <v>83</v>
      </c>
      <c r="FQ8854" s="1" t="s">
        <v>169</v>
      </c>
      <c r="GD8854" s="1" t="s">
        <v>193</v>
      </c>
      <c r="GE8854" s="1" t="s">
        <v>12419</v>
      </c>
    </row>
    <row r="8855" spans="1:187" ht="11.25" customHeight="1">
      <c r="A8855" s="1" t="s">
        <v>12420</v>
      </c>
      <c r="B8855" s="1" t="str">
        <f ca="1">IFERROR(__xludf.DUMMYFUNCTION("GOOGLETRANSLATE(A8855, ""en"", ""fr"")"),"Root # 2")</f>
        <v>Root # 2</v>
      </c>
      <c r="C8855" s="1" t="s">
        <v>185</v>
      </c>
      <c r="J8855" s="1" t="s">
        <v>6</v>
      </c>
      <c r="O8855" s="1" t="s">
        <v>11</v>
      </c>
      <c r="DA8855" s="1" t="s">
        <v>101</v>
      </c>
      <c r="FQ8855" s="1" t="s">
        <v>169</v>
      </c>
      <c r="GD8855" s="1" t="s">
        <v>202</v>
      </c>
      <c r="GE8855" s="1" t="s">
        <v>12421</v>
      </c>
    </row>
    <row r="8856" spans="1:187" ht="11.25" customHeight="1">
      <c r="A8856" s="1" t="s">
        <v>12422</v>
      </c>
      <c r="B8856" s="1" t="str">
        <f ca="1">IFERROR(__xludf.DUMMYFUNCTION("GOOGLETRANSLATE(A8856, ""en"", ""fr"")"),"Root # 3")</f>
        <v>Root # 3</v>
      </c>
      <c r="C8856" s="1" t="s">
        <v>185</v>
      </c>
      <c r="N8856" s="1" t="s">
        <v>10</v>
      </c>
      <c r="BK8856" s="1" t="s">
        <v>59</v>
      </c>
      <c r="DO8856" s="1" t="s">
        <v>115</v>
      </c>
      <c r="EO8856" s="1" t="s">
        <v>141</v>
      </c>
      <c r="ES8856" s="1" t="s">
        <v>145</v>
      </c>
      <c r="GD8856" s="1" t="s">
        <v>189</v>
      </c>
      <c r="GE8856" s="1" t="s">
        <v>12423</v>
      </c>
    </row>
    <row r="8857" spans="1:187" ht="11.25" customHeight="1">
      <c r="A8857" s="1" t="s">
        <v>12424</v>
      </c>
      <c r="B8857" s="1" t="str">
        <f ca="1">IFERROR(__xludf.DUMMYFUNCTION("GOOGLETRANSLATE(A8857, ""en"", ""fr"")"),"Racine # 4")</f>
        <v>Racine # 4</v>
      </c>
      <c r="C8857" s="1" t="s">
        <v>185</v>
      </c>
      <c r="E8857" s="1" t="s">
        <v>16613</v>
      </c>
      <c r="H8857" s="1" t="s">
        <v>4</v>
      </c>
      <c r="I8857" s="1" t="s">
        <v>5</v>
      </c>
      <c r="J8857" s="1" t="s">
        <v>6</v>
      </c>
      <c r="N8857" s="1" t="s">
        <v>10</v>
      </c>
      <c r="CC8857" s="1" t="s">
        <v>77</v>
      </c>
      <c r="DN8857" s="1" t="s">
        <v>114</v>
      </c>
      <c r="EG8857" s="1" t="s">
        <v>133</v>
      </c>
      <c r="EJ8857" s="1" t="s">
        <v>136</v>
      </c>
      <c r="GD8857" s="1" t="s">
        <v>189</v>
      </c>
      <c r="GE8857" s="1" t="s">
        <v>12425</v>
      </c>
    </row>
    <row r="8858" spans="1:187" ht="11.25" customHeight="1">
      <c r="A8858" s="1" t="s">
        <v>12426</v>
      </c>
      <c r="B8858" s="1" t="str">
        <f ca="1">IFERROR(__xludf.DUMMYFUNCTION("GOOGLETRANSLATE(A8858, ""en"", ""fr"")"),"Corde n ° 1")</f>
        <v>Corde n ° 1</v>
      </c>
      <c r="C8858" s="1" t="s">
        <v>185</v>
      </c>
      <c r="BC8858" s="1" t="s">
        <v>51</v>
      </c>
      <c r="BD8858" s="1" t="s">
        <v>52</v>
      </c>
      <c r="GD8858" s="1" t="s">
        <v>849</v>
      </c>
      <c r="GE8858" s="1" t="s">
        <v>12427</v>
      </c>
    </row>
    <row r="8859" spans="1:187" ht="11.25" customHeight="1">
      <c r="A8859" s="1" t="s">
        <v>12428</v>
      </c>
      <c r="B8859" s="1" t="str">
        <f ca="1">IFERROR(__xludf.DUMMYFUNCTION("GOOGLETRANSLATE(A8859, ""en"", ""fr"")"),"Corde n ° 2")</f>
        <v>Corde n ° 2</v>
      </c>
      <c r="C8859" s="1" t="s">
        <v>185</v>
      </c>
      <c r="K8859" s="1" t="s">
        <v>7</v>
      </c>
      <c r="N8859" s="1" t="s">
        <v>10</v>
      </c>
      <c r="AN8859" s="1" t="s">
        <v>36</v>
      </c>
      <c r="DO8859" s="1" t="s">
        <v>115</v>
      </c>
      <c r="FP8859" s="1" t="s">
        <v>168</v>
      </c>
      <c r="GD8859" s="1" t="s">
        <v>189</v>
      </c>
      <c r="GE8859" s="1" t="s">
        <v>12429</v>
      </c>
    </row>
    <row r="8860" spans="1:187" ht="11.25" customHeight="1">
      <c r="A8860" s="1" t="s">
        <v>12430</v>
      </c>
      <c r="B8860" s="1" t="str">
        <f ca="1">IFERROR(__xludf.DUMMYFUNCTION("GOOGLETRANSLATE(A8860, ""en"", ""fr"")"),"Rose # 1")</f>
        <v>Rose # 1</v>
      </c>
      <c r="C8860" s="1" t="s">
        <v>185</v>
      </c>
      <c r="J8860" s="1" t="s">
        <v>6</v>
      </c>
      <c r="N8860" s="1" t="s">
        <v>10</v>
      </c>
      <c r="CB8860" s="1" t="s">
        <v>76</v>
      </c>
      <c r="DO8860" s="1" t="s">
        <v>115</v>
      </c>
      <c r="GD8860" s="1" t="s">
        <v>1076</v>
      </c>
      <c r="GE8860" s="1" t="s">
        <v>12431</v>
      </c>
    </row>
    <row r="8861" spans="1:187" ht="11.25" customHeight="1">
      <c r="A8861" s="1" t="s">
        <v>12432</v>
      </c>
      <c r="B8861" s="1" t="str">
        <f ca="1">IFERROR(__xludf.DUMMYFUNCTION("GOOGLETRANSLATE(A8861, ""en"", ""fr"")"),"Rose # 2")</f>
        <v>Rose # 2</v>
      </c>
      <c r="C8861" s="1" t="s">
        <v>185</v>
      </c>
      <c r="J8861" s="1" t="s">
        <v>6</v>
      </c>
      <c r="BU8861" s="1" t="s">
        <v>69</v>
      </c>
      <c r="DN8861" s="1" t="s">
        <v>114</v>
      </c>
      <c r="EZ8861" s="1" t="s">
        <v>152</v>
      </c>
      <c r="FC8861" s="1" t="s">
        <v>155</v>
      </c>
      <c r="GD8861" s="1" t="s">
        <v>1076</v>
      </c>
      <c r="GE8861" s="1" t="s">
        <v>12433</v>
      </c>
    </row>
    <row r="8862" spans="1:187" ht="11.25" customHeight="1">
      <c r="A8862" s="1" t="s">
        <v>12434</v>
      </c>
      <c r="B8862" s="1" t="str">
        <f ca="1">IFERROR(__xludf.DUMMYFUNCTION("GOOGLETRANSLATE(A8862, ""en"", ""fr"")"),"Rose # 3")</f>
        <v>Rose # 3</v>
      </c>
      <c r="C8862" s="1" t="s">
        <v>185</v>
      </c>
      <c r="BC8862" s="1" t="s">
        <v>51</v>
      </c>
      <c r="BI8862" s="1" t="s">
        <v>57</v>
      </c>
      <c r="GD8862" s="1" t="s">
        <v>193</v>
      </c>
      <c r="GE8862" s="1" t="s">
        <v>12435</v>
      </c>
    </row>
    <row r="8863" spans="1:187" ht="11.25" customHeight="1">
      <c r="A8863" s="1" t="s">
        <v>12436</v>
      </c>
      <c r="B8863" s="1" t="str">
        <f ca="1">IFERROR(__xludf.DUMMYFUNCTION("GOOGLETRANSLATE(A8863, ""en"", ""fr"")"),"ROSÉ")</f>
        <v>ROSÉ</v>
      </c>
      <c r="C8863" s="1" t="s">
        <v>192</v>
      </c>
      <c r="D8863" s="1" t="s">
        <v>16612</v>
      </c>
      <c r="P8863" s="1" t="s">
        <v>12</v>
      </c>
      <c r="U8863" s="1" t="s">
        <v>17</v>
      </c>
      <c r="DR8863" s="1" t="s">
        <v>118</v>
      </c>
      <c r="GD8863" s="1" t="s">
        <v>202</v>
      </c>
      <c r="GE8863" s="1" t="s">
        <v>190</v>
      </c>
    </row>
    <row r="8864" spans="1:187" ht="11.25" customHeight="1">
      <c r="A8864" s="1" t="s">
        <v>12437</v>
      </c>
      <c r="B8864" s="1" t="str">
        <f ca="1">IFERROR(__xludf.DUMMYFUNCTION("GOOGLETRANSLATE(A8864, ""en"", ""fr"")"),"POURRIR")</f>
        <v>POURRIR</v>
      </c>
      <c r="C8864" s="1" t="s">
        <v>192</v>
      </c>
      <c r="E8864" s="1" t="s">
        <v>16613</v>
      </c>
      <c r="O8864" s="1" t="s">
        <v>11</v>
      </c>
      <c r="BU8864" s="1" t="s">
        <v>69</v>
      </c>
      <c r="BY8864" s="1" t="s">
        <v>73</v>
      </c>
      <c r="DO8864" s="1" t="s">
        <v>115</v>
      </c>
      <c r="GD8864" s="1" t="s">
        <v>189</v>
      </c>
      <c r="GE8864" s="1" t="s">
        <v>190</v>
      </c>
    </row>
    <row r="8865" spans="1:187" ht="11.25" customHeight="1">
      <c r="A8865" s="1" t="s">
        <v>12438</v>
      </c>
      <c r="B8865" s="1" t="str">
        <f ca="1">IFERROR(__xludf.DUMMYFUNCTION("GOOGLETRANSLATE(A8865, ""en"", ""fr"")"),"POURRI")</f>
        <v>POURRI</v>
      </c>
      <c r="C8865" s="1" t="s">
        <v>192</v>
      </c>
      <c r="E8865" s="1" t="s">
        <v>16613</v>
      </c>
      <c r="V8865" s="1" t="s">
        <v>18</v>
      </c>
      <c r="BU8865" s="1" t="s">
        <v>69</v>
      </c>
      <c r="DR8865" s="1" t="s">
        <v>118</v>
      </c>
      <c r="GD8865" s="1" t="s">
        <v>202</v>
      </c>
      <c r="GE8865" s="1" t="s">
        <v>190</v>
      </c>
    </row>
    <row r="8866" spans="1:187" ht="11.25" customHeight="1">
      <c r="A8866" s="1" t="s">
        <v>12439</v>
      </c>
      <c r="B8866" s="1" t="str">
        <f ca="1">IFERROR(__xludf.DUMMYFUNCTION("GOOGLETRANSLATE(A8866, ""en"", ""fr"")"),"ROUGE")</f>
        <v>ROUGE</v>
      </c>
      <c r="C8866" s="1" t="s">
        <v>185</v>
      </c>
      <c r="DE8866" s="1" t="s">
        <v>105</v>
      </c>
      <c r="GD8866" s="1" t="s">
        <v>202</v>
      </c>
      <c r="GE8866" s="1" t="s">
        <v>190</v>
      </c>
    </row>
    <row r="8867" spans="1:187" ht="11.25" customHeight="1">
      <c r="A8867" s="1" t="s">
        <v>12440</v>
      </c>
      <c r="B8867" s="1" t="str">
        <f ca="1">IFERROR(__xludf.DUMMYFUNCTION("GOOGLETRANSLATE(A8867, ""en"", ""fr"")"),"Rough # 1")</f>
        <v>Rough # 1</v>
      </c>
      <c r="C8867" s="1" t="s">
        <v>185</v>
      </c>
      <c r="E8867" s="1" t="s">
        <v>16613</v>
      </c>
      <c r="H8867" s="1" t="s">
        <v>4</v>
      </c>
      <c r="CN8867" s="1" t="s">
        <v>88</v>
      </c>
      <c r="CR8867" s="1" t="s">
        <v>92</v>
      </c>
      <c r="GB8867" s="1" t="s">
        <v>180</v>
      </c>
      <c r="GD8867" s="1" t="s">
        <v>421</v>
      </c>
      <c r="GE8867" s="1" t="s">
        <v>12441</v>
      </c>
    </row>
    <row r="8868" spans="1:187" ht="11.25" customHeight="1">
      <c r="A8868" s="1" t="s">
        <v>12442</v>
      </c>
      <c r="B8868" s="1" t="str">
        <f ca="1">IFERROR(__xludf.DUMMYFUNCTION("GOOGLETRANSLATE(A8868, ""en"", ""fr"")"),"Rugueux # 2")</f>
        <v>Rugueux # 2</v>
      </c>
      <c r="C8868" s="1" t="s">
        <v>185</v>
      </c>
      <c r="X8868" s="1" t="s">
        <v>20</v>
      </c>
      <c r="CS8868" s="1" t="s">
        <v>93</v>
      </c>
      <c r="FZ8868" s="1" t="s">
        <v>178</v>
      </c>
      <c r="GD8868" s="1" t="s">
        <v>236</v>
      </c>
      <c r="GE8868" s="1" t="s">
        <v>12443</v>
      </c>
    </row>
    <row r="8869" spans="1:187" ht="11.25" customHeight="1">
      <c r="A8869" s="1" t="s">
        <v>12444</v>
      </c>
      <c r="B8869" s="1" t="str">
        <f ca="1">IFERROR(__xludf.DUMMYFUNCTION("GOOGLETRANSLATE(A8869, ""en"", ""fr"")"),"Rough # 3")</f>
        <v>Rough # 3</v>
      </c>
      <c r="C8869" s="1" t="s">
        <v>185</v>
      </c>
      <c r="AL8869" s="1" t="s">
        <v>34</v>
      </c>
      <c r="DN8869" s="1" t="s">
        <v>114</v>
      </c>
      <c r="GD8869" s="1" t="s">
        <v>189</v>
      </c>
      <c r="GE8869" s="1" t="s">
        <v>12445</v>
      </c>
    </row>
    <row r="8870" spans="1:187" ht="11.25" customHeight="1">
      <c r="A8870" s="1" t="s">
        <v>12446</v>
      </c>
      <c r="B8870" s="1" t="str">
        <f ca="1">IFERROR(__xludf.DUMMYFUNCTION("GOOGLETRANSLATE(A8870, ""en"", ""fr"")"),"RUGOSITÉ")</f>
        <v>RUGOSITÉ</v>
      </c>
      <c r="C8870" s="1" t="s">
        <v>192</v>
      </c>
      <c r="E8870" s="1" t="s">
        <v>16613</v>
      </c>
      <c r="J8870" s="1" t="s">
        <v>6</v>
      </c>
      <c r="V8870" s="1" t="s">
        <v>18</v>
      </c>
      <c r="DR8870" s="1" t="s">
        <v>118</v>
      </c>
      <c r="GD8870" s="1" t="s">
        <v>202</v>
      </c>
      <c r="GE8870" s="1" t="s">
        <v>190</v>
      </c>
    </row>
    <row r="8871" spans="1:187" ht="11.25" customHeight="1">
      <c r="A8871" s="1" t="s">
        <v>12447</v>
      </c>
      <c r="B8871" s="1" t="str">
        <f ca="1">IFERROR(__xludf.DUMMYFUNCTION("GOOGLETRANSLATE(A8871, ""en"", ""fr"")"),"TOUR 1")</f>
        <v>TOUR 1</v>
      </c>
      <c r="C8871" s="1" t="s">
        <v>185</v>
      </c>
      <c r="DA8871" s="1" t="s">
        <v>101</v>
      </c>
      <c r="GB8871" s="1" t="s">
        <v>180</v>
      </c>
      <c r="GD8871" s="1" t="s">
        <v>215</v>
      </c>
      <c r="GE8871" s="1" t="s">
        <v>12448</v>
      </c>
    </row>
    <row r="8872" spans="1:187" ht="11.25" customHeight="1">
      <c r="A8872" s="1" t="s">
        <v>12449</v>
      </c>
      <c r="B8872" s="1" t="str">
        <f ca="1">IFERROR(__xludf.DUMMYFUNCTION("GOOGLETRANSLATE(A8872, ""en"", ""fr"")"),"2ÈME ROUND")</f>
        <v>2ÈME ROUND</v>
      </c>
      <c r="C8872" s="1" t="s">
        <v>185</v>
      </c>
      <c r="DA8872" s="1" t="s">
        <v>101</v>
      </c>
      <c r="GB8872" s="1" t="s">
        <v>180</v>
      </c>
      <c r="GD8872" s="1" t="s">
        <v>236</v>
      </c>
      <c r="GE8872" s="1" t="s">
        <v>12450</v>
      </c>
    </row>
    <row r="8873" spans="1:187" ht="11.25" customHeight="1">
      <c r="A8873" s="1" t="s">
        <v>12451</v>
      </c>
      <c r="B8873" s="1" t="str">
        <f ca="1">IFERROR(__xludf.DUMMYFUNCTION("GOOGLETRANSLATE(A8873, ""en"", ""fr"")"),"Round # 3")</f>
        <v>Round # 3</v>
      </c>
      <c r="C8873" s="1" t="s">
        <v>185</v>
      </c>
      <c r="CR8873" s="1" t="s">
        <v>92</v>
      </c>
      <c r="GB8873" s="1" t="s">
        <v>180</v>
      </c>
      <c r="GD8873" s="1" t="s">
        <v>202</v>
      </c>
      <c r="GE8873" s="1" t="s">
        <v>12452</v>
      </c>
    </row>
    <row r="8874" spans="1:187" ht="11.25" customHeight="1">
      <c r="A8874" s="1" t="s">
        <v>12453</v>
      </c>
      <c r="B8874" s="1" t="str">
        <f ca="1">IFERROR(__xludf.DUMMYFUNCTION("GOOGLETRANSLATE(A8874, ""en"", ""fr"")"),"Round # 4")</f>
        <v>Round # 4</v>
      </c>
      <c r="C8874" s="1" t="s">
        <v>185</v>
      </c>
      <c r="D8874" s="1" t="s">
        <v>16612</v>
      </c>
      <c r="F8874" s="1" t="s">
        <v>2</v>
      </c>
      <c r="U8874" s="1" t="s">
        <v>17</v>
      </c>
      <c r="GD8874" s="1" t="s">
        <v>202</v>
      </c>
      <c r="GE8874" s="1" t="s">
        <v>12454</v>
      </c>
    </row>
    <row r="8875" spans="1:187" ht="11.25" customHeight="1">
      <c r="A8875" s="1" t="s">
        <v>12455</v>
      </c>
      <c r="B8875" s="1" t="str">
        <f ca="1">IFERROR(__xludf.DUMMYFUNCTION("GOOGLETRANSLATE(A8875, ""en"", ""fr"")"),"Round n ° 5")</f>
        <v>Round n ° 5</v>
      </c>
      <c r="C8875" s="1" t="s">
        <v>185</v>
      </c>
      <c r="N8875" s="1" t="s">
        <v>10</v>
      </c>
      <c r="CD8875" s="1" t="s">
        <v>78</v>
      </c>
      <c r="DN8875" s="1" t="s">
        <v>114</v>
      </c>
      <c r="GD8875" s="1" t="s">
        <v>189</v>
      </c>
      <c r="GE8875" s="1" t="s">
        <v>12456</v>
      </c>
    </row>
    <row r="8876" spans="1:187" ht="11.25" customHeight="1">
      <c r="A8876" s="1" t="s">
        <v>12457</v>
      </c>
      <c r="B8876" s="1" t="str">
        <f ca="1">IFERROR(__xludf.DUMMYFUNCTION("GOOGLETRANSLATE(A8876, ""en"", ""fr"")"),"Round # 6")</f>
        <v>Round # 6</v>
      </c>
      <c r="C8876" s="1" t="s">
        <v>185</v>
      </c>
      <c r="N8876" s="1" t="s">
        <v>10</v>
      </c>
      <c r="BW8876" s="1" t="s">
        <v>71</v>
      </c>
      <c r="DN8876" s="1" t="s">
        <v>114</v>
      </c>
      <c r="GD8876" s="1" t="s">
        <v>189</v>
      </c>
      <c r="GE8876" s="1" t="s">
        <v>12458</v>
      </c>
    </row>
    <row r="8877" spans="1:187" ht="11.25" customHeight="1">
      <c r="A8877" s="1" t="s">
        <v>12459</v>
      </c>
      <c r="B8877" s="1" t="str">
        <f ca="1">IFERROR(__xludf.DUMMYFUNCTION("GOOGLETRANSLATE(A8877, ""en"", ""fr"")"),"Round 7")</f>
        <v>Round 7</v>
      </c>
      <c r="C8877" s="1" t="s">
        <v>185</v>
      </c>
      <c r="N8877" s="1" t="s">
        <v>10</v>
      </c>
      <c r="BS8877" s="1" t="s">
        <v>67</v>
      </c>
      <c r="DN8877" s="1" t="s">
        <v>114</v>
      </c>
      <c r="GD8877" s="1" t="s">
        <v>189</v>
      </c>
      <c r="GE8877" s="1" t="s">
        <v>12460</v>
      </c>
    </row>
    <row r="8878" spans="1:187" ht="11.25" customHeight="1">
      <c r="A8878" s="1" t="s">
        <v>12461</v>
      </c>
      <c r="B8878" s="1" t="str">
        <f ca="1">IFERROR(__xludf.DUMMYFUNCTION("GOOGLETRANSLATE(A8878, ""en"", ""fr"")"),"Round # 8")</f>
        <v>Round # 8</v>
      </c>
      <c r="C8878" s="1" t="s">
        <v>185</v>
      </c>
      <c r="N8878" s="1" t="s">
        <v>10</v>
      </c>
      <c r="CY8878" s="1" t="s">
        <v>99</v>
      </c>
      <c r="GD8878" s="1" t="s">
        <v>193</v>
      </c>
      <c r="GE8878" s="1" t="s">
        <v>12462</v>
      </c>
    </row>
    <row r="8879" spans="1:187" ht="11.25" customHeight="1">
      <c r="A8879" s="1" t="s">
        <v>12463</v>
      </c>
      <c r="B8879" s="1" t="str">
        <f ca="1">IFERROR(__xludf.DUMMYFUNCTION("GOOGLETRANSLATE(A8879, ""en"", ""fr"")"),"Round # 9")</f>
        <v>Round # 9</v>
      </c>
      <c r="C8879" s="1" t="s">
        <v>185</v>
      </c>
      <c r="N8879" s="1" t="s">
        <v>10</v>
      </c>
      <c r="CE8879" s="1" t="s">
        <v>79</v>
      </c>
      <c r="DN8879" s="1" t="s">
        <v>114</v>
      </c>
      <c r="GD8879" s="1" t="s">
        <v>189</v>
      </c>
      <c r="GE8879" s="1" t="s">
        <v>12464</v>
      </c>
    </row>
    <row r="8880" spans="1:187" ht="11.25" customHeight="1">
      <c r="A8880" s="1" t="s">
        <v>12465</v>
      </c>
      <c r="B8880" s="1" t="str">
        <f ca="1">IFERROR(__xludf.DUMMYFUNCTION("GOOGLETRANSLATE(A8880, ""en"", ""fr"")"),"ROND POINT")</f>
        <v>ROND POINT</v>
      </c>
      <c r="C8880" s="1" t="s">
        <v>192</v>
      </c>
      <c r="E8880" s="1" t="s">
        <v>16613</v>
      </c>
      <c r="V8880" s="1" t="s">
        <v>18</v>
      </c>
      <c r="X8880" s="1" t="s">
        <v>20</v>
      </c>
      <c r="DR8880" s="1" t="s">
        <v>118</v>
      </c>
      <c r="GD8880" s="1" t="s">
        <v>202</v>
      </c>
      <c r="GE8880" s="1" t="s">
        <v>190</v>
      </c>
    </row>
    <row r="8881" spans="1:187" ht="11.25" customHeight="1">
      <c r="A8881" s="1" t="s">
        <v>12466</v>
      </c>
      <c r="B8881" s="1" t="str">
        <f ca="1">IFERROR(__xludf.DUMMYFUNCTION("GOOGLETRANSLATE(A8881, ""en"", ""fr"")"),"RÉVEILLER")</f>
        <v>RÉVEILLER</v>
      </c>
      <c r="C8881" s="1" t="s">
        <v>192</v>
      </c>
      <c r="D8881" s="1" t="s">
        <v>16612</v>
      </c>
      <c r="N8881" s="1" t="s">
        <v>10</v>
      </c>
      <c r="AN8881" s="1" t="s">
        <v>36</v>
      </c>
      <c r="CC8881" s="1" t="s">
        <v>77</v>
      </c>
      <c r="CI8881" s="1" t="s">
        <v>83</v>
      </c>
      <c r="DN8881" s="1" t="s">
        <v>114</v>
      </c>
      <c r="GD8881" s="1" t="s">
        <v>189</v>
      </c>
      <c r="GE8881" s="1" t="s">
        <v>190</v>
      </c>
    </row>
    <row r="8882" spans="1:187" ht="11.25" customHeight="1">
      <c r="A8882" s="1" t="s">
        <v>12467</v>
      </c>
      <c r="B8882" s="1" t="str">
        <f ca="1">IFERROR(__xludf.DUMMYFUNCTION("GOOGLETRANSLATE(A8882, ""en"", ""fr"")"),"ITINÉRAIRE")</f>
        <v>ITINÉRAIRE</v>
      </c>
      <c r="C8882" s="1" t="s">
        <v>185</v>
      </c>
      <c r="AV8882" s="1" t="s">
        <v>44</v>
      </c>
      <c r="AY8882" s="1" t="s">
        <v>47</v>
      </c>
      <c r="GB8882" s="1" t="s">
        <v>180</v>
      </c>
      <c r="GD8882" s="1" t="s">
        <v>193</v>
      </c>
      <c r="GE8882" s="1" t="s">
        <v>190</v>
      </c>
    </row>
    <row r="8883" spans="1:187" ht="11.25" customHeight="1">
      <c r="A8883" s="1" t="s">
        <v>12468</v>
      </c>
      <c r="B8883" s="1" t="str">
        <f ca="1">IFERROR(__xludf.DUMMYFUNCTION("GOOGLETRANSLATE(A8883, ""en"", ""fr"")"),"ROUTINE")</f>
        <v>ROUTINE</v>
      </c>
      <c r="C8883" s="1" t="s">
        <v>185</v>
      </c>
      <c r="BQ8883" s="1" t="s">
        <v>65</v>
      </c>
      <c r="FQ8883" s="1" t="s">
        <v>169</v>
      </c>
      <c r="GD8883" s="1" t="s">
        <v>193</v>
      </c>
      <c r="GE8883" s="1" t="s">
        <v>190</v>
      </c>
    </row>
    <row r="8884" spans="1:187" ht="11.25" customHeight="1">
      <c r="A8884" s="1" t="s">
        <v>12469</v>
      </c>
      <c r="B8884" s="1" t="str">
        <f ca="1">IFERROR(__xludf.DUMMYFUNCTION("GOOGLETRANSLATE(A8884, ""en"", ""fr"")"),"Rangée n ° 1")</f>
        <v>Rangée n ° 1</v>
      </c>
      <c r="C8884" s="1" t="s">
        <v>185</v>
      </c>
      <c r="DA8884" s="1" t="s">
        <v>101</v>
      </c>
      <c r="GD8884" s="1" t="s">
        <v>193</v>
      </c>
      <c r="GE8884" s="1" t="s">
        <v>190</v>
      </c>
    </row>
    <row r="8885" spans="1:187" ht="11.25" customHeight="1">
      <c r="A8885" s="1" t="s">
        <v>12470</v>
      </c>
      <c r="B8885" s="1" t="str">
        <f ca="1">IFERROR(__xludf.DUMMYFUNCTION("GOOGLETRANSLATE(A8885, ""en"", ""fr"")"),"Rangée n ° 2")</f>
        <v>Rangée n ° 2</v>
      </c>
      <c r="C8885" s="1" t="s">
        <v>185</v>
      </c>
      <c r="N8885" s="1" t="s">
        <v>10</v>
      </c>
      <c r="AD8885" s="1" t="s">
        <v>26</v>
      </c>
      <c r="CC8885" s="1" t="s">
        <v>77</v>
      </c>
      <c r="DO8885" s="1" t="s">
        <v>115</v>
      </c>
      <c r="GD8885" s="1" t="s">
        <v>189</v>
      </c>
      <c r="GE8885" s="1" t="s">
        <v>190</v>
      </c>
    </row>
    <row r="8886" spans="1:187" ht="11.25" customHeight="1">
      <c r="A8886" s="1" t="s">
        <v>12471</v>
      </c>
      <c r="B8886" s="1" t="str">
        <f ca="1">IFERROR(__xludf.DUMMYFUNCTION("GOOGLETRANSLATE(A8886, ""en"", ""fr"")"),"ROYAL")</f>
        <v>ROYAL</v>
      </c>
      <c r="C8886" s="1" t="s">
        <v>185</v>
      </c>
      <c r="J8886" s="1" t="s">
        <v>6</v>
      </c>
      <c r="K8886" s="1" t="s">
        <v>7</v>
      </c>
      <c r="AG8886" s="1" t="s">
        <v>29</v>
      </c>
      <c r="AH8886" s="1" t="s">
        <v>30</v>
      </c>
      <c r="AK8886" s="1" t="s">
        <v>33</v>
      </c>
      <c r="AT8886" s="1" t="s">
        <v>42</v>
      </c>
      <c r="EM8886" s="1" t="s">
        <v>139</v>
      </c>
      <c r="EN8886" s="1" t="s">
        <v>140</v>
      </c>
      <c r="GD8886" s="1" t="s">
        <v>202</v>
      </c>
      <c r="GE8886" s="1" t="s">
        <v>190</v>
      </c>
    </row>
    <row r="8887" spans="1:187" ht="11.25" customHeight="1">
      <c r="A8887" s="1" t="s">
        <v>12472</v>
      </c>
      <c r="B8887" s="1" t="str">
        <f ca="1">IFERROR(__xludf.DUMMYFUNCTION("GOOGLETRANSLATE(A8887, ""en"", ""fr"")"),"ROYALTIES")</f>
        <v>ROYALTIES</v>
      </c>
      <c r="C8887" s="1" t="s">
        <v>185</v>
      </c>
      <c r="J8887" s="1" t="s">
        <v>6</v>
      </c>
      <c r="K8887" s="1" t="s">
        <v>7</v>
      </c>
      <c r="AG8887" s="1" t="s">
        <v>29</v>
      </c>
      <c r="AH8887" s="1" t="s">
        <v>30</v>
      </c>
      <c r="AK8887" s="1" t="s">
        <v>33</v>
      </c>
      <c r="AT8887" s="1" t="s">
        <v>42</v>
      </c>
      <c r="EM8887" s="1" t="s">
        <v>139</v>
      </c>
      <c r="EN8887" s="1" t="s">
        <v>140</v>
      </c>
      <c r="EV8887" s="1" t="s">
        <v>148</v>
      </c>
      <c r="EW8887" s="1" t="s">
        <v>149</v>
      </c>
      <c r="GD8887" s="1" t="s">
        <v>193</v>
      </c>
      <c r="GE8887" s="1" t="s">
        <v>190</v>
      </c>
    </row>
    <row r="8888" spans="1:187" ht="11.25" customHeight="1">
      <c r="A8888" s="1" t="s">
        <v>12473</v>
      </c>
      <c r="B8888" s="1" t="str">
        <f ca="1">IFERROR(__xludf.DUMMYFUNCTION("GOOGLETRANSLATE(A8888, ""en"", ""fr"")"),"Frotter # 1")</f>
        <v>Frotter # 1</v>
      </c>
      <c r="C8888" s="1" t="s">
        <v>185</v>
      </c>
      <c r="DD8888" s="1" t="s">
        <v>104</v>
      </c>
      <c r="GD8888" s="1" t="s">
        <v>193</v>
      </c>
      <c r="GE8888" s="1" t="s">
        <v>190</v>
      </c>
    </row>
    <row r="8889" spans="1:187" ht="11.25" customHeight="1">
      <c r="A8889" s="1" t="s">
        <v>12474</v>
      </c>
      <c r="B8889" s="1" t="str">
        <f ca="1">IFERROR(__xludf.DUMMYFUNCTION("GOOGLETRANSLATE(A8889, ""en"", ""fr"")"),"Frotter # 2")</f>
        <v>Frotter # 2</v>
      </c>
      <c r="C8889" s="1" t="s">
        <v>185</v>
      </c>
      <c r="N8889" s="1" t="s">
        <v>10</v>
      </c>
      <c r="AL8889" s="1" t="s">
        <v>34</v>
      </c>
      <c r="DO8889" s="1" t="s">
        <v>115</v>
      </c>
      <c r="GD8889" s="1" t="s">
        <v>189</v>
      </c>
      <c r="GE8889" s="1" t="s">
        <v>190</v>
      </c>
    </row>
    <row r="8890" spans="1:187" ht="11.25" customHeight="1">
      <c r="A8890" s="1" t="s">
        <v>12475</v>
      </c>
      <c r="B8890" s="1" t="str">
        <f ca="1">IFERROR(__xludf.DUMMYFUNCTION("GOOGLETRANSLATE(A8890, ""en"", ""fr"")"),"CAOUTCHOUC")</f>
        <v>CAOUTCHOUC</v>
      </c>
      <c r="C8890" s="1" t="s">
        <v>196</v>
      </c>
      <c r="EV8890" s="1" t="s">
        <v>148</v>
      </c>
      <c r="EW8890" s="1" t="s">
        <v>149</v>
      </c>
      <c r="GD8890" s="1" t="s">
        <v>193</v>
      </c>
    </row>
    <row r="8891" spans="1:187" ht="11.25" customHeight="1">
      <c r="A8891" s="1" t="s">
        <v>12476</v>
      </c>
      <c r="B8891" s="1" t="str">
        <f ca="1">IFERROR(__xludf.DUMMYFUNCTION("GOOGLETRANSLATE(A8891, ""en"", ""fr"")"),"DÉCHETS")</f>
        <v>DÉCHETS</v>
      </c>
      <c r="C8891" s="1" t="s">
        <v>192</v>
      </c>
      <c r="E8891" s="1" t="s">
        <v>16613</v>
      </c>
      <c r="BC8891" s="1" t="s">
        <v>51</v>
      </c>
      <c r="GD8891" s="1" t="s">
        <v>193</v>
      </c>
      <c r="GE8891" s="1" t="s">
        <v>190</v>
      </c>
    </row>
    <row r="8892" spans="1:187" ht="11.25" customHeight="1">
      <c r="A8892" s="1" t="s">
        <v>12477</v>
      </c>
      <c r="B8892" s="1" t="str">
        <f ca="1">IFERROR(__xludf.DUMMYFUNCTION("GOOGLETRANSLATE(A8892, ""en"", ""fr"")"),"GROSSIER")</f>
        <v>GROSSIER</v>
      </c>
      <c r="C8892" s="1" t="s">
        <v>185</v>
      </c>
      <c r="E8892" s="1" t="s">
        <v>16613</v>
      </c>
      <c r="V8892" s="1" t="s">
        <v>18</v>
      </c>
      <c r="CM8892" s="1" t="s">
        <v>87</v>
      </c>
      <c r="DQ8892" s="1" t="s">
        <v>117</v>
      </c>
      <c r="GD8892" s="1" t="s">
        <v>202</v>
      </c>
      <c r="GE8892" s="1" t="s">
        <v>190</v>
      </c>
    </row>
    <row r="8893" spans="1:187" ht="11.25" customHeight="1">
      <c r="A8893" s="1" t="s">
        <v>12478</v>
      </c>
      <c r="B8893" s="1" t="str">
        <f ca="1">IFERROR(__xludf.DUMMYFUNCTION("GOOGLETRANSLATE(A8893, ""en"", ""fr"")"),"RUE")</f>
        <v>RUE</v>
      </c>
      <c r="C8893" s="1" t="s">
        <v>185</v>
      </c>
      <c r="E8893" s="1" t="s">
        <v>16613</v>
      </c>
      <c r="H8893" s="1" t="s">
        <v>4</v>
      </c>
      <c r="Q8893" s="1" t="s">
        <v>13</v>
      </c>
      <c r="DP8893" s="1" t="s">
        <v>116</v>
      </c>
      <c r="EE8893" s="1" t="s">
        <v>131</v>
      </c>
      <c r="EJ8893" s="1" t="s">
        <v>136</v>
      </c>
      <c r="GD8893" s="1" t="s">
        <v>189</v>
      </c>
      <c r="GE8893" s="1" t="s">
        <v>190</v>
      </c>
    </row>
    <row r="8894" spans="1:187" ht="11.25" customHeight="1">
      <c r="A8894" s="1" t="s">
        <v>12479</v>
      </c>
      <c r="B8894" s="1" t="str">
        <f ca="1">IFERROR(__xludf.DUMMYFUNCTION("GOOGLETRANSLATE(A8894, ""en"", ""fr"")"),"BRUTE")</f>
        <v>BRUTE</v>
      </c>
      <c r="C8894" s="1" t="s">
        <v>192</v>
      </c>
      <c r="E8894" s="1" t="s">
        <v>16613</v>
      </c>
      <c r="I8894" s="1" t="s">
        <v>5</v>
      </c>
      <c r="AT8894" s="1" t="s">
        <v>42</v>
      </c>
      <c r="GD8894" s="1" t="s">
        <v>193</v>
      </c>
      <c r="GE8894" s="1" t="s">
        <v>190</v>
      </c>
    </row>
    <row r="8895" spans="1:187" ht="11.25" customHeight="1">
      <c r="A8895" s="1" t="s">
        <v>12480</v>
      </c>
      <c r="B8895" s="1" t="str">
        <f ca="1">IFERROR(__xludf.DUMMYFUNCTION("GOOGLETRANSLATE(A8895, ""en"", ""fr"")"),"TAPIS")</f>
        <v>TAPIS</v>
      </c>
      <c r="C8895" s="1" t="s">
        <v>196</v>
      </c>
      <c r="GD8895" s="1" t="s">
        <v>193</v>
      </c>
    </row>
    <row r="8896" spans="1:187" ht="11.25" customHeight="1">
      <c r="A8896" s="1" t="s">
        <v>12481</v>
      </c>
      <c r="B8896" s="1" t="str">
        <f ca="1">IFERROR(__xludf.DUMMYFUNCTION("GOOGLETRANSLATE(A8896, ""en"", ""fr"")"),"ROBUSTE")</f>
        <v>ROBUSTE</v>
      </c>
      <c r="C8896" s="1" t="s">
        <v>185</v>
      </c>
      <c r="J8896" s="1" t="s">
        <v>6</v>
      </c>
      <c r="K8896" s="1" t="s">
        <v>7</v>
      </c>
      <c r="O8896" s="1" t="s">
        <v>11</v>
      </c>
      <c r="CR8896" s="1" t="s">
        <v>92</v>
      </c>
      <c r="GD8896" s="1" t="s">
        <v>202</v>
      </c>
      <c r="GE8896" s="1" t="s">
        <v>190</v>
      </c>
    </row>
    <row r="8897" spans="1:187" ht="11.25" customHeight="1">
      <c r="A8897" s="1" t="s">
        <v>12482</v>
      </c>
      <c r="B8897" s="1" t="str">
        <f ca="1">IFERROR(__xludf.DUMMYFUNCTION("GOOGLETRANSLATE(A8897, ""en"", ""fr"")"),"Ruine # 1")</f>
        <v>Ruine # 1</v>
      </c>
      <c r="C8897" s="1" t="s">
        <v>185</v>
      </c>
      <c r="E8897" s="1" t="s">
        <v>16613</v>
      </c>
      <c r="H8897" s="1" t="s">
        <v>4</v>
      </c>
      <c r="L8897" s="1" t="s">
        <v>8</v>
      </c>
      <c r="V8897" s="1" t="s">
        <v>18</v>
      </c>
      <c r="AC8897" s="1" t="s">
        <v>25</v>
      </c>
      <c r="FO8897" s="1" t="s">
        <v>167</v>
      </c>
      <c r="GD8897" s="1" t="s">
        <v>193</v>
      </c>
      <c r="GE8897" s="1" t="s">
        <v>12483</v>
      </c>
    </row>
    <row r="8898" spans="1:187" ht="11.25" customHeight="1">
      <c r="A8898" s="1" t="s">
        <v>12484</v>
      </c>
      <c r="B8898" s="1" t="str">
        <f ca="1">IFERROR(__xludf.DUMMYFUNCTION("GOOGLETRANSLATE(A8898, ""en"", ""fr"")"),"Ruine # 2")</f>
        <v>Ruine # 2</v>
      </c>
      <c r="C8898" s="1" t="s">
        <v>185</v>
      </c>
      <c r="E8898" s="1" t="s">
        <v>16613</v>
      </c>
      <c r="H8898" s="1" t="s">
        <v>4</v>
      </c>
      <c r="J8898" s="1" t="s">
        <v>6</v>
      </c>
      <c r="N8898" s="1" t="s">
        <v>10</v>
      </c>
      <c r="BT8898" s="1" t="s">
        <v>68</v>
      </c>
      <c r="DN8898" s="1" t="s">
        <v>114</v>
      </c>
      <c r="FO8898" s="1" t="s">
        <v>167</v>
      </c>
      <c r="GD8898" s="1" t="s">
        <v>189</v>
      </c>
      <c r="GE8898" s="1" t="s">
        <v>12485</v>
      </c>
    </row>
    <row r="8899" spans="1:187" ht="11.25" customHeight="1">
      <c r="A8899" s="1" t="s">
        <v>12486</v>
      </c>
      <c r="B8899" s="1" t="str">
        <f ca="1">IFERROR(__xludf.DUMMYFUNCTION("GOOGLETRANSLATE(A8899, ""en"", ""fr"")"),"Ruine # 3")</f>
        <v>Ruine # 3</v>
      </c>
      <c r="C8899" s="1" t="s">
        <v>185</v>
      </c>
      <c r="E8899" s="1" t="s">
        <v>16613</v>
      </c>
      <c r="H8899" s="1" t="s">
        <v>4</v>
      </c>
      <c r="L8899" s="1" t="s">
        <v>8</v>
      </c>
      <c r="O8899" s="1" t="s">
        <v>11</v>
      </c>
      <c r="V8899" s="1" t="s">
        <v>18</v>
      </c>
      <c r="FO8899" s="1" t="s">
        <v>167</v>
      </c>
      <c r="GD8899" s="1" t="s">
        <v>202</v>
      </c>
      <c r="GE8899" s="1" t="s">
        <v>12487</v>
      </c>
    </row>
    <row r="8900" spans="1:187" ht="11.25" customHeight="1">
      <c r="A8900" s="1" t="s">
        <v>12488</v>
      </c>
      <c r="B8900" s="1" t="str">
        <f ca="1">IFERROR(__xludf.DUMMYFUNCTION("GOOGLETRANSLATE(A8900, ""en"", ""fr"")"),"Ruine # 4")</f>
        <v>Ruine # 4</v>
      </c>
      <c r="C8900" s="1" t="s">
        <v>185</v>
      </c>
      <c r="E8900" s="1" t="s">
        <v>16613</v>
      </c>
      <c r="H8900" s="1" t="s">
        <v>4</v>
      </c>
      <c r="AV8900" s="1" t="s">
        <v>44</v>
      </c>
      <c r="AW8900" s="1" t="s">
        <v>45</v>
      </c>
      <c r="GD8900" s="1" t="s">
        <v>193</v>
      </c>
      <c r="GE8900" s="1" t="s">
        <v>12489</v>
      </c>
    </row>
    <row r="8901" spans="1:187" ht="11.25" customHeight="1">
      <c r="A8901" s="1" t="s">
        <v>12490</v>
      </c>
      <c r="B8901" s="1" t="str">
        <f ca="1">IFERROR(__xludf.DUMMYFUNCTION("GOOGLETRANSLATE(A8901, ""en"", ""fr"")"),"RUINEUX")</f>
        <v>RUINEUX</v>
      </c>
      <c r="C8901" s="1" t="s">
        <v>192</v>
      </c>
      <c r="E8901" s="1" t="s">
        <v>16613</v>
      </c>
      <c r="I8901" s="1" t="s">
        <v>5</v>
      </c>
      <c r="V8901" s="1" t="s">
        <v>18</v>
      </c>
      <c r="DR8901" s="1" t="s">
        <v>118</v>
      </c>
      <c r="GD8901" s="1" t="s">
        <v>202</v>
      </c>
      <c r="GE8901" s="1" t="s">
        <v>190</v>
      </c>
    </row>
    <row r="8902" spans="1:187" ht="11.25" customHeight="1">
      <c r="A8902" s="1" t="s">
        <v>12491</v>
      </c>
      <c r="B8902" s="1" t="str">
        <f ca="1">IFERROR(__xludf.DUMMYFUNCTION("GOOGLETRANSLATE(A8902, ""en"", ""fr"")"),"RÈGLE 1")</f>
        <v>RÈGLE 1</v>
      </c>
      <c r="C8902" s="1" t="s">
        <v>185</v>
      </c>
      <c r="J8902" s="1" t="s">
        <v>6</v>
      </c>
      <c r="K8902" s="1" t="s">
        <v>7</v>
      </c>
      <c r="AE8902" s="1" t="s">
        <v>27</v>
      </c>
      <c r="BK8902" s="1" t="s">
        <v>59</v>
      </c>
      <c r="BL8902" s="1" t="s">
        <v>60</v>
      </c>
      <c r="EB8902" s="1" t="s">
        <v>128</v>
      </c>
      <c r="ED8902" s="1" t="s">
        <v>130</v>
      </c>
      <c r="GC8902" s="1" t="s">
        <v>181</v>
      </c>
      <c r="GD8902" s="1" t="s">
        <v>193</v>
      </c>
      <c r="GE8902" s="1" t="s">
        <v>12492</v>
      </c>
    </row>
    <row r="8903" spans="1:187" ht="11.25" customHeight="1">
      <c r="A8903" s="1" t="s">
        <v>12493</v>
      </c>
      <c r="B8903" s="1" t="str">
        <f ca="1">IFERROR(__xludf.DUMMYFUNCTION("GOOGLETRANSLATE(A8903, ""en"", ""fr"")"),"Règle n ° 2")</f>
        <v>Règle n ° 2</v>
      </c>
      <c r="C8903" s="1" t="s">
        <v>185</v>
      </c>
      <c r="J8903" s="1" t="s">
        <v>6</v>
      </c>
      <c r="K8903" s="1" t="s">
        <v>7</v>
      </c>
      <c r="N8903" s="1" t="s">
        <v>10</v>
      </c>
      <c r="AG8903" s="1" t="s">
        <v>29</v>
      </c>
      <c r="AN8903" s="1" t="s">
        <v>36</v>
      </c>
      <c r="DN8903" s="1" t="s">
        <v>114</v>
      </c>
      <c r="EB8903" s="1" t="s">
        <v>128</v>
      </c>
      <c r="ED8903" s="1" t="s">
        <v>130</v>
      </c>
      <c r="GD8903" s="1" t="s">
        <v>189</v>
      </c>
      <c r="GE8903" s="1" t="s">
        <v>12494</v>
      </c>
    </row>
    <row r="8904" spans="1:187" ht="11.25" customHeight="1">
      <c r="A8904" s="1" t="s">
        <v>12495</v>
      </c>
      <c r="B8904" s="1" t="str">
        <f ca="1">IFERROR(__xludf.DUMMYFUNCTION("GOOGLETRANSLATE(A8904, ""en"", ""fr"")"),"Règle n ° 3")</f>
        <v>Règle n ° 3</v>
      </c>
      <c r="C8904" s="1" t="s">
        <v>185</v>
      </c>
      <c r="J8904" s="1" t="s">
        <v>6</v>
      </c>
      <c r="N8904" s="1" t="s">
        <v>10</v>
      </c>
      <c r="Z8904" s="1" t="s">
        <v>22</v>
      </c>
      <c r="AG8904" s="1" t="s">
        <v>29</v>
      </c>
      <c r="AH8904" s="1" t="s">
        <v>30</v>
      </c>
      <c r="EB8904" s="1" t="s">
        <v>128</v>
      </c>
      <c r="ED8904" s="1" t="s">
        <v>130</v>
      </c>
      <c r="GD8904" s="1" t="s">
        <v>193</v>
      </c>
      <c r="GE8904" s="1" t="s">
        <v>12496</v>
      </c>
    </row>
    <row r="8905" spans="1:187" ht="11.25" customHeight="1">
      <c r="A8905" s="1" t="s">
        <v>12497</v>
      </c>
      <c r="B8905" s="1" t="str">
        <f ca="1">IFERROR(__xludf.DUMMYFUNCTION("GOOGLETRANSLATE(A8905, ""en"", ""fr"")"),"Règle n ° 4")</f>
        <v>Règle n ° 4</v>
      </c>
      <c r="C8905" s="1" t="s">
        <v>185</v>
      </c>
      <c r="J8905" s="1" t="s">
        <v>6</v>
      </c>
      <c r="K8905" s="1" t="s">
        <v>7</v>
      </c>
      <c r="N8905" s="1" t="s">
        <v>10</v>
      </c>
      <c r="AG8905" s="1" t="s">
        <v>29</v>
      </c>
      <c r="AN8905" s="1" t="s">
        <v>36</v>
      </c>
      <c r="EB8905" s="1" t="s">
        <v>128</v>
      </c>
      <c r="ED8905" s="1" t="s">
        <v>130</v>
      </c>
      <c r="GD8905" s="1" t="s">
        <v>202</v>
      </c>
      <c r="GE8905" s="1" t="s">
        <v>12498</v>
      </c>
    </row>
    <row r="8906" spans="1:187" ht="11.25" customHeight="1">
      <c r="A8906" s="1" t="s">
        <v>12499</v>
      </c>
      <c r="B8906" s="1" t="str">
        <f ca="1">IFERROR(__xludf.DUMMYFUNCTION("GOOGLETRANSLATE(A8906, ""en"", ""fr"")"),"Règle n ° 5")</f>
        <v>Règle n ° 5</v>
      </c>
      <c r="C8906" s="1" t="s">
        <v>185</v>
      </c>
      <c r="X8906" s="1" t="s">
        <v>20</v>
      </c>
      <c r="CH8906" s="1" t="s">
        <v>82</v>
      </c>
      <c r="GD8906" s="1" t="s">
        <v>236</v>
      </c>
      <c r="GE8906" s="1" t="s">
        <v>12500</v>
      </c>
    </row>
    <row r="8907" spans="1:187" ht="11.25" customHeight="1">
      <c r="A8907" s="1" t="s">
        <v>12501</v>
      </c>
      <c r="B8907" s="1" t="str">
        <f ca="1">IFERROR(__xludf.DUMMYFUNCTION("GOOGLETRANSLATE(A8907, ""en"", ""fr"")"),"Règle n ° 6")</f>
        <v>Règle n ° 6</v>
      </c>
      <c r="C8907" s="1" t="s">
        <v>185</v>
      </c>
      <c r="N8907" s="1" t="s">
        <v>10</v>
      </c>
      <c r="CO8907" s="1" t="s">
        <v>89</v>
      </c>
      <c r="DN8907" s="1" t="s">
        <v>114</v>
      </c>
      <c r="EC8907" s="1" t="s">
        <v>129</v>
      </c>
      <c r="ED8907" s="1" t="s">
        <v>130</v>
      </c>
      <c r="GD8907" s="1" t="s">
        <v>189</v>
      </c>
      <c r="GE8907" s="1" t="s">
        <v>12502</v>
      </c>
    </row>
    <row r="8908" spans="1:187" ht="11.25" customHeight="1">
      <c r="A8908" s="1" t="s">
        <v>12503</v>
      </c>
      <c r="B8908" s="1" t="str">
        <f ca="1">IFERROR(__xludf.DUMMYFUNCTION("GOOGLETRANSLATE(A8908, ""en"", ""fr"")"),"RÈGLE")</f>
        <v>RÈGLE</v>
      </c>
      <c r="C8908" s="1" t="s">
        <v>185</v>
      </c>
      <c r="K8908" s="1" t="s">
        <v>7</v>
      </c>
      <c r="AG8908" s="1" t="s">
        <v>29</v>
      </c>
      <c r="AH8908" s="1" t="s">
        <v>30</v>
      </c>
      <c r="AJ8908" s="1" t="s">
        <v>32</v>
      </c>
      <c r="AT8908" s="1" t="s">
        <v>42</v>
      </c>
      <c r="DZ8908" s="1" t="s">
        <v>126</v>
      </c>
      <c r="ED8908" s="1" t="s">
        <v>130</v>
      </c>
      <c r="GD8908" s="1" t="s">
        <v>193</v>
      </c>
      <c r="GE8908" s="1" t="s">
        <v>190</v>
      </c>
    </row>
    <row r="8909" spans="1:187" ht="11.25" customHeight="1">
      <c r="A8909" s="1" t="s">
        <v>12504</v>
      </c>
      <c r="B8909" s="1" t="str">
        <f ca="1">IFERROR(__xludf.DUMMYFUNCTION("GOOGLETRANSLATE(A8909, ""en"", ""fr"")"),"Roumanie")</f>
        <v>Roumanie</v>
      </c>
      <c r="C8909" s="1" t="s">
        <v>196</v>
      </c>
      <c r="FU8909" s="1" t="s">
        <v>173</v>
      </c>
      <c r="GD8909" s="1" t="s">
        <v>545</v>
      </c>
    </row>
    <row r="8910" spans="1:187" ht="11.25" customHeight="1">
      <c r="A8910" s="1" t="s">
        <v>12505</v>
      </c>
      <c r="B8910" s="1" t="str">
        <f ca="1">IFERROR(__xludf.DUMMYFUNCTION("GOOGLETRANSLATE(A8910, ""en"", ""fr"")"),"RUMEUR")</f>
        <v>RUMEUR</v>
      </c>
      <c r="C8910" s="1" t="s">
        <v>185</v>
      </c>
      <c r="E8910" s="1" t="s">
        <v>16613</v>
      </c>
      <c r="BK8910" s="1" t="s">
        <v>59</v>
      </c>
      <c r="FH8910" s="1" t="s">
        <v>160</v>
      </c>
      <c r="FI8910" s="1" t="s">
        <v>161</v>
      </c>
      <c r="GD8910" s="1" t="s">
        <v>193</v>
      </c>
      <c r="GE8910" s="1" t="s">
        <v>190</v>
      </c>
    </row>
    <row r="8911" spans="1:187" ht="11.25" customHeight="1">
      <c r="A8911" s="1" t="s">
        <v>12506</v>
      </c>
      <c r="B8911" s="1" t="str">
        <f ca="1">IFERROR(__xludf.DUMMYFUNCTION("GOOGLETRANSLATE(A8911, ""en"", ""fr"")"),"FROISSER")</f>
        <v>FROISSER</v>
      </c>
      <c r="C8911" s="1" t="s">
        <v>192</v>
      </c>
      <c r="E8911" s="1" t="s">
        <v>16613</v>
      </c>
      <c r="I8911" s="1" t="s">
        <v>5</v>
      </c>
      <c r="N8911" s="1" t="s">
        <v>10</v>
      </c>
      <c r="DN8911" s="1" t="s">
        <v>114</v>
      </c>
      <c r="GD8911" s="1" t="s">
        <v>189</v>
      </c>
      <c r="GE8911" s="1" t="s">
        <v>190</v>
      </c>
    </row>
    <row r="8912" spans="1:187" ht="11.25" customHeight="1">
      <c r="A8912" s="1" t="s">
        <v>12507</v>
      </c>
      <c r="B8912" s="1" t="str">
        <f ca="1">IFERROR(__xludf.DUMMYFUNCTION("GOOGLETRANSLATE(A8912, ""en"", ""fr"")"),"Run # 1")</f>
        <v>Run # 1</v>
      </c>
      <c r="C8912" s="1" t="s">
        <v>192</v>
      </c>
      <c r="N8912" s="1" t="s">
        <v>10</v>
      </c>
      <c r="CE8912" s="1" t="s">
        <v>79</v>
      </c>
      <c r="DO8912" s="1" t="s">
        <v>115</v>
      </c>
      <c r="GD8912" s="1" t="s">
        <v>189</v>
      </c>
      <c r="GE8912" s="1" t="s">
        <v>12508</v>
      </c>
    </row>
    <row r="8913" spans="1:187" ht="11.25" customHeight="1">
      <c r="A8913" s="1" t="s">
        <v>12509</v>
      </c>
      <c r="B8913" s="1" t="str">
        <f ca="1">IFERROR(__xludf.DUMMYFUNCTION("GOOGLETRANSLATE(A8913, ""en"", ""fr"")"),"Run # 2")</f>
        <v>Run # 2</v>
      </c>
      <c r="C8913" s="1" t="s">
        <v>192</v>
      </c>
      <c r="J8913" s="1" t="s">
        <v>6</v>
      </c>
      <c r="K8913" s="1" t="s">
        <v>7</v>
      </c>
      <c r="N8913" s="1" t="s">
        <v>10</v>
      </c>
      <c r="AN8913" s="1" t="s">
        <v>36</v>
      </c>
      <c r="DN8913" s="1" t="s">
        <v>114</v>
      </c>
      <c r="GD8913" s="1" t="s">
        <v>189</v>
      </c>
      <c r="GE8913" s="1" t="s">
        <v>12510</v>
      </c>
    </row>
    <row r="8914" spans="1:187" ht="11.25" customHeight="1">
      <c r="A8914" s="1" t="s">
        <v>12511</v>
      </c>
      <c r="B8914" s="1" t="str">
        <f ca="1">IFERROR(__xludf.DUMMYFUNCTION("GOOGLETRANSLATE(A8914, ""en"", ""fr"")"),"Run # 3")</f>
        <v>Run # 3</v>
      </c>
      <c r="C8914" s="1" t="s">
        <v>192</v>
      </c>
      <c r="N8914" s="1" t="s">
        <v>10</v>
      </c>
      <c r="CE8914" s="1" t="s">
        <v>79</v>
      </c>
      <c r="DN8914" s="1" t="s">
        <v>114</v>
      </c>
      <c r="GD8914" s="1" t="s">
        <v>189</v>
      </c>
      <c r="GE8914" s="1" t="s">
        <v>12512</v>
      </c>
    </row>
    <row r="8915" spans="1:187" ht="11.25" customHeight="1">
      <c r="A8915" s="1" t="s">
        <v>12513</v>
      </c>
      <c r="B8915" s="1" t="str">
        <f ca="1">IFERROR(__xludf.DUMMYFUNCTION("GOOGLETRANSLATE(A8915, ""en"", ""fr"")"),"Run # 4")</f>
        <v>Run # 4</v>
      </c>
      <c r="C8915" s="1" t="s">
        <v>192</v>
      </c>
      <c r="E8915" s="1" t="s">
        <v>16613</v>
      </c>
      <c r="H8915" s="1" t="s">
        <v>4</v>
      </c>
      <c r="I8915" s="1" t="s">
        <v>5</v>
      </c>
      <c r="N8915" s="1" t="s">
        <v>10</v>
      </c>
      <c r="AN8915" s="1" t="s">
        <v>36</v>
      </c>
      <c r="DN8915" s="1" t="s">
        <v>114</v>
      </c>
      <c r="GD8915" s="1" t="s">
        <v>189</v>
      </c>
      <c r="GE8915" s="1" t="s">
        <v>12514</v>
      </c>
    </row>
    <row r="8916" spans="1:187" ht="11.25" customHeight="1">
      <c r="A8916" s="1" t="s">
        <v>12515</v>
      </c>
      <c r="B8916" s="1" t="str">
        <f ca="1">IFERROR(__xludf.DUMMYFUNCTION("GOOGLETRANSLATE(A8916, ""en"", ""fr"")"),"Run # 5")</f>
        <v>Run # 5</v>
      </c>
      <c r="C8916" s="1" t="s">
        <v>192</v>
      </c>
      <c r="E8916" s="1" t="s">
        <v>16613</v>
      </c>
      <c r="H8916" s="1" t="s">
        <v>4</v>
      </c>
      <c r="L8916" s="1" t="s">
        <v>8</v>
      </c>
      <c r="O8916" s="1" t="s">
        <v>11</v>
      </c>
      <c r="BZ8916" s="1" t="s">
        <v>74</v>
      </c>
      <c r="DN8916" s="1" t="s">
        <v>114</v>
      </c>
      <c r="GD8916" s="1" t="s">
        <v>189</v>
      </c>
      <c r="GE8916" s="1" t="s">
        <v>12516</v>
      </c>
    </row>
    <row r="8917" spans="1:187" ht="11.25" customHeight="1">
      <c r="A8917" s="1" t="s">
        <v>12517</v>
      </c>
      <c r="B8917" s="1" t="str">
        <f ca="1">IFERROR(__xludf.DUMMYFUNCTION("GOOGLETRANSLATE(A8917, ""en"", ""fr"")"),"Run # 6")</f>
        <v>Run # 6</v>
      </c>
      <c r="C8917" s="1" t="s">
        <v>192</v>
      </c>
      <c r="L8917" s="1" t="s">
        <v>8</v>
      </c>
      <c r="N8917" s="1" t="s">
        <v>10</v>
      </c>
      <c r="CE8917" s="1" t="s">
        <v>79</v>
      </c>
      <c r="DN8917" s="1" t="s">
        <v>114</v>
      </c>
      <c r="GD8917" s="1" t="s">
        <v>189</v>
      </c>
      <c r="GE8917" s="1" t="s">
        <v>12518</v>
      </c>
    </row>
    <row r="8918" spans="1:187" ht="11.25" customHeight="1">
      <c r="A8918" s="1" t="s">
        <v>12519</v>
      </c>
      <c r="B8918" s="1" t="str">
        <f ca="1">IFERROR(__xludf.DUMMYFUNCTION("GOOGLETRANSLATE(A8918, ""en"", ""fr"")"),"Run # 7")</f>
        <v>Run # 7</v>
      </c>
      <c r="C8918" s="1" t="s">
        <v>192</v>
      </c>
      <c r="N8918" s="1" t="s">
        <v>10</v>
      </c>
      <c r="AG8918" s="1" t="s">
        <v>29</v>
      </c>
      <c r="BP8918" s="1" t="s">
        <v>64</v>
      </c>
      <c r="DN8918" s="1" t="s">
        <v>114</v>
      </c>
      <c r="GD8918" s="1" t="s">
        <v>189</v>
      </c>
      <c r="GE8918" s="1" t="s">
        <v>12520</v>
      </c>
    </row>
    <row r="8919" spans="1:187" ht="11.25" customHeight="1">
      <c r="A8919" s="1" t="s">
        <v>12521</v>
      </c>
      <c r="B8919" s="1" t="str">
        <f ca="1">IFERROR(__xludf.DUMMYFUNCTION("GOOGLETRANSLATE(A8919, ""en"", ""fr"")"),"Run # 8")</f>
        <v>Run # 8</v>
      </c>
      <c r="C8919" s="1" t="s">
        <v>192</v>
      </c>
      <c r="W8919" s="1" t="s">
        <v>19</v>
      </c>
      <c r="CY8919" s="1" t="s">
        <v>99</v>
      </c>
      <c r="GD8919" s="1" t="s">
        <v>193</v>
      </c>
      <c r="GE8919" s="1" t="s">
        <v>12522</v>
      </c>
    </row>
    <row r="8920" spans="1:187" ht="11.25" customHeight="1">
      <c r="A8920" s="1" t="s">
        <v>12523</v>
      </c>
      <c r="B8920" s="1" t="str">
        <f ca="1">IFERROR(__xludf.DUMMYFUNCTION("GOOGLETRANSLATE(A8920, ""en"", ""fr"")"),"Run # 9")</f>
        <v>Run # 9</v>
      </c>
      <c r="C8920" s="1" t="s">
        <v>192</v>
      </c>
      <c r="N8920" s="1" t="s">
        <v>10</v>
      </c>
      <c r="CE8920" s="1" t="s">
        <v>79</v>
      </c>
      <c r="GD8920" s="1" t="s">
        <v>193</v>
      </c>
      <c r="GE8920" s="1" t="s">
        <v>12524</v>
      </c>
    </row>
    <row r="8921" spans="1:187" ht="11.25" customHeight="1">
      <c r="A8921" s="1" t="s">
        <v>12525</v>
      </c>
      <c r="B8921" s="1" t="str">
        <f ca="1">IFERROR(__xludf.DUMMYFUNCTION("GOOGLETRANSLATE(A8921, ""en"", ""fr"")"),"Exécuter # _10")</f>
        <v>Exécuter # _10</v>
      </c>
      <c r="C8921" s="1" t="s">
        <v>192</v>
      </c>
      <c r="N8921" s="1" t="s">
        <v>10</v>
      </c>
      <c r="AA8921" s="1" t="s">
        <v>23</v>
      </c>
      <c r="BX8921" s="1" t="s">
        <v>72</v>
      </c>
      <c r="DN8921" s="1" t="s">
        <v>114</v>
      </c>
      <c r="GD8921" s="1" t="s">
        <v>189</v>
      </c>
      <c r="GE8921" s="1" t="s">
        <v>12526</v>
      </c>
    </row>
    <row r="8922" spans="1:187" ht="11.25" customHeight="1">
      <c r="A8922" s="1" t="s">
        <v>12527</v>
      </c>
      <c r="B8922" s="1" t="str">
        <f ca="1">IFERROR(__xludf.DUMMYFUNCTION("GOOGLETRANSLATE(A8922, ""en"", ""fr"")"),"Exécuter # _11")</f>
        <v>Exécuter # _11</v>
      </c>
      <c r="C8922" s="1" t="s">
        <v>192</v>
      </c>
      <c r="N8922" s="1" t="s">
        <v>10</v>
      </c>
      <c r="BP8922" s="1" t="s">
        <v>64</v>
      </c>
      <c r="DN8922" s="1" t="s">
        <v>114</v>
      </c>
      <c r="GD8922" s="1" t="s">
        <v>189</v>
      </c>
      <c r="GE8922" s="1" t="s">
        <v>12528</v>
      </c>
    </row>
    <row r="8923" spans="1:187" ht="11.25" customHeight="1">
      <c r="A8923" s="1" t="s">
        <v>12529</v>
      </c>
      <c r="B8923" s="1" t="str">
        <f ca="1">IFERROR(__xludf.DUMMYFUNCTION("GOOGLETRANSLATE(A8923, ""en"", ""fr"")"),"Exécuter # _12")</f>
        <v>Exécuter # _12</v>
      </c>
      <c r="C8923" s="1" t="s">
        <v>192</v>
      </c>
      <c r="N8923" s="1" t="s">
        <v>10</v>
      </c>
      <c r="BT8923" s="1" t="s">
        <v>68</v>
      </c>
      <c r="DN8923" s="1" t="s">
        <v>114</v>
      </c>
      <c r="GD8923" s="1" t="s">
        <v>189</v>
      </c>
      <c r="GE8923" s="1" t="s">
        <v>12530</v>
      </c>
    </row>
    <row r="8924" spans="1:187" ht="11.25" customHeight="1">
      <c r="A8924" s="1" t="s">
        <v>12531</v>
      </c>
      <c r="B8924" s="1" t="str">
        <f ca="1">IFERROR(__xludf.DUMMYFUNCTION("GOOGLETRANSLATE(A8924, ""en"", ""fr"")"),"Exécuter # _13")</f>
        <v>Exécuter # _13</v>
      </c>
      <c r="C8924" s="1" t="s">
        <v>192</v>
      </c>
      <c r="O8924" s="1" t="s">
        <v>11</v>
      </c>
      <c r="AN8924" s="1" t="s">
        <v>36</v>
      </c>
      <c r="DN8924" s="1" t="s">
        <v>114</v>
      </c>
      <c r="GD8924" s="1" t="s">
        <v>189</v>
      </c>
      <c r="GE8924" s="1" t="s">
        <v>12532</v>
      </c>
    </row>
    <row r="8925" spans="1:187" ht="11.25" customHeight="1">
      <c r="A8925" s="1" t="s">
        <v>12533</v>
      </c>
      <c r="B8925" s="1" t="str">
        <f ca="1">IFERROR(__xludf.DUMMYFUNCTION("GOOGLETRANSLATE(A8925, ""en"", ""fr"")"),"FUYEZ")</f>
        <v>FUYEZ</v>
      </c>
      <c r="C8925" s="1" t="s">
        <v>192</v>
      </c>
      <c r="E8925" s="1" t="s">
        <v>16613</v>
      </c>
      <c r="L8925" s="1" t="s">
        <v>8</v>
      </c>
      <c r="AS8925" s="1" t="s">
        <v>41</v>
      </c>
      <c r="AT8925" s="1" t="s">
        <v>42</v>
      </c>
      <c r="CE8925" s="1" t="s">
        <v>79</v>
      </c>
      <c r="GD8925" s="1" t="s">
        <v>193</v>
      </c>
      <c r="GE8925" s="1" t="s">
        <v>190</v>
      </c>
    </row>
    <row r="8926" spans="1:187" ht="11.25" customHeight="1">
      <c r="A8926" s="1" t="s">
        <v>12534</v>
      </c>
      <c r="B8926" s="1" t="str">
        <f ca="1">IFERROR(__xludf.DUMMYFUNCTION("GOOGLETRANSLATE(A8926, ""en"", ""fr"")"),"COUREUR")</f>
        <v>COUREUR</v>
      </c>
      <c r="C8926" s="1" t="s">
        <v>185</v>
      </c>
      <c r="N8926" s="1" t="s">
        <v>10</v>
      </c>
      <c r="AD8926" s="1" t="s">
        <v>26</v>
      </c>
      <c r="AJ8926" s="1" t="s">
        <v>32</v>
      </c>
      <c r="AT8926" s="1" t="s">
        <v>42</v>
      </c>
      <c r="FK8926" s="1" t="s">
        <v>163</v>
      </c>
      <c r="FM8926" s="1" t="s">
        <v>418</v>
      </c>
      <c r="GD8926" s="1" t="s">
        <v>193</v>
      </c>
      <c r="GE8926" s="1" t="s">
        <v>190</v>
      </c>
    </row>
    <row r="8927" spans="1:187" ht="11.25" customHeight="1">
      <c r="A8927" s="1" t="s">
        <v>12535</v>
      </c>
      <c r="B8927" s="1" t="str">
        <f ca="1">IFERROR(__xludf.DUMMYFUNCTION("GOOGLETRANSLATE(A8927, ""en"", ""fr"")"),"RUPTURE # 1")</f>
        <v>RUPTURE # 1</v>
      </c>
      <c r="C8927" s="1" t="s">
        <v>185</v>
      </c>
      <c r="E8927" s="1" t="s">
        <v>16613</v>
      </c>
      <c r="H8927" s="1" t="s">
        <v>4</v>
      </c>
      <c r="V8927" s="1" t="s">
        <v>18</v>
      </c>
      <c r="GD8927" s="1" t="s">
        <v>193</v>
      </c>
      <c r="GE8927" s="1" t="s">
        <v>190</v>
      </c>
    </row>
    <row r="8928" spans="1:187" ht="11.25" customHeight="1">
      <c r="A8928" s="1" t="s">
        <v>12536</v>
      </c>
      <c r="B8928" s="1" t="str">
        <f ca="1">IFERROR(__xludf.DUMMYFUNCTION("GOOGLETRANSLATE(A8928, ""en"", ""fr"")"),"RUPTURE # 2")</f>
        <v>RUPTURE # 2</v>
      </c>
      <c r="C8928" s="1" t="s">
        <v>185</v>
      </c>
      <c r="E8928" s="1" t="s">
        <v>16613</v>
      </c>
      <c r="H8928" s="1" t="s">
        <v>4</v>
      </c>
      <c r="I8928" s="1" t="s">
        <v>5</v>
      </c>
      <c r="L8928" s="1" t="s">
        <v>8</v>
      </c>
      <c r="CC8928" s="1" t="s">
        <v>77</v>
      </c>
      <c r="DO8928" s="1" t="s">
        <v>115</v>
      </c>
      <c r="GD8928" s="1" t="s">
        <v>189</v>
      </c>
      <c r="GE8928" s="1" t="s">
        <v>190</v>
      </c>
    </row>
    <row r="8929" spans="1:187" ht="11.25" customHeight="1">
      <c r="A8929" s="1" t="s">
        <v>12537</v>
      </c>
      <c r="B8929" s="1" t="str">
        <f ca="1">IFERROR(__xludf.DUMMYFUNCTION("GOOGLETRANSLATE(A8929, ""en"", ""fr"")"),"RURAL")</f>
        <v>RURAL</v>
      </c>
      <c r="C8929" s="1" t="s">
        <v>185</v>
      </c>
      <c r="AC8929" s="1" t="s">
        <v>25</v>
      </c>
      <c r="AH8929" s="1" t="s">
        <v>30</v>
      </c>
      <c r="AV8929" s="1" t="s">
        <v>44</v>
      </c>
      <c r="AX8929" s="1" t="s">
        <v>46</v>
      </c>
      <c r="GD8929" s="1" t="s">
        <v>202</v>
      </c>
      <c r="GE8929" s="1" t="s">
        <v>190</v>
      </c>
    </row>
    <row r="8930" spans="1:187" ht="11.25" customHeight="1">
      <c r="A8930" s="1" t="s">
        <v>12538</v>
      </c>
      <c r="B8930" s="1" t="str">
        <f ca="1">IFERROR(__xludf.DUMMYFUNCTION("GOOGLETRANSLATE(A8930, ""en"", ""fr"")"),"Rush # 1")</f>
        <v>Rush # 1</v>
      </c>
      <c r="C8930" s="1" t="s">
        <v>185</v>
      </c>
      <c r="N8930" s="1" t="s">
        <v>10</v>
      </c>
      <c r="CE8930" s="1" t="s">
        <v>79</v>
      </c>
      <c r="DN8930" s="1" t="s">
        <v>114</v>
      </c>
      <c r="GD8930" s="1" t="s">
        <v>400</v>
      </c>
      <c r="GE8930" s="1" t="s">
        <v>12539</v>
      </c>
    </row>
    <row r="8931" spans="1:187" ht="11.25" customHeight="1">
      <c r="A8931" s="1" t="s">
        <v>12540</v>
      </c>
      <c r="B8931" s="1" t="str">
        <f ca="1">IFERROR(__xludf.DUMMYFUNCTION("GOOGLETRANSLATE(A8931, ""en"", ""fr"")"),"Rush # 2")</f>
        <v>Rush # 2</v>
      </c>
      <c r="C8931" s="1" t="s">
        <v>185</v>
      </c>
      <c r="N8931" s="1" t="s">
        <v>10</v>
      </c>
      <c r="CE8931" s="1" t="s">
        <v>79</v>
      </c>
      <c r="GD8931" s="1" t="s">
        <v>193</v>
      </c>
      <c r="GE8931" s="1" t="s">
        <v>12541</v>
      </c>
    </row>
    <row r="8932" spans="1:187" ht="11.25" customHeight="1">
      <c r="A8932" s="1" t="s">
        <v>12542</v>
      </c>
      <c r="B8932" s="1" t="str">
        <f ca="1">IFERROR(__xludf.DUMMYFUNCTION("GOOGLETRANSLATE(A8932, ""en"", ""fr"")"),"Rush # 3")</f>
        <v>Rush # 3</v>
      </c>
      <c r="C8932" s="1" t="s">
        <v>185</v>
      </c>
      <c r="CY8932" s="1" t="s">
        <v>99</v>
      </c>
      <c r="FA8932" s="1" t="s">
        <v>153</v>
      </c>
      <c r="FC8932" s="1" t="s">
        <v>155</v>
      </c>
      <c r="GD8932" s="1" t="s">
        <v>202</v>
      </c>
      <c r="GE8932" s="1" t="s">
        <v>12543</v>
      </c>
    </row>
    <row r="8933" spans="1:187" ht="11.25" customHeight="1">
      <c r="A8933" s="1" t="s">
        <v>12544</v>
      </c>
      <c r="B8933" s="1" t="str">
        <f ca="1">IFERROR(__xludf.DUMMYFUNCTION("GOOGLETRANSLATE(A8933, ""en"", ""fr"")"),"RUSSIE")</f>
        <v>RUSSIE</v>
      </c>
      <c r="C8933" s="1" t="s">
        <v>185</v>
      </c>
      <c r="AC8933" s="1" t="s">
        <v>25</v>
      </c>
      <c r="AH8933" s="1" t="s">
        <v>30</v>
      </c>
      <c r="DI8933" s="1" t="s">
        <v>109</v>
      </c>
      <c r="FU8933" s="1" t="s">
        <v>173</v>
      </c>
      <c r="GD8933" s="1" t="s">
        <v>193</v>
      </c>
      <c r="GE8933" s="1" t="s">
        <v>190</v>
      </c>
    </row>
    <row r="8934" spans="1:187" ht="11.25" customHeight="1">
      <c r="A8934" s="1" t="s">
        <v>12545</v>
      </c>
      <c r="B8934" s="1" t="str">
        <f ca="1">IFERROR(__xludf.DUMMYFUNCTION("GOOGLETRANSLATE(A8934, ""en"", ""fr"")"),"RUSSE")</f>
        <v>RUSSE</v>
      </c>
      <c r="C8934" s="1" t="s">
        <v>185</v>
      </c>
      <c r="AC8934" s="1" t="s">
        <v>25</v>
      </c>
      <c r="AH8934" s="1" t="s">
        <v>30</v>
      </c>
      <c r="DI8934" s="1" t="s">
        <v>109</v>
      </c>
      <c r="FU8934" s="1" t="s">
        <v>173</v>
      </c>
      <c r="GD8934" s="1" t="s">
        <v>193</v>
      </c>
      <c r="GE8934" s="1" t="s">
        <v>190</v>
      </c>
    </row>
    <row r="8935" spans="1:187" ht="11.25" customHeight="1">
      <c r="A8935" s="1" t="s">
        <v>12546</v>
      </c>
      <c r="B8935" s="1" t="str">
        <f ca="1">IFERROR(__xludf.DUMMYFUNCTION("GOOGLETRANSLATE(A8935, ""en"", ""fr"")"),"ROUILLÉ")</f>
        <v>ROUILLÉ</v>
      </c>
      <c r="C8935" s="1" t="s">
        <v>192</v>
      </c>
      <c r="E8935" s="1" t="s">
        <v>16613</v>
      </c>
      <c r="L8935" s="1" t="s">
        <v>8</v>
      </c>
      <c r="DR8935" s="1" t="s">
        <v>118</v>
      </c>
      <c r="GD8935" s="1" t="s">
        <v>202</v>
      </c>
      <c r="GE8935" s="1" t="s">
        <v>190</v>
      </c>
    </row>
    <row r="8936" spans="1:187" ht="11.25" customHeight="1">
      <c r="A8936" s="1" t="s">
        <v>12547</v>
      </c>
      <c r="B8936" s="1" t="str">
        <f ca="1">IFERROR(__xludf.DUMMYFUNCTION("GOOGLETRANSLATE(A8936, ""en"", ""fr"")"),"IMPITOYABLE")</f>
        <v>IMPITOYABLE</v>
      </c>
      <c r="C8936" s="1" t="s">
        <v>185</v>
      </c>
      <c r="E8936" s="1" t="s">
        <v>16613</v>
      </c>
      <c r="I8936" s="1" t="s">
        <v>5</v>
      </c>
      <c r="DR8936" s="1" t="s">
        <v>118</v>
      </c>
      <c r="EC8936" s="1" t="s">
        <v>129</v>
      </c>
      <c r="ED8936" s="1" t="s">
        <v>130</v>
      </c>
      <c r="GD8936" s="1" t="s">
        <v>202</v>
      </c>
      <c r="GE8936" s="1" t="s">
        <v>190</v>
      </c>
    </row>
    <row r="8937" spans="1:187" ht="11.25" customHeight="1">
      <c r="A8937" s="1" t="s">
        <v>12548</v>
      </c>
      <c r="B8937" s="1" t="str">
        <f ca="1">IFERROR(__xludf.DUMMYFUNCTION("GOOGLETRANSLATE(A8937, ""en"", ""fr"")"),"CARACTÈRE IMPITOYABLE")</f>
        <v>CARACTÈRE IMPITOYABLE</v>
      </c>
      <c r="C8937" s="1" t="s">
        <v>192</v>
      </c>
      <c r="E8937" s="1" t="s">
        <v>16613</v>
      </c>
      <c r="I8937" s="1" t="s">
        <v>5</v>
      </c>
      <c r="GD8937" s="1" t="s">
        <v>193</v>
      </c>
      <c r="GE8937" s="1" t="s">
        <v>190</v>
      </c>
    </row>
    <row r="8938" spans="1:187" ht="11.25" customHeight="1">
      <c r="A8938" s="1" t="s">
        <v>12549</v>
      </c>
      <c r="B8938" s="1" t="str">
        <f ca="1">IFERROR(__xludf.DUMMYFUNCTION("GOOGLETRANSLATE(A8938, ""en"", ""fr"")"),"RWANDA")</f>
        <v>RWANDA</v>
      </c>
      <c r="C8938" s="1" t="s">
        <v>196</v>
      </c>
      <c r="FU8938" s="1" t="s">
        <v>173</v>
      </c>
      <c r="GD8938" s="1" t="s">
        <v>545</v>
      </c>
    </row>
    <row r="8939" spans="1:187" ht="11.25" customHeight="1">
      <c r="A8939" s="1" t="s">
        <v>12550</v>
      </c>
      <c r="B8939" s="1" t="str">
        <f ca="1">IFERROR(__xludf.DUMMYFUNCTION("GOOGLETRANSLATE(A8939, ""en"", ""fr"")"),"SABOTAGE")</f>
        <v>SABOTAGE</v>
      </c>
      <c r="C8939" s="1" t="s">
        <v>192</v>
      </c>
      <c r="E8939" s="1" t="s">
        <v>16613</v>
      </c>
      <c r="I8939" s="1" t="s">
        <v>5</v>
      </c>
      <c r="N8939" s="1" t="s">
        <v>10</v>
      </c>
      <c r="CC8939" s="1" t="s">
        <v>77</v>
      </c>
      <c r="DN8939" s="1" t="s">
        <v>114</v>
      </c>
      <c r="GD8939" s="1" t="s">
        <v>670</v>
      </c>
      <c r="GE8939" s="1" t="s">
        <v>190</v>
      </c>
    </row>
    <row r="8940" spans="1:187" ht="11.25" customHeight="1">
      <c r="A8940" s="1" t="s">
        <v>12551</v>
      </c>
      <c r="B8940" s="1" t="str">
        <f ca="1">IFERROR(__xludf.DUMMYFUNCTION("GOOGLETRANSLATE(A8940, ""en"", ""fr"")"),"SACRÉ")</f>
        <v>SACRÉ</v>
      </c>
      <c r="C8940" s="1" t="s">
        <v>185</v>
      </c>
      <c r="D8940" s="1" t="s">
        <v>16612</v>
      </c>
      <c r="F8940" s="1" t="s">
        <v>2</v>
      </c>
      <c r="U8940" s="1" t="s">
        <v>17</v>
      </c>
      <c r="AI8940" s="1" t="s">
        <v>31</v>
      </c>
      <c r="EF8940" s="1" t="s">
        <v>132</v>
      </c>
      <c r="EJ8940" s="1" t="s">
        <v>136</v>
      </c>
      <c r="GD8940" s="1" t="s">
        <v>202</v>
      </c>
      <c r="GE8940" s="1" t="s">
        <v>190</v>
      </c>
    </row>
    <row r="8941" spans="1:187" ht="11.25" customHeight="1">
      <c r="A8941" s="1" t="s">
        <v>12552</v>
      </c>
      <c r="B8941" s="1" t="str">
        <f ca="1">IFERROR(__xludf.DUMMYFUNCTION("GOOGLETRANSLATE(A8941, ""en"", ""fr"")"),"Sacrifice # 1")</f>
        <v>Sacrifice # 1</v>
      </c>
      <c r="C8941" s="1" t="s">
        <v>185</v>
      </c>
      <c r="AM8941" s="1" t="s">
        <v>35</v>
      </c>
      <c r="FO8941" s="1" t="s">
        <v>167</v>
      </c>
      <c r="GD8941" s="1" t="s">
        <v>193</v>
      </c>
      <c r="GE8941" s="1" t="s">
        <v>190</v>
      </c>
    </row>
    <row r="8942" spans="1:187" ht="11.25" customHeight="1">
      <c r="A8942" s="1" t="s">
        <v>12553</v>
      </c>
      <c r="B8942" s="1" t="str">
        <f ca="1">IFERROR(__xludf.DUMMYFUNCTION("GOOGLETRANSLATE(A8942, ""en"", ""fr"")"),"Sacrifice # 2")</f>
        <v>Sacrifice # 2</v>
      </c>
      <c r="C8942" s="1" t="s">
        <v>185</v>
      </c>
      <c r="M8942" s="1" t="s">
        <v>9</v>
      </c>
      <c r="AN8942" s="1" t="s">
        <v>36</v>
      </c>
      <c r="DN8942" s="1" t="s">
        <v>114</v>
      </c>
      <c r="FO8942" s="1" t="s">
        <v>167</v>
      </c>
      <c r="GD8942" s="1" t="s">
        <v>189</v>
      </c>
      <c r="GE8942" s="1" t="s">
        <v>190</v>
      </c>
    </row>
    <row r="8943" spans="1:187" ht="11.25" customHeight="1">
      <c r="A8943" s="1" t="s">
        <v>12554</v>
      </c>
      <c r="B8943" s="1" t="str">
        <f ca="1">IFERROR(__xludf.DUMMYFUNCTION("GOOGLETRANSLATE(A8943, ""en"", ""fr"")"),"TRISTE")</f>
        <v>TRISTE</v>
      </c>
      <c r="C8943" s="1" t="s">
        <v>185</v>
      </c>
      <c r="E8943" s="1" t="s">
        <v>16613</v>
      </c>
      <c r="H8943" s="1" t="s">
        <v>4</v>
      </c>
      <c r="O8943" s="1" t="s">
        <v>11</v>
      </c>
      <c r="Q8943" s="1" t="s">
        <v>13</v>
      </c>
      <c r="T8943" s="1" t="s">
        <v>16</v>
      </c>
      <c r="FA8943" s="1" t="s">
        <v>153</v>
      </c>
      <c r="FC8943" s="1" t="s">
        <v>155</v>
      </c>
      <c r="GD8943" s="1" t="s">
        <v>421</v>
      </c>
      <c r="GE8943" s="1" t="s">
        <v>12555</v>
      </c>
    </row>
    <row r="8944" spans="1:187" ht="11.25" customHeight="1">
      <c r="A8944" s="1" t="s">
        <v>12556</v>
      </c>
      <c r="B8944" s="1" t="str">
        <f ca="1">IFERROR(__xludf.DUMMYFUNCTION("GOOGLETRANSLATE(A8944, ""en"", ""fr"")"),"TRISTESSE")</f>
        <v>TRISTESSE</v>
      </c>
      <c r="C8944" s="1" t="s">
        <v>185</v>
      </c>
      <c r="E8944" s="1" t="s">
        <v>16613</v>
      </c>
      <c r="H8944" s="1" t="s">
        <v>4</v>
      </c>
      <c r="O8944" s="1" t="s">
        <v>11</v>
      </c>
      <c r="Q8944" s="1" t="s">
        <v>13</v>
      </c>
      <c r="T8944" s="1" t="s">
        <v>16</v>
      </c>
      <c r="FA8944" s="1" t="s">
        <v>153</v>
      </c>
      <c r="FC8944" s="1" t="s">
        <v>155</v>
      </c>
      <c r="GD8944" s="1" t="s">
        <v>193</v>
      </c>
      <c r="GE8944" s="1" t="s">
        <v>190</v>
      </c>
    </row>
    <row r="8945" spans="1:187" ht="11.25" customHeight="1">
      <c r="A8945" s="1" t="s">
        <v>12557</v>
      </c>
      <c r="B8945" s="1" t="str">
        <f ca="1">IFERROR(__xludf.DUMMYFUNCTION("GOOGLETRANSLATE(A8945, ""en"", ""fr"")"),"Sécurité n ° 1")</f>
        <v>Sécurité n ° 1</v>
      </c>
      <c r="C8945" s="1" t="s">
        <v>185</v>
      </c>
      <c r="D8945" s="1" t="s">
        <v>16612</v>
      </c>
      <c r="F8945" s="1" t="s">
        <v>2</v>
      </c>
      <c r="U8945" s="1" t="s">
        <v>17</v>
      </c>
      <c r="FQ8945" s="1" t="s">
        <v>169</v>
      </c>
      <c r="GD8945" s="1" t="s">
        <v>202</v>
      </c>
      <c r="GE8945" s="1" t="s">
        <v>12558</v>
      </c>
    </row>
    <row r="8946" spans="1:187" ht="11.25" customHeight="1">
      <c r="A8946" s="1" t="s">
        <v>12559</v>
      </c>
      <c r="B8946" s="1" t="str">
        <f ca="1">IFERROR(__xludf.DUMMYFUNCTION("GOOGLETRANSLATE(A8946, ""en"", ""fr"")"),"SAFE # 2")</f>
        <v>SAFE # 2</v>
      </c>
      <c r="C8946" s="1" t="s">
        <v>185</v>
      </c>
      <c r="D8946" s="1" t="s">
        <v>16612</v>
      </c>
      <c r="F8946" s="1" t="s">
        <v>2</v>
      </c>
      <c r="U8946" s="1" t="s">
        <v>17</v>
      </c>
      <c r="FQ8946" s="1" t="s">
        <v>169</v>
      </c>
      <c r="GD8946" s="1" t="s">
        <v>202</v>
      </c>
      <c r="GE8946" s="1" t="s">
        <v>12560</v>
      </c>
    </row>
    <row r="8947" spans="1:187" ht="11.25" customHeight="1">
      <c r="A8947" s="1" t="s">
        <v>12561</v>
      </c>
      <c r="B8947" s="1" t="str">
        <f ca="1">IFERROR(__xludf.DUMMYFUNCTION("GOOGLETRANSLATE(A8947, ""en"", ""fr"")"),"SAFE # 3")</f>
        <v>SAFE # 3</v>
      </c>
      <c r="C8947" s="1" t="s">
        <v>185</v>
      </c>
      <c r="D8947" s="1" t="s">
        <v>16612</v>
      </c>
      <c r="F8947" s="1" t="s">
        <v>2</v>
      </c>
      <c r="U8947" s="1" t="s">
        <v>17</v>
      </c>
      <c r="FQ8947" s="1" t="s">
        <v>169</v>
      </c>
      <c r="GD8947" s="1" t="s">
        <v>202</v>
      </c>
      <c r="GE8947" s="1" t="s">
        <v>12562</v>
      </c>
    </row>
    <row r="8948" spans="1:187" ht="11.25" customHeight="1">
      <c r="A8948" s="1" t="s">
        <v>12563</v>
      </c>
      <c r="B8948" s="1" t="str">
        <f ca="1">IFERROR(__xludf.DUMMYFUNCTION("GOOGLETRANSLATE(A8948, ""en"", ""fr"")"),"SAFE # 4")</f>
        <v>SAFE # 4</v>
      </c>
      <c r="C8948" s="1" t="s">
        <v>185</v>
      </c>
      <c r="D8948" s="1" t="s">
        <v>16612</v>
      </c>
      <c r="F8948" s="1" t="s">
        <v>2</v>
      </c>
      <c r="U8948" s="1" t="s">
        <v>17</v>
      </c>
      <c r="FQ8948" s="1" t="s">
        <v>169</v>
      </c>
      <c r="GD8948" s="1" t="s">
        <v>202</v>
      </c>
      <c r="GE8948" s="1" t="s">
        <v>12564</v>
      </c>
    </row>
    <row r="8949" spans="1:187" ht="11.25" customHeight="1">
      <c r="A8949" s="1" t="s">
        <v>12565</v>
      </c>
      <c r="B8949" s="1" t="str">
        <f ca="1">IFERROR(__xludf.DUMMYFUNCTION("GOOGLETRANSLATE(A8949, ""en"", ""fr"")"),"SAUVEGARDE")</f>
        <v>SAUVEGARDE</v>
      </c>
      <c r="C8949" s="1" t="s">
        <v>185</v>
      </c>
      <c r="D8949" s="1" t="s">
        <v>16612</v>
      </c>
      <c r="K8949" s="1" t="s">
        <v>7</v>
      </c>
      <c r="N8949" s="1" t="s">
        <v>10</v>
      </c>
      <c r="DN8949" s="1" t="s">
        <v>114</v>
      </c>
      <c r="DS8949" s="1" t="s">
        <v>119</v>
      </c>
      <c r="ED8949" s="1" t="s">
        <v>130</v>
      </c>
      <c r="GD8949" s="1" t="s">
        <v>670</v>
      </c>
      <c r="GE8949" s="1" t="s">
        <v>190</v>
      </c>
    </row>
    <row r="8950" spans="1:187" ht="11.25" customHeight="1">
      <c r="A8950" s="1" t="s">
        <v>12566</v>
      </c>
      <c r="B8950" s="1" t="str">
        <f ca="1">IFERROR(__xludf.DUMMYFUNCTION("GOOGLETRANSLATE(A8950, ""en"", ""fr"")"),"Sécurité n ° 1")</f>
        <v>Sécurité n ° 1</v>
      </c>
      <c r="C8950" s="1" t="s">
        <v>185</v>
      </c>
      <c r="BC8950" s="1" t="s">
        <v>51</v>
      </c>
      <c r="BD8950" s="1" t="s">
        <v>52</v>
      </c>
      <c r="GD8950" s="1" t="s">
        <v>193</v>
      </c>
      <c r="GE8950" s="1" t="s">
        <v>12567</v>
      </c>
    </row>
    <row r="8951" spans="1:187" ht="11.25" customHeight="1">
      <c r="A8951" s="1" t="s">
        <v>12568</v>
      </c>
      <c r="B8951" s="1" t="str">
        <f ca="1">IFERROR(__xludf.DUMMYFUNCTION("GOOGLETRANSLATE(A8951, ""en"", ""fr"")"),"Sécurité n ° 2")</f>
        <v>Sécurité n ° 2</v>
      </c>
      <c r="C8951" s="1" t="s">
        <v>185</v>
      </c>
      <c r="D8951" s="1" t="s">
        <v>16612</v>
      </c>
      <c r="F8951" s="1" t="s">
        <v>2</v>
      </c>
      <c r="U8951" s="1" t="s">
        <v>17</v>
      </c>
      <c r="EZ8951" s="1" t="s">
        <v>152</v>
      </c>
      <c r="FC8951" s="1" t="s">
        <v>155</v>
      </c>
      <c r="GD8951" s="1" t="s">
        <v>849</v>
      </c>
      <c r="GE8951" s="1" t="s">
        <v>12569</v>
      </c>
    </row>
    <row r="8952" spans="1:187" ht="11.25" customHeight="1">
      <c r="A8952" s="1" t="s">
        <v>12570</v>
      </c>
      <c r="B8952" s="1" t="str">
        <f ca="1">IFERROR(__xludf.DUMMYFUNCTION("GOOGLETRANSLATE(A8952, ""en"", ""fr"")"),"AFFAISSEMENT")</f>
        <v>AFFAISSEMENT</v>
      </c>
      <c r="C8952" s="1" t="s">
        <v>192</v>
      </c>
      <c r="E8952" s="1" t="s">
        <v>16613</v>
      </c>
      <c r="L8952" s="1" t="s">
        <v>8</v>
      </c>
      <c r="M8952" s="1" t="s">
        <v>9</v>
      </c>
      <c r="O8952" s="1" t="s">
        <v>11</v>
      </c>
      <c r="DN8952" s="1" t="s">
        <v>114</v>
      </c>
      <c r="GD8952" s="1" t="s">
        <v>189</v>
      </c>
      <c r="GE8952" s="1" t="s">
        <v>190</v>
      </c>
    </row>
    <row r="8953" spans="1:187" ht="11.25" customHeight="1">
      <c r="A8953" s="1" t="s">
        <v>12571</v>
      </c>
      <c r="B8953" s="1" t="str">
        <f ca="1">IFERROR(__xludf.DUMMYFUNCTION("GOOGLETRANSLATE(A8953, ""en"", ""fr"")"),"SAGA")</f>
        <v>SAGA</v>
      </c>
      <c r="C8953" s="1" t="s">
        <v>185</v>
      </c>
      <c r="W8953" s="1" t="s">
        <v>19</v>
      </c>
      <c r="AD8953" s="1" t="s">
        <v>26</v>
      </c>
      <c r="BK8953" s="1" t="s">
        <v>59</v>
      </c>
      <c r="BL8953" s="1" t="s">
        <v>60</v>
      </c>
      <c r="GC8953" s="1" t="s">
        <v>181</v>
      </c>
      <c r="GD8953" s="1" t="s">
        <v>193</v>
      </c>
      <c r="GE8953" s="1" t="s">
        <v>190</v>
      </c>
    </row>
    <row r="8954" spans="1:187" ht="11.25" customHeight="1">
      <c r="A8954" s="1" t="s">
        <v>12572</v>
      </c>
      <c r="B8954" s="1" t="str">
        <f ca="1">IFERROR(__xludf.DUMMYFUNCTION("GOOGLETRANSLATE(A8954, ""en"", ""fr"")"),"SAGACITÉ")</f>
        <v>SAGACITÉ</v>
      </c>
      <c r="C8954" s="1" t="s">
        <v>192</v>
      </c>
      <c r="D8954" s="1" t="s">
        <v>16612</v>
      </c>
      <c r="J8954" s="1" t="s">
        <v>6</v>
      </c>
      <c r="CH8954" s="1" t="s">
        <v>82</v>
      </c>
      <c r="GD8954" s="1" t="s">
        <v>193</v>
      </c>
      <c r="GE8954" s="1" t="s">
        <v>190</v>
      </c>
    </row>
    <row r="8955" spans="1:187" ht="11.25" customHeight="1">
      <c r="A8955" s="1" t="s">
        <v>12573</v>
      </c>
      <c r="B8955" s="1" t="str">
        <f ca="1">IFERROR(__xludf.DUMMYFUNCTION("GOOGLETRANSLATE(A8955, ""en"", ""fr"")"),"SAGE")</f>
        <v>SAGE</v>
      </c>
      <c r="C8955" s="1" t="s">
        <v>192</v>
      </c>
      <c r="D8955" s="1" t="s">
        <v>16612</v>
      </c>
      <c r="J8955" s="1" t="s">
        <v>6</v>
      </c>
      <c r="CH8955" s="1" t="s">
        <v>82</v>
      </c>
      <c r="DR8955" s="1" t="s">
        <v>118</v>
      </c>
      <c r="GD8955" s="1" t="s">
        <v>202</v>
      </c>
      <c r="GE8955" s="1" t="s">
        <v>190</v>
      </c>
    </row>
    <row r="8956" spans="1:187" ht="11.25" customHeight="1">
      <c r="A8956" s="1" t="s">
        <v>12574</v>
      </c>
      <c r="B8956" s="1" t="str">
        <f ca="1">IFERROR(__xludf.DUMMYFUNCTION("GOOGLETRANSLATE(A8956, ""en"", ""fr"")"),"Dit n ° 1")</f>
        <v>Dit n ° 1</v>
      </c>
      <c r="C8956" s="1" t="s">
        <v>185</v>
      </c>
      <c r="BM8956" s="1" t="s">
        <v>61</v>
      </c>
      <c r="DO8956" s="1" t="s">
        <v>115</v>
      </c>
      <c r="FD8956" s="1" t="s">
        <v>156</v>
      </c>
      <c r="FI8956" s="1" t="s">
        <v>161</v>
      </c>
      <c r="GD8956" s="1" t="s">
        <v>2413</v>
      </c>
      <c r="GE8956" s="1" t="s">
        <v>12575</v>
      </c>
    </row>
    <row r="8957" spans="1:187" ht="11.25" customHeight="1">
      <c r="A8957" s="1" t="s">
        <v>12576</v>
      </c>
      <c r="B8957" s="1" t="str">
        <f ca="1">IFERROR(__xludf.DUMMYFUNCTION("GOOGLETRANSLATE(A8957, ""en"", ""fr"")"),"Dit n ° 2")</f>
        <v>Dit n ° 2</v>
      </c>
      <c r="C8957" s="1" t="s">
        <v>185</v>
      </c>
      <c r="BK8957" s="1" t="s">
        <v>59</v>
      </c>
      <c r="FH8957" s="1" t="s">
        <v>160</v>
      </c>
      <c r="FI8957" s="1" t="s">
        <v>161</v>
      </c>
      <c r="GC8957" s="1" t="s">
        <v>181</v>
      </c>
      <c r="GD8957" s="1" t="s">
        <v>202</v>
      </c>
      <c r="GE8957" s="1" t="s">
        <v>12577</v>
      </c>
    </row>
    <row r="8958" spans="1:187" ht="11.25" customHeight="1">
      <c r="A8958" s="1" t="s">
        <v>12578</v>
      </c>
      <c r="B8958" s="1" t="str">
        <f ca="1">IFERROR(__xludf.DUMMYFUNCTION("GOOGLETRANSLATE(A8958, ""en"", ""fr"")"),"Voile n ° 1")</f>
        <v>Voile n ° 1</v>
      </c>
      <c r="C8958" s="1" t="s">
        <v>185</v>
      </c>
      <c r="BC8958" s="1" t="s">
        <v>51</v>
      </c>
      <c r="BD8958" s="1" t="s">
        <v>52</v>
      </c>
      <c r="GD8958" s="1" t="s">
        <v>193</v>
      </c>
      <c r="GE8958" s="1" t="s">
        <v>190</v>
      </c>
    </row>
    <row r="8959" spans="1:187" ht="11.25" customHeight="1">
      <c r="A8959" s="1" t="s">
        <v>12579</v>
      </c>
      <c r="B8959" s="1" t="str">
        <f ca="1">IFERROR(__xludf.DUMMYFUNCTION("GOOGLETRANSLATE(A8959, ""en"", ""fr"")"),"Voile n ° 2")</f>
        <v>Voile n ° 2</v>
      </c>
      <c r="C8959" s="1" t="s">
        <v>185</v>
      </c>
      <c r="N8959" s="1" t="s">
        <v>10</v>
      </c>
      <c r="AD8959" s="1" t="s">
        <v>26</v>
      </c>
      <c r="CE8959" s="1" t="s">
        <v>79</v>
      </c>
      <c r="DO8959" s="1" t="s">
        <v>115</v>
      </c>
      <c r="FP8959" s="1" t="s">
        <v>168</v>
      </c>
      <c r="GD8959" s="1" t="s">
        <v>189</v>
      </c>
      <c r="GE8959" s="1" t="s">
        <v>190</v>
      </c>
    </row>
    <row r="8960" spans="1:187" ht="11.25" customHeight="1">
      <c r="A8960" s="1" t="s">
        <v>12580</v>
      </c>
      <c r="B8960" s="1" t="str">
        <f ca="1">IFERROR(__xludf.DUMMYFUNCTION("GOOGLETRANSLATE(A8960, ""en"", ""fr"")"),"SAINT")</f>
        <v>SAINT</v>
      </c>
      <c r="C8960" s="1" t="s">
        <v>185</v>
      </c>
      <c r="D8960" s="1" t="s">
        <v>16612</v>
      </c>
      <c r="F8960" s="1" t="s">
        <v>2</v>
      </c>
      <c r="AI8960" s="1" t="s">
        <v>31</v>
      </c>
      <c r="AJ8960" s="1" t="s">
        <v>32</v>
      </c>
      <c r="AT8960" s="1" t="s">
        <v>42</v>
      </c>
      <c r="EF8960" s="1" t="s">
        <v>132</v>
      </c>
      <c r="EJ8960" s="1" t="s">
        <v>136</v>
      </c>
      <c r="GD8960" s="1" t="s">
        <v>193</v>
      </c>
      <c r="GE8960" s="1" t="s">
        <v>190</v>
      </c>
    </row>
    <row r="8961" spans="1:187" ht="11.25" customHeight="1">
      <c r="A8961" s="1" t="s">
        <v>12581</v>
      </c>
      <c r="B8961" s="1" t="str">
        <f ca="1">IFERROR(__xludf.DUMMYFUNCTION("GOOGLETRANSLATE(A8961, ""en"", ""fr"")"),"SAKÉ")</f>
        <v>SAKÉ</v>
      </c>
      <c r="C8961" s="1" t="s">
        <v>185</v>
      </c>
      <c r="BK8961" s="1" t="s">
        <v>59</v>
      </c>
      <c r="GD8961" s="1" t="s">
        <v>193</v>
      </c>
      <c r="GE8961" s="1" t="s">
        <v>190</v>
      </c>
    </row>
    <row r="8962" spans="1:187" ht="11.25" customHeight="1">
      <c r="A8962" s="1" t="s">
        <v>12582</v>
      </c>
      <c r="B8962" s="1" t="str">
        <f ca="1">IFERROR(__xludf.DUMMYFUNCTION("GOOGLETRANSLATE(A8962, ""en"", ""fr"")"),"SALAMI")</f>
        <v>SALAMI</v>
      </c>
      <c r="C8962" s="1" t="s">
        <v>185</v>
      </c>
      <c r="BC8962" s="1" t="s">
        <v>51</v>
      </c>
      <c r="BE8962" s="1" t="s">
        <v>53</v>
      </c>
      <c r="GD8962" s="1" t="s">
        <v>193</v>
      </c>
      <c r="GE8962" s="1" t="s">
        <v>190</v>
      </c>
    </row>
    <row r="8963" spans="1:187" ht="11.25" customHeight="1">
      <c r="A8963" s="1" t="s">
        <v>12583</v>
      </c>
      <c r="B8963" s="1" t="str">
        <f ca="1">IFERROR(__xludf.DUMMYFUNCTION("GOOGLETRANSLATE(A8963, ""en"", ""fr"")"),"SALAIRE")</f>
        <v>SALAIRE</v>
      </c>
      <c r="C8963" s="1" t="s">
        <v>185</v>
      </c>
      <c r="AA8963" s="1" t="s">
        <v>23</v>
      </c>
      <c r="AC8963" s="1" t="s">
        <v>25</v>
      </c>
      <c r="BQ8963" s="1" t="s">
        <v>65</v>
      </c>
      <c r="EV8963" s="1" t="s">
        <v>148</v>
      </c>
      <c r="EW8963" s="1" t="s">
        <v>149</v>
      </c>
      <c r="GD8963" s="1" t="s">
        <v>193</v>
      </c>
      <c r="GE8963" s="1" t="s">
        <v>190</v>
      </c>
    </row>
    <row r="8964" spans="1:187" ht="11.25" customHeight="1">
      <c r="A8964" s="1" t="s">
        <v>12584</v>
      </c>
      <c r="B8964" s="1" t="str">
        <f ca="1">IFERROR(__xludf.DUMMYFUNCTION("GOOGLETRANSLATE(A8964, ""en"", ""fr"")"),"VENTE")</f>
        <v>VENTE</v>
      </c>
      <c r="C8964" s="1" t="s">
        <v>185</v>
      </c>
      <c r="AA8964" s="1" t="s">
        <v>23</v>
      </c>
      <c r="AC8964" s="1" t="s">
        <v>25</v>
      </c>
      <c r="BQ8964" s="1" t="s">
        <v>65</v>
      </c>
      <c r="EU8964" s="1" t="s">
        <v>147</v>
      </c>
      <c r="EW8964" s="1" t="s">
        <v>149</v>
      </c>
      <c r="GD8964" s="1" t="s">
        <v>193</v>
      </c>
      <c r="GE8964" s="1" t="s">
        <v>190</v>
      </c>
    </row>
    <row r="8965" spans="1:187" ht="11.25" customHeight="1">
      <c r="A8965" s="1" t="s">
        <v>12585</v>
      </c>
      <c r="B8965" s="1" t="str">
        <f ca="1">IFERROR(__xludf.DUMMYFUNCTION("GOOGLETRANSLATE(A8965, ""en"", ""fr"")"),"VENDEUR")</f>
        <v>VENDEUR</v>
      </c>
      <c r="C8965" s="1" t="s">
        <v>185</v>
      </c>
      <c r="N8965" s="1" t="s">
        <v>10</v>
      </c>
      <c r="AA8965" s="1" t="s">
        <v>23</v>
      </c>
      <c r="AC8965" s="1" t="s">
        <v>25</v>
      </c>
      <c r="AJ8965" s="1" t="s">
        <v>32</v>
      </c>
      <c r="AQ8965" s="1" t="s">
        <v>39</v>
      </c>
      <c r="AT8965" s="1" t="s">
        <v>42</v>
      </c>
      <c r="ET8965" s="1" t="s">
        <v>146</v>
      </c>
      <c r="EW8965" s="1" t="s">
        <v>149</v>
      </c>
      <c r="GD8965" s="1" t="s">
        <v>193</v>
      </c>
      <c r="GE8965" s="1" t="s">
        <v>190</v>
      </c>
    </row>
    <row r="8966" spans="1:187" ht="11.25" customHeight="1">
      <c r="A8966" s="1" t="s">
        <v>12586</v>
      </c>
      <c r="B8966" s="1" t="str">
        <f ca="1">IFERROR(__xludf.DUMMYFUNCTION("GOOGLETRANSLATE(A8966, ""en"", ""fr"")"),"ART DE LA VENTE")</f>
        <v>ART DE LA VENTE</v>
      </c>
      <c r="C8966" s="1" t="s">
        <v>185</v>
      </c>
      <c r="N8966" s="1" t="s">
        <v>10</v>
      </c>
      <c r="AA8966" s="1" t="s">
        <v>23</v>
      </c>
      <c r="BQ8966" s="1" t="s">
        <v>65</v>
      </c>
      <c r="EV8966" s="1" t="s">
        <v>148</v>
      </c>
      <c r="EW8966" s="1" t="s">
        <v>149</v>
      </c>
      <c r="GD8966" s="1" t="s">
        <v>193</v>
      </c>
      <c r="GE8966" s="1" t="s">
        <v>190</v>
      </c>
    </row>
    <row r="8967" spans="1:187" ht="11.25" customHeight="1">
      <c r="A8967" s="1" t="s">
        <v>12587</v>
      </c>
      <c r="B8967" s="1" t="str">
        <f ca="1">IFERROR(__xludf.DUMMYFUNCTION("GOOGLETRANSLATE(A8967, ""en"", ""fr"")"),"VENDEURS")</f>
        <v>VENDEURS</v>
      </c>
      <c r="C8967" s="1" t="s">
        <v>185</v>
      </c>
      <c r="N8967" s="1" t="s">
        <v>10</v>
      </c>
      <c r="AA8967" s="1" t="s">
        <v>23</v>
      </c>
      <c r="AC8967" s="1" t="s">
        <v>25</v>
      </c>
      <c r="AJ8967" s="1" t="s">
        <v>32</v>
      </c>
      <c r="AQ8967" s="1" t="s">
        <v>39</v>
      </c>
      <c r="AT8967" s="1" t="s">
        <v>42</v>
      </c>
      <c r="ET8967" s="1" t="s">
        <v>146</v>
      </c>
      <c r="EW8967" s="1" t="s">
        <v>149</v>
      </c>
      <c r="GD8967" s="1" t="s">
        <v>576</v>
      </c>
      <c r="GE8967" s="1" t="s">
        <v>190</v>
      </c>
    </row>
    <row r="8968" spans="1:187" ht="11.25" customHeight="1">
      <c r="A8968" s="1" t="s">
        <v>12588</v>
      </c>
      <c r="B8968" s="1" t="str">
        <f ca="1">IFERROR(__xludf.DUMMYFUNCTION("GOOGLETRANSLATE(A8968, ""en"", ""fr"")"),"SALINE")</f>
        <v>SALINE</v>
      </c>
      <c r="C8968" s="1" t="s">
        <v>185</v>
      </c>
      <c r="CR8968" s="1" t="s">
        <v>92</v>
      </c>
      <c r="EZ8968" s="1" t="s">
        <v>152</v>
      </c>
      <c r="FC8968" s="1" t="s">
        <v>155</v>
      </c>
      <c r="GD8968" s="1" t="s">
        <v>202</v>
      </c>
      <c r="GE8968" s="1" t="s">
        <v>190</v>
      </c>
    </row>
    <row r="8969" spans="1:187" ht="11.25" customHeight="1">
      <c r="A8969" s="1" t="s">
        <v>12589</v>
      </c>
      <c r="B8969" s="1" t="str">
        <f ca="1">IFERROR(__xludf.DUMMYFUNCTION("GOOGLETRANSLATE(A8969, ""en"", ""fr"")"),"SEL")</f>
        <v>SEL</v>
      </c>
      <c r="C8969" s="1" t="s">
        <v>185</v>
      </c>
      <c r="BC8969" s="1" t="s">
        <v>51</v>
      </c>
      <c r="BE8969" s="1" t="s">
        <v>53</v>
      </c>
      <c r="GD8969" s="1" t="s">
        <v>193</v>
      </c>
      <c r="GE8969" s="1" t="s">
        <v>190</v>
      </c>
    </row>
    <row r="8970" spans="1:187" ht="11.25" customHeight="1">
      <c r="A8970" s="1" t="s">
        <v>12590</v>
      </c>
      <c r="B8970" s="1" t="str">
        <f ca="1">IFERROR(__xludf.DUMMYFUNCTION("GOOGLETRANSLATE(A8970, ""en"", ""fr"")"),"SALUTAIRE")</f>
        <v>SALUTAIRE</v>
      </c>
      <c r="C8970" s="1" t="s">
        <v>185</v>
      </c>
      <c r="D8970" s="1" t="s">
        <v>16612</v>
      </c>
      <c r="F8970" s="1" t="s">
        <v>2</v>
      </c>
      <c r="U8970" s="1" t="s">
        <v>17</v>
      </c>
      <c r="CN8970" s="1" t="s">
        <v>88</v>
      </c>
      <c r="FX8970" s="1" t="s">
        <v>176</v>
      </c>
      <c r="GD8970" s="1" t="s">
        <v>202</v>
      </c>
      <c r="GE8970" s="1" t="s">
        <v>190</v>
      </c>
    </row>
    <row r="8971" spans="1:187" ht="11.25" customHeight="1">
      <c r="A8971" s="1" t="s">
        <v>12591</v>
      </c>
      <c r="B8971" s="1" t="str">
        <f ca="1">IFERROR(__xludf.DUMMYFUNCTION("GOOGLETRANSLATE(A8971, ""en"", ""fr"")"),"SALUTATION")</f>
        <v>SALUTATION</v>
      </c>
      <c r="C8971" s="1" t="s">
        <v>192</v>
      </c>
      <c r="D8971" s="1" t="s">
        <v>16612</v>
      </c>
      <c r="BK8971" s="1" t="s">
        <v>59</v>
      </c>
      <c r="GD8971" s="1" t="s">
        <v>193</v>
      </c>
      <c r="GE8971" s="1" t="s">
        <v>190</v>
      </c>
    </row>
    <row r="8972" spans="1:187" ht="11.25" customHeight="1">
      <c r="A8972" s="1" t="s">
        <v>12592</v>
      </c>
      <c r="B8972" s="1" t="str">
        <f ca="1">IFERROR(__xludf.DUMMYFUNCTION("GOOGLETRANSLATE(A8972, ""en"", ""fr"")"),"SALUER")</f>
        <v>SALUER</v>
      </c>
      <c r="C8972" s="1" t="s">
        <v>192</v>
      </c>
      <c r="D8972" s="1" t="s">
        <v>16612</v>
      </c>
      <c r="M8972" s="1" t="s">
        <v>9</v>
      </c>
      <c r="N8972" s="1" t="s">
        <v>10</v>
      </c>
      <c r="AE8972" s="1" t="s">
        <v>27</v>
      </c>
      <c r="BK8972" s="1" t="s">
        <v>59</v>
      </c>
      <c r="DN8972" s="1" t="s">
        <v>114</v>
      </c>
      <c r="GD8972" s="1" t="s">
        <v>670</v>
      </c>
      <c r="GE8972" s="1" t="s">
        <v>190</v>
      </c>
    </row>
    <row r="8973" spans="1:187" ht="11.25" customHeight="1">
      <c r="A8973" s="1" t="s">
        <v>12593</v>
      </c>
      <c r="B8973" s="1" t="str">
        <f ca="1">IFERROR(__xludf.DUMMYFUNCTION("GOOGLETRANSLATE(A8973, ""en"", ""fr"")"),"SAUVETAGE")</f>
        <v>SAUVETAGE</v>
      </c>
      <c r="C8973" s="1" t="s">
        <v>196</v>
      </c>
      <c r="FP8973" s="1" t="s">
        <v>168</v>
      </c>
      <c r="GD8973" s="1" t="s">
        <v>189</v>
      </c>
    </row>
    <row r="8974" spans="1:187" ht="11.25" customHeight="1">
      <c r="A8974" s="1" t="s">
        <v>12594</v>
      </c>
      <c r="B8974" s="1" t="str">
        <f ca="1">IFERROR(__xludf.DUMMYFUNCTION("GOOGLETRANSLATE(A8974, ""en"", ""fr"")"),"SALUT")</f>
        <v>SALUT</v>
      </c>
      <c r="C8974" s="1" t="s">
        <v>185</v>
      </c>
      <c r="D8974" s="1" t="s">
        <v>16612</v>
      </c>
      <c r="F8974" s="1" t="s">
        <v>2</v>
      </c>
      <c r="U8974" s="1" t="s">
        <v>17</v>
      </c>
      <c r="AI8974" s="1" t="s">
        <v>31</v>
      </c>
      <c r="EF8974" s="1" t="s">
        <v>132</v>
      </c>
      <c r="EJ8974" s="1" t="s">
        <v>136</v>
      </c>
      <c r="GD8974" s="1" t="s">
        <v>193</v>
      </c>
      <c r="GE8974" s="1" t="s">
        <v>190</v>
      </c>
    </row>
    <row r="8975" spans="1:187" ht="11.25" customHeight="1">
      <c r="A8975" s="1" t="s">
        <v>12595</v>
      </c>
      <c r="B8975" s="1" t="str">
        <f ca="1">IFERROR(__xludf.DUMMYFUNCTION("GOOGLETRANSLATE(A8975, ""en"", ""fr"")"),"MÊME")</f>
        <v>MÊME</v>
      </c>
      <c r="C8975" s="1" t="s">
        <v>185</v>
      </c>
      <c r="DD8975" s="1" t="s">
        <v>104</v>
      </c>
      <c r="GD8975" s="1" t="s">
        <v>202</v>
      </c>
      <c r="GE8975" s="1" t="s">
        <v>12596</v>
      </c>
    </row>
    <row r="8976" spans="1:187" ht="11.25" customHeight="1">
      <c r="A8976" s="1" t="s">
        <v>12597</v>
      </c>
      <c r="B8976" s="1" t="str">
        <f ca="1">IFERROR(__xludf.DUMMYFUNCTION("GOOGLETRANSLATE(A8976, ""en"", ""fr"")"),"Échantillon n ° 1")</f>
        <v>Échantillon n ° 1</v>
      </c>
      <c r="C8976" s="1" t="s">
        <v>185</v>
      </c>
      <c r="CH8976" s="1" t="s">
        <v>82</v>
      </c>
      <c r="GD8976" s="1" t="s">
        <v>193</v>
      </c>
      <c r="GE8976" s="1" t="s">
        <v>190</v>
      </c>
    </row>
    <row r="8977" spans="1:187" ht="11.25" customHeight="1">
      <c r="A8977" s="1" t="s">
        <v>12598</v>
      </c>
      <c r="B8977" s="1" t="str">
        <f ca="1">IFERROR(__xludf.DUMMYFUNCTION("GOOGLETRANSLATE(A8977, ""en"", ""fr"")"),"Échantillon n ° 2")</f>
        <v>Échantillon n ° 2</v>
      </c>
      <c r="C8977" s="1" t="s">
        <v>185</v>
      </c>
      <c r="CO8977" s="1" t="s">
        <v>89</v>
      </c>
      <c r="DN8977" s="1" t="s">
        <v>114</v>
      </c>
      <c r="GD8977" s="1" t="s">
        <v>189</v>
      </c>
      <c r="GE8977" s="1" t="s">
        <v>190</v>
      </c>
    </row>
    <row r="8978" spans="1:187" ht="11.25" customHeight="1">
      <c r="A8978" s="1" t="s">
        <v>12599</v>
      </c>
      <c r="B8978" s="1" t="str">
        <f ca="1">IFERROR(__xludf.DUMMYFUNCTION("GOOGLETRANSLATE(A8978, ""en"", ""fr"")"),"SANCTIFIER")</f>
        <v>SANCTIFIER</v>
      </c>
      <c r="C8978" s="1" t="s">
        <v>192</v>
      </c>
      <c r="D8978" s="1" t="s">
        <v>16612</v>
      </c>
      <c r="G8978" s="1" t="s">
        <v>3</v>
      </c>
      <c r="N8978" s="1" t="s">
        <v>10</v>
      </c>
      <c r="DN8978" s="1" t="s">
        <v>114</v>
      </c>
      <c r="GD8978" s="1" t="s">
        <v>670</v>
      </c>
      <c r="GE8978" s="1" t="s">
        <v>190</v>
      </c>
    </row>
    <row r="8979" spans="1:187" ht="11.25" customHeight="1">
      <c r="A8979" s="1" t="s">
        <v>12600</v>
      </c>
      <c r="B8979" s="1" t="str">
        <f ca="1">IFERROR(__xludf.DUMMYFUNCTION("GOOGLETRANSLATE(A8979, ""en"", ""fr"")"),"Sanction n ° 1")</f>
        <v>Sanction n ° 1</v>
      </c>
      <c r="C8979" s="1" t="s">
        <v>185</v>
      </c>
      <c r="J8979" s="1" t="s">
        <v>6</v>
      </c>
      <c r="K8979" s="1" t="s">
        <v>7</v>
      </c>
      <c r="AC8979" s="1" t="s">
        <v>25</v>
      </c>
      <c r="AE8979" s="1" t="s">
        <v>27</v>
      </c>
      <c r="AH8979" s="1" t="s">
        <v>30</v>
      </c>
      <c r="BK8979" s="1" t="s">
        <v>59</v>
      </c>
      <c r="BL8979" s="1" t="s">
        <v>60</v>
      </c>
      <c r="EC8979" s="1" t="s">
        <v>129</v>
      </c>
      <c r="ED8979" s="1" t="s">
        <v>130</v>
      </c>
      <c r="GC8979" s="1" t="s">
        <v>181</v>
      </c>
      <c r="GD8979" s="1" t="s">
        <v>193</v>
      </c>
      <c r="GE8979" s="1" t="s">
        <v>190</v>
      </c>
    </row>
    <row r="8980" spans="1:187" ht="11.25" customHeight="1">
      <c r="A8980" s="1" t="s">
        <v>12601</v>
      </c>
      <c r="B8980" s="1" t="str">
        <f ca="1">IFERROR(__xludf.DUMMYFUNCTION("GOOGLETRANSLATE(A8980, ""en"", ""fr"")"),"Sanction # 2")</f>
        <v>Sanction # 2</v>
      </c>
      <c r="C8980" s="1" t="s">
        <v>185</v>
      </c>
      <c r="J8980" s="1" t="s">
        <v>6</v>
      </c>
      <c r="K8980" s="1" t="s">
        <v>7</v>
      </c>
      <c r="O8980" s="1" t="s">
        <v>11</v>
      </c>
      <c r="AE8980" s="1" t="s">
        <v>27</v>
      </c>
      <c r="AN8980" s="1" t="s">
        <v>36</v>
      </c>
      <c r="DN8980" s="1" t="s">
        <v>114</v>
      </c>
      <c r="EC8980" s="1" t="s">
        <v>129</v>
      </c>
      <c r="ED8980" s="1" t="s">
        <v>130</v>
      </c>
      <c r="GD8980" s="1" t="s">
        <v>189</v>
      </c>
      <c r="GE8980" s="1" t="s">
        <v>190</v>
      </c>
    </row>
    <row r="8981" spans="1:187" ht="11.25" customHeight="1">
      <c r="A8981" s="1" t="s">
        <v>12602</v>
      </c>
      <c r="B8981" s="1" t="str">
        <f ca="1">IFERROR(__xludf.DUMMYFUNCTION("GOOGLETRANSLATE(A8981, ""en"", ""fr"")"),"SAINTETÉ")</f>
        <v>SAINTETÉ</v>
      </c>
      <c r="C8981" s="1" t="s">
        <v>196</v>
      </c>
      <c r="EM8981" s="1" t="s">
        <v>139</v>
      </c>
      <c r="EN8981" s="1" t="s">
        <v>140</v>
      </c>
      <c r="GD8981" s="1" t="s">
        <v>193</v>
      </c>
    </row>
    <row r="8982" spans="1:187" ht="11.25" customHeight="1">
      <c r="A8982" s="1" t="s">
        <v>12603</v>
      </c>
      <c r="B8982" s="1" t="str">
        <f ca="1">IFERROR(__xludf.DUMMYFUNCTION("GOOGLETRANSLATE(A8982, ""en"", ""fr"")"),"SANCTUAIRE")</f>
        <v>SANCTUAIRE</v>
      </c>
      <c r="C8982" s="1" t="s">
        <v>185</v>
      </c>
      <c r="D8982" s="1" t="s">
        <v>16612</v>
      </c>
      <c r="F8982" s="1" t="s">
        <v>2</v>
      </c>
      <c r="AH8982" s="1" t="s">
        <v>30</v>
      </c>
      <c r="AV8982" s="1" t="s">
        <v>44</v>
      </c>
      <c r="AX8982" s="1" t="s">
        <v>46</v>
      </c>
      <c r="GD8982" s="1" t="s">
        <v>193</v>
      </c>
      <c r="GE8982" s="1" t="s">
        <v>190</v>
      </c>
    </row>
    <row r="8983" spans="1:187" ht="11.25" customHeight="1">
      <c r="A8983" s="1" t="s">
        <v>12604</v>
      </c>
      <c r="B8983" s="1" t="str">
        <f ca="1">IFERROR(__xludf.DUMMYFUNCTION("GOOGLETRANSLATE(A8983, ""en"", ""fr"")"),"SABLE")</f>
        <v>SABLE</v>
      </c>
      <c r="C8983" s="1" t="s">
        <v>185</v>
      </c>
      <c r="AV8983" s="1" t="s">
        <v>44</v>
      </c>
      <c r="BA8983" s="1" t="s">
        <v>49</v>
      </c>
      <c r="GD8983" s="1" t="s">
        <v>193</v>
      </c>
      <c r="GE8983" s="1" t="s">
        <v>12605</v>
      </c>
    </row>
    <row r="8984" spans="1:187" ht="11.25" customHeight="1">
      <c r="A8984" s="1" t="s">
        <v>12606</v>
      </c>
      <c r="B8984" s="1" t="str">
        <f ca="1">IFERROR(__xludf.DUMMYFUNCTION("GOOGLETRANSLATE(A8984, ""en"", ""fr"")"),"SABLONNEUX")</f>
        <v>SABLONNEUX</v>
      </c>
      <c r="C8984" s="1" t="s">
        <v>185</v>
      </c>
      <c r="CR8984" s="1" t="s">
        <v>92</v>
      </c>
      <c r="GD8984" s="1" t="s">
        <v>202</v>
      </c>
      <c r="GE8984" s="1" t="s">
        <v>190</v>
      </c>
    </row>
    <row r="8985" spans="1:187" ht="11.25" customHeight="1">
      <c r="A8985" s="1" t="s">
        <v>12607</v>
      </c>
      <c r="B8985" s="1" t="str">
        <f ca="1">IFERROR(__xludf.DUMMYFUNCTION("GOOGLETRANSLATE(A8985, ""en"", ""fr"")"),"SAIN")</f>
        <v>SAIN</v>
      </c>
      <c r="C8985" s="1" t="s">
        <v>185</v>
      </c>
      <c r="D8985" s="1" t="s">
        <v>16612</v>
      </c>
      <c r="F8985" s="1" t="s">
        <v>2</v>
      </c>
      <c r="U8985" s="1" t="s">
        <v>17</v>
      </c>
      <c r="FA8985" s="1" t="s">
        <v>153</v>
      </c>
      <c r="FC8985" s="1" t="s">
        <v>155</v>
      </c>
      <c r="GD8985" s="1" t="s">
        <v>202</v>
      </c>
      <c r="GE8985" s="1" t="s">
        <v>190</v>
      </c>
    </row>
    <row r="8986" spans="1:187" ht="11.25" customHeight="1">
      <c r="A8986" s="1" t="s">
        <v>12608</v>
      </c>
      <c r="B8986" s="1" t="str">
        <f ca="1">IFERROR(__xludf.DUMMYFUNCTION("GOOGLETRANSLATE(A8986, ""en"", ""fr"")"),"A CHANTÉ")</f>
        <v>A CHANTÉ</v>
      </c>
      <c r="C8986" s="1" t="s">
        <v>185</v>
      </c>
      <c r="N8986" s="1" t="s">
        <v>10</v>
      </c>
      <c r="AD8986" s="1" t="s">
        <v>26</v>
      </c>
      <c r="BK8986" s="1" t="s">
        <v>59</v>
      </c>
      <c r="DO8986" s="1" t="s">
        <v>115</v>
      </c>
      <c r="FP8986" s="1" t="s">
        <v>168</v>
      </c>
      <c r="GD8986" s="1" t="s">
        <v>1076</v>
      </c>
      <c r="GE8986" s="1" t="s">
        <v>190</v>
      </c>
    </row>
    <row r="8987" spans="1:187" ht="11.25" customHeight="1">
      <c r="A8987" s="1" t="s">
        <v>12609</v>
      </c>
      <c r="B8987" s="1" t="str">
        <f ca="1">IFERROR(__xludf.DUMMYFUNCTION("GOOGLETRANSLATE(A8987, ""en"", ""fr"")"),"SANGUINE")</f>
        <v>SANGUINE</v>
      </c>
      <c r="C8987" s="1" t="s">
        <v>185</v>
      </c>
      <c r="D8987" s="1" t="s">
        <v>16612</v>
      </c>
      <c r="P8987" s="1" t="s">
        <v>12</v>
      </c>
      <c r="T8987" s="1" t="s">
        <v>16</v>
      </c>
      <c r="DR8987" s="1" t="s">
        <v>118</v>
      </c>
      <c r="FX8987" s="1" t="s">
        <v>176</v>
      </c>
      <c r="GD8987" s="1" t="s">
        <v>202</v>
      </c>
      <c r="GE8987" s="1" t="s">
        <v>190</v>
      </c>
    </row>
    <row r="8988" spans="1:187" ht="11.25" customHeight="1">
      <c r="A8988" s="1" t="s">
        <v>12610</v>
      </c>
      <c r="B8988" s="1" t="str">
        <f ca="1">IFERROR(__xludf.DUMMYFUNCTION("GOOGLETRANSLATE(A8988, ""en"", ""fr"")"),"SANITAIRE")</f>
        <v>SANITAIRE</v>
      </c>
      <c r="C8988" s="1" t="s">
        <v>192</v>
      </c>
      <c r="D8988" s="1" t="s">
        <v>16612</v>
      </c>
      <c r="U8988" s="1" t="s">
        <v>17</v>
      </c>
      <c r="DR8988" s="1" t="s">
        <v>118</v>
      </c>
      <c r="GD8988" s="1" t="s">
        <v>202</v>
      </c>
      <c r="GE8988" s="1" t="s">
        <v>190</v>
      </c>
    </row>
    <row r="8989" spans="1:187" ht="11.25" customHeight="1">
      <c r="A8989" s="1" t="s">
        <v>12611</v>
      </c>
      <c r="B8989" s="1" t="str">
        <f ca="1">IFERROR(__xludf.DUMMYFUNCTION("GOOGLETRANSLATE(A8989, ""en"", ""fr"")"),"ASSAINISSEMENT")</f>
        <v>ASSAINISSEMENT</v>
      </c>
      <c r="C8989" s="1" t="s">
        <v>185</v>
      </c>
      <c r="Z8989" s="1" t="s">
        <v>22</v>
      </c>
      <c r="EZ8989" s="1" t="s">
        <v>152</v>
      </c>
      <c r="FC8989" s="1" t="s">
        <v>155</v>
      </c>
      <c r="GD8989" s="1" t="s">
        <v>193</v>
      </c>
      <c r="GE8989" s="1" t="s">
        <v>190</v>
      </c>
    </row>
    <row r="8990" spans="1:187" ht="11.25" customHeight="1">
      <c r="A8990" s="1" t="s">
        <v>12612</v>
      </c>
      <c r="B8990" s="1" t="str">
        <f ca="1">IFERROR(__xludf.DUMMYFUNCTION("GOOGLETRANSLATE(A8990, ""en"", ""fr"")"),"SANTÉ MENTALE")</f>
        <v>SANTÉ MENTALE</v>
      </c>
      <c r="C8990" s="1" t="s">
        <v>192</v>
      </c>
      <c r="D8990" s="1" t="s">
        <v>16612</v>
      </c>
      <c r="CH8990" s="1" t="s">
        <v>82</v>
      </c>
      <c r="GD8990" s="1" t="s">
        <v>193</v>
      </c>
      <c r="GE8990" s="1" t="s">
        <v>190</v>
      </c>
    </row>
    <row r="8991" spans="1:187" ht="11.25" customHeight="1">
      <c r="A8991" s="1" t="s">
        <v>12613</v>
      </c>
      <c r="B8991" s="1" t="str">
        <f ca="1">IFERROR(__xludf.DUMMYFUNCTION("GOOGLETRANSLATE(A8991, ""en"", ""fr"")"),"Couler")</f>
        <v>Couler</v>
      </c>
      <c r="C8991" s="1" t="s">
        <v>185</v>
      </c>
      <c r="E8991" s="1" t="s">
        <v>16613</v>
      </c>
      <c r="H8991" s="1" t="s">
        <v>4</v>
      </c>
      <c r="L8991" s="1" t="s">
        <v>8</v>
      </c>
      <c r="CF8991" s="1" t="s">
        <v>80</v>
      </c>
      <c r="DO8991" s="1" t="s">
        <v>115</v>
      </c>
      <c r="FP8991" s="1" t="s">
        <v>168</v>
      </c>
      <c r="GD8991" s="1" t="s">
        <v>1076</v>
      </c>
      <c r="GE8991" s="1" t="s">
        <v>190</v>
      </c>
    </row>
    <row r="8992" spans="1:187" ht="11.25" customHeight="1">
      <c r="A8992" s="1" t="s">
        <v>12614</v>
      </c>
      <c r="B8992" s="1" t="str">
        <f ca="1">IFERROR(__xludf.DUMMYFUNCTION("GOOGLETRANSLATE(A8992, ""en"", ""fr"")"),"Sans")</f>
        <v>Sans</v>
      </c>
      <c r="C8992" s="1" t="s">
        <v>185</v>
      </c>
      <c r="DL8992" s="1" t="s">
        <v>112</v>
      </c>
      <c r="GD8992" s="1" t="s">
        <v>215</v>
      </c>
      <c r="GE8992" s="1" t="s">
        <v>190</v>
      </c>
    </row>
    <row r="8993" spans="1:187" ht="11.25" customHeight="1">
      <c r="A8993" s="1" t="s">
        <v>12615</v>
      </c>
      <c r="B8993" s="1" t="str">
        <f ca="1">IFERROR(__xludf.DUMMYFUNCTION("GOOGLETRANSLATE(A8993, ""en"", ""fr"")"),"SÈVE")</f>
        <v>SÈVE</v>
      </c>
      <c r="C8993" s="1" t="s">
        <v>192</v>
      </c>
      <c r="E8993" s="1" t="s">
        <v>16613</v>
      </c>
      <c r="L8993" s="1" t="s">
        <v>8</v>
      </c>
      <c r="M8993" s="1" t="s">
        <v>9</v>
      </c>
      <c r="AT8993" s="1" t="s">
        <v>42</v>
      </c>
      <c r="GD8993" s="1" t="s">
        <v>193</v>
      </c>
      <c r="GE8993" s="1" t="s">
        <v>190</v>
      </c>
    </row>
    <row r="8994" spans="1:187" ht="11.25" customHeight="1">
      <c r="A8994" s="1" t="s">
        <v>12616</v>
      </c>
      <c r="B8994" s="1" t="str">
        <f ca="1">IFERROR(__xludf.DUMMYFUNCTION("GOOGLETRANSLATE(A8994, ""en"", ""fr"")"),"SARCASME")</f>
        <v>SARCASME</v>
      </c>
      <c r="C8994" s="1" t="s">
        <v>192</v>
      </c>
      <c r="E8994" s="1" t="s">
        <v>16613</v>
      </c>
      <c r="I8994" s="1" t="s">
        <v>5</v>
      </c>
      <c r="BK8994" s="1" t="s">
        <v>59</v>
      </c>
      <c r="GD8994" s="1" t="s">
        <v>193</v>
      </c>
      <c r="GE8994" s="1" t="s">
        <v>190</v>
      </c>
    </row>
    <row r="8995" spans="1:187" ht="11.25" customHeight="1">
      <c r="A8995" s="1" t="s">
        <v>12617</v>
      </c>
      <c r="B8995" s="1" t="str">
        <f ca="1">IFERROR(__xludf.DUMMYFUNCTION("GOOGLETRANSLATE(A8995, ""en"", ""fr"")"),"SARCASTIQUE")</f>
        <v>SARCASTIQUE</v>
      </c>
      <c r="C8995" s="1" t="s">
        <v>192</v>
      </c>
      <c r="E8995" s="1" t="s">
        <v>16613</v>
      </c>
      <c r="I8995" s="1" t="s">
        <v>5</v>
      </c>
      <c r="BK8995" s="1" t="s">
        <v>59</v>
      </c>
      <c r="DQ8995" s="1" t="s">
        <v>117</v>
      </c>
      <c r="GD8995" s="1" t="s">
        <v>202</v>
      </c>
      <c r="GE8995" s="1" t="s">
        <v>190</v>
      </c>
    </row>
    <row r="8996" spans="1:187" ht="11.25" customHeight="1">
      <c r="A8996" s="1" t="s">
        <v>12618</v>
      </c>
      <c r="B8996" s="1" t="str">
        <f ca="1">IFERROR(__xludf.DUMMYFUNCTION("GOOGLETRANSLATE(A8996, ""en"", ""fr"")"),"Sardaigne")</f>
        <v>Sardaigne</v>
      </c>
      <c r="C8996" s="1" t="s">
        <v>196</v>
      </c>
      <c r="FU8996" s="1" t="s">
        <v>173</v>
      </c>
      <c r="GD8996" s="1" t="s">
        <v>545</v>
      </c>
    </row>
    <row r="8997" spans="1:187" ht="11.25" customHeight="1">
      <c r="A8997" s="1" t="s">
        <v>12619</v>
      </c>
      <c r="B8997" s="1" t="str">
        <f ca="1">IFERROR(__xludf.DUMMYFUNCTION("GOOGLETRANSLATE(A8997, ""en"", ""fr"")"),"SAT # 1")</f>
        <v>SAT # 1</v>
      </c>
      <c r="C8997" s="1" t="s">
        <v>192</v>
      </c>
      <c r="GD8997" s="1" t="s">
        <v>1085</v>
      </c>
      <c r="GE8997" s="1" t="s">
        <v>190</v>
      </c>
    </row>
    <row r="8998" spans="1:187" ht="11.25" customHeight="1">
      <c r="A8998" s="1" t="s">
        <v>12620</v>
      </c>
      <c r="B8998" s="1" t="str">
        <f ca="1">IFERROR(__xludf.DUMMYFUNCTION("GOOGLETRANSLATE(A8998, ""en"", ""fr"")"),"SATELLITE")</f>
        <v>SATELLITE</v>
      </c>
      <c r="C8998" s="1" t="s">
        <v>185</v>
      </c>
      <c r="AH8998" s="1" t="s">
        <v>30</v>
      </c>
      <c r="BC8998" s="1" t="s">
        <v>51</v>
      </c>
      <c r="BF8998" s="1" t="s">
        <v>54</v>
      </c>
      <c r="DV8998" s="1" t="s">
        <v>122</v>
      </c>
      <c r="ED8998" s="1" t="s">
        <v>130</v>
      </c>
      <c r="GD8998" s="1" t="s">
        <v>193</v>
      </c>
      <c r="GE8998" s="1" t="s">
        <v>190</v>
      </c>
    </row>
    <row r="8999" spans="1:187" ht="11.25" customHeight="1">
      <c r="A8999" s="1" t="s">
        <v>12621</v>
      </c>
      <c r="B8999" s="1" t="str">
        <f ca="1">IFERROR(__xludf.DUMMYFUNCTION("GOOGLETRANSLATE(A8999, ""en"", ""fr"")"),"SATIRE")</f>
        <v>SATIRE</v>
      </c>
      <c r="C8999" s="1" t="s">
        <v>185</v>
      </c>
      <c r="AD8999" s="1" t="s">
        <v>26</v>
      </c>
      <c r="BK8999" s="1" t="s">
        <v>59</v>
      </c>
      <c r="BL8999" s="1" t="s">
        <v>60</v>
      </c>
      <c r="EM8999" s="1" t="s">
        <v>139</v>
      </c>
      <c r="EN8999" s="1" t="s">
        <v>140</v>
      </c>
      <c r="GC8999" s="1" t="s">
        <v>181</v>
      </c>
      <c r="GD8999" s="1" t="s">
        <v>193</v>
      </c>
      <c r="GE8999" s="1" t="s">
        <v>190</v>
      </c>
    </row>
    <row r="9000" spans="1:187" ht="11.25" customHeight="1">
      <c r="A9000" s="1" t="s">
        <v>12622</v>
      </c>
      <c r="B9000" s="1" t="str">
        <f ca="1">IFERROR(__xludf.DUMMYFUNCTION("GOOGLETRANSLATE(A9000, ""en"", ""fr"")"),"SATISFACTION")</f>
        <v>SATISFACTION</v>
      </c>
      <c r="C9000" s="1" t="s">
        <v>185</v>
      </c>
      <c r="D9000" s="1" t="s">
        <v>16612</v>
      </c>
      <c r="F9000" s="1" t="s">
        <v>2</v>
      </c>
      <c r="O9000" s="1" t="s">
        <v>11</v>
      </c>
      <c r="P9000" s="1" t="s">
        <v>12</v>
      </c>
      <c r="T9000" s="1" t="s">
        <v>16</v>
      </c>
      <c r="CP9000" s="1" t="s">
        <v>90</v>
      </c>
      <c r="CQ9000" s="1" t="s">
        <v>91</v>
      </c>
      <c r="FA9000" s="1" t="s">
        <v>153</v>
      </c>
      <c r="FC9000" s="1" t="s">
        <v>155</v>
      </c>
      <c r="GD9000" s="1" t="s">
        <v>193</v>
      </c>
      <c r="GE9000" s="1" t="s">
        <v>12623</v>
      </c>
    </row>
    <row r="9001" spans="1:187" ht="11.25" customHeight="1">
      <c r="A9001" s="1" t="s">
        <v>12624</v>
      </c>
      <c r="B9001" s="1" t="str">
        <f ca="1">IFERROR(__xludf.DUMMYFUNCTION("GOOGLETRANSLATE(A9001, ""en"", ""fr"")"),"De manière satisfaisante")</f>
        <v>De manière satisfaisante</v>
      </c>
      <c r="C9001" s="1" t="s">
        <v>185</v>
      </c>
      <c r="D9001" s="1" t="s">
        <v>16612</v>
      </c>
      <c r="U9001" s="1" t="s">
        <v>17</v>
      </c>
      <c r="CM9001" s="1" t="s">
        <v>87</v>
      </c>
      <c r="EE9001" s="1" t="s">
        <v>131</v>
      </c>
      <c r="EJ9001" s="1" t="s">
        <v>136</v>
      </c>
      <c r="GD9001" s="1" t="s">
        <v>202</v>
      </c>
      <c r="GE9001" s="1" t="s">
        <v>190</v>
      </c>
    </row>
    <row r="9002" spans="1:187" ht="11.25" customHeight="1">
      <c r="A9002" s="1" t="s">
        <v>12625</v>
      </c>
      <c r="B9002" s="1" t="str">
        <f ca="1">IFERROR(__xludf.DUMMYFUNCTION("GOOGLETRANSLATE(A9002, ""en"", ""fr"")"),"SATISFAISANT")</f>
        <v>SATISFAISANT</v>
      </c>
      <c r="C9002" s="1" t="s">
        <v>185</v>
      </c>
      <c r="D9002" s="1" t="s">
        <v>16612</v>
      </c>
      <c r="F9002" s="1" t="s">
        <v>2</v>
      </c>
      <c r="U9002" s="1" t="s">
        <v>17</v>
      </c>
      <c r="CN9002" s="1" t="s">
        <v>88</v>
      </c>
      <c r="FR9002" s="1" t="s">
        <v>170</v>
      </c>
      <c r="GD9002" s="1" t="s">
        <v>202</v>
      </c>
      <c r="GE9002" s="1" t="s">
        <v>190</v>
      </c>
    </row>
    <row r="9003" spans="1:187" ht="11.25" customHeight="1">
      <c r="A9003" s="1" t="s">
        <v>12626</v>
      </c>
      <c r="B9003" s="1" t="str">
        <f ca="1">IFERROR(__xludf.DUMMYFUNCTION("GOOGLETRANSLATE(A9003, ""en"", ""fr"")"),"Satisfaire # 1")</f>
        <v>Satisfaire # 1</v>
      </c>
      <c r="C9003" s="1" t="s">
        <v>185</v>
      </c>
      <c r="D9003" s="1" t="s">
        <v>16612</v>
      </c>
      <c r="F9003" s="1" t="s">
        <v>2</v>
      </c>
      <c r="G9003" s="1" t="s">
        <v>3</v>
      </c>
      <c r="J9003" s="1" t="s">
        <v>6</v>
      </c>
      <c r="AN9003" s="1" t="s">
        <v>36</v>
      </c>
      <c r="DN9003" s="1" t="s">
        <v>114</v>
      </c>
      <c r="FN9003" s="1" t="s">
        <v>166</v>
      </c>
      <c r="GD9003" s="1" t="s">
        <v>189</v>
      </c>
      <c r="GE9003" s="1" t="s">
        <v>12627</v>
      </c>
    </row>
    <row r="9004" spans="1:187" ht="11.25" customHeight="1">
      <c r="A9004" s="1" t="s">
        <v>12628</v>
      </c>
      <c r="B9004" s="1" t="str">
        <f ca="1">IFERROR(__xludf.DUMMYFUNCTION("GOOGLETRANSLATE(A9004, ""en"", ""fr"")"),"Satisfaire # 2")</f>
        <v>Satisfaire # 2</v>
      </c>
      <c r="C9004" s="1" t="s">
        <v>185</v>
      </c>
      <c r="D9004" s="1" t="s">
        <v>16612</v>
      </c>
      <c r="F9004" s="1" t="s">
        <v>2</v>
      </c>
      <c r="O9004" s="1" t="s">
        <v>11</v>
      </c>
      <c r="P9004" s="1" t="s">
        <v>12</v>
      </c>
      <c r="T9004" s="1" t="s">
        <v>16</v>
      </c>
      <c r="FN9004" s="1" t="s">
        <v>166</v>
      </c>
      <c r="GD9004" s="1" t="s">
        <v>202</v>
      </c>
      <c r="GE9004" s="1" t="s">
        <v>12629</v>
      </c>
    </row>
    <row r="9005" spans="1:187" ht="11.25" customHeight="1">
      <c r="A9005" s="1" t="s">
        <v>12630</v>
      </c>
      <c r="B9005" s="1" t="str">
        <f ca="1">IFERROR(__xludf.DUMMYFUNCTION("GOOGLETRANSLATE(A9005, ""en"", ""fr"")"),"Satisfaire # 3")</f>
        <v>Satisfaire # 3</v>
      </c>
      <c r="C9005" s="1" t="s">
        <v>185</v>
      </c>
      <c r="D9005" s="1" t="s">
        <v>16612</v>
      </c>
      <c r="F9005" s="1" t="s">
        <v>2</v>
      </c>
      <c r="J9005" s="1" t="s">
        <v>6</v>
      </c>
      <c r="U9005" s="1" t="s">
        <v>17</v>
      </c>
      <c r="CN9005" s="1" t="s">
        <v>88</v>
      </c>
      <c r="FN9005" s="1" t="s">
        <v>166</v>
      </c>
      <c r="GD9005" s="1" t="s">
        <v>202</v>
      </c>
      <c r="GE9005" s="1" t="s">
        <v>12631</v>
      </c>
    </row>
    <row r="9006" spans="1:187" ht="11.25" customHeight="1">
      <c r="A9006" s="1" t="s">
        <v>12632</v>
      </c>
      <c r="B9006" s="1" t="str">
        <f ca="1">IFERROR(__xludf.DUMMYFUNCTION("GOOGLETRANSLATE(A9006, ""en"", ""fr"")"),"SAMEDI")</f>
        <v>SAMEDI</v>
      </c>
      <c r="C9006" s="1" t="s">
        <v>185</v>
      </c>
      <c r="CQ9006" s="1" t="s">
        <v>91</v>
      </c>
      <c r="CY9006" s="1" t="s">
        <v>99</v>
      </c>
      <c r="CZ9006" s="1" t="s">
        <v>100</v>
      </c>
      <c r="GB9006" s="1" t="s">
        <v>180</v>
      </c>
      <c r="GD9006" s="1" t="s">
        <v>193</v>
      </c>
      <c r="GE9006" s="1" t="s">
        <v>190</v>
      </c>
    </row>
    <row r="9007" spans="1:187" ht="11.25" customHeight="1">
      <c r="A9007" s="1" t="s">
        <v>12633</v>
      </c>
      <c r="B9007" s="1" t="str">
        <f ca="1">IFERROR(__xludf.DUMMYFUNCTION("GOOGLETRANSLATE(A9007, ""en"", ""fr"")"),"SAUVAGE")</f>
        <v>SAUVAGE</v>
      </c>
      <c r="C9007" s="1" t="s">
        <v>192</v>
      </c>
      <c r="E9007" s="1" t="s">
        <v>16613</v>
      </c>
      <c r="I9007" s="1" t="s">
        <v>5</v>
      </c>
      <c r="DR9007" s="1" t="s">
        <v>118</v>
      </c>
      <c r="GD9007" s="1" t="s">
        <v>202</v>
      </c>
      <c r="GE9007" s="1" t="s">
        <v>190</v>
      </c>
    </row>
    <row r="9008" spans="1:187" ht="11.25" customHeight="1">
      <c r="A9008" s="1" t="s">
        <v>12634</v>
      </c>
      <c r="B9008" s="1" t="str">
        <f ca="1">IFERROR(__xludf.DUMMYFUNCTION("GOOGLETRANSLATE(A9008, ""en"", ""fr"")"),"Enregistrer n ° 1")</f>
        <v>Enregistrer n ° 1</v>
      </c>
      <c r="C9008" s="1" t="s">
        <v>185</v>
      </c>
      <c r="D9008" s="1" t="s">
        <v>16612</v>
      </c>
      <c r="F9008" s="1" t="s">
        <v>2</v>
      </c>
      <c r="J9008" s="1" t="s">
        <v>6</v>
      </c>
      <c r="N9008" s="1" t="s">
        <v>10</v>
      </c>
      <c r="CD9008" s="1" t="s">
        <v>78</v>
      </c>
      <c r="DN9008" s="1" t="s">
        <v>114</v>
      </c>
      <c r="FP9008" s="1" t="s">
        <v>168</v>
      </c>
      <c r="GD9008" s="1" t="s">
        <v>189</v>
      </c>
      <c r="GE9008" s="1" t="s">
        <v>12635</v>
      </c>
    </row>
    <row r="9009" spans="1:187" ht="11.25" customHeight="1">
      <c r="A9009" s="1" t="s">
        <v>12636</v>
      </c>
      <c r="B9009" s="1" t="str">
        <f ca="1">IFERROR(__xludf.DUMMYFUNCTION("GOOGLETRANSLATE(A9009, ""en"", ""fr"")"),"Enregistrer # 2")</f>
        <v>Enregistrer # 2</v>
      </c>
      <c r="C9009" s="1" t="s">
        <v>185</v>
      </c>
      <c r="X9009" s="1" t="s">
        <v>20</v>
      </c>
      <c r="GD9009" s="1" t="s">
        <v>215</v>
      </c>
      <c r="GE9009" s="1" t="s">
        <v>12637</v>
      </c>
    </row>
    <row r="9010" spans="1:187" ht="11.25" customHeight="1">
      <c r="A9010" s="1" t="s">
        <v>12638</v>
      </c>
      <c r="B9010" s="1" t="str">
        <f ca="1">IFERROR(__xludf.DUMMYFUNCTION("GOOGLETRANSLATE(A9010, ""en"", ""fr"")"),"Enregistrer # 3")</f>
        <v>Enregistrer # 3</v>
      </c>
      <c r="C9010" s="1" t="s">
        <v>185</v>
      </c>
      <c r="AA9010" s="1" t="s">
        <v>23</v>
      </c>
      <c r="AC9010" s="1" t="s">
        <v>25</v>
      </c>
      <c r="BQ9010" s="1" t="s">
        <v>65</v>
      </c>
      <c r="EV9010" s="1" t="s">
        <v>148</v>
      </c>
      <c r="EW9010" s="1" t="s">
        <v>149</v>
      </c>
      <c r="GD9010" s="1" t="s">
        <v>193</v>
      </c>
      <c r="GE9010" s="1" t="s">
        <v>12639</v>
      </c>
    </row>
    <row r="9011" spans="1:187" ht="11.25" customHeight="1">
      <c r="A9011" s="1" t="s">
        <v>12640</v>
      </c>
      <c r="B9011" s="1" t="str">
        <f ca="1">IFERROR(__xludf.DUMMYFUNCTION("GOOGLETRANSLATE(A9011, ""en"", ""fr"")"),"Enregistrer # 4")</f>
        <v>Enregistrer # 4</v>
      </c>
      <c r="C9011" s="1" t="s">
        <v>185</v>
      </c>
      <c r="GD9011" s="1" t="s">
        <v>225</v>
      </c>
      <c r="GE9011" s="1" t="s">
        <v>12641</v>
      </c>
    </row>
    <row r="9012" spans="1:187" ht="11.25" customHeight="1">
      <c r="A9012" s="1" t="s">
        <v>12642</v>
      </c>
      <c r="B9012" s="1" t="str">
        <f ca="1">IFERROR(__xludf.DUMMYFUNCTION("GOOGLETRANSLATE(A9012, ""en"", ""fr"")"),"DES ÉCONOMIES")</f>
        <v>DES ÉCONOMIES</v>
      </c>
      <c r="C9012" s="1" t="s">
        <v>192</v>
      </c>
      <c r="D9012" s="1" t="s">
        <v>16612</v>
      </c>
      <c r="AA9012" s="1" t="s">
        <v>23</v>
      </c>
      <c r="GD9012" s="1" t="s">
        <v>193</v>
      </c>
      <c r="GE9012" s="1" t="s">
        <v>190</v>
      </c>
    </row>
    <row r="9013" spans="1:187" ht="11.25" customHeight="1">
      <c r="A9013" s="1" t="s">
        <v>12643</v>
      </c>
      <c r="B9013" s="1" t="str">
        <f ca="1">IFERROR(__xludf.DUMMYFUNCTION("GOOGLETRANSLATE(A9013, ""en"", ""fr"")"),"SAVEUR")</f>
        <v>SAVEUR</v>
      </c>
      <c r="C9013" s="1" t="s">
        <v>192</v>
      </c>
      <c r="D9013" s="1" t="s">
        <v>16612</v>
      </c>
      <c r="O9013" s="1" t="s">
        <v>11</v>
      </c>
      <c r="P9013" s="1" t="s">
        <v>12</v>
      </c>
      <c r="BN9013" s="1" t="s">
        <v>62</v>
      </c>
      <c r="DP9013" s="1" t="s">
        <v>116</v>
      </c>
      <c r="GD9013" s="1" t="s">
        <v>189</v>
      </c>
      <c r="GE9013" s="1" t="s">
        <v>190</v>
      </c>
    </row>
    <row r="9014" spans="1:187" ht="11.25" customHeight="1">
      <c r="A9014" s="1" t="s">
        <v>12644</v>
      </c>
      <c r="B9014" s="1" t="str">
        <f ca="1">IFERROR(__xludf.DUMMYFUNCTION("GOOGLETRANSLATE(A9014, ""en"", ""fr"")"),"Avertir")</f>
        <v>Avertir</v>
      </c>
      <c r="C9014" s="1" t="s">
        <v>192</v>
      </c>
      <c r="D9014" s="1" t="s">
        <v>16612</v>
      </c>
      <c r="J9014" s="1" t="s">
        <v>6</v>
      </c>
      <c r="CH9014" s="1" t="s">
        <v>82</v>
      </c>
      <c r="GD9014" s="1" t="s">
        <v>193</v>
      </c>
      <c r="GE9014" s="1" t="s">
        <v>190</v>
      </c>
    </row>
    <row r="9015" spans="1:187" ht="11.25" customHeight="1">
      <c r="A9015" s="1" t="s">
        <v>12645</v>
      </c>
      <c r="B9015" s="1" t="str">
        <f ca="1">IFERROR(__xludf.DUMMYFUNCTION("GOOGLETRANSLATE(A9015, ""en"", ""fr"")"),"Saw n ° 1")</f>
        <v>Saw n ° 1</v>
      </c>
      <c r="C9015" s="1" t="s">
        <v>185</v>
      </c>
      <c r="O9015" s="1" t="s">
        <v>11</v>
      </c>
      <c r="CK9015" s="1" t="s">
        <v>85</v>
      </c>
      <c r="DO9015" s="1" t="s">
        <v>115</v>
      </c>
      <c r="FH9015" s="1" t="s">
        <v>160</v>
      </c>
      <c r="FI9015" s="1" t="s">
        <v>161</v>
      </c>
      <c r="GD9015" s="1" t="s">
        <v>2413</v>
      </c>
      <c r="GE9015" s="1" t="s">
        <v>12646</v>
      </c>
    </row>
    <row r="9016" spans="1:187" ht="11.25" customHeight="1">
      <c r="A9016" s="1" t="s">
        <v>12647</v>
      </c>
      <c r="B9016" s="1" t="str">
        <f ca="1">IFERROR(__xludf.DUMMYFUNCTION("GOOGLETRANSLATE(A9016, ""en"", ""fr"")"),"VU 2")</f>
        <v>VU 2</v>
      </c>
      <c r="C9016" s="1" t="s">
        <v>185</v>
      </c>
      <c r="BC9016" s="1" t="s">
        <v>51</v>
      </c>
      <c r="BD9016" s="1" t="s">
        <v>52</v>
      </c>
      <c r="GD9016" s="1" t="s">
        <v>193</v>
      </c>
      <c r="GE9016" s="1" t="s">
        <v>12648</v>
      </c>
    </row>
    <row r="9017" spans="1:187" ht="11.25" customHeight="1">
      <c r="A9017" s="1" t="s">
        <v>12649</v>
      </c>
      <c r="B9017" s="1" t="str">
        <f ca="1">IFERROR(__xludf.DUMMYFUNCTION("GOOGLETRANSLATE(A9017, ""en"", ""fr"")"),"Saw # 3")</f>
        <v>Saw # 3</v>
      </c>
      <c r="C9017" s="1" t="s">
        <v>185</v>
      </c>
      <c r="N9017" s="1" t="s">
        <v>10</v>
      </c>
      <c r="AL9017" s="1" t="s">
        <v>34</v>
      </c>
      <c r="DO9017" s="1" t="s">
        <v>115</v>
      </c>
      <c r="GD9017" s="1" t="s">
        <v>189</v>
      </c>
      <c r="GE9017" s="1" t="s">
        <v>12650</v>
      </c>
    </row>
    <row r="9018" spans="1:187" ht="11.25" customHeight="1">
      <c r="A9018" s="1" t="s">
        <v>12651</v>
      </c>
      <c r="B9018" s="1" t="str">
        <f ca="1">IFERROR(__xludf.DUMMYFUNCTION("GOOGLETRANSLATE(A9018, ""en"", ""fr"")"),"Saw # 4")</f>
        <v>Saw # 4</v>
      </c>
      <c r="C9018" s="1" t="s">
        <v>185</v>
      </c>
      <c r="N9018" s="1" t="s">
        <v>10</v>
      </c>
      <c r="AL9018" s="1" t="s">
        <v>34</v>
      </c>
      <c r="GD9018" s="1" t="s">
        <v>193</v>
      </c>
      <c r="GE9018" s="1" t="s">
        <v>12652</v>
      </c>
    </row>
    <row r="9019" spans="1:187" ht="11.25" customHeight="1">
      <c r="A9019" s="1" t="s">
        <v>12653</v>
      </c>
      <c r="B9019" s="1" t="str">
        <f ca="1">IFERROR(__xludf.DUMMYFUNCTION("GOOGLETRANSLATE(A9019, ""en"", ""fr"")"),"Dire n ° 1")</f>
        <v>Dire n ° 1</v>
      </c>
      <c r="C9019" s="1" t="s">
        <v>185</v>
      </c>
      <c r="N9019" s="1" t="s">
        <v>10</v>
      </c>
      <c r="BM9019" s="1" t="s">
        <v>61</v>
      </c>
      <c r="DO9019" s="1" t="s">
        <v>115</v>
      </c>
      <c r="FD9019" s="1" t="s">
        <v>156</v>
      </c>
      <c r="FI9019" s="1" t="s">
        <v>161</v>
      </c>
      <c r="GD9019" s="1" t="s">
        <v>400</v>
      </c>
      <c r="GE9019" s="1" t="s">
        <v>12654</v>
      </c>
    </row>
    <row r="9020" spans="1:187" ht="11.25" customHeight="1">
      <c r="A9020" s="1" t="s">
        <v>12655</v>
      </c>
      <c r="B9020" s="1" t="str">
        <f ca="1">IFERROR(__xludf.DUMMYFUNCTION("GOOGLETRANSLATE(A9020, ""en"", ""fr"")"),"Dire n ° 2")</f>
        <v>Dire n ° 2</v>
      </c>
      <c r="C9020" s="1" t="s">
        <v>185</v>
      </c>
      <c r="FZ9020" s="1" t="s">
        <v>178</v>
      </c>
      <c r="GD9020" s="1" t="s">
        <v>236</v>
      </c>
      <c r="GE9020" s="1" t="s">
        <v>12656</v>
      </c>
    </row>
    <row r="9021" spans="1:187" ht="11.25" customHeight="1">
      <c r="A9021" s="1" t="s">
        <v>12657</v>
      </c>
      <c r="B9021" s="1" t="str">
        <f ca="1">IFERROR(__xludf.DUMMYFUNCTION("GOOGLETRANSLATE(A9021, ""en"", ""fr"")"),"Dire # 3")</f>
        <v>Dire # 3</v>
      </c>
      <c r="C9021" s="1" t="s">
        <v>185</v>
      </c>
      <c r="CO9021" s="1" t="s">
        <v>89</v>
      </c>
      <c r="DN9021" s="1" t="s">
        <v>114</v>
      </c>
      <c r="GD9021" s="1" t="s">
        <v>189</v>
      </c>
      <c r="GE9021" s="1" t="s">
        <v>12658</v>
      </c>
    </row>
    <row r="9022" spans="1:187" ht="11.25" customHeight="1">
      <c r="A9022" s="1" t="s">
        <v>12659</v>
      </c>
      <c r="B9022" s="1" t="str">
        <f ca="1">IFERROR(__xludf.DUMMYFUNCTION("GOOGLETRANSLATE(A9022, ""en"", ""fr"")"),"Dire # 4")</f>
        <v>Dire # 4</v>
      </c>
      <c r="C9022" s="1" t="s">
        <v>185</v>
      </c>
      <c r="J9022" s="1" t="s">
        <v>6</v>
      </c>
      <c r="K9022" s="1" t="s">
        <v>7</v>
      </c>
      <c r="BQ9022" s="1" t="s">
        <v>65</v>
      </c>
      <c r="EC9022" s="1" t="s">
        <v>129</v>
      </c>
      <c r="ED9022" s="1" t="s">
        <v>130</v>
      </c>
      <c r="GD9022" s="1" t="s">
        <v>193</v>
      </c>
      <c r="GE9022" s="1" t="s">
        <v>12660</v>
      </c>
    </row>
    <row r="9023" spans="1:187" ht="11.25" customHeight="1">
      <c r="A9023" s="1" t="s">
        <v>12661</v>
      </c>
      <c r="B9023" s="1" t="str">
        <f ca="1">IFERROR(__xludf.DUMMYFUNCTION("GOOGLETRANSLATE(A9023, ""en"", ""fr"")"),"Dire n ° 5")</f>
        <v>Dire n ° 5</v>
      </c>
      <c r="C9023" s="1" t="s">
        <v>185</v>
      </c>
      <c r="AH9023" s="1" t="s">
        <v>30</v>
      </c>
      <c r="BK9023" s="1" t="s">
        <v>59</v>
      </c>
      <c r="BL9023" s="1" t="s">
        <v>60</v>
      </c>
      <c r="FH9023" s="1" t="s">
        <v>160</v>
      </c>
      <c r="FI9023" s="1" t="s">
        <v>161</v>
      </c>
      <c r="GC9023" s="1" t="s">
        <v>181</v>
      </c>
      <c r="GD9023" s="1" t="s">
        <v>193</v>
      </c>
      <c r="GE9023" s="1" t="s">
        <v>12662</v>
      </c>
    </row>
    <row r="9024" spans="1:187" ht="11.25" customHeight="1">
      <c r="A9024" s="1" t="s">
        <v>12663</v>
      </c>
      <c r="B9024" s="1" t="str">
        <f ca="1">IFERROR(__xludf.DUMMYFUNCTION("GOOGLETRANSLATE(A9024, ""en"", ""fr"")"),"Dire # 6")</f>
        <v>Dire # 6</v>
      </c>
      <c r="C9024" s="1" t="s">
        <v>185</v>
      </c>
      <c r="W9024" s="1" t="s">
        <v>19</v>
      </c>
      <c r="CH9024" s="1" t="s">
        <v>82</v>
      </c>
      <c r="FY9024" s="1" t="s">
        <v>177</v>
      </c>
      <c r="GD9024" s="1" t="s">
        <v>236</v>
      </c>
      <c r="GE9024" s="1" t="s">
        <v>12664</v>
      </c>
    </row>
    <row r="9025" spans="1:187" ht="11.25" customHeight="1">
      <c r="A9025" s="1" t="s">
        <v>12665</v>
      </c>
      <c r="B9025" s="1" t="str">
        <f ca="1">IFERROR(__xludf.DUMMYFUNCTION("GOOGLETRANSLATE(A9025, ""en"", ""fr"")"),"Dire # 7")</f>
        <v>Dire # 7</v>
      </c>
      <c r="C9025" s="1" t="s">
        <v>185</v>
      </c>
      <c r="GD9025" s="1" t="s">
        <v>225</v>
      </c>
      <c r="GE9025" s="1" t="s">
        <v>12666</v>
      </c>
    </row>
    <row r="9026" spans="1:187" ht="11.25" customHeight="1">
      <c r="A9026" s="1" t="s">
        <v>12667</v>
      </c>
      <c r="B9026" s="1" t="str">
        <f ca="1">IFERROR(__xludf.DUMMYFUNCTION("GOOGLETRANSLATE(A9026, ""en"", ""fr"")"),"ÉBOUILLANTER")</f>
        <v>ÉBOUILLANTER</v>
      </c>
      <c r="C9026" s="1" t="s">
        <v>192</v>
      </c>
      <c r="E9026" s="1" t="s">
        <v>16613</v>
      </c>
      <c r="O9026" s="1" t="s">
        <v>11</v>
      </c>
      <c r="Q9026" s="1" t="s">
        <v>13</v>
      </c>
      <c r="DN9026" s="1" t="s">
        <v>114</v>
      </c>
      <c r="GD9026" s="1" t="s">
        <v>189</v>
      </c>
      <c r="GE9026" s="1" t="s">
        <v>190</v>
      </c>
    </row>
    <row r="9027" spans="1:187" ht="11.25" customHeight="1">
      <c r="A9027" s="1" t="s">
        <v>12668</v>
      </c>
      <c r="B9027" s="1" t="str">
        <f ca="1">IFERROR(__xludf.DUMMYFUNCTION("GOOGLETRANSLATE(A9027, ""en"", ""fr"")"),"Échelle n ° 1")</f>
        <v>Échelle n ° 1</v>
      </c>
      <c r="C9027" s="1" t="s">
        <v>185</v>
      </c>
      <c r="BD9027" s="1" t="s">
        <v>52</v>
      </c>
      <c r="GD9027" s="1" t="s">
        <v>193</v>
      </c>
      <c r="GE9027" s="1" t="s">
        <v>190</v>
      </c>
    </row>
    <row r="9028" spans="1:187" ht="11.25" customHeight="1">
      <c r="A9028" s="1" t="s">
        <v>12669</v>
      </c>
      <c r="B9028" s="1" t="str">
        <f ca="1">IFERROR(__xludf.DUMMYFUNCTION("GOOGLETRANSLATE(A9028, ""en"", ""fr"")"),"Échelle n ° 2")</f>
        <v>Échelle n ° 2</v>
      </c>
      <c r="C9028" s="1" t="s">
        <v>185</v>
      </c>
      <c r="N9028" s="1" t="s">
        <v>10</v>
      </c>
      <c r="CB9028" s="1" t="s">
        <v>76</v>
      </c>
      <c r="DN9028" s="1" t="s">
        <v>114</v>
      </c>
      <c r="GD9028" s="1" t="s">
        <v>189</v>
      </c>
      <c r="GE9028" s="1" t="s">
        <v>190</v>
      </c>
    </row>
    <row r="9029" spans="1:187" ht="11.25" customHeight="1">
      <c r="A9029" s="1" t="s">
        <v>12670</v>
      </c>
      <c r="B9029" s="1" t="str">
        <f ca="1">IFERROR(__xludf.DUMMYFUNCTION("GOOGLETRANSLATE(A9029, ""en"", ""fr"")"),"Gamin")</f>
        <v>Gamin</v>
      </c>
      <c r="C9029" s="1" t="s">
        <v>192</v>
      </c>
      <c r="D9029" s="1" t="s">
        <v>16612</v>
      </c>
      <c r="N9029" s="1" t="s">
        <v>10</v>
      </c>
      <c r="CE9029" s="1" t="s">
        <v>79</v>
      </c>
      <c r="DN9029" s="1" t="s">
        <v>114</v>
      </c>
      <c r="GD9029" s="1" t="s">
        <v>189</v>
      </c>
      <c r="GE9029" s="1" t="s">
        <v>190</v>
      </c>
    </row>
    <row r="9030" spans="1:187" ht="11.25" customHeight="1">
      <c r="A9030" s="1" t="s">
        <v>12671</v>
      </c>
      <c r="B9030" s="1" t="str">
        <f ca="1">IFERROR(__xludf.DUMMYFUNCTION("GOOGLETRANSLATE(A9030, ""en"", ""fr"")"),"SCANDALE")</f>
        <v>SCANDALE</v>
      </c>
      <c r="C9030" s="1" t="s">
        <v>185</v>
      </c>
      <c r="E9030" s="1" t="s">
        <v>16613</v>
      </c>
      <c r="BC9030" s="1" t="s">
        <v>51</v>
      </c>
      <c r="EE9030" s="1" t="s">
        <v>131</v>
      </c>
      <c r="EJ9030" s="1" t="s">
        <v>136</v>
      </c>
      <c r="GD9030" s="1" t="s">
        <v>193</v>
      </c>
      <c r="GE9030" s="1" t="s">
        <v>190</v>
      </c>
    </row>
    <row r="9031" spans="1:187" ht="11.25" customHeight="1">
      <c r="A9031" s="1" t="s">
        <v>12672</v>
      </c>
      <c r="B9031" s="1" t="str">
        <f ca="1">IFERROR(__xludf.DUMMYFUNCTION("GOOGLETRANSLATE(A9031, ""en"", ""fr"")"),"SCANDALEUX")</f>
        <v>SCANDALEUX</v>
      </c>
      <c r="C9031" s="1" t="s">
        <v>185</v>
      </c>
      <c r="E9031" s="1" t="s">
        <v>16613</v>
      </c>
      <c r="I9031" s="1" t="s">
        <v>5</v>
      </c>
      <c r="DR9031" s="1" t="s">
        <v>118</v>
      </c>
      <c r="EE9031" s="1" t="s">
        <v>131</v>
      </c>
      <c r="EJ9031" s="1" t="s">
        <v>136</v>
      </c>
      <c r="GD9031" s="1" t="s">
        <v>202</v>
      </c>
      <c r="GE9031" s="1" t="s">
        <v>190</v>
      </c>
    </row>
    <row r="9032" spans="1:187" ht="11.25" customHeight="1">
      <c r="A9032" s="1" t="s">
        <v>12673</v>
      </c>
      <c r="B9032" s="1" t="str">
        <f ca="1">IFERROR(__xludf.DUMMYFUNCTION("GOOGLETRANSLATE(A9032, ""en"", ""fr"")"),"Rafraîchissant")</f>
        <v>Rafraîchissant</v>
      </c>
      <c r="C9032" s="1" t="s">
        <v>185</v>
      </c>
      <c r="L9032" s="1" t="s">
        <v>8</v>
      </c>
      <c r="X9032" s="1" t="s">
        <v>20</v>
      </c>
      <c r="CS9032" s="1" t="s">
        <v>93</v>
      </c>
      <c r="GD9032" s="1" t="s">
        <v>202</v>
      </c>
      <c r="GE9032" s="1" t="s">
        <v>190</v>
      </c>
    </row>
    <row r="9033" spans="1:187" ht="11.25" customHeight="1">
      <c r="A9033" s="1" t="s">
        <v>12674</v>
      </c>
      <c r="B9033" s="1" t="str">
        <f ca="1">IFERROR(__xludf.DUMMYFUNCTION("GOOGLETRANSLATE(A9033, ""en"", ""fr"")"),"BOUC ÉMISSAIRE")</f>
        <v>BOUC ÉMISSAIRE</v>
      </c>
      <c r="C9033" s="1" t="s">
        <v>185</v>
      </c>
      <c r="E9033" s="1" t="s">
        <v>16613</v>
      </c>
      <c r="L9033" s="1" t="s">
        <v>8</v>
      </c>
      <c r="AT9033" s="1" t="s">
        <v>42</v>
      </c>
      <c r="FW9033" s="1" t="s">
        <v>175</v>
      </c>
      <c r="GD9033" s="1" t="s">
        <v>193</v>
      </c>
      <c r="GE9033" s="1" t="s">
        <v>190</v>
      </c>
    </row>
    <row r="9034" spans="1:187" ht="11.25" customHeight="1">
      <c r="A9034" s="1" t="s">
        <v>12675</v>
      </c>
      <c r="B9034" s="1" t="str">
        <f ca="1">IFERROR(__xludf.DUMMYFUNCTION("GOOGLETRANSLATE(A9034, ""en"", ""fr"")"),"CICATRICE")</f>
        <v>CICATRICE</v>
      </c>
      <c r="C9034" s="1" t="s">
        <v>185</v>
      </c>
      <c r="E9034" s="1" t="s">
        <v>16613</v>
      </c>
      <c r="H9034" s="1" t="s">
        <v>4</v>
      </c>
      <c r="L9034" s="1" t="s">
        <v>8</v>
      </c>
      <c r="O9034" s="1" t="s">
        <v>11</v>
      </c>
      <c r="BJ9034" s="1" t="s">
        <v>58</v>
      </c>
      <c r="GD9034" s="1" t="s">
        <v>193</v>
      </c>
      <c r="GE9034" s="1" t="s">
        <v>190</v>
      </c>
    </row>
    <row r="9035" spans="1:187" ht="11.25" customHeight="1">
      <c r="A9035" s="1" t="s">
        <v>12676</v>
      </c>
      <c r="B9035" s="1" t="str">
        <f ca="1">IFERROR(__xludf.DUMMYFUNCTION("GOOGLETRANSLATE(A9035, ""en"", ""fr"")"),"RARE")</f>
        <v>RARE</v>
      </c>
      <c r="C9035" s="1" t="s">
        <v>185</v>
      </c>
      <c r="L9035" s="1" t="s">
        <v>8</v>
      </c>
      <c r="X9035" s="1" t="s">
        <v>20</v>
      </c>
      <c r="CS9035" s="1" t="s">
        <v>93</v>
      </c>
      <c r="EV9035" s="1" t="s">
        <v>148</v>
      </c>
      <c r="EW9035" s="1" t="s">
        <v>149</v>
      </c>
      <c r="GD9035" s="1" t="s">
        <v>202</v>
      </c>
      <c r="GE9035" s="1" t="s">
        <v>190</v>
      </c>
    </row>
    <row r="9036" spans="1:187" ht="11.25" customHeight="1">
      <c r="A9036" s="1" t="s">
        <v>12677</v>
      </c>
      <c r="B9036" s="1" t="str">
        <f ca="1">IFERROR(__xludf.DUMMYFUNCTION("GOOGLETRANSLATE(A9036, ""en"", ""fr"")"),"À PEINE")</f>
        <v>À PEINE</v>
      </c>
      <c r="C9036" s="1" t="s">
        <v>185</v>
      </c>
      <c r="L9036" s="1" t="s">
        <v>8</v>
      </c>
      <c r="X9036" s="1" t="s">
        <v>20</v>
      </c>
      <c r="CS9036" s="1" t="s">
        <v>93</v>
      </c>
      <c r="GD9036" s="1" t="s">
        <v>236</v>
      </c>
      <c r="GE9036" s="1" t="s">
        <v>190</v>
      </c>
    </row>
    <row r="9037" spans="1:187" ht="11.25" customHeight="1">
      <c r="A9037" s="1" t="s">
        <v>12678</v>
      </c>
      <c r="B9037" s="1" t="str">
        <f ca="1">IFERROR(__xludf.DUMMYFUNCTION("GOOGLETRANSLATE(A9037, ""en"", ""fr"")"),"RARETÉ")</f>
        <v>RARETÉ</v>
      </c>
      <c r="C9037" s="1" t="s">
        <v>185</v>
      </c>
      <c r="E9037" s="1" t="s">
        <v>16613</v>
      </c>
      <c r="BN9037" s="1" t="s">
        <v>62</v>
      </c>
      <c r="BY9037" s="1" t="s">
        <v>73</v>
      </c>
      <c r="EV9037" s="1" t="s">
        <v>148</v>
      </c>
      <c r="EW9037" s="1" t="s">
        <v>149</v>
      </c>
      <c r="GD9037" s="1" t="s">
        <v>193</v>
      </c>
      <c r="GE9037" s="1" t="s">
        <v>190</v>
      </c>
    </row>
    <row r="9038" spans="1:187" ht="11.25" customHeight="1">
      <c r="A9038" s="1" t="s">
        <v>12679</v>
      </c>
      <c r="B9038" s="1" t="str">
        <f ca="1">IFERROR(__xludf.DUMMYFUNCTION("GOOGLETRANSLATE(A9038, ""en"", ""fr"")"),"Effrayer n ° 1")</f>
        <v>Effrayer n ° 1</v>
      </c>
      <c r="C9038" s="1" t="s">
        <v>185</v>
      </c>
      <c r="E9038" s="1" t="s">
        <v>16613</v>
      </c>
      <c r="H9038" s="1" t="s">
        <v>4</v>
      </c>
      <c r="I9038" s="1" t="s">
        <v>5</v>
      </c>
      <c r="J9038" s="1" t="s">
        <v>6</v>
      </c>
      <c r="N9038" s="1" t="s">
        <v>10</v>
      </c>
      <c r="AN9038" s="1" t="s">
        <v>36</v>
      </c>
      <c r="DN9038" s="1" t="s">
        <v>114</v>
      </c>
      <c r="EY9038" s="1" t="s">
        <v>151</v>
      </c>
      <c r="FC9038" s="1" t="s">
        <v>155</v>
      </c>
      <c r="GD9038" s="1" t="s">
        <v>189</v>
      </c>
      <c r="GE9038" s="1" t="s">
        <v>12680</v>
      </c>
    </row>
    <row r="9039" spans="1:187" ht="11.25" customHeight="1">
      <c r="A9039" s="1" t="s">
        <v>12681</v>
      </c>
      <c r="B9039" s="1" t="str">
        <f ca="1">IFERROR(__xludf.DUMMYFUNCTION("GOOGLETRANSLATE(A9039, ""en"", ""fr"")"),"Effrayer n ° 2")</f>
        <v>Effrayer n ° 2</v>
      </c>
      <c r="C9039" s="1" t="s">
        <v>185</v>
      </c>
      <c r="E9039" s="1" t="s">
        <v>16613</v>
      </c>
      <c r="H9039" s="1" t="s">
        <v>4</v>
      </c>
      <c r="L9039" s="1" t="s">
        <v>8</v>
      </c>
      <c r="M9039" s="1" t="s">
        <v>9</v>
      </c>
      <c r="O9039" s="1" t="s">
        <v>11</v>
      </c>
      <c r="Q9039" s="1" t="s">
        <v>13</v>
      </c>
      <c r="T9039" s="1" t="s">
        <v>16</v>
      </c>
      <c r="FA9039" s="1" t="s">
        <v>153</v>
      </c>
      <c r="FC9039" s="1" t="s">
        <v>155</v>
      </c>
      <c r="GD9039" s="1" t="s">
        <v>193</v>
      </c>
      <c r="GE9039" s="1" t="s">
        <v>12682</v>
      </c>
    </row>
    <row r="9040" spans="1:187" ht="11.25" customHeight="1">
      <c r="A9040" s="1" t="s">
        <v>12683</v>
      </c>
      <c r="B9040" s="1" t="str">
        <f ca="1">IFERROR(__xludf.DUMMYFUNCTION("GOOGLETRANSLATE(A9040, ""en"", ""fr"")"),"Effrayer # 3")</f>
        <v>Effrayer # 3</v>
      </c>
      <c r="C9040" s="1" t="s">
        <v>185</v>
      </c>
      <c r="N9040" s="1" t="s">
        <v>10</v>
      </c>
      <c r="CD9040" s="1" t="s">
        <v>78</v>
      </c>
      <c r="DN9040" s="1" t="s">
        <v>114</v>
      </c>
      <c r="FW9040" s="1" t="s">
        <v>175</v>
      </c>
      <c r="GD9040" s="1" t="s">
        <v>189</v>
      </c>
      <c r="GE9040" s="1" t="s">
        <v>12684</v>
      </c>
    </row>
    <row r="9041" spans="1:187" ht="11.25" customHeight="1">
      <c r="A9041" s="1" t="s">
        <v>12685</v>
      </c>
      <c r="B9041" s="1" t="str">
        <f ca="1">IFERROR(__xludf.DUMMYFUNCTION("GOOGLETRANSLATE(A9041, ""en"", ""fr"")"),"Effrayé # 1")</f>
        <v>Effrayé # 1</v>
      </c>
      <c r="C9041" s="1" t="s">
        <v>185</v>
      </c>
      <c r="E9041" s="1" t="s">
        <v>16613</v>
      </c>
      <c r="H9041" s="1" t="s">
        <v>4</v>
      </c>
      <c r="L9041" s="1" t="s">
        <v>8</v>
      </c>
      <c r="M9041" s="1" t="s">
        <v>9</v>
      </c>
      <c r="O9041" s="1" t="s">
        <v>11</v>
      </c>
      <c r="Q9041" s="1" t="s">
        <v>13</v>
      </c>
      <c r="T9041" s="1" t="s">
        <v>16</v>
      </c>
      <c r="FW9041" s="1" t="s">
        <v>175</v>
      </c>
      <c r="GD9041" s="1" t="s">
        <v>421</v>
      </c>
      <c r="GE9041" s="1" t="s">
        <v>12686</v>
      </c>
    </row>
    <row r="9042" spans="1:187" ht="11.25" customHeight="1">
      <c r="A9042" s="1" t="s">
        <v>12687</v>
      </c>
      <c r="B9042" s="1" t="str">
        <f ca="1">IFERROR(__xludf.DUMMYFUNCTION("GOOGLETRANSLATE(A9042, ""en"", ""fr"")"),"Effrayé # 2")</f>
        <v>Effrayé # 2</v>
      </c>
      <c r="C9042" s="1" t="s">
        <v>185</v>
      </c>
      <c r="E9042" s="1" t="s">
        <v>16613</v>
      </c>
      <c r="H9042" s="1" t="s">
        <v>4</v>
      </c>
      <c r="I9042" s="1" t="s">
        <v>5</v>
      </c>
      <c r="J9042" s="1" t="s">
        <v>6</v>
      </c>
      <c r="AN9042" s="1" t="s">
        <v>36</v>
      </c>
      <c r="DN9042" s="1" t="s">
        <v>114</v>
      </c>
      <c r="FW9042" s="1" t="s">
        <v>175</v>
      </c>
      <c r="GD9042" s="1" t="s">
        <v>1076</v>
      </c>
      <c r="GE9042" s="1" t="s">
        <v>12688</v>
      </c>
    </row>
    <row r="9043" spans="1:187" ht="11.25" customHeight="1">
      <c r="A9043" s="1" t="s">
        <v>12689</v>
      </c>
      <c r="B9043" s="1" t="str">
        <f ca="1">IFERROR(__xludf.DUMMYFUNCTION("GOOGLETRANSLATE(A9043, ""en"", ""fr"")"),"EFFRAYANT")</f>
        <v>EFFRAYANT</v>
      </c>
      <c r="C9043" s="1" t="s">
        <v>192</v>
      </c>
      <c r="E9043" s="1" t="s">
        <v>16613</v>
      </c>
      <c r="Q9043" s="1" t="s">
        <v>13</v>
      </c>
      <c r="T9043" s="1" t="s">
        <v>16</v>
      </c>
      <c r="DR9043" s="1" t="s">
        <v>118</v>
      </c>
      <c r="GD9043" s="1" t="s">
        <v>202</v>
      </c>
      <c r="GE9043" s="1" t="s">
        <v>190</v>
      </c>
    </row>
    <row r="9044" spans="1:187" ht="11.25" customHeight="1">
      <c r="A9044" s="1" t="s">
        <v>12690</v>
      </c>
      <c r="B9044" s="1" t="str">
        <f ca="1">IFERROR(__xludf.DUMMYFUNCTION("GOOGLETRANSLATE(A9044, ""en"", ""fr"")"),"DISPERSION")</f>
        <v>DISPERSION</v>
      </c>
      <c r="C9044" s="1" t="s">
        <v>185</v>
      </c>
      <c r="J9044" s="1" t="s">
        <v>6</v>
      </c>
      <c r="N9044" s="1" t="s">
        <v>10</v>
      </c>
      <c r="CC9044" s="1" t="s">
        <v>77</v>
      </c>
      <c r="DN9044" s="1" t="s">
        <v>114</v>
      </c>
      <c r="GD9044" s="1" t="s">
        <v>189</v>
      </c>
      <c r="GE9044" s="1" t="s">
        <v>190</v>
      </c>
    </row>
    <row r="9045" spans="1:187" ht="11.25" customHeight="1">
      <c r="A9045" s="1" t="s">
        <v>12691</v>
      </c>
      <c r="B9045" s="1" t="str">
        <f ca="1">IFERROR(__xludf.DUMMYFUNCTION("GOOGLETRANSLATE(A9045, ""en"", ""fr"")"),"SCÈNE")</f>
        <v>SCÈNE</v>
      </c>
      <c r="C9045" s="1" t="s">
        <v>185</v>
      </c>
      <c r="AV9045" s="1" t="s">
        <v>44</v>
      </c>
      <c r="BA9045" s="1" t="s">
        <v>49</v>
      </c>
      <c r="GD9045" s="1" t="s">
        <v>193</v>
      </c>
      <c r="GE9045" s="1" t="s">
        <v>12692</v>
      </c>
    </row>
    <row r="9046" spans="1:187" ht="11.25" customHeight="1">
      <c r="A9046" s="1" t="s">
        <v>12693</v>
      </c>
      <c r="B9046" s="1" t="str">
        <f ca="1">IFERROR(__xludf.DUMMYFUNCTION("GOOGLETRANSLATE(A9046, ""en"", ""fr"")"),"PAYSAGE")</f>
        <v>PAYSAGE</v>
      </c>
      <c r="C9046" s="1" t="s">
        <v>185</v>
      </c>
      <c r="AV9046" s="1" t="s">
        <v>44</v>
      </c>
      <c r="BA9046" s="1" t="s">
        <v>49</v>
      </c>
      <c r="GD9046" s="1" t="s">
        <v>193</v>
      </c>
      <c r="GE9046" s="1" t="s">
        <v>190</v>
      </c>
    </row>
    <row r="9047" spans="1:187" ht="11.25" customHeight="1">
      <c r="A9047" s="1" t="s">
        <v>12694</v>
      </c>
      <c r="B9047" s="1" t="str">
        <f ca="1">IFERROR(__xludf.DUMMYFUNCTION("GOOGLETRANSLATE(A9047, ""en"", ""fr"")"),"Sceptique n ° 1")</f>
        <v>Sceptique n ° 1</v>
      </c>
      <c r="C9047" s="1" t="s">
        <v>192</v>
      </c>
      <c r="GE9047" s="1" t="s">
        <v>190</v>
      </c>
    </row>
    <row r="9048" spans="1:187" ht="11.25" customHeight="1">
      <c r="A9048" s="1" t="s">
        <v>12695</v>
      </c>
      <c r="B9048" s="1" t="str">
        <f ca="1">IFERROR(__xludf.DUMMYFUNCTION("GOOGLETRANSLATE(A9048, ""en"", ""fr"")"),"Annexe n ° 1")</f>
        <v>Annexe n ° 1</v>
      </c>
      <c r="C9048" s="1" t="s">
        <v>185</v>
      </c>
      <c r="BQ9048" s="1" t="s">
        <v>65</v>
      </c>
      <c r="GB9048" s="1" t="s">
        <v>180</v>
      </c>
      <c r="GD9048" s="1" t="s">
        <v>193</v>
      </c>
      <c r="GE9048" s="1" t="s">
        <v>190</v>
      </c>
    </row>
    <row r="9049" spans="1:187" ht="11.25" customHeight="1">
      <c r="A9049" s="1" t="s">
        <v>12696</v>
      </c>
      <c r="B9049" s="1" t="str">
        <f ca="1">IFERROR(__xludf.DUMMYFUNCTION("GOOGLETRANSLATE(A9049, ""en"", ""fr"")"),"Annexe n ° 2")</f>
        <v>Annexe n ° 2</v>
      </c>
      <c r="C9049" s="1" t="s">
        <v>185</v>
      </c>
      <c r="N9049" s="1" t="s">
        <v>10</v>
      </c>
      <c r="CO9049" s="1" t="s">
        <v>89</v>
      </c>
      <c r="DN9049" s="1" t="s">
        <v>114</v>
      </c>
      <c r="GB9049" s="1" t="s">
        <v>180</v>
      </c>
      <c r="GD9049" s="1" t="s">
        <v>189</v>
      </c>
      <c r="GE9049" s="1" t="s">
        <v>190</v>
      </c>
    </row>
    <row r="9050" spans="1:187" ht="11.25" customHeight="1">
      <c r="A9050" s="1" t="s">
        <v>12697</v>
      </c>
      <c r="B9050" s="1" t="str">
        <f ca="1">IFERROR(__xludf.DUMMYFUNCTION("GOOGLETRANSLATE(A9050, ""en"", ""fr"")"),"Schématiquement")</f>
        <v>Schématiquement</v>
      </c>
      <c r="C9050" s="1" t="s">
        <v>185</v>
      </c>
      <c r="CH9050" s="1" t="s">
        <v>82</v>
      </c>
      <c r="GD9050" s="1" t="s">
        <v>202</v>
      </c>
      <c r="GE9050" s="1" t="s">
        <v>190</v>
      </c>
    </row>
    <row r="9051" spans="1:187" ht="11.25" customHeight="1">
      <c r="A9051" s="1" t="s">
        <v>12698</v>
      </c>
      <c r="B9051" s="1" t="str">
        <f ca="1">IFERROR(__xludf.DUMMYFUNCTION("GOOGLETRANSLATE(A9051, ""en"", ""fr"")"),"Schéma n ° 1")</f>
        <v>Schéma n ° 1</v>
      </c>
      <c r="C9051" s="1" t="s">
        <v>185</v>
      </c>
      <c r="E9051" s="1" t="s">
        <v>16613</v>
      </c>
      <c r="H9051" s="1" t="s">
        <v>4</v>
      </c>
      <c r="BQ9051" s="1" t="s">
        <v>65</v>
      </c>
      <c r="FR9051" s="1" t="s">
        <v>170</v>
      </c>
      <c r="GD9051" s="1" t="s">
        <v>193</v>
      </c>
      <c r="GE9051" s="1" t="s">
        <v>190</v>
      </c>
    </row>
    <row r="9052" spans="1:187" ht="11.25" customHeight="1">
      <c r="A9052" s="1" t="s">
        <v>12699</v>
      </c>
      <c r="B9052" s="1" t="str">
        <f ca="1">IFERROR(__xludf.DUMMYFUNCTION("GOOGLETRANSLATE(A9052, ""en"", ""fr"")"),"Schéma n ° 2")</f>
        <v>Schéma n ° 2</v>
      </c>
      <c r="C9052" s="1" t="s">
        <v>185</v>
      </c>
      <c r="E9052" s="1" t="s">
        <v>16613</v>
      </c>
      <c r="H9052" s="1" t="s">
        <v>4</v>
      </c>
      <c r="CO9052" s="1" t="s">
        <v>89</v>
      </c>
      <c r="DN9052" s="1" t="s">
        <v>114</v>
      </c>
      <c r="FR9052" s="1" t="s">
        <v>170</v>
      </c>
      <c r="GD9052" s="1" t="s">
        <v>189</v>
      </c>
      <c r="GE9052" s="1" t="s">
        <v>190</v>
      </c>
    </row>
    <row r="9053" spans="1:187" ht="11.25" customHeight="1">
      <c r="A9053" s="1" t="s">
        <v>12700</v>
      </c>
      <c r="B9053" s="1" t="str">
        <f ca="1">IFERROR(__xludf.DUMMYFUNCTION("GOOGLETRANSLATE(A9053, ""en"", ""fr"")"),"SAVANT")</f>
        <v>SAVANT</v>
      </c>
      <c r="C9053" s="1" t="s">
        <v>185</v>
      </c>
      <c r="Y9053" s="1" t="s">
        <v>21</v>
      </c>
      <c r="AJ9053" s="1" t="s">
        <v>32</v>
      </c>
      <c r="AT9053" s="1" t="s">
        <v>42</v>
      </c>
      <c r="FG9053" s="1" t="s">
        <v>159</v>
      </c>
      <c r="FI9053" s="1" t="s">
        <v>161</v>
      </c>
      <c r="GD9053" s="1" t="s">
        <v>193</v>
      </c>
      <c r="GE9053" s="1" t="s">
        <v>190</v>
      </c>
    </row>
    <row r="9054" spans="1:187" ht="11.25" customHeight="1">
      <c r="A9054" s="1" t="s">
        <v>12701</v>
      </c>
      <c r="B9054" s="1" t="str">
        <f ca="1">IFERROR(__xludf.DUMMYFUNCTION("GOOGLETRANSLATE(A9054, ""en"", ""fr"")"),"BOURSE")</f>
        <v>BOURSE</v>
      </c>
      <c r="C9054" s="1" t="s">
        <v>185</v>
      </c>
      <c r="Y9054" s="1" t="s">
        <v>21</v>
      </c>
      <c r="Z9054" s="1" t="s">
        <v>22</v>
      </c>
      <c r="AC9054" s="1" t="s">
        <v>25</v>
      </c>
      <c r="FH9054" s="1" t="s">
        <v>160</v>
      </c>
      <c r="FI9054" s="1" t="s">
        <v>161</v>
      </c>
      <c r="GD9054" s="1" t="s">
        <v>193</v>
      </c>
      <c r="GE9054" s="1" t="s">
        <v>190</v>
      </c>
    </row>
    <row r="9055" spans="1:187" ht="11.25" customHeight="1">
      <c r="A9055" s="1" t="s">
        <v>12702</v>
      </c>
      <c r="B9055" s="1" t="str">
        <f ca="1">IFERROR(__xludf.DUMMYFUNCTION("GOOGLETRANSLATE(A9055, ""en"", ""fr"")"),"SCOLAIRE")</f>
        <v>SCOLAIRE</v>
      </c>
      <c r="C9055" s="1" t="s">
        <v>185</v>
      </c>
      <c r="Y9055" s="1" t="s">
        <v>21</v>
      </c>
      <c r="Z9055" s="1" t="s">
        <v>22</v>
      </c>
      <c r="FH9055" s="1" t="s">
        <v>160</v>
      </c>
      <c r="FI9055" s="1" t="s">
        <v>161</v>
      </c>
      <c r="GD9055" s="1" t="s">
        <v>202</v>
      </c>
      <c r="GE9055" s="1" t="s">
        <v>190</v>
      </c>
    </row>
    <row r="9056" spans="1:187" ht="11.25" customHeight="1">
      <c r="A9056" s="1" t="s">
        <v>12703</v>
      </c>
      <c r="B9056" s="1" t="str">
        <f ca="1">IFERROR(__xludf.DUMMYFUNCTION("GOOGLETRANSLATE(A9056, ""en"", ""fr"")"),"École n ° 1")</f>
        <v>École n ° 1</v>
      </c>
      <c r="C9056" s="1" t="s">
        <v>185</v>
      </c>
      <c r="Y9056" s="1" t="s">
        <v>21</v>
      </c>
      <c r="AV9056" s="1" t="s">
        <v>44</v>
      </c>
      <c r="AW9056" s="1" t="s">
        <v>45</v>
      </c>
      <c r="FH9056" s="1" t="s">
        <v>160</v>
      </c>
      <c r="FI9056" s="1" t="s">
        <v>161</v>
      </c>
      <c r="GD9056" s="1" t="s">
        <v>849</v>
      </c>
      <c r="GE9056" s="1" t="s">
        <v>12704</v>
      </c>
    </row>
    <row r="9057" spans="1:187" ht="11.25" customHeight="1">
      <c r="A9057" s="1" t="s">
        <v>12705</v>
      </c>
      <c r="B9057" s="1" t="str">
        <f ca="1">IFERROR(__xludf.DUMMYFUNCTION("GOOGLETRANSLATE(A9057, ""en"", ""fr"")"),"École n ° 2")</f>
        <v>École n ° 2</v>
      </c>
      <c r="C9057" s="1" t="s">
        <v>185</v>
      </c>
      <c r="K9057" s="1" t="s">
        <v>7</v>
      </c>
      <c r="N9057" s="1" t="s">
        <v>10</v>
      </c>
      <c r="Y9057" s="1" t="s">
        <v>21</v>
      </c>
      <c r="BK9057" s="1" t="s">
        <v>59</v>
      </c>
      <c r="DN9057" s="1" t="s">
        <v>114</v>
      </c>
      <c r="FD9057" s="1" t="s">
        <v>156</v>
      </c>
      <c r="FI9057" s="1" t="s">
        <v>161</v>
      </c>
      <c r="GD9057" s="1" t="s">
        <v>189</v>
      </c>
      <c r="GE9057" s="1" t="s">
        <v>12706</v>
      </c>
    </row>
    <row r="9058" spans="1:187" ht="11.25" customHeight="1">
      <c r="A9058" s="1" t="s">
        <v>12707</v>
      </c>
      <c r="B9058" s="1" t="str">
        <f ca="1">IFERROR(__xludf.DUMMYFUNCTION("GOOGLETRANSLATE(A9058, ""en"", ""fr"")"),"École n ° 3")</f>
        <v>École n ° 3</v>
      </c>
      <c r="C9058" s="1" t="s">
        <v>185</v>
      </c>
      <c r="Y9058" s="1" t="s">
        <v>21</v>
      </c>
      <c r="AL9058" s="1" t="s">
        <v>34</v>
      </c>
      <c r="BL9058" s="1" t="s">
        <v>60</v>
      </c>
      <c r="FH9058" s="1" t="s">
        <v>160</v>
      </c>
      <c r="FI9058" s="1" t="s">
        <v>161</v>
      </c>
      <c r="GC9058" s="1" t="s">
        <v>181</v>
      </c>
      <c r="GD9058" s="1" t="s">
        <v>193</v>
      </c>
      <c r="GE9058" s="1" t="s">
        <v>12708</v>
      </c>
    </row>
    <row r="9059" spans="1:187" ht="11.25" customHeight="1">
      <c r="A9059" s="1" t="s">
        <v>12709</v>
      </c>
      <c r="B9059" s="1" t="str">
        <f ca="1">IFERROR(__xludf.DUMMYFUNCTION("GOOGLETRANSLATE(A9059, ""en"", ""fr"")"),"École n ° 4")</f>
        <v>École n ° 4</v>
      </c>
      <c r="C9059" s="1" t="s">
        <v>185</v>
      </c>
      <c r="GD9059" s="1" t="s">
        <v>225</v>
      </c>
      <c r="GE9059" s="1" t="s">
        <v>12710</v>
      </c>
    </row>
    <row r="9060" spans="1:187" ht="11.25" customHeight="1">
      <c r="A9060" s="1" t="s">
        <v>12711</v>
      </c>
      <c r="B9060" s="1" t="str">
        <f ca="1">IFERROR(__xludf.DUMMYFUNCTION("GOOGLETRANSLATE(A9060, ""en"", ""fr"")"),"SALLE DE CLASSE")</f>
        <v>SALLE DE CLASSE</v>
      </c>
      <c r="C9060" s="1" t="s">
        <v>185</v>
      </c>
      <c r="Y9060" s="1" t="s">
        <v>21</v>
      </c>
      <c r="BC9060" s="1" t="s">
        <v>51</v>
      </c>
      <c r="BG9060" s="1" t="s">
        <v>55</v>
      </c>
      <c r="FH9060" s="1" t="s">
        <v>160</v>
      </c>
      <c r="FI9060" s="1" t="s">
        <v>161</v>
      </c>
      <c r="GD9060" s="1" t="s">
        <v>193</v>
      </c>
      <c r="GE9060" s="1" t="s">
        <v>190</v>
      </c>
    </row>
    <row r="9061" spans="1:187" ht="11.25" customHeight="1">
      <c r="A9061" s="1" t="s">
        <v>12712</v>
      </c>
      <c r="B9061" s="1" t="str">
        <f ca="1">IFERROR(__xludf.DUMMYFUNCTION("GOOGLETRANSLATE(A9061, ""en"", ""fr"")"),"Science # 1")</f>
        <v>Science # 1</v>
      </c>
      <c r="C9061" s="1" t="s">
        <v>185</v>
      </c>
      <c r="Y9061" s="1" t="s">
        <v>21</v>
      </c>
      <c r="Z9061" s="1" t="s">
        <v>22</v>
      </c>
      <c r="AC9061" s="1" t="s">
        <v>25</v>
      </c>
      <c r="AH9061" s="1" t="s">
        <v>30</v>
      </c>
      <c r="CP9061" s="1" t="s">
        <v>90</v>
      </c>
      <c r="CQ9061" s="1" t="s">
        <v>91</v>
      </c>
      <c r="FG9061" s="1" t="s">
        <v>159</v>
      </c>
      <c r="FI9061" s="1" t="s">
        <v>161</v>
      </c>
      <c r="GD9061" s="1" t="s">
        <v>849</v>
      </c>
      <c r="GE9061" s="1" t="s">
        <v>12713</v>
      </c>
    </row>
    <row r="9062" spans="1:187" ht="11.25" customHeight="1">
      <c r="A9062" s="1" t="s">
        <v>12714</v>
      </c>
      <c r="B9062" s="1" t="str">
        <f ca="1">IFERROR(__xludf.DUMMYFUNCTION("GOOGLETRANSLATE(A9062, ""en"", ""fr"")"),"Science # 2")</f>
        <v>Science # 2</v>
      </c>
      <c r="C9062" s="1" t="s">
        <v>185</v>
      </c>
      <c r="AD9062" s="1" t="s">
        <v>26</v>
      </c>
      <c r="BK9062" s="1" t="s">
        <v>59</v>
      </c>
      <c r="BL9062" s="1" t="s">
        <v>60</v>
      </c>
      <c r="FH9062" s="1" t="s">
        <v>160</v>
      </c>
      <c r="FI9062" s="1" t="s">
        <v>161</v>
      </c>
      <c r="GC9062" s="1" t="s">
        <v>181</v>
      </c>
      <c r="GD9062" s="1" t="s">
        <v>193</v>
      </c>
      <c r="GE9062" s="1" t="s">
        <v>12715</v>
      </c>
    </row>
    <row r="9063" spans="1:187" ht="11.25" customHeight="1">
      <c r="A9063" s="1" t="s">
        <v>12716</v>
      </c>
      <c r="B9063" s="1" t="str">
        <f ca="1">IFERROR(__xludf.DUMMYFUNCTION("GOOGLETRANSLATE(A9063, ""en"", ""fr"")"),"SCIENTIFIQUE")</f>
        <v>SCIENTIFIQUE</v>
      </c>
      <c r="C9063" s="1" t="s">
        <v>185</v>
      </c>
      <c r="Y9063" s="1" t="s">
        <v>21</v>
      </c>
      <c r="Z9063" s="1" t="s">
        <v>22</v>
      </c>
      <c r="FH9063" s="1" t="s">
        <v>160</v>
      </c>
      <c r="FI9063" s="1" t="s">
        <v>161</v>
      </c>
      <c r="GD9063" s="1" t="s">
        <v>202</v>
      </c>
      <c r="GE9063" s="1" t="s">
        <v>190</v>
      </c>
    </row>
    <row r="9064" spans="1:187" ht="11.25" customHeight="1">
      <c r="A9064" s="1" t="s">
        <v>12717</v>
      </c>
      <c r="B9064" s="1" t="str">
        <f ca="1">IFERROR(__xludf.DUMMYFUNCTION("GOOGLETRANSLATE(A9064, ""en"", ""fr"")"),"SCIENTIFIQUE")</f>
        <v>SCIENTIFIQUE</v>
      </c>
      <c r="C9064" s="1" t="s">
        <v>185</v>
      </c>
      <c r="Y9064" s="1" t="s">
        <v>21</v>
      </c>
      <c r="AJ9064" s="1" t="s">
        <v>32</v>
      </c>
      <c r="AT9064" s="1" t="s">
        <v>42</v>
      </c>
      <c r="FG9064" s="1" t="s">
        <v>159</v>
      </c>
      <c r="FI9064" s="1" t="s">
        <v>161</v>
      </c>
      <c r="GD9064" s="1" t="s">
        <v>193</v>
      </c>
      <c r="GE9064" s="1" t="s">
        <v>190</v>
      </c>
    </row>
    <row r="9065" spans="1:187" ht="11.25" customHeight="1">
      <c r="A9065" s="1" t="s">
        <v>12718</v>
      </c>
      <c r="B9065" s="1" t="str">
        <f ca="1">IFERROR(__xludf.DUMMYFUNCTION("GOOGLETRANSLATE(A9065, ""en"", ""fr"")"),"MOQUERIE")</f>
        <v>MOQUERIE</v>
      </c>
      <c r="C9065" s="1" t="s">
        <v>192</v>
      </c>
      <c r="E9065" s="1" t="s">
        <v>16613</v>
      </c>
      <c r="K9065" s="1" t="s">
        <v>7</v>
      </c>
      <c r="BK9065" s="1" t="s">
        <v>59</v>
      </c>
      <c r="DN9065" s="1" t="s">
        <v>114</v>
      </c>
      <c r="GD9065" s="1" t="s">
        <v>189</v>
      </c>
      <c r="GE9065" s="1" t="s">
        <v>190</v>
      </c>
    </row>
    <row r="9066" spans="1:187" ht="11.25" customHeight="1">
      <c r="A9066" s="1" t="s">
        <v>12719</v>
      </c>
      <c r="B9066" s="1" t="str">
        <f ca="1">IFERROR(__xludf.DUMMYFUNCTION("GOOGLETRANSLATE(A9066, ""en"", ""fr"")"),"Gronder # 1")</f>
        <v>Gronder # 1</v>
      </c>
      <c r="C9066" s="1" t="s">
        <v>185</v>
      </c>
      <c r="E9066" s="1" t="s">
        <v>16613</v>
      </c>
      <c r="H9066" s="1" t="s">
        <v>4</v>
      </c>
      <c r="I9066" s="1" t="s">
        <v>5</v>
      </c>
      <c r="N9066" s="1" t="s">
        <v>10</v>
      </c>
      <c r="BK9066" s="1" t="s">
        <v>59</v>
      </c>
      <c r="DO9066" s="1" t="s">
        <v>115</v>
      </c>
      <c r="EL9066" s="1" t="s">
        <v>138</v>
      </c>
      <c r="EN9066" s="1" t="s">
        <v>140</v>
      </c>
      <c r="GD9066" s="1" t="s">
        <v>400</v>
      </c>
      <c r="GE9066" s="1" t="s">
        <v>12720</v>
      </c>
    </row>
    <row r="9067" spans="1:187" ht="11.25" customHeight="1">
      <c r="A9067" s="1" t="s">
        <v>12721</v>
      </c>
      <c r="B9067" s="1" t="str">
        <f ca="1">IFERROR(__xludf.DUMMYFUNCTION("GOOGLETRANSLATE(A9067, ""en"", ""fr"")"),"Gronder # 2")</f>
        <v>Gronder # 2</v>
      </c>
      <c r="C9067" s="1" t="s">
        <v>185</v>
      </c>
      <c r="E9067" s="1" t="s">
        <v>16613</v>
      </c>
      <c r="H9067" s="1" t="s">
        <v>4</v>
      </c>
      <c r="I9067" s="1" t="s">
        <v>5</v>
      </c>
      <c r="N9067" s="1" t="s">
        <v>10</v>
      </c>
      <c r="BK9067" s="1" t="s">
        <v>59</v>
      </c>
      <c r="BL9067" s="1" t="s">
        <v>60</v>
      </c>
      <c r="EM9067" s="1" t="s">
        <v>139</v>
      </c>
      <c r="EN9067" s="1" t="s">
        <v>140</v>
      </c>
      <c r="GC9067" s="1" t="s">
        <v>181</v>
      </c>
      <c r="GD9067" s="1" t="s">
        <v>193</v>
      </c>
      <c r="GE9067" s="1" t="s">
        <v>12722</v>
      </c>
    </row>
    <row r="9068" spans="1:187" ht="11.25" customHeight="1">
      <c r="A9068" s="1" t="s">
        <v>12723</v>
      </c>
      <c r="B9068" s="1" t="str">
        <f ca="1">IFERROR(__xludf.DUMMYFUNCTION("GOOGLETRANSLATE(A9068, ""en"", ""fr"")"),"PORTÉE")</f>
        <v>PORTÉE</v>
      </c>
      <c r="C9068" s="1" t="s">
        <v>192</v>
      </c>
      <c r="DA9068" s="1" t="s">
        <v>101</v>
      </c>
      <c r="GD9068" s="1" t="s">
        <v>193</v>
      </c>
      <c r="GE9068" s="1" t="s">
        <v>190</v>
      </c>
    </row>
    <row r="9069" spans="1:187" ht="11.25" customHeight="1">
      <c r="A9069" s="1" t="s">
        <v>12724</v>
      </c>
      <c r="B9069" s="1" t="str">
        <f ca="1">IFERROR(__xludf.DUMMYFUNCTION("GOOGLETRANSLATE(A9069, ""en"", ""fr"")"),"BRÛLER")</f>
        <v>BRÛLER</v>
      </c>
      <c r="C9069" s="1" t="s">
        <v>192</v>
      </c>
      <c r="E9069" s="1" t="s">
        <v>16613</v>
      </c>
      <c r="I9069" s="1" t="s">
        <v>5</v>
      </c>
      <c r="N9069" s="1" t="s">
        <v>10</v>
      </c>
      <c r="CC9069" s="1" t="s">
        <v>77</v>
      </c>
      <c r="DN9069" s="1" t="s">
        <v>114</v>
      </c>
      <c r="GD9069" s="1" t="s">
        <v>189</v>
      </c>
      <c r="GE9069" s="1" t="s">
        <v>190</v>
      </c>
    </row>
    <row r="9070" spans="1:187" ht="11.25" customHeight="1">
      <c r="A9070" s="1" t="s">
        <v>12725</v>
      </c>
      <c r="B9070" s="1" t="str">
        <f ca="1">IFERROR(__xludf.DUMMYFUNCTION("GOOGLETRANSLATE(A9070, ""en"", ""fr"")"),"Score n ° 1")</f>
        <v>Score n ° 1</v>
      </c>
      <c r="C9070" s="1" t="s">
        <v>185</v>
      </c>
      <c r="BQ9070" s="1" t="s">
        <v>65</v>
      </c>
      <c r="GD9070" s="1" t="s">
        <v>193</v>
      </c>
      <c r="GE9070" s="1" t="s">
        <v>190</v>
      </c>
    </row>
    <row r="9071" spans="1:187" ht="11.25" customHeight="1">
      <c r="A9071" s="1" t="s">
        <v>12726</v>
      </c>
      <c r="B9071" s="1" t="str">
        <f ca="1">IFERROR(__xludf.DUMMYFUNCTION("GOOGLETRANSLATE(A9071, ""en"", ""fr"")"),"Score n ° 2")</f>
        <v>Score n ° 2</v>
      </c>
      <c r="C9071" s="1" t="s">
        <v>185</v>
      </c>
      <c r="CO9071" s="1" t="s">
        <v>89</v>
      </c>
      <c r="DN9071" s="1" t="s">
        <v>114</v>
      </c>
      <c r="GD9071" s="1" t="s">
        <v>189</v>
      </c>
      <c r="GE9071" s="1" t="s">
        <v>190</v>
      </c>
    </row>
    <row r="9072" spans="1:187" ht="11.25" customHeight="1">
      <c r="A9072" s="1" t="s">
        <v>12727</v>
      </c>
      <c r="B9072" s="1" t="str">
        <f ca="1">IFERROR(__xludf.DUMMYFUNCTION("GOOGLETRANSLATE(A9072, ""en"", ""fr"")"),"MÉPRIS")</f>
        <v>MÉPRIS</v>
      </c>
      <c r="C9072" s="1" t="s">
        <v>185</v>
      </c>
      <c r="E9072" s="1" t="s">
        <v>16613</v>
      </c>
      <c r="I9072" s="1" t="s">
        <v>5</v>
      </c>
      <c r="T9072" s="1" t="s">
        <v>16</v>
      </c>
      <c r="FW9072" s="1" t="s">
        <v>175</v>
      </c>
      <c r="GD9072" s="1" t="s">
        <v>193</v>
      </c>
      <c r="GE9072" s="1" t="s">
        <v>190</v>
      </c>
    </row>
    <row r="9073" spans="1:187" ht="11.25" customHeight="1">
      <c r="A9073" s="1" t="s">
        <v>12728</v>
      </c>
      <c r="B9073" s="1" t="str">
        <f ca="1">IFERROR(__xludf.DUMMYFUNCTION("GOOGLETRANSLATE(A9073, ""en"", ""fr"")"),"MÉPRISANT")</f>
        <v>MÉPRISANT</v>
      </c>
      <c r="C9073" s="1" t="s">
        <v>192</v>
      </c>
      <c r="E9073" s="1" t="s">
        <v>16613</v>
      </c>
      <c r="I9073" s="1" t="s">
        <v>5</v>
      </c>
      <c r="T9073" s="1" t="s">
        <v>16</v>
      </c>
      <c r="DQ9073" s="1" t="s">
        <v>117</v>
      </c>
      <c r="GD9073" s="1" t="s">
        <v>202</v>
      </c>
      <c r="GE9073" s="1" t="s">
        <v>190</v>
      </c>
    </row>
    <row r="9074" spans="1:187" ht="11.25" customHeight="1">
      <c r="A9074" s="1" t="s">
        <v>12729</v>
      </c>
      <c r="B9074" s="1" t="str">
        <f ca="1">IFERROR(__xludf.DUMMYFUNCTION("GOOGLETRANSLATE(A9074, ""en"", ""fr"")"),"ÉCOSSE")</f>
        <v>ÉCOSSE</v>
      </c>
      <c r="C9074" s="1" t="s">
        <v>196</v>
      </c>
      <c r="FU9074" s="1" t="s">
        <v>173</v>
      </c>
      <c r="GD9074" s="1" t="s">
        <v>545</v>
      </c>
    </row>
    <row r="9075" spans="1:187" ht="11.25" customHeight="1">
      <c r="A9075" s="1" t="s">
        <v>12730</v>
      </c>
      <c r="B9075" s="1" t="str">
        <f ca="1">IFERROR(__xludf.DUMMYFUNCTION("GOOGLETRANSLATE(A9075, ""en"", ""fr"")"),"ÉCOSSAIS")</f>
        <v>ÉCOSSAIS</v>
      </c>
      <c r="C9075" s="1" t="s">
        <v>196</v>
      </c>
      <c r="FU9075" s="1" t="s">
        <v>173</v>
      </c>
      <c r="GD9075" s="1" t="s">
        <v>1049</v>
      </c>
    </row>
    <row r="9076" spans="1:187" ht="11.25" customHeight="1">
      <c r="A9076" s="1" t="s">
        <v>12731</v>
      </c>
      <c r="B9076" s="1" t="str">
        <f ca="1">IFERROR(__xludf.DUMMYFUNCTION("GOOGLETRANSLATE(A9076, ""en"", ""fr"")"),"SCÉLÉRAT")</f>
        <v>SCÉLÉRAT</v>
      </c>
      <c r="C9076" s="1" t="s">
        <v>192</v>
      </c>
      <c r="E9076" s="1" t="s">
        <v>16613</v>
      </c>
      <c r="I9076" s="1" t="s">
        <v>5</v>
      </c>
      <c r="V9076" s="1" t="s">
        <v>18</v>
      </c>
      <c r="AT9076" s="1" t="s">
        <v>42</v>
      </c>
      <c r="GD9076" s="1" t="s">
        <v>193</v>
      </c>
      <c r="GE9076" s="1" t="s">
        <v>190</v>
      </c>
    </row>
    <row r="9077" spans="1:187" ht="11.25" customHeight="1">
      <c r="A9077" s="1" t="s">
        <v>12732</v>
      </c>
      <c r="B9077" s="1" t="str">
        <f ca="1">IFERROR(__xludf.DUMMYFUNCTION("GOOGLETRANSLATE(A9077, ""en"", ""fr"")"),"MINE RENFROGNÉE")</f>
        <v>MINE RENFROGNÉE</v>
      </c>
      <c r="C9077" s="1" t="s">
        <v>192</v>
      </c>
      <c r="E9077" s="1" t="s">
        <v>16613</v>
      </c>
      <c r="I9077" s="1" t="s">
        <v>5</v>
      </c>
      <c r="N9077" s="1" t="s">
        <v>10</v>
      </c>
      <c r="BK9077" s="1" t="s">
        <v>59</v>
      </c>
      <c r="DN9077" s="1" t="s">
        <v>114</v>
      </c>
      <c r="GD9077" s="1" t="s">
        <v>189</v>
      </c>
      <c r="GE9077" s="1" t="s">
        <v>190</v>
      </c>
    </row>
    <row r="9078" spans="1:187" ht="11.25" customHeight="1">
      <c r="A9078" s="1" t="s">
        <v>12733</v>
      </c>
      <c r="B9078" s="1" t="str">
        <f ca="1">IFERROR(__xludf.DUMMYFUNCTION("GOOGLETRANSLATE(A9078, ""en"", ""fr"")"),"BROUILLER")</f>
        <v>BROUILLER</v>
      </c>
      <c r="C9078" s="1" t="s">
        <v>185</v>
      </c>
      <c r="L9078" s="1" t="s">
        <v>8</v>
      </c>
      <c r="N9078" s="1" t="s">
        <v>10</v>
      </c>
      <c r="CE9078" s="1" t="s">
        <v>79</v>
      </c>
      <c r="DN9078" s="1" t="s">
        <v>114</v>
      </c>
      <c r="GD9078" s="1" t="s">
        <v>189</v>
      </c>
      <c r="GE9078" s="1" t="s">
        <v>190</v>
      </c>
    </row>
    <row r="9079" spans="1:187" ht="11.25" customHeight="1">
      <c r="A9079" s="1" t="s">
        <v>12734</v>
      </c>
      <c r="B9079" s="1" t="str">
        <f ca="1">IFERROR(__xludf.DUMMYFUNCTION("GOOGLETRANSLATE(A9079, ""en"", ""fr"")"),"RAYER")</f>
        <v>RAYER</v>
      </c>
      <c r="C9079" s="1" t="s">
        <v>192</v>
      </c>
      <c r="E9079" s="1" t="s">
        <v>16613</v>
      </c>
      <c r="N9079" s="1" t="s">
        <v>10</v>
      </c>
      <c r="Q9079" s="1" t="s">
        <v>13</v>
      </c>
      <c r="DN9079" s="1" t="s">
        <v>114</v>
      </c>
      <c r="GD9079" s="1" t="s">
        <v>189</v>
      </c>
      <c r="GE9079" s="1" t="s">
        <v>190</v>
      </c>
    </row>
    <row r="9080" spans="1:187" ht="11.25" customHeight="1">
      <c r="A9080" s="1" t="s">
        <v>12735</v>
      </c>
      <c r="B9080" s="1" t="str">
        <f ca="1">IFERROR(__xludf.DUMMYFUNCTION("GOOGLETRANSLATE(A9080, ""en"", ""fr"")"),"GRATTER")</f>
        <v>GRATTER</v>
      </c>
      <c r="C9080" s="1" t="s">
        <v>185</v>
      </c>
      <c r="L9080" s="1" t="s">
        <v>8</v>
      </c>
      <c r="N9080" s="1" t="s">
        <v>10</v>
      </c>
      <c r="AL9080" s="1" t="s">
        <v>34</v>
      </c>
      <c r="DO9080" s="1" t="s">
        <v>115</v>
      </c>
      <c r="GD9080" s="1" t="s">
        <v>189</v>
      </c>
      <c r="GE9080" s="1" t="s">
        <v>190</v>
      </c>
    </row>
    <row r="9081" spans="1:187" ht="11.25" customHeight="1">
      <c r="A9081" s="1" t="s">
        <v>12736</v>
      </c>
      <c r="B9081" s="1" t="str">
        <f ca="1">IFERROR(__xludf.DUMMYFUNCTION("GOOGLETRANSLATE(A9081, ""en"", ""fr"")"),"GRIFFONNER")</f>
        <v>GRIFFONNER</v>
      </c>
      <c r="C9081" s="1" t="s">
        <v>185</v>
      </c>
      <c r="L9081" s="1" t="s">
        <v>8</v>
      </c>
      <c r="BK9081" s="1" t="s">
        <v>59</v>
      </c>
      <c r="DN9081" s="1" t="s">
        <v>114</v>
      </c>
      <c r="GD9081" s="1" t="s">
        <v>189</v>
      </c>
      <c r="GE9081" s="1" t="s">
        <v>190</v>
      </c>
    </row>
    <row r="9082" spans="1:187" ht="11.25" customHeight="1">
      <c r="A9082" s="1" t="s">
        <v>12737</v>
      </c>
      <c r="B9082" s="1" t="str">
        <f ca="1">IFERROR(__xludf.DUMMYFUNCTION("GOOGLETRANSLATE(A9082, ""en"", ""fr"")"),"Cri # 1")</f>
        <v>Cri # 1</v>
      </c>
      <c r="C9082" s="1" t="s">
        <v>185</v>
      </c>
      <c r="E9082" s="1" t="s">
        <v>16613</v>
      </c>
      <c r="H9082" s="1" t="s">
        <v>4</v>
      </c>
      <c r="BK9082" s="1" t="s">
        <v>59</v>
      </c>
      <c r="BL9082" s="1" t="s">
        <v>60</v>
      </c>
      <c r="FW9082" s="1" t="s">
        <v>175</v>
      </c>
      <c r="GC9082" s="1" t="s">
        <v>181</v>
      </c>
      <c r="GD9082" s="1" t="s">
        <v>193</v>
      </c>
      <c r="GE9082" s="1" t="s">
        <v>12738</v>
      </c>
    </row>
    <row r="9083" spans="1:187" ht="11.25" customHeight="1">
      <c r="A9083" s="1" t="s">
        <v>12739</v>
      </c>
      <c r="B9083" s="1" t="str">
        <f ca="1">IFERROR(__xludf.DUMMYFUNCTION("GOOGLETRANSLATE(A9083, ""en"", ""fr"")"),"Scream # 2")</f>
        <v>Scream # 2</v>
      </c>
      <c r="C9083" s="1" t="s">
        <v>185</v>
      </c>
      <c r="E9083" s="1" t="s">
        <v>16613</v>
      </c>
      <c r="H9083" s="1" t="s">
        <v>4</v>
      </c>
      <c r="BK9083" s="1" t="s">
        <v>59</v>
      </c>
      <c r="DO9083" s="1" t="s">
        <v>115</v>
      </c>
      <c r="EY9083" s="1" t="s">
        <v>151</v>
      </c>
      <c r="FC9083" s="1" t="s">
        <v>155</v>
      </c>
      <c r="GD9083" s="1" t="s">
        <v>400</v>
      </c>
      <c r="GE9083" s="1" t="s">
        <v>12740</v>
      </c>
    </row>
    <row r="9084" spans="1:187" ht="11.25" customHeight="1">
      <c r="A9084" s="1" t="s">
        <v>12741</v>
      </c>
      <c r="B9084" s="1" t="str">
        <f ca="1">IFERROR(__xludf.DUMMYFUNCTION("GOOGLETRANSLATE(A9084, ""en"", ""fr"")"),"Screech # 1")</f>
        <v>Screech # 1</v>
      </c>
      <c r="C9084" s="1" t="s">
        <v>185</v>
      </c>
      <c r="E9084" s="1" t="s">
        <v>16613</v>
      </c>
      <c r="H9084" s="1" t="s">
        <v>4</v>
      </c>
      <c r="BK9084" s="1" t="s">
        <v>59</v>
      </c>
      <c r="BL9084" s="1" t="s">
        <v>60</v>
      </c>
      <c r="GC9084" s="1" t="s">
        <v>181</v>
      </c>
      <c r="GD9084" s="1" t="s">
        <v>193</v>
      </c>
      <c r="GE9084" s="1" t="s">
        <v>190</v>
      </c>
    </row>
    <row r="9085" spans="1:187" ht="11.25" customHeight="1">
      <c r="A9085" s="1" t="s">
        <v>12742</v>
      </c>
      <c r="B9085" s="1" t="str">
        <f ca="1">IFERROR(__xludf.DUMMYFUNCTION("GOOGLETRANSLATE(A9085, ""en"", ""fr"")"),"Screech # 2")</f>
        <v>Screech # 2</v>
      </c>
      <c r="C9085" s="1" t="s">
        <v>185</v>
      </c>
      <c r="E9085" s="1" t="s">
        <v>16613</v>
      </c>
      <c r="H9085" s="1" t="s">
        <v>4</v>
      </c>
      <c r="BK9085" s="1" t="s">
        <v>59</v>
      </c>
      <c r="DO9085" s="1" t="s">
        <v>115</v>
      </c>
      <c r="GD9085" s="1" t="s">
        <v>189</v>
      </c>
      <c r="GE9085" s="1" t="s">
        <v>190</v>
      </c>
    </row>
    <row r="9086" spans="1:187" ht="11.25" customHeight="1">
      <c r="A9086" s="1" t="s">
        <v>12743</v>
      </c>
      <c r="B9086" s="1" t="str">
        <f ca="1">IFERROR(__xludf.DUMMYFUNCTION("GOOGLETRANSLATE(A9086, ""en"", ""fr"")"),"Vis n ° 1")</f>
        <v>Vis n ° 1</v>
      </c>
      <c r="C9086" s="1" t="s">
        <v>185</v>
      </c>
      <c r="BC9086" s="1" t="s">
        <v>51</v>
      </c>
      <c r="BD9086" s="1" t="s">
        <v>52</v>
      </c>
      <c r="GD9086" s="1" t="s">
        <v>193</v>
      </c>
      <c r="GE9086" s="1" t="s">
        <v>190</v>
      </c>
    </row>
    <row r="9087" spans="1:187" ht="11.25" customHeight="1">
      <c r="A9087" s="1" t="s">
        <v>12744</v>
      </c>
      <c r="B9087" s="1" t="str">
        <f ca="1">IFERROR(__xludf.DUMMYFUNCTION("GOOGLETRANSLATE(A9087, ""en"", ""fr"")"),"Vis n ° 2")</f>
        <v>Vis n ° 2</v>
      </c>
      <c r="C9087" s="1" t="s">
        <v>185</v>
      </c>
      <c r="E9087" s="1" t="s">
        <v>16613</v>
      </c>
      <c r="H9087" s="1" t="s">
        <v>4</v>
      </c>
      <c r="I9087" s="1" t="s">
        <v>5</v>
      </c>
      <c r="N9087" s="1" t="s">
        <v>10</v>
      </c>
      <c r="AN9087" s="1" t="s">
        <v>36</v>
      </c>
      <c r="DN9087" s="1" t="s">
        <v>114</v>
      </c>
      <c r="GD9087" s="1" t="s">
        <v>189</v>
      </c>
      <c r="GE9087" s="1" t="s">
        <v>190</v>
      </c>
    </row>
    <row r="9088" spans="1:187" ht="11.25" customHeight="1">
      <c r="A9088" s="1" t="s">
        <v>12745</v>
      </c>
      <c r="B9088" s="1" t="str">
        <f ca="1">IFERROR(__xludf.DUMMYFUNCTION("GOOGLETRANSLATE(A9088, ""en"", ""fr"")"),"Broussailles n ° 1")</f>
        <v>Broussailles n ° 1</v>
      </c>
      <c r="C9088" s="1" t="s">
        <v>185</v>
      </c>
      <c r="AV9088" s="1" t="s">
        <v>44</v>
      </c>
      <c r="BA9088" s="1" t="s">
        <v>49</v>
      </c>
      <c r="GD9088" s="1" t="s">
        <v>193</v>
      </c>
      <c r="GE9088" s="1" t="s">
        <v>190</v>
      </c>
    </row>
    <row r="9089" spans="1:187" ht="11.25" customHeight="1">
      <c r="A9089" s="1" t="s">
        <v>12746</v>
      </c>
      <c r="B9089" s="1" t="str">
        <f ca="1">IFERROR(__xludf.DUMMYFUNCTION("GOOGLETRANSLATE(A9089, ""en"", ""fr"")"),"Brouette n ° 2")</f>
        <v>Brouette n ° 2</v>
      </c>
      <c r="C9089" s="1" t="s">
        <v>185</v>
      </c>
      <c r="N9089" s="1" t="s">
        <v>10</v>
      </c>
      <c r="AL9089" s="1" t="s">
        <v>34</v>
      </c>
      <c r="DO9089" s="1" t="s">
        <v>115</v>
      </c>
      <c r="FP9089" s="1" t="s">
        <v>168</v>
      </c>
      <c r="GD9089" s="1" t="s">
        <v>189</v>
      </c>
      <c r="GE9089" s="1" t="s">
        <v>190</v>
      </c>
    </row>
    <row r="9090" spans="1:187" ht="11.25" customHeight="1">
      <c r="A9090" s="1" t="s">
        <v>12747</v>
      </c>
      <c r="B9090" s="1" t="str">
        <f ca="1">IFERROR(__xludf.DUMMYFUNCTION("GOOGLETRANSLATE(A9090, ""en"", ""fr"")"),"Scrupules")</f>
        <v>Scrupules</v>
      </c>
      <c r="C9090" s="1" t="s">
        <v>192</v>
      </c>
      <c r="D9090" s="1" t="s">
        <v>16612</v>
      </c>
      <c r="CJ9090" s="1" t="s">
        <v>84</v>
      </c>
      <c r="GD9090" s="1" t="s">
        <v>193</v>
      </c>
      <c r="GE9090" s="1" t="s">
        <v>190</v>
      </c>
    </row>
    <row r="9091" spans="1:187" ht="11.25" customHeight="1">
      <c r="A9091" s="1" t="s">
        <v>12748</v>
      </c>
      <c r="B9091" s="1" t="str">
        <f ca="1">IFERROR(__xludf.DUMMYFUNCTION("GOOGLETRANSLATE(A9091, ""en"", ""fr"")"),"SCRUPULEUX")</f>
        <v>SCRUPULEUX</v>
      </c>
      <c r="C9091" s="1" t="s">
        <v>192</v>
      </c>
      <c r="D9091" s="1" t="s">
        <v>16612</v>
      </c>
      <c r="U9091" s="1" t="s">
        <v>17</v>
      </c>
      <c r="CJ9091" s="1" t="s">
        <v>84</v>
      </c>
      <c r="DR9091" s="1" t="s">
        <v>118</v>
      </c>
      <c r="GD9091" s="1" t="s">
        <v>202</v>
      </c>
      <c r="GE9091" s="1" t="s">
        <v>190</v>
      </c>
    </row>
    <row r="9092" spans="1:187" ht="11.25" customHeight="1">
      <c r="A9092" s="1" t="s">
        <v>12749</v>
      </c>
      <c r="B9092" s="1" t="str">
        <f ca="1">IFERROR(__xludf.DUMMYFUNCTION("GOOGLETRANSLATE(A9092, ""en"", ""fr"")"),"SCRUTER")</f>
        <v>SCRUTER</v>
      </c>
      <c r="C9092" s="1" t="s">
        <v>192</v>
      </c>
      <c r="E9092" s="1" t="s">
        <v>16613</v>
      </c>
      <c r="N9092" s="1" t="s">
        <v>10</v>
      </c>
      <c r="CG9092" s="1" t="s">
        <v>81</v>
      </c>
      <c r="CK9092" s="1" t="s">
        <v>85</v>
      </c>
      <c r="DN9092" s="1" t="s">
        <v>114</v>
      </c>
      <c r="GD9092" s="1" t="s">
        <v>189</v>
      </c>
      <c r="GE9092" s="1" t="s">
        <v>190</v>
      </c>
    </row>
    <row r="9093" spans="1:187" ht="11.25" customHeight="1">
      <c r="A9093" s="1" t="s">
        <v>12750</v>
      </c>
      <c r="B9093" s="1" t="str">
        <f ca="1">IFERROR(__xludf.DUMMYFUNCTION("GOOGLETRANSLATE(A9093, ""en"", ""fr"")"),"EXAMEN MINUTIEUX")</f>
        <v>EXAMEN MINUTIEUX</v>
      </c>
      <c r="C9093" s="1" t="s">
        <v>185</v>
      </c>
      <c r="W9093" s="1" t="s">
        <v>19</v>
      </c>
      <c r="CK9093" s="1" t="s">
        <v>85</v>
      </c>
      <c r="FH9093" s="1" t="s">
        <v>160</v>
      </c>
      <c r="FI9093" s="1" t="s">
        <v>161</v>
      </c>
      <c r="GD9093" s="1" t="s">
        <v>193</v>
      </c>
      <c r="GE9093" s="1" t="s">
        <v>190</v>
      </c>
    </row>
    <row r="9094" spans="1:187" ht="11.25" customHeight="1">
      <c r="A9094" s="1" t="s">
        <v>12751</v>
      </c>
      <c r="B9094" s="1" t="str">
        <f ca="1">IFERROR(__xludf.DUMMYFUNCTION("GOOGLETRANSLATE(A9094, ""en"", ""fr"")"),"BAGARRE")</f>
        <v>BAGARRE</v>
      </c>
      <c r="C9094" s="1" t="s">
        <v>192</v>
      </c>
      <c r="E9094" s="1" t="s">
        <v>16613</v>
      </c>
      <c r="I9094" s="1" t="s">
        <v>5</v>
      </c>
      <c r="AN9094" s="1" t="s">
        <v>36</v>
      </c>
      <c r="CC9094" s="1" t="s">
        <v>77</v>
      </c>
      <c r="GD9094" s="1" t="s">
        <v>193</v>
      </c>
      <c r="GE9094" s="1" t="s">
        <v>190</v>
      </c>
    </row>
    <row r="9095" spans="1:187" ht="11.25" customHeight="1">
      <c r="A9095" s="1" t="s">
        <v>12752</v>
      </c>
      <c r="B9095" s="1" t="str">
        <f ca="1">IFERROR(__xludf.DUMMYFUNCTION("GOOGLETRANSLATE(A9095, ""en"", ""fr"")"),"Sculpture n ° 1")</f>
        <v>Sculpture n ° 1</v>
      </c>
      <c r="C9095" s="1" t="s">
        <v>185</v>
      </c>
      <c r="AD9095" s="1" t="s">
        <v>26</v>
      </c>
      <c r="BC9095" s="1" t="s">
        <v>51</v>
      </c>
      <c r="BH9095" s="1" t="s">
        <v>56</v>
      </c>
      <c r="BL9095" s="1" t="s">
        <v>60</v>
      </c>
      <c r="FJ9095" s="1" t="s">
        <v>162</v>
      </c>
      <c r="FM9095" s="1" t="s">
        <v>418</v>
      </c>
      <c r="GD9095" s="1" t="s">
        <v>193</v>
      </c>
      <c r="GE9095" s="1" t="s">
        <v>190</v>
      </c>
    </row>
    <row r="9096" spans="1:187" ht="11.25" customHeight="1">
      <c r="A9096" s="1" t="s">
        <v>12753</v>
      </c>
      <c r="B9096" s="1" t="str">
        <f ca="1">IFERROR(__xludf.DUMMYFUNCTION("GOOGLETRANSLATE(A9096, ""en"", ""fr"")"),"Sculpture n ° 2")</f>
        <v>Sculpture n ° 2</v>
      </c>
      <c r="C9096" s="1" t="s">
        <v>185</v>
      </c>
      <c r="AD9096" s="1" t="s">
        <v>26</v>
      </c>
      <c r="AL9096" s="1" t="s">
        <v>34</v>
      </c>
      <c r="DN9096" s="1" t="s">
        <v>114</v>
      </c>
      <c r="FP9096" s="1" t="s">
        <v>168</v>
      </c>
      <c r="GD9096" s="1" t="s">
        <v>189</v>
      </c>
      <c r="GE9096" s="1" t="s">
        <v>190</v>
      </c>
    </row>
    <row r="9097" spans="1:187" ht="11.25" customHeight="1">
      <c r="A9097" s="1" t="s">
        <v>12754</v>
      </c>
      <c r="B9097" s="1" t="str">
        <f ca="1">IFERROR(__xludf.DUMMYFUNCTION("GOOGLETRANSLATE(A9097, ""en"", ""fr"")"),"ÉCUME")</f>
        <v>ÉCUME</v>
      </c>
      <c r="C9097" s="1" t="s">
        <v>192</v>
      </c>
      <c r="E9097" s="1" t="s">
        <v>16613</v>
      </c>
      <c r="V9097" s="1" t="s">
        <v>18</v>
      </c>
      <c r="GD9097" s="1" t="s">
        <v>193</v>
      </c>
      <c r="GE9097" s="1" t="s">
        <v>190</v>
      </c>
    </row>
    <row r="9098" spans="1:187" ht="11.25" customHeight="1">
      <c r="A9098" s="1" t="s">
        <v>12755</v>
      </c>
      <c r="B9098" s="1" t="str">
        <f ca="1">IFERROR(__xludf.DUMMYFUNCTION("GOOGLETRANSLATE(A9098, ""en"", ""fr"")"),"MER")</f>
        <v>MER</v>
      </c>
      <c r="C9098" s="1" t="s">
        <v>185</v>
      </c>
      <c r="AV9098" s="1" t="s">
        <v>44</v>
      </c>
      <c r="AZ9098" s="1" t="s">
        <v>48</v>
      </c>
      <c r="GD9098" s="1" t="s">
        <v>193</v>
      </c>
      <c r="GE9098" s="1" t="s">
        <v>12756</v>
      </c>
    </row>
    <row r="9099" spans="1:187" ht="11.25" customHeight="1">
      <c r="A9099" s="1" t="s">
        <v>12757</v>
      </c>
      <c r="B9099" s="1" t="str">
        <f ca="1">IFERROR(__xludf.DUMMYFUNCTION("GOOGLETRANSLATE(A9099, ""en"", ""fr"")"),"Sceau n ° 1")</f>
        <v>Sceau n ° 1</v>
      </c>
      <c r="C9099" s="1" t="s">
        <v>185</v>
      </c>
      <c r="AU9099" s="1" t="s">
        <v>43</v>
      </c>
      <c r="BL9099" s="1" t="s">
        <v>60</v>
      </c>
      <c r="EB9099" s="1" t="s">
        <v>128</v>
      </c>
      <c r="ED9099" s="1" t="s">
        <v>130</v>
      </c>
      <c r="GD9099" s="1" t="s">
        <v>193</v>
      </c>
      <c r="GE9099" s="1" t="s">
        <v>190</v>
      </c>
    </row>
    <row r="9100" spans="1:187" ht="11.25" customHeight="1">
      <c r="A9100" s="1" t="s">
        <v>12758</v>
      </c>
      <c r="B9100" s="1" t="str">
        <f ca="1">IFERROR(__xludf.DUMMYFUNCTION("GOOGLETRANSLATE(A9100, ""en"", ""fr"")"),"Sceau n ° 2")</f>
        <v>Sceau n ° 2</v>
      </c>
      <c r="C9100" s="1" t="s">
        <v>185</v>
      </c>
      <c r="N9100" s="1" t="s">
        <v>10</v>
      </c>
      <c r="AL9100" s="1" t="s">
        <v>34</v>
      </c>
      <c r="DO9100" s="1" t="s">
        <v>115</v>
      </c>
      <c r="FP9100" s="1" t="s">
        <v>168</v>
      </c>
      <c r="GD9100" s="1" t="s">
        <v>189</v>
      </c>
      <c r="GE9100" s="1" t="s">
        <v>190</v>
      </c>
    </row>
    <row r="9101" spans="1:187" ht="11.25" customHeight="1">
      <c r="A9101" s="1" t="s">
        <v>12759</v>
      </c>
      <c r="B9101" s="1" t="str">
        <f ca="1">IFERROR(__xludf.DUMMYFUNCTION("GOOGLETRANSLATE(A9101, ""en"", ""fr"")"),"MARIN")</f>
        <v>MARIN</v>
      </c>
      <c r="C9101" s="1" t="s">
        <v>185</v>
      </c>
      <c r="AA9101" s="1" t="s">
        <v>23</v>
      </c>
      <c r="AJ9101" s="1" t="s">
        <v>32</v>
      </c>
      <c r="AT9101" s="1" t="s">
        <v>42</v>
      </c>
      <c r="FK9101" s="1" t="s">
        <v>163</v>
      </c>
      <c r="FM9101" s="1" t="s">
        <v>418</v>
      </c>
      <c r="GD9101" s="1" t="s">
        <v>193</v>
      </c>
      <c r="GE9101" s="1" t="s">
        <v>190</v>
      </c>
    </row>
    <row r="9102" spans="1:187" ht="11.25" customHeight="1">
      <c r="A9102" s="1" t="s">
        <v>12760</v>
      </c>
      <c r="B9102" s="1" t="str">
        <f ca="1">IFERROR(__xludf.DUMMYFUNCTION("GOOGLETRANSLATE(A9102, ""en"", ""fr"")"),"Marins")</f>
        <v>Marins</v>
      </c>
      <c r="C9102" s="1" t="s">
        <v>185</v>
      </c>
      <c r="AA9102" s="1" t="s">
        <v>23</v>
      </c>
      <c r="AJ9102" s="1" t="s">
        <v>32</v>
      </c>
      <c r="AT9102" s="1" t="s">
        <v>42</v>
      </c>
      <c r="FK9102" s="1" t="s">
        <v>163</v>
      </c>
      <c r="FM9102" s="1" t="s">
        <v>418</v>
      </c>
      <c r="GD9102" s="1" t="s">
        <v>576</v>
      </c>
      <c r="GE9102" s="1" t="s">
        <v>190</v>
      </c>
    </row>
    <row r="9103" spans="1:187" ht="11.25" customHeight="1">
      <c r="A9103" s="1" t="s">
        <v>12761</v>
      </c>
      <c r="B9103" s="1" t="str">
        <f ca="1">IFERROR(__xludf.DUMMYFUNCTION("GOOGLETRANSLATE(A9103, ""en"", ""fr"")"),"Recherche n ° 1")</f>
        <v>Recherche n ° 1</v>
      </c>
      <c r="C9103" s="1" t="s">
        <v>185</v>
      </c>
      <c r="N9103" s="1" t="s">
        <v>10</v>
      </c>
      <c r="BP9103" s="1" t="s">
        <v>64</v>
      </c>
      <c r="DN9103" s="1" t="s">
        <v>114</v>
      </c>
      <c r="FF9103" s="1" t="s">
        <v>158</v>
      </c>
      <c r="FI9103" s="1" t="s">
        <v>161</v>
      </c>
      <c r="GD9103" s="1" t="s">
        <v>189</v>
      </c>
      <c r="GE9103" s="1" t="s">
        <v>12762</v>
      </c>
    </row>
    <row r="9104" spans="1:187" ht="11.25" customHeight="1">
      <c r="A9104" s="1" t="s">
        <v>12763</v>
      </c>
      <c r="B9104" s="1" t="str">
        <f ca="1">IFERROR(__xludf.DUMMYFUNCTION("GOOGLETRANSLATE(A9104, ""en"", ""fr"")"),"Recherche n ° 2")</f>
        <v>Recherche n ° 2</v>
      </c>
      <c r="C9104" s="1" t="s">
        <v>185</v>
      </c>
      <c r="N9104" s="1" t="s">
        <v>10</v>
      </c>
      <c r="BQ9104" s="1" t="s">
        <v>65</v>
      </c>
      <c r="FH9104" s="1" t="s">
        <v>160</v>
      </c>
      <c r="FI9104" s="1" t="s">
        <v>161</v>
      </c>
      <c r="GD9104" s="1" t="s">
        <v>193</v>
      </c>
      <c r="GE9104" s="1" t="s">
        <v>12764</v>
      </c>
    </row>
    <row r="9105" spans="1:187" ht="11.25" customHeight="1">
      <c r="A9105" s="1" t="s">
        <v>12765</v>
      </c>
      <c r="B9105" s="1" t="str">
        <f ca="1">IFERROR(__xludf.DUMMYFUNCTION("GOOGLETRANSLATE(A9105, ""en"", ""fr"")"),"Recherche n ° 3")</f>
        <v>Recherche n ° 3</v>
      </c>
      <c r="C9105" s="1" t="s">
        <v>185</v>
      </c>
      <c r="J9105" s="1" t="s">
        <v>6</v>
      </c>
      <c r="N9105" s="1" t="s">
        <v>10</v>
      </c>
      <c r="BQ9105" s="1" t="s">
        <v>65</v>
      </c>
      <c r="FH9105" s="1" t="s">
        <v>160</v>
      </c>
      <c r="FI9105" s="1" t="s">
        <v>161</v>
      </c>
      <c r="GD9105" s="1" t="s">
        <v>202</v>
      </c>
      <c r="GE9105" s="1" t="s">
        <v>12766</v>
      </c>
    </row>
    <row r="9106" spans="1:187" ht="11.25" customHeight="1">
      <c r="A9106" s="1" t="s">
        <v>12767</v>
      </c>
      <c r="B9106" s="1" t="str">
        <f ca="1">IFERROR(__xludf.DUMMYFUNCTION("GOOGLETRANSLATE(A9106, ""en"", ""fr"")"),"CHERCHEUR")</f>
        <v>CHERCHEUR</v>
      </c>
      <c r="C9106" s="1" t="s">
        <v>185</v>
      </c>
      <c r="N9106" s="1" t="s">
        <v>10</v>
      </c>
      <c r="AJ9106" s="1" t="s">
        <v>32</v>
      </c>
      <c r="AT9106" s="1" t="s">
        <v>42</v>
      </c>
      <c r="FG9106" s="1" t="s">
        <v>159</v>
      </c>
      <c r="FI9106" s="1" t="s">
        <v>161</v>
      </c>
      <c r="GD9106" s="1" t="s">
        <v>193</v>
      </c>
      <c r="GE9106" s="1" t="s">
        <v>190</v>
      </c>
    </row>
    <row r="9107" spans="1:187" ht="11.25" customHeight="1">
      <c r="A9107" s="1" t="s">
        <v>12768</v>
      </c>
      <c r="B9107" s="1" t="str">
        <f ca="1">IFERROR(__xludf.DUMMYFUNCTION("GOOGLETRANSLATE(A9107, ""en"", ""fr"")"),"RIVAGE")</f>
        <v>RIVAGE</v>
      </c>
      <c r="C9107" s="1" t="s">
        <v>185</v>
      </c>
      <c r="AV9107" s="1" t="s">
        <v>44</v>
      </c>
      <c r="BA9107" s="1" t="s">
        <v>49</v>
      </c>
      <c r="GD9107" s="1" t="s">
        <v>193</v>
      </c>
      <c r="GE9107" s="1" t="s">
        <v>190</v>
      </c>
    </row>
    <row r="9108" spans="1:187" ht="11.25" customHeight="1">
      <c r="A9108" s="1" t="s">
        <v>12769</v>
      </c>
      <c r="B9108" s="1" t="str">
        <f ca="1">IFERROR(__xludf.DUMMYFUNCTION("GOOGLETRANSLATE(A9108, ""en"", ""fr"")"),"SAISON")</f>
        <v>SAISON</v>
      </c>
      <c r="C9108" s="1" t="s">
        <v>185</v>
      </c>
      <c r="CQ9108" s="1" t="s">
        <v>91</v>
      </c>
      <c r="CY9108" s="1" t="s">
        <v>99</v>
      </c>
      <c r="CZ9108" s="1" t="s">
        <v>100</v>
      </c>
      <c r="GB9108" s="1" t="s">
        <v>180</v>
      </c>
      <c r="GD9108" s="1" t="s">
        <v>193</v>
      </c>
      <c r="GE9108" s="1" t="s">
        <v>190</v>
      </c>
    </row>
    <row r="9109" spans="1:187" ht="11.25" customHeight="1">
      <c r="A9109" s="1" t="s">
        <v>12770</v>
      </c>
      <c r="B9109" s="1" t="str">
        <f ca="1">IFERROR(__xludf.DUMMYFUNCTION("GOOGLETRANSLATE(A9109, ""en"", ""fr"")"),"Siège n ° 1")</f>
        <v>Siège n ° 1</v>
      </c>
      <c r="C9109" s="1" t="s">
        <v>185</v>
      </c>
      <c r="O9109" s="1" t="s">
        <v>11</v>
      </c>
      <c r="CA9109" s="1" t="s">
        <v>75</v>
      </c>
      <c r="EC9109" s="1" t="s">
        <v>129</v>
      </c>
      <c r="ED9109" s="1" t="s">
        <v>130</v>
      </c>
      <c r="GD9109" s="1" t="s">
        <v>202</v>
      </c>
      <c r="GE9109" s="1" t="s">
        <v>12771</v>
      </c>
    </row>
    <row r="9110" spans="1:187" ht="11.25" customHeight="1">
      <c r="A9110" s="1" t="s">
        <v>12772</v>
      </c>
      <c r="B9110" s="1" t="str">
        <f ca="1">IFERROR(__xludf.DUMMYFUNCTION("GOOGLETRANSLATE(A9110, ""en"", ""fr"")"),"Siège n ° 2")</f>
        <v>Siège n ° 2</v>
      </c>
      <c r="C9110" s="1" t="s">
        <v>185</v>
      </c>
      <c r="DA9110" s="1" t="s">
        <v>101</v>
      </c>
      <c r="EC9110" s="1" t="s">
        <v>129</v>
      </c>
      <c r="ED9110" s="1" t="s">
        <v>130</v>
      </c>
      <c r="GD9110" s="1" t="s">
        <v>193</v>
      </c>
      <c r="GE9110" s="1" t="s">
        <v>12773</v>
      </c>
    </row>
    <row r="9111" spans="1:187" ht="11.25" customHeight="1">
      <c r="A9111" s="1" t="s">
        <v>12774</v>
      </c>
      <c r="B9111" s="1" t="str">
        <f ca="1">IFERROR(__xludf.DUMMYFUNCTION("GOOGLETRANSLATE(A9111, ""en"", ""fr"")"),"Siège n ° 3")</f>
        <v>Siège n ° 3</v>
      </c>
      <c r="C9111" s="1" t="s">
        <v>185</v>
      </c>
      <c r="BC9111" s="1" t="s">
        <v>51</v>
      </c>
      <c r="BD9111" s="1" t="s">
        <v>52</v>
      </c>
      <c r="EC9111" s="1" t="s">
        <v>129</v>
      </c>
      <c r="ED9111" s="1" t="s">
        <v>130</v>
      </c>
      <c r="GD9111" s="1" t="s">
        <v>193</v>
      </c>
      <c r="GE9111" s="1" t="s">
        <v>12775</v>
      </c>
    </row>
    <row r="9112" spans="1:187" ht="11.25" customHeight="1">
      <c r="A9112" s="1" t="s">
        <v>12776</v>
      </c>
      <c r="B9112" s="1" t="str">
        <f ca="1">IFERROR(__xludf.DUMMYFUNCTION("GOOGLETRANSLATE(A9112, ""en"", ""fr"")"),"Siège n ° 4")</f>
        <v>Siège n ° 4</v>
      </c>
      <c r="C9112" s="1" t="s">
        <v>185</v>
      </c>
      <c r="N9112" s="1" t="s">
        <v>10</v>
      </c>
      <c r="CA9112" s="1" t="s">
        <v>75</v>
      </c>
      <c r="DO9112" s="1" t="s">
        <v>115</v>
      </c>
      <c r="EC9112" s="1" t="s">
        <v>129</v>
      </c>
      <c r="ED9112" s="1" t="s">
        <v>130</v>
      </c>
      <c r="GD9112" s="1" t="s">
        <v>189</v>
      </c>
      <c r="GE9112" s="1" t="s">
        <v>12777</v>
      </c>
    </row>
    <row r="9113" spans="1:187" ht="11.25" customHeight="1">
      <c r="A9113" s="1" t="s">
        <v>12778</v>
      </c>
      <c r="B9113" s="1" t="str">
        <f ca="1">IFERROR(__xludf.DUMMYFUNCTION("GOOGLETRANSLATE(A9113, ""en"", ""fr"")"),"Séance")</f>
        <v>Séance</v>
      </c>
      <c r="C9113" s="1" t="s">
        <v>196</v>
      </c>
      <c r="GD9113" s="1" t="s">
        <v>2981</v>
      </c>
    </row>
    <row r="9114" spans="1:187" ht="11.25" customHeight="1">
      <c r="A9114" s="1" t="s">
        <v>12779</v>
      </c>
      <c r="B9114" s="1" t="str">
        <f ca="1">IFERROR(__xludf.DUMMYFUNCTION("GOOGLETRANSLATE(A9114, ""en"", ""fr"")"),"FAIRE SÉCESSION")</f>
        <v>FAIRE SÉCESSION</v>
      </c>
      <c r="C9114" s="1" t="s">
        <v>192</v>
      </c>
      <c r="E9114" s="1" t="s">
        <v>16613</v>
      </c>
      <c r="G9114" s="1" t="s">
        <v>3</v>
      </c>
      <c r="AG9114" s="1" t="s">
        <v>29</v>
      </c>
      <c r="CE9114" s="1" t="s">
        <v>79</v>
      </c>
      <c r="DN9114" s="1" t="s">
        <v>114</v>
      </c>
      <c r="GD9114" s="1" t="s">
        <v>189</v>
      </c>
      <c r="GE9114" s="1" t="s">
        <v>190</v>
      </c>
    </row>
    <row r="9115" spans="1:187" ht="11.25" customHeight="1">
      <c r="A9115" s="1" t="s">
        <v>12780</v>
      </c>
      <c r="B9115" s="1" t="str">
        <f ca="1">IFERROR(__xludf.DUMMYFUNCTION("GOOGLETRANSLATE(A9115, ""en"", ""fr"")"),"SÉCESSION")</f>
        <v>SÉCESSION</v>
      </c>
      <c r="C9115" s="1" t="s">
        <v>192</v>
      </c>
      <c r="E9115" s="1" t="s">
        <v>16613</v>
      </c>
      <c r="G9115" s="1" t="s">
        <v>3</v>
      </c>
      <c r="AG9115" s="1" t="s">
        <v>29</v>
      </c>
      <c r="CE9115" s="1" t="s">
        <v>79</v>
      </c>
      <c r="GD9115" s="1" t="s">
        <v>193</v>
      </c>
      <c r="GE9115" s="1" t="s">
        <v>190</v>
      </c>
    </row>
    <row r="9116" spans="1:187" ht="11.25" customHeight="1">
      <c r="A9116" s="1" t="s">
        <v>12781</v>
      </c>
      <c r="B9116" s="1" t="str">
        <f ca="1">IFERROR(__xludf.DUMMYFUNCTION("GOOGLETRANSLATE(A9116, ""en"", ""fr"")"),"Deuxième n ° 1")</f>
        <v>Deuxième n ° 1</v>
      </c>
      <c r="C9116" s="1" t="s">
        <v>185</v>
      </c>
      <c r="CT9116" s="1" t="s">
        <v>94</v>
      </c>
      <c r="CU9116" s="1" t="s">
        <v>95</v>
      </c>
      <c r="DB9116" s="1" t="s">
        <v>102</v>
      </c>
      <c r="DD9116" s="1" t="s">
        <v>104</v>
      </c>
      <c r="GB9116" s="1" t="s">
        <v>180</v>
      </c>
      <c r="GD9116" s="1" t="s">
        <v>12782</v>
      </c>
      <c r="GE9116" s="1" t="s">
        <v>12783</v>
      </c>
    </row>
    <row r="9117" spans="1:187" ht="11.25" customHeight="1">
      <c r="A9117" s="1" t="s">
        <v>12784</v>
      </c>
      <c r="B9117" s="1" t="str">
        <f ca="1">IFERROR(__xludf.DUMMYFUNCTION("GOOGLETRANSLATE(A9117, ""en"", ""fr"")"),"Deuxième # 2")</f>
        <v>Deuxième # 2</v>
      </c>
      <c r="C9117" s="1" t="s">
        <v>185</v>
      </c>
      <c r="CQ9117" s="1" t="s">
        <v>91</v>
      </c>
      <c r="CY9117" s="1" t="s">
        <v>99</v>
      </c>
      <c r="CZ9117" s="1" t="s">
        <v>100</v>
      </c>
      <c r="GB9117" s="1" t="s">
        <v>180</v>
      </c>
      <c r="GD9117" s="1" t="s">
        <v>193</v>
      </c>
      <c r="GE9117" s="1" t="s">
        <v>12785</v>
      </c>
    </row>
    <row r="9118" spans="1:187" ht="11.25" customHeight="1">
      <c r="A9118" s="1" t="s">
        <v>12786</v>
      </c>
      <c r="B9118" s="1" t="str">
        <f ca="1">IFERROR(__xludf.DUMMYFUNCTION("GOOGLETRANSLATE(A9118, ""en"", ""fr"")"),"Deuxième # 3")</f>
        <v>Deuxième # 3</v>
      </c>
      <c r="C9118" s="1" t="s">
        <v>185</v>
      </c>
      <c r="DD9118" s="1" t="s">
        <v>104</v>
      </c>
      <c r="GB9118" s="1" t="s">
        <v>180</v>
      </c>
      <c r="GD9118" s="1" t="s">
        <v>236</v>
      </c>
      <c r="GE9118" s="1" t="s">
        <v>12787</v>
      </c>
    </row>
    <row r="9119" spans="1:187" ht="11.25" customHeight="1">
      <c r="A9119" s="1" t="s">
        <v>12788</v>
      </c>
      <c r="B9119" s="1" t="str">
        <f ca="1">IFERROR(__xludf.DUMMYFUNCTION("GOOGLETRANSLATE(A9119, ""en"", ""fr"")"),"Deuxième # 4")</f>
        <v>Deuxième # 4</v>
      </c>
      <c r="C9119" s="1" t="s">
        <v>185</v>
      </c>
      <c r="G9119" s="1" t="s">
        <v>3</v>
      </c>
      <c r="J9119" s="1" t="s">
        <v>6</v>
      </c>
      <c r="AN9119" s="1" t="s">
        <v>36</v>
      </c>
      <c r="DN9119" s="1" t="s">
        <v>114</v>
      </c>
      <c r="DS9119" s="1" t="s">
        <v>119</v>
      </c>
      <c r="ED9119" s="1" t="s">
        <v>130</v>
      </c>
      <c r="GD9119" s="1" t="s">
        <v>189</v>
      </c>
      <c r="GE9119" s="1" t="s">
        <v>12789</v>
      </c>
    </row>
    <row r="9120" spans="1:187" ht="11.25" customHeight="1">
      <c r="A9120" s="1" t="s">
        <v>12790</v>
      </c>
      <c r="B9120" s="1" t="str">
        <f ca="1">IFERROR(__xludf.DUMMYFUNCTION("GOOGLETRANSLATE(A9120, ""en"", ""fr"")"),"Secondaire # 1")</f>
        <v>Secondaire # 1</v>
      </c>
      <c r="C9120" s="1" t="s">
        <v>185</v>
      </c>
      <c r="AV9120" s="1" t="s">
        <v>44</v>
      </c>
      <c r="AW9120" s="1" t="s">
        <v>45</v>
      </c>
      <c r="FH9120" s="1" t="s">
        <v>160</v>
      </c>
      <c r="FI9120" s="1" t="s">
        <v>161</v>
      </c>
      <c r="GD9120" s="1" t="s">
        <v>849</v>
      </c>
      <c r="GE9120" s="1" t="s">
        <v>12791</v>
      </c>
    </row>
    <row r="9121" spans="1:187" ht="11.25" customHeight="1">
      <c r="A9121" s="1" t="s">
        <v>12792</v>
      </c>
      <c r="B9121" s="1" t="str">
        <f ca="1">IFERROR(__xludf.DUMMYFUNCTION("GOOGLETRANSLATE(A9121, ""en"", ""fr"")"),"Secondaire # 2")</f>
        <v>Secondaire # 2</v>
      </c>
      <c r="C9121" s="1" t="s">
        <v>185</v>
      </c>
      <c r="X9121" s="1" t="s">
        <v>20</v>
      </c>
      <c r="CS9121" s="1" t="s">
        <v>93</v>
      </c>
      <c r="GB9121" s="1" t="s">
        <v>180</v>
      </c>
      <c r="GD9121" s="1" t="s">
        <v>202</v>
      </c>
      <c r="GE9121" s="1" t="s">
        <v>12793</v>
      </c>
    </row>
    <row r="9122" spans="1:187" ht="11.25" customHeight="1">
      <c r="A9122" s="1" t="s">
        <v>12794</v>
      </c>
      <c r="B9122" s="1" t="str">
        <f ca="1">IFERROR(__xludf.DUMMYFUNCTION("GOOGLETRANSLATE(A9122, ""en"", ""fr"")"),"SECRET")</f>
        <v>SECRET</v>
      </c>
      <c r="C9122" s="1" t="s">
        <v>192</v>
      </c>
      <c r="E9122" s="1" t="s">
        <v>16613</v>
      </c>
      <c r="BK9122" s="1" t="s">
        <v>59</v>
      </c>
      <c r="GD9122" s="1" t="s">
        <v>193</v>
      </c>
      <c r="GE9122" s="1" t="s">
        <v>190</v>
      </c>
    </row>
    <row r="9123" spans="1:187" ht="11.25" customHeight="1">
      <c r="A9123" s="1" t="s">
        <v>12795</v>
      </c>
      <c r="B9123" s="1" t="str">
        <f ca="1">IFERROR(__xludf.DUMMYFUNCTION("GOOGLETRANSLATE(A9123, ""en"", ""fr"")"),"SECRÈTE")</f>
        <v>SECRÈTE</v>
      </c>
      <c r="C9123" s="1" t="s">
        <v>185</v>
      </c>
      <c r="E9123" s="1" t="s">
        <v>16613</v>
      </c>
      <c r="H9123" s="1" t="s">
        <v>4</v>
      </c>
      <c r="BK9123" s="1" t="s">
        <v>59</v>
      </c>
      <c r="BL9123" s="1" t="s">
        <v>60</v>
      </c>
      <c r="FH9123" s="1" t="s">
        <v>160</v>
      </c>
      <c r="FI9123" s="1" t="s">
        <v>161</v>
      </c>
      <c r="GC9123" s="1" t="s">
        <v>181</v>
      </c>
      <c r="GD9123" s="1" t="s">
        <v>193</v>
      </c>
      <c r="GE9123" s="1" t="s">
        <v>12796</v>
      </c>
    </row>
    <row r="9124" spans="1:187" ht="11.25" customHeight="1">
      <c r="A9124" s="1" t="s">
        <v>12797</v>
      </c>
      <c r="B9124" s="1" t="str">
        <f ca="1">IFERROR(__xludf.DUMMYFUNCTION("GOOGLETRANSLATE(A9124, ""en"", ""fr"")"),"Secrétaire # 1")</f>
        <v>Secrétaire # 1</v>
      </c>
      <c r="C9124" s="1" t="s">
        <v>185</v>
      </c>
      <c r="M9124" s="1" t="s">
        <v>9</v>
      </c>
      <c r="AA9124" s="1" t="s">
        <v>23</v>
      </c>
      <c r="AC9124" s="1" t="s">
        <v>25</v>
      </c>
      <c r="AJ9124" s="1" t="s">
        <v>32</v>
      </c>
      <c r="AT9124" s="1" t="s">
        <v>42</v>
      </c>
      <c r="FK9124" s="1" t="s">
        <v>163</v>
      </c>
      <c r="FM9124" s="1" t="s">
        <v>418</v>
      </c>
      <c r="GD9124" s="1" t="s">
        <v>193</v>
      </c>
      <c r="GE9124" s="1" t="s">
        <v>12798</v>
      </c>
    </row>
    <row r="9125" spans="1:187" ht="11.25" customHeight="1">
      <c r="A9125" s="1" t="s">
        <v>12799</v>
      </c>
      <c r="B9125" s="1" t="str">
        <f ca="1">IFERROR(__xludf.DUMMYFUNCTION("GOOGLETRANSLATE(A9125, ""en"", ""fr"")"),"Secrétaire # 2")</f>
        <v>Secrétaire # 2</v>
      </c>
      <c r="C9125" s="1" t="s">
        <v>185</v>
      </c>
      <c r="AG9125" s="1" t="s">
        <v>29</v>
      </c>
      <c r="AH9125" s="1" t="s">
        <v>30</v>
      </c>
      <c r="AJ9125" s="1" t="s">
        <v>32</v>
      </c>
      <c r="AT9125" s="1" t="s">
        <v>42</v>
      </c>
      <c r="DY9125" s="1" t="s">
        <v>125</v>
      </c>
      <c r="ED9125" s="1" t="s">
        <v>130</v>
      </c>
      <c r="GD9125" s="1" t="s">
        <v>193</v>
      </c>
      <c r="GE9125" s="1" t="s">
        <v>12800</v>
      </c>
    </row>
    <row r="9126" spans="1:187" ht="11.25" customHeight="1">
      <c r="A9126" s="1" t="s">
        <v>12801</v>
      </c>
      <c r="B9126" s="1" t="str">
        <f ca="1">IFERROR(__xludf.DUMMYFUNCTION("GOOGLETRANSLATE(A9126, ""en"", ""fr"")"),"SECTE")</f>
        <v>SECTE</v>
      </c>
      <c r="C9126" s="1" t="s">
        <v>196</v>
      </c>
      <c r="EF9126" s="1" t="s">
        <v>132</v>
      </c>
      <c r="EJ9126" s="1" t="s">
        <v>136</v>
      </c>
      <c r="GD9126" s="1" t="s">
        <v>193</v>
      </c>
    </row>
    <row r="9127" spans="1:187" ht="11.25" customHeight="1">
      <c r="A9127" s="1" t="s">
        <v>12802</v>
      </c>
      <c r="B9127" s="1" t="str">
        <f ca="1">IFERROR(__xludf.DUMMYFUNCTION("GOOGLETRANSLATE(A9127, ""en"", ""fr"")"),"SECTION")</f>
        <v>SECTION</v>
      </c>
      <c r="C9127" s="1" t="s">
        <v>185</v>
      </c>
      <c r="DA9127" s="1" t="s">
        <v>101</v>
      </c>
      <c r="GD9127" s="1" t="s">
        <v>193</v>
      </c>
      <c r="GE9127" s="1" t="s">
        <v>12803</v>
      </c>
    </row>
    <row r="9128" spans="1:187" ht="11.25" customHeight="1">
      <c r="A9128" s="1" t="s">
        <v>12804</v>
      </c>
      <c r="B9128" s="1" t="str">
        <f ca="1">IFERROR(__xludf.DUMMYFUNCTION("GOOGLETRANSLATE(A9128, ""en"", ""fr"")"),"SECTEUR")</f>
        <v>SECTEUR</v>
      </c>
      <c r="C9128" s="1" t="s">
        <v>185</v>
      </c>
      <c r="AC9128" s="1" t="s">
        <v>25</v>
      </c>
      <c r="AH9128" s="1" t="s">
        <v>30</v>
      </c>
      <c r="DA9128" s="1" t="s">
        <v>101</v>
      </c>
      <c r="GB9128" s="1" t="s">
        <v>180</v>
      </c>
      <c r="GD9128" s="1" t="s">
        <v>193</v>
      </c>
      <c r="GE9128" s="1" t="s">
        <v>190</v>
      </c>
    </row>
    <row r="9129" spans="1:187" ht="11.25" customHeight="1">
      <c r="A9129" s="1" t="s">
        <v>12805</v>
      </c>
      <c r="B9129" s="1" t="str">
        <f ca="1">IFERROR(__xludf.DUMMYFUNCTION("GOOGLETRANSLATE(A9129, ""en"", ""fr"")"),"Sécuriser n ° 1")</f>
        <v>Sécuriser n ° 1</v>
      </c>
      <c r="C9129" s="1" t="s">
        <v>185</v>
      </c>
      <c r="J9129" s="1" t="s">
        <v>6</v>
      </c>
      <c r="N9129" s="1" t="s">
        <v>10</v>
      </c>
      <c r="W9129" s="1" t="s">
        <v>19</v>
      </c>
      <c r="CA9129" s="1" t="s">
        <v>75</v>
      </c>
      <c r="DN9129" s="1" t="s">
        <v>114</v>
      </c>
      <c r="FR9129" s="1" t="s">
        <v>170</v>
      </c>
      <c r="GD9129" s="1" t="s">
        <v>189</v>
      </c>
      <c r="GE9129" s="1" t="s">
        <v>12806</v>
      </c>
    </row>
    <row r="9130" spans="1:187" ht="11.25" customHeight="1">
      <c r="A9130" s="1" t="s">
        <v>12807</v>
      </c>
      <c r="B9130" s="1" t="str">
        <f ca="1">IFERROR(__xludf.DUMMYFUNCTION("GOOGLETRANSLATE(A9130, ""en"", ""fr"")"),"Sécuriser # 2")</f>
        <v>Sécuriser # 2</v>
      </c>
      <c r="C9130" s="1" t="s">
        <v>185</v>
      </c>
      <c r="D9130" s="1" t="s">
        <v>16612</v>
      </c>
      <c r="F9130" s="1" t="s">
        <v>2</v>
      </c>
      <c r="P9130" s="1" t="s">
        <v>12</v>
      </c>
      <c r="T9130" s="1" t="s">
        <v>16</v>
      </c>
      <c r="W9130" s="1" t="s">
        <v>19</v>
      </c>
      <c r="FR9130" s="1" t="s">
        <v>170</v>
      </c>
      <c r="GD9130" s="1" t="s">
        <v>202</v>
      </c>
      <c r="GE9130" s="1" t="s">
        <v>12808</v>
      </c>
    </row>
    <row r="9131" spans="1:187" ht="11.25" customHeight="1">
      <c r="A9131" s="1" t="s">
        <v>12809</v>
      </c>
      <c r="B9131" s="1" t="str">
        <f ca="1">IFERROR(__xludf.DUMMYFUNCTION("GOOGLETRANSLATE(A9131, ""en"", ""fr"")"),"Sécuriser # 3")</f>
        <v>Sécuriser # 3</v>
      </c>
      <c r="C9131" s="1" t="s">
        <v>185</v>
      </c>
      <c r="D9131" s="1" t="s">
        <v>16612</v>
      </c>
      <c r="F9131" s="1" t="s">
        <v>2</v>
      </c>
      <c r="J9131" s="1" t="s">
        <v>6</v>
      </c>
      <c r="W9131" s="1" t="s">
        <v>19</v>
      </c>
      <c r="CR9131" s="1" t="s">
        <v>92</v>
      </c>
      <c r="FR9131" s="1" t="s">
        <v>170</v>
      </c>
      <c r="GD9131" s="1" t="s">
        <v>236</v>
      </c>
      <c r="GE9131" s="1" t="s">
        <v>12810</v>
      </c>
    </row>
    <row r="9132" spans="1:187" ht="11.25" customHeight="1">
      <c r="A9132" s="1" t="s">
        <v>12811</v>
      </c>
      <c r="B9132" s="1" t="str">
        <f ca="1">IFERROR(__xludf.DUMMYFUNCTION("GOOGLETRANSLATE(A9132, ""en"", ""fr"")"),"Sécurité n ° 1")</f>
        <v>Sécurité n ° 1</v>
      </c>
      <c r="C9132" s="1" t="s">
        <v>185</v>
      </c>
      <c r="D9132" s="1" t="s">
        <v>16612</v>
      </c>
      <c r="F9132" s="1" t="s">
        <v>2</v>
      </c>
      <c r="U9132" s="1" t="s">
        <v>17</v>
      </c>
      <c r="W9132" s="1" t="s">
        <v>19</v>
      </c>
      <c r="GD9132" s="1" t="s">
        <v>225</v>
      </c>
      <c r="GE9132" s="1" t="s">
        <v>12812</v>
      </c>
    </row>
    <row r="9133" spans="1:187" ht="11.25" customHeight="1">
      <c r="A9133" s="1" t="s">
        <v>12813</v>
      </c>
      <c r="B9133" s="1" t="str">
        <f ca="1">IFERROR(__xludf.DUMMYFUNCTION("GOOGLETRANSLATE(A9133, ""en"", ""fr"")"),"Sécurité n ° 2")</f>
        <v>Sécurité n ° 2</v>
      </c>
      <c r="C9133" s="1" t="s">
        <v>185</v>
      </c>
      <c r="D9133" s="1" t="s">
        <v>16612</v>
      </c>
      <c r="F9133" s="1" t="s">
        <v>2</v>
      </c>
      <c r="AA9133" s="1" t="s">
        <v>23</v>
      </c>
      <c r="BC9133" s="1" t="s">
        <v>51</v>
      </c>
      <c r="BH9133" s="1" t="s">
        <v>56</v>
      </c>
      <c r="EV9133" s="1" t="s">
        <v>148</v>
      </c>
      <c r="EW9133" s="1" t="s">
        <v>149</v>
      </c>
      <c r="GD9133" s="1" t="s">
        <v>193</v>
      </c>
      <c r="GE9133" s="1" t="s">
        <v>12814</v>
      </c>
    </row>
    <row r="9134" spans="1:187" ht="11.25" customHeight="1">
      <c r="A9134" s="1" t="s">
        <v>12815</v>
      </c>
      <c r="B9134" s="1" t="str">
        <f ca="1">IFERROR(__xludf.DUMMYFUNCTION("GOOGLETRANSLATE(A9134, ""en"", ""fr"")"),"Sécurité n ° 3")</f>
        <v>Sécurité n ° 3</v>
      </c>
      <c r="C9134" s="1" t="s">
        <v>185</v>
      </c>
      <c r="AA9134" s="1" t="s">
        <v>23</v>
      </c>
      <c r="AC9134" s="1" t="s">
        <v>25</v>
      </c>
      <c r="AK9134" s="1" t="s">
        <v>33</v>
      </c>
      <c r="AT9134" s="1" t="s">
        <v>42</v>
      </c>
      <c r="BQ9134" s="1" t="s">
        <v>65</v>
      </c>
      <c r="EV9134" s="1" t="s">
        <v>148</v>
      </c>
      <c r="EW9134" s="1" t="s">
        <v>149</v>
      </c>
      <c r="GD9134" s="1" t="s">
        <v>193</v>
      </c>
      <c r="GE9134" s="1" t="s">
        <v>12816</v>
      </c>
    </row>
    <row r="9135" spans="1:187" ht="11.25" customHeight="1">
      <c r="A9135" s="1" t="s">
        <v>12817</v>
      </c>
      <c r="B9135" s="1" t="str">
        <f ca="1">IFERROR(__xludf.DUMMYFUNCTION("GOOGLETRANSLATE(A9135, ""en"", ""fr"")"),"Sécurité n ° 4")</f>
        <v>Sécurité n ° 4</v>
      </c>
      <c r="C9135" s="1" t="s">
        <v>185</v>
      </c>
      <c r="AA9135" s="1" t="s">
        <v>23</v>
      </c>
      <c r="AG9135" s="1" t="s">
        <v>29</v>
      </c>
      <c r="AH9135" s="1" t="s">
        <v>30</v>
      </c>
      <c r="BQ9135" s="1" t="s">
        <v>65</v>
      </c>
      <c r="DY9135" s="1" t="s">
        <v>125</v>
      </c>
      <c r="ED9135" s="1" t="s">
        <v>130</v>
      </c>
      <c r="GD9135" s="1" t="s">
        <v>193</v>
      </c>
      <c r="GE9135" s="1" t="s">
        <v>12818</v>
      </c>
    </row>
    <row r="9136" spans="1:187" ht="11.25" customHeight="1">
      <c r="A9136" s="1" t="s">
        <v>12819</v>
      </c>
      <c r="B9136" s="1" t="str">
        <f ca="1">IFERROR(__xludf.DUMMYFUNCTION("GOOGLETRANSLATE(A9136, ""en"", ""fr"")"),"Sécurité n ° 5")</f>
        <v>Sécurité n ° 5</v>
      </c>
      <c r="C9136" s="1" t="s">
        <v>185</v>
      </c>
      <c r="GD9136" s="1" t="s">
        <v>225</v>
      </c>
      <c r="GE9136" s="1" t="s">
        <v>12820</v>
      </c>
    </row>
    <row r="9137" spans="1:187" ht="11.25" customHeight="1">
      <c r="A9137" s="1" t="s">
        <v>12821</v>
      </c>
      <c r="B9137" s="1" t="str">
        <f ca="1">IFERROR(__xludf.DUMMYFUNCTION("GOOGLETRANSLATE(A9137, ""en"", ""fr"")"),"CONSEIL DE SÉCURITÉ")</f>
        <v>CONSEIL DE SÉCURITÉ</v>
      </c>
      <c r="C9137" s="1" t="s">
        <v>196</v>
      </c>
      <c r="GD9137" s="1" t="s">
        <v>2981</v>
      </c>
    </row>
    <row r="9138" spans="1:187" ht="11.25" customHeight="1">
      <c r="A9138" s="1" t="s">
        <v>12822</v>
      </c>
      <c r="B9138" s="1" t="str">
        <f ca="1">IFERROR(__xludf.DUMMYFUNCTION("GOOGLETRANSLATE(A9138, ""en"", ""fr"")"),"SEDAN")</f>
        <v>SEDAN</v>
      </c>
      <c r="C9138" s="1" t="s">
        <v>185</v>
      </c>
      <c r="BC9138" s="1" t="s">
        <v>51</v>
      </c>
      <c r="BF9138" s="1" t="s">
        <v>54</v>
      </c>
      <c r="GD9138" s="1" t="s">
        <v>193</v>
      </c>
      <c r="GE9138" s="1" t="s">
        <v>190</v>
      </c>
    </row>
    <row r="9139" spans="1:187" ht="11.25" customHeight="1">
      <c r="A9139" s="1" t="s">
        <v>12823</v>
      </c>
      <c r="B9139" s="1" t="str">
        <f ca="1">IFERROR(__xludf.DUMMYFUNCTION("GOOGLETRANSLATE(A9139, ""en"", ""fr"")"),"Sédentaire")</f>
        <v>Sédentaire</v>
      </c>
      <c r="C9139" s="1" t="s">
        <v>192</v>
      </c>
      <c r="E9139" s="1" t="s">
        <v>16613</v>
      </c>
      <c r="CA9139" s="1" t="s">
        <v>75</v>
      </c>
      <c r="DR9139" s="1" t="s">
        <v>118</v>
      </c>
      <c r="GD9139" s="1" t="s">
        <v>202</v>
      </c>
      <c r="GE9139" s="1" t="s">
        <v>190</v>
      </c>
    </row>
    <row r="9140" spans="1:187" ht="11.25" customHeight="1">
      <c r="A9140" s="1" t="s">
        <v>12824</v>
      </c>
      <c r="B9140" s="1" t="str">
        <f ca="1">IFERROR(__xludf.DUMMYFUNCTION("GOOGLETRANSLATE(A9140, ""en"", ""fr"")"),"SÉDIMENT")</f>
        <v>SÉDIMENT</v>
      </c>
      <c r="C9140" s="1" t="s">
        <v>185</v>
      </c>
      <c r="BC9140" s="1" t="s">
        <v>51</v>
      </c>
      <c r="BI9140" s="1" t="s">
        <v>57</v>
      </c>
      <c r="GD9140" s="1" t="s">
        <v>193</v>
      </c>
      <c r="GE9140" s="1" t="s">
        <v>190</v>
      </c>
    </row>
    <row r="9141" spans="1:187" ht="11.25" customHeight="1">
      <c r="A9141" s="1" t="s">
        <v>12825</v>
      </c>
      <c r="B9141" s="1" t="str">
        <f ca="1">IFERROR(__xludf.DUMMYFUNCTION("GOOGLETRANSLATE(A9141, ""en"", ""fr"")"),"SÉDITION")</f>
        <v>SÉDITION</v>
      </c>
      <c r="C9141" s="1" t="s">
        <v>196</v>
      </c>
      <c r="DW9141" s="1" t="s">
        <v>123</v>
      </c>
      <c r="ED9141" s="1" t="s">
        <v>130</v>
      </c>
      <c r="GD9141" s="1" t="s">
        <v>470</v>
      </c>
    </row>
    <row r="9142" spans="1:187" ht="11.25" customHeight="1">
      <c r="A9142" s="1" t="s">
        <v>12826</v>
      </c>
      <c r="B9142" s="1" t="str">
        <f ca="1">IFERROR(__xludf.DUMMYFUNCTION("GOOGLETRANSLATE(A9142, ""en"", ""fr"")"),"SÉDITIEUX")</f>
        <v>SÉDITIEUX</v>
      </c>
      <c r="C9142" s="1" t="s">
        <v>196</v>
      </c>
      <c r="DW9142" s="1" t="s">
        <v>123</v>
      </c>
      <c r="ED9142" s="1" t="s">
        <v>130</v>
      </c>
      <c r="GD9142" s="1" t="s">
        <v>212</v>
      </c>
    </row>
    <row r="9143" spans="1:187" ht="11.25" customHeight="1">
      <c r="A9143" s="1" t="s">
        <v>12827</v>
      </c>
      <c r="B9143" s="1" t="str">
        <f ca="1">IFERROR(__xludf.DUMMYFUNCTION("GOOGLETRANSLATE(A9143, ""en"", ""fr"")"),"SÉDUIRE")</f>
        <v>SÉDUIRE</v>
      </c>
      <c r="C9143" s="1" t="s">
        <v>196</v>
      </c>
      <c r="EY9143" s="1" t="s">
        <v>151</v>
      </c>
      <c r="FC9143" s="1" t="s">
        <v>155</v>
      </c>
      <c r="GD9143" s="1" t="s">
        <v>189</v>
      </c>
    </row>
    <row r="9144" spans="1:187" ht="11.25" customHeight="1">
      <c r="A9144" s="1" t="s">
        <v>12828</v>
      </c>
      <c r="B9144" s="1" t="str">
        <f ca="1">IFERROR(__xludf.DUMMYFUNCTION("GOOGLETRANSLATE(A9144, ""en"", ""fr"")"),"VOIR")</f>
        <v>VOIR</v>
      </c>
      <c r="C9144" s="1" t="s">
        <v>185</v>
      </c>
      <c r="O9144" s="1" t="s">
        <v>11</v>
      </c>
      <c r="CK9144" s="1" t="s">
        <v>85</v>
      </c>
      <c r="DO9144" s="1" t="s">
        <v>115</v>
      </c>
      <c r="FD9144" s="1" t="s">
        <v>156</v>
      </c>
      <c r="FI9144" s="1" t="s">
        <v>161</v>
      </c>
      <c r="GD9144" s="1" t="s">
        <v>189</v>
      </c>
      <c r="GE9144" s="1" t="s">
        <v>12829</v>
      </c>
    </row>
    <row r="9145" spans="1:187" ht="11.25" customHeight="1">
      <c r="A9145" s="1" t="s">
        <v>12830</v>
      </c>
      <c r="B9145" s="1" t="str">
        <f ca="1">IFERROR(__xludf.DUMMYFUNCTION("GOOGLETRANSLATE(A9145, ""en"", ""fr"")"),"GRAINE")</f>
        <v>GRAINE</v>
      </c>
      <c r="C9145" s="1" t="s">
        <v>185</v>
      </c>
      <c r="BC9145" s="1" t="s">
        <v>51</v>
      </c>
      <c r="BI9145" s="1" t="s">
        <v>57</v>
      </c>
      <c r="GD9145" s="1" t="s">
        <v>193</v>
      </c>
      <c r="GE9145" s="1" t="s">
        <v>190</v>
      </c>
    </row>
    <row r="9146" spans="1:187" ht="11.25" customHeight="1">
      <c r="A9146" s="1" t="s">
        <v>12831</v>
      </c>
      <c r="B9146" s="1" t="str">
        <f ca="1">IFERROR(__xludf.DUMMYFUNCTION("GOOGLETRANSLATE(A9146, ""en"", ""fr"")"),"CHERCHER")</f>
        <v>CHERCHER</v>
      </c>
      <c r="C9146" s="1" t="s">
        <v>185</v>
      </c>
      <c r="N9146" s="1" t="s">
        <v>10</v>
      </c>
      <c r="BP9146" s="1" t="s">
        <v>64</v>
      </c>
      <c r="DN9146" s="1" t="s">
        <v>114</v>
      </c>
      <c r="FR9146" s="1" t="s">
        <v>170</v>
      </c>
      <c r="GD9146" s="1" t="s">
        <v>189</v>
      </c>
      <c r="GE9146" s="1" t="s">
        <v>12832</v>
      </c>
    </row>
    <row r="9147" spans="1:187" ht="11.25" customHeight="1">
      <c r="A9147" s="1" t="s">
        <v>12833</v>
      </c>
      <c r="B9147" s="1" t="str">
        <f ca="1">IFERROR(__xludf.DUMMYFUNCTION("GOOGLETRANSLATE(A9147, ""en"", ""fr"")"),"CHERCHEUR")</f>
        <v>CHERCHEUR</v>
      </c>
      <c r="C9147" s="1" t="s">
        <v>185</v>
      </c>
      <c r="N9147" s="1" t="s">
        <v>10</v>
      </c>
      <c r="AI9147" s="1" t="s">
        <v>31</v>
      </c>
      <c r="AJ9147" s="1" t="s">
        <v>32</v>
      </c>
      <c r="AT9147" s="1" t="s">
        <v>42</v>
      </c>
      <c r="EF9147" s="1" t="s">
        <v>132</v>
      </c>
      <c r="EJ9147" s="1" t="s">
        <v>136</v>
      </c>
      <c r="GD9147" s="1" t="s">
        <v>193</v>
      </c>
      <c r="GE9147" s="1" t="s">
        <v>190</v>
      </c>
    </row>
    <row r="9148" spans="1:187" ht="11.25" customHeight="1">
      <c r="A9148" s="1" t="s">
        <v>12834</v>
      </c>
      <c r="B9148" s="1" t="str">
        <f ca="1">IFERROR(__xludf.DUMMYFUNCTION("GOOGLETRANSLATE(A9148, ""en"", ""fr"")"),"Sembler n ° 1")</f>
        <v>Sembler n ° 1</v>
      </c>
      <c r="C9148" s="1" t="s">
        <v>185</v>
      </c>
      <c r="X9148" s="1" t="s">
        <v>20</v>
      </c>
      <c r="CK9148" s="1" t="s">
        <v>85</v>
      </c>
      <c r="DP9148" s="1" t="s">
        <v>116</v>
      </c>
      <c r="FZ9148" s="1" t="s">
        <v>178</v>
      </c>
      <c r="GD9148" s="1" t="s">
        <v>969</v>
      </c>
      <c r="GE9148" s="1" t="s">
        <v>12835</v>
      </c>
    </row>
    <row r="9149" spans="1:187" ht="11.25" customHeight="1">
      <c r="A9149" s="1" t="s">
        <v>12836</v>
      </c>
      <c r="B9149" s="1" t="str">
        <f ca="1">IFERROR(__xludf.DUMMYFUNCTION("GOOGLETRANSLATE(A9149, ""en"", ""fr"")"),"Sembler # 2")</f>
        <v>Sembler # 2</v>
      </c>
      <c r="C9149" s="1" t="s">
        <v>185</v>
      </c>
      <c r="X9149" s="1" t="s">
        <v>20</v>
      </c>
      <c r="CK9149" s="1" t="s">
        <v>85</v>
      </c>
      <c r="FZ9149" s="1" t="s">
        <v>178</v>
      </c>
      <c r="GD9149" s="1" t="s">
        <v>202</v>
      </c>
      <c r="GE9149" s="1" t="s">
        <v>12837</v>
      </c>
    </row>
    <row r="9150" spans="1:187" ht="11.25" customHeight="1">
      <c r="A9150" s="1" t="s">
        <v>12838</v>
      </c>
      <c r="B9150" s="1" t="str">
        <f ca="1">IFERROR(__xludf.DUMMYFUNCTION("GOOGLETRANSLATE(A9150, ""en"", ""fr"")"),"VU")</f>
        <v>VU</v>
      </c>
      <c r="C9150" s="1" t="s">
        <v>185</v>
      </c>
      <c r="O9150" s="1" t="s">
        <v>11</v>
      </c>
      <c r="CK9150" s="1" t="s">
        <v>85</v>
      </c>
      <c r="DO9150" s="1" t="s">
        <v>115</v>
      </c>
      <c r="FP9150" s="1" t="s">
        <v>168</v>
      </c>
      <c r="GD9150" s="1" t="s">
        <v>1076</v>
      </c>
      <c r="GE9150" s="1" t="s">
        <v>190</v>
      </c>
    </row>
    <row r="9151" spans="1:187" ht="11.25" customHeight="1">
      <c r="A9151" s="1" t="s">
        <v>12839</v>
      </c>
      <c r="B9151" s="1" t="str">
        <f ca="1">IFERROR(__xludf.DUMMYFUNCTION("GOOGLETRANSLATE(A9151, ""en"", ""fr"")"),"VOIR LE")</f>
        <v>VOIR LE</v>
      </c>
      <c r="C9151" s="1" t="s">
        <v>192</v>
      </c>
      <c r="E9151" s="1" t="s">
        <v>16613</v>
      </c>
      <c r="I9151" s="1" t="s">
        <v>5</v>
      </c>
      <c r="N9151" s="1" t="s">
        <v>10</v>
      </c>
      <c r="BK9151" s="1" t="s">
        <v>59</v>
      </c>
      <c r="DP9151" s="1" t="s">
        <v>116</v>
      </c>
      <c r="GD9151" s="1" t="s">
        <v>189</v>
      </c>
      <c r="GE9151" s="1" t="s">
        <v>190</v>
      </c>
    </row>
    <row r="9152" spans="1:187" ht="11.25" customHeight="1">
      <c r="A9152" s="1" t="s">
        <v>12840</v>
      </c>
      <c r="B9152" s="1" t="str">
        <f ca="1">IFERROR(__xludf.DUMMYFUNCTION("GOOGLETRANSLATE(A9152, ""en"", ""fr"")"),"SEGMENT")</f>
        <v>SEGMENT</v>
      </c>
      <c r="C9152" s="1" t="s">
        <v>185</v>
      </c>
      <c r="DA9152" s="1" t="s">
        <v>101</v>
      </c>
      <c r="GD9152" s="1" t="s">
        <v>193</v>
      </c>
      <c r="GE9152" s="1" t="s">
        <v>190</v>
      </c>
    </row>
    <row r="9153" spans="1:187" ht="11.25" customHeight="1">
      <c r="A9153" s="1" t="s">
        <v>12841</v>
      </c>
      <c r="B9153" s="1" t="str">
        <f ca="1">IFERROR(__xludf.DUMMYFUNCTION("GOOGLETRANSLATE(A9153, ""en"", ""fr"")"),"SÉGRÉGATION")</f>
        <v>SÉGRÉGATION</v>
      </c>
      <c r="C9153" s="1" t="s">
        <v>185</v>
      </c>
      <c r="E9153" s="1" t="s">
        <v>16613</v>
      </c>
      <c r="H9153" s="1" t="s">
        <v>4</v>
      </c>
      <c r="I9153" s="1" t="s">
        <v>5</v>
      </c>
      <c r="Z9153" s="1" t="s">
        <v>22</v>
      </c>
      <c r="AC9153" s="1" t="s">
        <v>25</v>
      </c>
      <c r="AH9153" s="1" t="s">
        <v>30</v>
      </c>
      <c r="AO9153" s="1" t="s">
        <v>37</v>
      </c>
      <c r="EC9153" s="1" t="s">
        <v>129</v>
      </c>
      <c r="ED9153" s="1" t="s">
        <v>130</v>
      </c>
      <c r="GD9153" s="1" t="s">
        <v>193</v>
      </c>
      <c r="GE9153" s="1" t="s">
        <v>12842</v>
      </c>
    </row>
    <row r="9154" spans="1:187" ht="11.25" customHeight="1">
      <c r="A9154" s="1" t="s">
        <v>12843</v>
      </c>
      <c r="B9154" s="1" t="str">
        <f ca="1">IFERROR(__xludf.DUMMYFUNCTION("GOOGLETRANSLATE(A9154, ""en"", ""fr"")"),"SAISIR")</f>
        <v>SAISIR</v>
      </c>
      <c r="C9154" s="1" t="s">
        <v>185</v>
      </c>
      <c r="E9154" s="1" t="s">
        <v>16613</v>
      </c>
      <c r="H9154" s="1" t="s">
        <v>4</v>
      </c>
      <c r="I9154" s="1" t="s">
        <v>5</v>
      </c>
      <c r="J9154" s="1" t="s">
        <v>6</v>
      </c>
      <c r="N9154" s="1" t="s">
        <v>10</v>
      </c>
      <c r="CD9154" s="1" t="s">
        <v>78</v>
      </c>
      <c r="DN9154" s="1" t="s">
        <v>114</v>
      </c>
      <c r="DT9154" s="1" t="s">
        <v>120</v>
      </c>
      <c r="ED9154" s="1" t="s">
        <v>130</v>
      </c>
      <c r="GD9154" s="1" t="s">
        <v>189</v>
      </c>
      <c r="GE9154" s="1" t="s">
        <v>12844</v>
      </c>
    </row>
    <row r="9155" spans="1:187" ht="11.25" customHeight="1">
      <c r="A9155" s="1" t="s">
        <v>12845</v>
      </c>
      <c r="B9155" s="1" t="str">
        <f ca="1">IFERROR(__xludf.DUMMYFUNCTION("GOOGLETRANSLATE(A9155, ""en"", ""fr"")"),"RAREMENT")</f>
        <v>RAREMENT</v>
      </c>
      <c r="C9155" s="1" t="s">
        <v>185</v>
      </c>
      <c r="W9155" s="1" t="s">
        <v>19</v>
      </c>
      <c r="CW9155" s="1" t="s">
        <v>97</v>
      </c>
      <c r="GB9155" s="1" t="s">
        <v>180</v>
      </c>
      <c r="GD9155" s="1" t="s">
        <v>236</v>
      </c>
      <c r="GE9155" s="1" t="s">
        <v>190</v>
      </c>
    </row>
    <row r="9156" spans="1:187" ht="11.25" customHeight="1">
      <c r="A9156" s="1" t="s">
        <v>12846</v>
      </c>
      <c r="B9156" s="1" t="str">
        <f ca="1">IFERROR(__xludf.DUMMYFUNCTION("GOOGLETRANSLATE(A9156, ""en"", ""fr"")"),"SÉLECTIONNER")</f>
        <v>SÉLECTIONNER</v>
      </c>
      <c r="C9156" s="1" t="s">
        <v>185</v>
      </c>
      <c r="K9156" s="1" t="s">
        <v>7</v>
      </c>
      <c r="N9156" s="1" t="s">
        <v>10</v>
      </c>
      <c r="CO9156" s="1" t="s">
        <v>89</v>
      </c>
      <c r="DN9156" s="1" t="s">
        <v>114</v>
      </c>
      <c r="EC9156" s="1" t="s">
        <v>129</v>
      </c>
      <c r="ED9156" s="1" t="s">
        <v>130</v>
      </c>
      <c r="GD9156" s="1" t="s">
        <v>189</v>
      </c>
      <c r="GE9156" s="1" t="s">
        <v>190</v>
      </c>
    </row>
    <row r="9157" spans="1:187" ht="11.25" customHeight="1">
      <c r="A9157" s="1" t="s">
        <v>12847</v>
      </c>
      <c r="B9157" s="1" t="str">
        <f ca="1">IFERROR(__xludf.DUMMYFUNCTION("GOOGLETRANSLATE(A9157, ""en"", ""fr"")"),"SÉLECTION")</f>
        <v>SÉLECTION</v>
      </c>
      <c r="C9157" s="1" t="s">
        <v>185</v>
      </c>
      <c r="N9157" s="1" t="s">
        <v>10</v>
      </c>
      <c r="BO9157" s="1" t="s">
        <v>63</v>
      </c>
      <c r="EC9157" s="1" t="s">
        <v>129</v>
      </c>
      <c r="ED9157" s="1" t="s">
        <v>130</v>
      </c>
      <c r="GD9157" s="1" t="s">
        <v>193</v>
      </c>
      <c r="GE9157" s="1" t="s">
        <v>190</v>
      </c>
    </row>
    <row r="9158" spans="1:187" ht="11.25" customHeight="1">
      <c r="A9158" s="1" t="s">
        <v>12848</v>
      </c>
      <c r="B9158" s="1" t="str">
        <f ca="1">IFERROR(__xludf.DUMMYFUNCTION("GOOGLETRANSLATE(A9158, ""en"", ""fr"")"),"SÉLECTIF")</f>
        <v>SÉLECTIF</v>
      </c>
      <c r="C9158" s="1" t="s">
        <v>185</v>
      </c>
      <c r="D9158" s="1" t="s">
        <v>16612</v>
      </c>
      <c r="F9158" s="1" t="s">
        <v>2</v>
      </c>
      <c r="N9158" s="1" t="s">
        <v>10</v>
      </c>
      <c r="U9158" s="1" t="s">
        <v>17</v>
      </c>
      <c r="X9158" s="1" t="s">
        <v>20</v>
      </c>
      <c r="EC9158" s="1" t="s">
        <v>129</v>
      </c>
      <c r="ED9158" s="1" t="s">
        <v>130</v>
      </c>
      <c r="GD9158" s="1" t="s">
        <v>202</v>
      </c>
      <c r="GE9158" s="1" t="s">
        <v>190</v>
      </c>
    </row>
    <row r="9159" spans="1:187" ht="11.25" customHeight="1">
      <c r="A9159" s="1" t="s">
        <v>12849</v>
      </c>
      <c r="B9159" s="1" t="str">
        <f ca="1">IFERROR(__xludf.DUMMYFUNCTION("GOOGLETRANSLATE(A9159, ""en"", ""fr"")"),"SOI")</f>
        <v>SOI</v>
      </c>
      <c r="C9159" s="1" t="s">
        <v>185</v>
      </c>
      <c r="AJ9159" s="1" t="s">
        <v>32</v>
      </c>
      <c r="AT9159" s="1" t="s">
        <v>42</v>
      </c>
      <c r="FT9159" s="1" t="s">
        <v>172</v>
      </c>
      <c r="GD9159" s="1" t="s">
        <v>193</v>
      </c>
      <c r="GE9159" s="1" t="s">
        <v>12850</v>
      </c>
    </row>
    <row r="9160" spans="1:187" ht="11.25" customHeight="1">
      <c r="A9160" s="1" t="s">
        <v>12851</v>
      </c>
      <c r="B9160" s="1" t="str">
        <f ca="1">IFERROR(__xludf.DUMMYFUNCTION("GOOGLETRANSLATE(A9160, ""en"", ""fr"")"),"Autonome")</f>
        <v>Autonome</v>
      </c>
      <c r="C9160" s="1" t="s">
        <v>185</v>
      </c>
      <c r="D9160" s="1" t="s">
        <v>16612</v>
      </c>
      <c r="F9160" s="1" t="s">
        <v>2</v>
      </c>
      <c r="J9160" s="1" t="s">
        <v>6</v>
      </c>
      <c r="K9160" s="1" t="s">
        <v>7</v>
      </c>
      <c r="U9160" s="1" t="s">
        <v>17</v>
      </c>
      <c r="GD9160" s="1" t="s">
        <v>202</v>
      </c>
      <c r="GE9160" s="1" t="s">
        <v>190</v>
      </c>
    </row>
    <row r="9161" spans="1:187" ht="11.25" customHeight="1">
      <c r="A9161" s="1" t="s">
        <v>12852</v>
      </c>
      <c r="B9161" s="1" t="str">
        <f ca="1">IFERROR(__xludf.DUMMYFUNCTION("GOOGLETRANSLATE(A9161, ""en"", ""fr"")"),"AUTODÉTERMINATION")</f>
        <v>AUTODÉTERMINATION</v>
      </c>
      <c r="C9161" s="1" t="s">
        <v>196</v>
      </c>
      <c r="EC9161" s="1" t="s">
        <v>129</v>
      </c>
      <c r="ED9161" s="1" t="s">
        <v>130</v>
      </c>
      <c r="GD9161" s="1" t="s">
        <v>193</v>
      </c>
    </row>
    <row r="9162" spans="1:187" ht="11.25" customHeight="1">
      <c r="A9162" s="1" t="s">
        <v>12853</v>
      </c>
      <c r="B9162" s="1" t="str">
        <f ca="1">IFERROR(__xludf.DUMMYFUNCTION("GOOGLETRANSLATE(A9162, ""en"", ""fr"")"),"Autonome")</f>
        <v>Autonome</v>
      </c>
      <c r="C9162" s="1" t="s">
        <v>196</v>
      </c>
      <c r="EB9162" s="1" t="s">
        <v>128</v>
      </c>
      <c r="ED9162" s="1" t="s">
        <v>130</v>
      </c>
      <c r="GD9162" s="1" t="s">
        <v>202</v>
      </c>
    </row>
    <row r="9163" spans="1:187" ht="11.25" customHeight="1">
      <c r="A9163" s="1" t="s">
        <v>12854</v>
      </c>
      <c r="B9163" s="1" t="str">
        <f ca="1">IFERROR(__xludf.DUMMYFUNCTION("GOOGLETRANSLATE(A9163, ""en"", ""fr"")"),"Autonomie")</f>
        <v>Autonomie</v>
      </c>
      <c r="C9163" s="1" t="s">
        <v>196</v>
      </c>
      <c r="EB9163" s="1" t="s">
        <v>128</v>
      </c>
      <c r="ED9163" s="1" t="s">
        <v>130</v>
      </c>
      <c r="GD9163" s="1" t="s">
        <v>470</v>
      </c>
    </row>
    <row r="9164" spans="1:187" ht="11.25" customHeight="1">
      <c r="A9164" s="1" t="s">
        <v>12855</v>
      </c>
      <c r="B9164" s="1" t="str">
        <f ca="1">IFERROR(__xludf.DUMMYFUNCTION("GOOGLETRANSLATE(A9164, ""en"", ""fr"")"),"RESPECT DE SOI")</f>
        <v>RESPECT DE SOI</v>
      </c>
      <c r="C9164" s="1" t="s">
        <v>185</v>
      </c>
      <c r="D9164" s="1" t="s">
        <v>16612</v>
      </c>
      <c r="F9164" s="1" t="s">
        <v>2</v>
      </c>
      <c r="U9164" s="1" t="s">
        <v>17</v>
      </c>
      <c r="EM9164" s="1" t="s">
        <v>139</v>
      </c>
      <c r="EN9164" s="1" t="s">
        <v>140</v>
      </c>
      <c r="GD9164" s="1" t="s">
        <v>193</v>
      </c>
      <c r="GE9164" s="1" t="s">
        <v>190</v>
      </c>
    </row>
    <row r="9165" spans="1:187" ht="11.25" customHeight="1">
      <c r="A9165" s="1" t="s">
        <v>12856</v>
      </c>
      <c r="B9165" s="1" t="str">
        <f ca="1">IFERROR(__xludf.DUMMYFUNCTION("GOOGLETRANSLATE(A9165, ""en"", ""fr"")"),"ÉGOÏSTE")</f>
        <v>ÉGOÏSTE</v>
      </c>
      <c r="C9165" s="1" t="s">
        <v>185</v>
      </c>
      <c r="E9165" s="1" t="s">
        <v>16613</v>
      </c>
      <c r="H9165" s="1" t="s">
        <v>4</v>
      </c>
      <c r="V9165" s="1" t="s">
        <v>18</v>
      </c>
      <c r="EM9165" s="1" t="s">
        <v>139</v>
      </c>
      <c r="EN9165" s="1" t="s">
        <v>140</v>
      </c>
      <c r="GD9165" s="1" t="s">
        <v>202</v>
      </c>
      <c r="GE9165" s="1" t="s">
        <v>190</v>
      </c>
    </row>
    <row r="9166" spans="1:187" ht="11.25" customHeight="1">
      <c r="A9166" s="1" t="s">
        <v>12857</v>
      </c>
      <c r="B9166" s="1" t="str">
        <f ca="1">IFERROR(__xludf.DUMMYFUNCTION("GOOGLETRANSLATE(A9166, ""en"", ""fr"")"),"ÉGOÏSME")</f>
        <v>ÉGOÏSME</v>
      </c>
      <c r="C9166" s="1" t="s">
        <v>192</v>
      </c>
      <c r="E9166" s="1" t="s">
        <v>16613</v>
      </c>
      <c r="R9166" s="1" t="s">
        <v>14</v>
      </c>
      <c r="BN9166" s="1" t="s">
        <v>62</v>
      </c>
      <c r="CD9166" s="1" t="s">
        <v>78</v>
      </c>
      <c r="DQ9166" s="1" t="s">
        <v>117</v>
      </c>
      <c r="GD9166" s="1" t="s">
        <v>202</v>
      </c>
      <c r="GE9166" s="1" t="s">
        <v>190</v>
      </c>
    </row>
    <row r="9167" spans="1:187" ht="11.25" customHeight="1">
      <c r="A9167" s="1" t="s">
        <v>12858</v>
      </c>
      <c r="B9167" s="1" t="str">
        <f ca="1">IFERROR(__xludf.DUMMYFUNCTION("GOOGLETRANSLATE(A9167, ""en"", ""fr"")"),"Vendre n ° 1")</f>
        <v>Vendre n ° 1</v>
      </c>
      <c r="C9167" s="1" t="s">
        <v>185</v>
      </c>
      <c r="N9167" s="1" t="s">
        <v>10</v>
      </c>
      <c r="AA9167" s="1" t="s">
        <v>23</v>
      </c>
      <c r="AB9167" s="1" t="s">
        <v>24</v>
      </c>
      <c r="DO9167" s="1" t="s">
        <v>115</v>
      </c>
      <c r="EU9167" s="1" t="s">
        <v>147</v>
      </c>
      <c r="EW9167" s="1" t="s">
        <v>149</v>
      </c>
      <c r="GD9167" s="1" t="s">
        <v>400</v>
      </c>
      <c r="GE9167" s="1" t="s">
        <v>12859</v>
      </c>
    </row>
    <row r="9168" spans="1:187" ht="11.25" customHeight="1">
      <c r="A9168" s="1" t="s">
        <v>12860</v>
      </c>
      <c r="B9168" s="1" t="str">
        <f ca="1">IFERROR(__xludf.DUMMYFUNCTION("GOOGLETRANSLATE(A9168, ""en"", ""fr"")"),"Vendre n ° 2")</f>
        <v>Vendre n ° 2</v>
      </c>
      <c r="C9168" s="1" t="s">
        <v>185</v>
      </c>
      <c r="N9168" s="1" t="s">
        <v>10</v>
      </c>
      <c r="AA9168" s="1" t="s">
        <v>23</v>
      </c>
      <c r="AB9168" s="1" t="s">
        <v>24</v>
      </c>
      <c r="EV9168" s="1" t="s">
        <v>148</v>
      </c>
      <c r="EW9168" s="1" t="s">
        <v>149</v>
      </c>
      <c r="GD9168" s="1" t="s">
        <v>193</v>
      </c>
      <c r="GE9168" s="1" t="s">
        <v>12861</v>
      </c>
    </row>
    <row r="9169" spans="1:187" ht="11.25" customHeight="1">
      <c r="A9169" s="1" t="s">
        <v>12862</v>
      </c>
      <c r="B9169" s="1" t="str">
        <f ca="1">IFERROR(__xludf.DUMMYFUNCTION("GOOGLETRANSLATE(A9169, ""en"", ""fr"")"),"VENDEUR")</f>
        <v>VENDEUR</v>
      </c>
      <c r="C9169" s="1" t="s">
        <v>185</v>
      </c>
      <c r="AA9169" s="1" t="s">
        <v>23</v>
      </c>
      <c r="AJ9169" s="1" t="s">
        <v>32</v>
      </c>
      <c r="AT9169" s="1" t="s">
        <v>42</v>
      </c>
      <c r="ET9169" s="1" t="s">
        <v>146</v>
      </c>
      <c r="EW9169" s="1" t="s">
        <v>149</v>
      </c>
      <c r="GD9169" s="1" t="s">
        <v>193</v>
      </c>
      <c r="GE9169" s="1" t="s">
        <v>190</v>
      </c>
    </row>
    <row r="9170" spans="1:187" ht="11.25" customHeight="1">
      <c r="A9170" s="1" t="s">
        <v>12863</v>
      </c>
      <c r="B9170" s="1" t="str">
        <f ca="1">IFERROR(__xludf.DUMMYFUNCTION("GOOGLETRANSLATE(A9170, ""en"", ""fr"")"),"SÉMANTIQUE")</f>
        <v>SÉMANTIQUE</v>
      </c>
      <c r="C9170" s="1" t="s">
        <v>185</v>
      </c>
      <c r="Y9170" s="1" t="s">
        <v>21</v>
      </c>
      <c r="Z9170" s="1" t="s">
        <v>22</v>
      </c>
      <c r="FH9170" s="1" t="s">
        <v>160</v>
      </c>
      <c r="FI9170" s="1" t="s">
        <v>161</v>
      </c>
      <c r="GD9170" s="1" t="s">
        <v>202</v>
      </c>
      <c r="GE9170" s="1" t="s">
        <v>190</v>
      </c>
    </row>
    <row r="9171" spans="1:187" ht="11.25" customHeight="1">
      <c r="A9171" s="1" t="s">
        <v>12864</v>
      </c>
      <c r="B9171" s="1" t="str">
        <f ca="1">IFERROR(__xludf.DUMMYFUNCTION("GOOGLETRANSLATE(A9171, ""en"", ""fr"")"),"SEMBLANT")</f>
        <v>SEMBLANT</v>
      </c>
      <c r="C9171" s="1" t="s">
        <v>185</v>
      </c>
      <c r="D9171" s="1" t="s">
        <v>16612</v>
      </c>
      <c r="CK9171" s="1" t="s">
        <v>85</v>
      </c>
      <c r="FH9171" s="1" t="s">
        <v>160</v>
      </c>
      <c r="FI9171" s="1" t="s">
        <v>161</v>
      </c>
      <c r="GD9171" s="1" t="s">
        <v>193</v>
      </c>
      <c r="GE9171" s="1" t="s">
        <v>190</v>
      </c>
    </row>
    <row r="9172" spans="1:187" ht="11.25" customHeight="1">
      <c r="A9172" s="1" t="s">
        <v>12865</v>
      </c>
      <c r="B9172" s="1" t="str">
        <f ca="1">IFERROR(__xludf.DUMMYFUNCTION("GOOGLETRANSLATE(A9172, ""en"", ""fr"")"),"SEMESTRE")</f>
        <v>SEMESTRE</v>
      </c>
      <c r="C9172" s="1" t="s">
        <v>185</v>
      </c>
      <c r="Y9172" s="1" t="s">
        <v>21</v>
      </c>
      <c r="CQ9172" s="1" t="s">
        <v>91</v>
      </c>
      <c r="CY9172" s="1" t="s">
        <v>99</v>
      </c>
      <c r="CZ9172" s="1" t="s">
        <v>100</v>
      </c>
      <c r="FH9172" s="1" t="s">
        <v>160</v>
      </c>
      <c r="FI9172" s="1" t="s">
        <v>161</v>
      </c>
      <c r="GD9172" s="1" t="s">
        <v>193</v>
      </c>
      <c r="GE9172" s="1" t="s">
        <v>190</v>
      </c>
    </row>
    <row r="9173" spans="1:187" ht="11.25" customHeight="1">
      <c r="A9173" s="1" t="s">
        <v>12866</v>
      </c>
      <c r="B9173" s="1" t="str">
        <f ca="1">IFERROR(__xludf.DUMMYFUNCTION("GOOGLETRANSLATE(A9173, ""en"", ""fr"")"),"SÉMINAIRE")</f>
        <v>SÉMINAIRE</v>
      </c>
      <c r="C9173" s="1" t="s">
        <v>185</v>
      </c>
      <c r="Y9173" s="1" t="s">
        <v>21</v>
      </c>
      <c r="AI9173" s="1" t="s">
        <v>31</v>
      </c>
      <c r="AV9173" s="1" t="s">
        <v>44</v>
      </c>
      <c r="AW9173" s="1" t="s">
        <v>45</v>
      </c>
      <c r="EF9173" s="1" t="s">
        <v>132</v>
      </c>
      <c r="EJ9173" s="1" t="s">
        <v>136</v>
      </c>
      <c r="GD9173" s="1" t="s">
        <v>193</v>
      </c>
      <c r="GE9173" s="1" t="s">
        <v>190</v>
      </c>
    </row>
    <row r="9174" spans="1:187" ht="11.25" customHeight="1">
      <c r="A9174" s="1" t="s">
        <v>12867</v>
      </c>
      <c r="B9174" s="1" t="str">
        <f ca="1">IFERROR(__xludf.DUMMYFUNCTION("GOOGLETRANSLATE(A9174, ""en"", ""fr"")"),"SÉNAT")</f>
        <v>SÉNAT</v>
      </c>
      <c r="C9174" s="1" t="s">
        <v>185</v>
      </c>
      <c r="J9174" s="1" t="s">
        <v>6</v>
      </c>
      <c r="K9174" s="1" t="s">
        <v>7</v>
      </c>
      <c r="AG9174" s="1" t="s">
        <v>29</v>
      </c>
      <c r="AH9174" s="1" t="s">
        <v>30</v>
      </c>
      <c r="AK9174" s="1" t="s">
        <v>33</v>
      </c>
      <c r="AT9174" s="1" t="s">
        <v>42</v>
      </c>
      <c r="DY9174" s="1" t="s">
        <v>125</v>
      </c>
      <c r="ED9174" s="1" t="s">
        <v>130</v>
      </c>
      <c r="GD9174" s="1" t="s">
        <v>193</v>
      </c>
      <c r="GE9174" s="1" t="s">
        <v>190</v>
      </c>
    </row>
    <row r="9175" spans="1:187" ht="11.25" customHeight="1">
      <c r="A9175" s="1" t="s">
        <v>12868</v>
      </c>
      <c r="B9175" s="1" t="str">
        <f ca="1">IFERROR(__xludf.DUMMYFUNCTION("GOOGLETRANSLATE(A9175, ""en"", ""fr"")"),"SÉNATEUR")</f>
        <v>SÉNATEUR</v>
      </c>
      <c r="C9175" s="1" t="s">
        <v>185</v>
      </c>
      <c r="J9175" s="1" t="s">
        <v>6</v>
      </c>
      <c r="K9175" s="1" t="s">
        <v>7</v>
      </c>
      <c r="AC9175" s="1" t="s">
        <v>25</v>
      </c>
      <c r="AG9175" s="1" t="s">
        <v>29</v>
      </c>
      <c r="AH9175" s="1" t="s">
        <v>30</v>
      </c>
      <c r="AJ9175" s="1" t="s">
        <v>32</v>
      </c>
      <c r="AT9175" s="1" t="s">
        <v>42</v>
      </c>
      <c r="DY9175" s="1" t="s">
        <v>125</v>
      </c>
      <c r="ED9175" s="1" t="s">
        <v>130</v>
      </c>
      <c r="GD9175" s="1" t="s">
        <v>193</v>
      </c>
      <c r="GE9175" s="1" t="s">
        <v>190</v>
      </c>
    </row>
    <row r="9176" spans="1:187" ht="11.25" customHeight="1">
      <c r="A9176" s="1" t="s">
        <v>12869</v>
      </c>
      <c r="B9176" s="1" t="str">
        <f ca="1">IFERROR(__xludf.DUMMYFUNCTION("GOOGLETRANSLATE(A9176, ""en"", ""fr"")"),"Envoyer n ° 1")</f>
        <v>Envoyer n ° 1</v>
      </c>
      <c r="C9176" s="1" t="s">
        <v>185</v>
      </c>
      <c r="N9176" s="1" t="s">
        <v>10</v>
      </c>
      <c r="CD9176" s="1" t="s">
        <v>78</v>
      </c>
      <c r="DO9176" s="1" t="s">
        <v>115</v>
      </c>
      <c r="GD9176" s="1" t="s">
        <v>189</v>
      </c>
      <c r="GE9176" s="1" t="s">
        <v>12870</v>
      </c>
    </row>
    <row r="9177" spans="1:187" ht="11.25" customHeight="1">
      <c r="A9177" s="1" t="s">
        <v>12871</v>
      </c>
      <c r="B9177" s="1" t="str">
        <f ca="1">IFERROR(__xludf.DUMMYFUNCTION("GOOGLETRANSLATE(A9177, ""en"", ""fr"")"),"Envoyer n ° 2")</f>
        <v>Envoyer n ° 2</v>
      </c>
      <c r="C9177" s="1" t="s">
        <v>185</v>
      </c>
      <c r="N9177" s="1" t="s">
        <v>10</v>
      </c>
      <c r="CE9177" s="1" t="s">
        <v>79</v>
      </c>
      <c r="GD9177" s="1" t="s">
        <v>193</v>
      </c>
      <c r="GE9177" s="1" t="s">
        <v>12872</v>
      </c>
    </row>
    <row r="9178" spans="1:187" ht="11.25" customHeight="1">
      <c r="A9178" s="1" t="s">
        <v>12873</v>
      </c>
      <c r="B9178" s="1" t="str">
        <f ca="1">IFERROR(__xludf.DUMMYFUNCTION("GOOGLETRANSLATE(A9178, ""en"", ""fr"")"),"SÉNÉGAL")</f>
        <v>SÉNÉGAL</v>
      </c>
      <c r="C9178" s="1" t="s">
        <v>196</v>
      </c>
      <c r="FU9178" s="1" t="s">
        <v>173</v>
      </c>
      <c r="GD9178" s="1" t="s">
        <v>545</v>
      </c>
    </row>
    <row r="9179" spans="1:187" ht="11.25" customHeight="1">
      <c r="A9179" s="1" t="s">
        <v>12874</v>
      </c>
      <c r="B9179" s="1" t="str">
        <f ca="1">IFERROR(__xludf.DUMMYFUNCTION("GOOGLETRANSLATE(A9179, ""en"", ""fr"")"),"SÉNILE")</f>
        <v>SÉNILE</v>
      </c>
      <c r="C9179" s="1" t="s">
        <v>192</v>
      </c>
      <c r="E9179" s="1" t="s">
        <v>16613</v>
      </c>
      <c r="BT9179" s="1" t="s">
        <v>68</v>
      </c>
      <c r="CG9179" s="1" t="s">
        <v>81</v>
      </c>
      <c r="DR9179" s="1" t="s">
        <v>118</v>
      </c>
      <c r="GD9179" s="1" t="s">
        <v>202</v>
      </c>
      <c r="GE9179" s="1" t="s">
        <v>190</v>
      </c>
    </row>
    <row r="9180" spans="1:187" ht="11.25" customHeight="1">
      <c r="A9180" s="1" t="s">
        <v>12875</v>
      </c>
      <c r="B9180" s="1" t="str">
        <f ca="1">IFERROR(__xludf.DUMMYFUNCTION("GOOGLETRANSLATE(A9180, ""en"", ""fr"")"),"Senior n ° 1")</f>
        <v>Senior n ° 1</v>
      </c>
      <c r="C9180" s="1" t="s">
        <v>185</v>
      </c>
      <c r="Y9180" s="1" t="s">
        <v>21</v>
      </c>
      <c r="AJ9180" s="1" t="s">
        <v>32</v>
      </c>
      <c r="FG9180" s="1" t="s">
        <v>159</v>
      </c>
      <c r="FI9180" s="1" t="s">
        <v>161</v>
      </c>
      <c r="GD9180" s="1" t="s">
        <v>1446</v>
      </c>
      <c r="GE9180" s="1" t="s">
        <v>12876</v>
      </c>
    </row>
    <row r="9181" spans="1:187" ht="11.25" customHeight="1">
      <c r="A9181" s="1" t="s">
        <v>12877</v>
      </c>
      <c r="B9181" s="1" t="str">
        <f ca="1">IFERROR(__xludf.DUMMYFUNCTION("GOOGLETRANSLATE(A9181, ""en"", ""fr"")"),"Senior n ° 2")</f>
        <v>Senior n ° 2</v>
      </c>
      <c r="C9181" s="1" t="s">
        <v>185</v>
      </c>
      <c r="J9181" s="1" t="s">
        <v>6</v>
      </c>
      <c r="CY9181" s="1" t="s">
        <v>99</v>
      </c>
      <c r="EM9181" s="1" t="s">
        <v>139</v>
      </c>
      <c r="EN9181" s="1" t="s">
        <v>140</v>
      </c>
      <c r="GD9181" s="1" t="s">
        <v>202</v>
      </c>
      <c r="GE9181" s="1" t="s">
        <v>12878</v>
      </c>
    </row>
    <row r="9182" spans="1:187" ht="11.25" customHeight="1">
      <c r="A9182" s="1" t="s">
        <v>12879</v>
      </c>
      <c r="B9182" s="1" t="str">
        <f ca="1">IFERROR(__xludf.DUMMYFUNCTION("GOOGLETRANSLATE(A9182, ""en"", ""fr"")"),"SENSATIONNEL")</f>
        <v>SENSATIONNEL</v>
      </c>
      <c r="C9182" s="1" t="s">
        <v>185</v>
      </c>
      <c r="D9182" s="1" t="s">
        <v>16612</v>
      </c>
      <c r="F9182" s="1" t="s">
        <v>2</v>
      </c>
      <c r="J9182" s="1" t="s">
        <v>6</v>
      </c>
      <c r="U9182" s="1" t="s">
        <v>17</v>
      </c>
      <c r="W9182" s="1" t="s">
        <v>19</v>
      </c>
      <c r="CN9182" s="1" t="s">
        <v>88</v>
      </c>
      <c r="GD9182" s="1" t="s">
        <v>202</v>
      </c>
      <c r="GE9182" s="1" t="s">
        <v>190</v>
      </c>
    </row>
    <row r="9183" spans="1:187" ht="11.25" customHeight="1">
      <c r="A9183" s="1" t="s">
        <v>12880</v>
      </c>
      <c r="B9183" s="1" t="str">
        <f ca="1">IFERROR(__xludf.DUMMYFUNCTION("GOOGLETRANSLATE(A9183, ""en"", ""fr"")"),"Sens # 1")</f>
        <v>Sens # 1</v>
      </c>
      <c r="C9183" s="1" t="s">
        <v>185</v>
      </c>
      <c r="O9183" s="1" t="s">
        <v>11</v>
      </c>
      <c r="S9183" s="1" t="s">
        <v>15</v>
      </c>
      <c r="FA9183" s="1" t="s">
        <v>153</v>
      </c>
      <c r="FC9183" s="1" t="s">
        <v>155</v>
      </c>
      <c r="GD9183" s="1" t="s">
        <v>193</v>
      </c>
      <c r="GE9183" s="1" t="s">
        <v>12881</v>
      </c>
    </row>
    <row r="9184" spans="1:187" ht="11.25" customHeight="1">
      <c r="A9184" s="1" t="s">
        <v>12882</v>
      </c>
      <c r="B9184" s="1" t="str">
        <f ca="1">IFERROR(__xludf.DUMMYFUNCTION("GOOGLETRANSLATE(A9184, ""en"", ""fr"")"),"Sens # 2")</f>
        <v>Sens # 2</v>
      </c>
      <c r="C9184" s="1" t="s">
        <v>185</v>
      </c>
      <c r="CK9184" s="1" t="s">
        <v>85</v>
      </c>
      <c r="FH9184" s="1" t="s">
        <v>160</v>
      </c>
      <c r="FI9184" s="1" t="s">
        <v>161</v>
      </c>
      <c r="GD9184" s="1" t="s">
        <v>193</v>
      </c>
      <c r="GE9184" s="1" t="s">
        <v>12883</v>
      </c>
    </row>
    <row r="9185" spans="1:187" ht="11.25" customHeight="1">
      <c r="A9185" s="1" t="s">
        <v>12884</v>
      </c>
      <c r="B9185" s="1" t="str">
        <f ca="1">IFERROR(__xludf.DUMMYFUNCTION("GOOGLETRANSLATE(A9185, ""en"", ""fr"")"),"Sens # 3")</f>
        <v>Sens # 3</v>
      </c>
      <c r="C9185" s="1" t="s">
        <v>185</v>
      </c>
      <c r="D9185" s="1" t="s">
        <v>16612</v>
      </c>
      <c r="F9185" s="1" t="s">
        <v>2</v>
      </c>
      <c r="U9185" s="1" t="s">
        <v>17</v>
      </c>
      <c r="FH9185" s="1" t="s">
        <v>160</v>
      </c>
      <c r="FI9185" s="1" t="s">
        <v>161</v>
      </c>
      <c r="GD9185" s="1" t="s">
        <v>193</v>
      </c>
      <c r="GE9185" s="1" t="s">
        <v>12885</v>
      </c>
    </row>
    <row r="9186" spans="1:187" ht="11.25" customHeight="1">
      <c r="A9186" s="1" t="s">
        <v>12886</v>
      </c>
      <c r="B9186" s="1" t="str">
        <f ca="1">IFERROR(__xludf.DUMMYFUNCTION("GOOGLETRANSLATE(A9186, ""en"", ""fr"")"),"Sens # 4")</f>
        <v>Sens # 4</v>
      </c>
      <c r="C9186" s="1" t="s">
        <v>185</v>
      </c>
      <c r="CH9186" s="1" t="s">
        <v>82</v>
      </c>
      <c r="FZ9186" s="1" t="s">
        <v>178</v>
      </c>
      <c r="GD9186" s="1" t="s">
        <v>193</v>
      </c>
      <c r="GE9186" s="1" t="s">
        <v>12887</v>
      </c>
    </row>
    <row r="9187" spans="1:187" ht="11.25" customHeight="1">
      <c r="A9187" s="1" t="s">
        <v>12888</v>
      </c>
      <c r="B9187" s="1" t="str">
        <f ca="1">IFERROR(__xludf.DUMMYFUNCTION("GOOGLETRANSLATE(A9187, ""en"", ""fr"")"),"Sens # 5")</f>
        <v>Sens # 5</v>
      </c>
      <c r="C9187" s="1" t="s">
        <v>185</v>
      </c>
      <c r="D9187" s="1" t="s">
        <v>16612</v>
      </c>
      <c r="F9187" s="1" t="s">
        <v>2</v>
      </c>
      <c r="CH9187" s="1" t="s">
        <v>82</v>
      </c>
      <c r="CP9187" s="1" t="s">
        <v>90</v>
      </c>
      <c r="CQ9187" s="1" t="s">
        <v>91</v>
      </c>
      <c r="FH9187" s="1" t="s">
        <v>160</v>
      </c>
      <c r="FI9187" s="1" t="s">
        <v>161</v>
      </c>
      <c r="GD9187" s="1" t="s">
        <v>193</v>
      </c>
      <c r="GE9187" s="1" t="s">
        <v>12889</v>
      </c>
    </row>
    <row r="9188" spans="1:187" ht="11.25" customHeight="1">
      <c r="A9188" s="1" t="s">
        <v>12890</v>
      </c>
      <c r="B9188" s="1" t="str">
        <f ca="1">IFERROR(__xludf.DUMMYFUNCTION("GOOGLETRANSLATE(A9188, ""en"", ""fr"")"),"Sens # 6")</f>
        <v>Sens # 6</v>
      </c>
      <c r="C9188" s="1" t="s">
        <v>185</v>
      </c>
      <c r="O9188" s="1" t="s">
        <v>11</v>
      </c>
      <c r="CK9188" s="1" t="s">
        <v>85</v>
      </c>
      <c r="DN9188" s="1" t="s">
        <v>114</v>
      </c>
      <c r="FD9188" s="1" t="s">
        <v>156</v>
      </c>
      <c r="FI9188" s="1" t="s">
        <v>161</v>
      </c>
      <c r="GD9188" s="1" t="s">
        <v>189</v>
      </c>
      <c r="GE9188" s="1" t="s">
        <v>12891</v>
      </c>
    </row>
    <row r="9189" spans="1:187" ht="11.25" customHeight="1">
      <c r="A9189" s="1" t="s">
        <v>12892</v>
      </c>
      <c r="B9189" s="1" t="str">
        <f ca="1">IFERROR(__xludf.DUMMYFUNCTION("GOOGLETRANSLATE(A9189, ""en"", ""fr"")"),"Sens # 7")</f>
        <v>Sens # 7</v>
      </c>
      <c r="C9189" s="1" t="s">
        <v>185</v>
      </c>
      <c r="GD9189" s="1" t="s">
        <v>225</v>
      </c>
      <c r="GE9189" s="1" t="s">
        <v>12893</v>
      </c>
    </row>
    <row r="9190" spans="1:187" ht="11.25" customHeight="1">
      <c r="A9190" s="1" t="s">
        <v>12894</v>
      </c>
      <c r="B9190" s="1" t="str">
        <f ca="1">IFERROR(__xludf.DUMMYFUNCTION("GOOGLETRANSLATE(A9190, ""en"", ""fr"")"),"INSENSÉ")</f>
        <v>INSENSÉ</v>
      </c>
      <c r="C9190" s="1" t="s">
        <v>192</v>
      </c>
      <c r="E9190" s="1" t="s">
        <v>16613</v>
      </c>
      <c r="BT9190" s="1" t="s">
        <v>68</v>
      </c>
      <c r="CG9190" s="1" t="s">
        <v>81</v>
      </c>
      <c r="DR9190" s="1" t="s">
        <v>118</v>
      </c>
      <c r="GD9190" s="1" t="s">
        <v>202</v>
      </c>
      <c r="GE9190" s="1" t="s">
        <v>190</v>
      </c>
    </row>
    <row r="9191" spans="1:187" ht="11.25" customHeight="1">
      <c r="A9191" s="1" t="s">
        <v>12895</v>
      </c>
      <c r="B9191" s="1" t="str">
        <f ca="1">IFERROR(__xludf.DUMMYFUNCTION("GOOGLETRANSLATE(A9191, ""en"", ""fr"")"),"SENSIBLE")</f>
        <v>SENSIBLE</v>
      </c>
      <c r="C9191" s="1" t="s">
        <v>185</v>
      </c>
      <c r="D9191" s="1" t="s">
        <v>16612</v>
      </c>
      <c r="F9191" s="1" t="s">
        <v>2</v>
      </c>
      <c r="U9191" s="1" t="s">
        <v>17</v>
      </c>
      <c r="CN9191" s="1" t="s">
        <v>88</v>
      </c>
      <c r="FH9191" s="1" t="s">
        <v>160</v>
      </c>
      <c r="FI9191" s="1" t="s">
        <v>161</v>
      </c>
      <c r="GD9191" s="1" t="s">
        <v>202</v>
      </c>
      <c r="GE9191" s="1" t="s">
        <v>190</v>
      </c>
    </row>
    <row r="9192" spans="1:187" ht="11.25" customHeight="1">
      <c r="A9192" s="1" t="s">
        <v>12896</v>
      </c>
      <c r="B9192" s="1" t="str">
        <f ca="1">IFERROR(__xludf.DUMMYFUNCTION("GOOGLETRANSLATE(A9192, ""en"", ""fr"")"),"SENSIBLE")</f>
        <v>SENSIBLE</v>
      </c>
      <c r="C9192" s="1" t="s">
        <v>185</v>
      </c>
      <c r="D9192" s="1" t="s">
        <v>16612</v>
      </c>
      <c r="F9192" s="1" t="s">
        <v>2</v>
      </c>
      <c r="S9192" s="1" t="s">
        <v>15</v>
      </c>
      <c r="T9192" s="1" t="s">
        <v>16</v>
      </c>
      <c r="FL9192" s="1" t="s">
        <v>164</v>
      </c>
      <c r="FM9192" s="1" t="s">
        <v>418</v>
      </c>
      <c r="GD9192" s="1" t="s">
        <v>202</v>
      </c>
      <c r="GE9192" s="1" t="s">
        <v>190</v>
      </c>
    </row>
    <row r="9193" spans="1:187" ht="11.25" customHeight="1">
      <c r="A9193" s="1" t="s">
        <v>12897</v>
      </c>
      <c r="B9193" s="1" t="str">
        <f ca="1">IFERROR(__xludf.DUMMYFUNCTION("GOOGLETRANSLATE(A9193, ""en"", ""fr"")"),"SENSIBILITÉ")</f>
        <v>SENSIBILITÉ</v>
      </c>
      <c r="C9193" s="1" t="s">
        <v>185</v>
      </c>
      <c r="D9193" s="1" t="s">
        <v>16612</v>
      </c>
      <c r="F9193" s="1" t="s">
        <v>2</v>
      </c>
      <c r="S9193" s="1" t="s">
        <v>15</v>
      </c>
      <c r="T9193" s="1" t="s">
        <v>16</v>
      </c>
      <c r="CP9193" s="1" t="s">
        <v>90</v>
      </c>
      <c r="CQ9193" s="1" t="s">
        <v>91</v>
      </c>
      <c r="GD9193" s="1" t="s">
        <v>193</v>
      </c>
      <c r="GE9193" s="1" t="s">
        <v>190</v>
      </c>
    </row>
    <row r="9194" spans="1:187" ht="11.25" customHeight="1">
      <c r="A9194" s="1" t="s">
        <v>12898</v>
      </c>
      <c r="B9194" s="1" t="str">
        <f ca="1">IFERROR(__xludf.DUMMYFUNCTION("GOOGLETRANSLATE(A9194, ""en"", ""fr"")"),"SENSORIEL")</f>
        <v>SENSORIEL</v>
      </c>
      <c r="C9194" s="1" t="s">
        <v>185</v>
      </c>
      <c r="CK9194" s="1" t="s">
        <v>85</v>
      </c>
      <c r="FH9194" s="1" t="s">
        <v>160</v>
      </c>
      <c r="FI9194" s="1" t="s">
        <v>161</v>
      </c>
      <c r="GD9194" s="1" t="s">
        <v>202</v>
      </c>
      <c r="GE9194" s="1" t="s">
        <v>190</v>
      </c>
    </row>
    <row r="9195" spans="1:187" ht="11.25" customHeight="1">
      <c r="A9195" s="1" t="s">
        <v>12899</v>
      </c>
      <c r="B9195" s="1" t="str">
        <f ca="1">IFERROR(__xludf.DUMMYFUNCTION("GOOGLETRANSLATE(A9195, ""en"", ""fr"")"),"ENVOYÉ")</f>
        <v>ENVOYÉ</v>
      </c>
      <c r="C9195" s="1" t="s">
        <v>185</v>
      </c>
      <c r="N9195" s="1" t="s">
        <v>10</v>
      </c>
      <c r="CD9195" s="1" t="s">
        <v>78</v>
      </c>
      <c r="DO9195" s="1" t="s">
        <v>115</v>
      </c>
      <c r="GD9195" s="1" t="s">
        <v>1076</v>
      </c>
      <c r="GE9195" s="1" t="s">
        <v>12900</v>
      </c>
    </row>
    <row r="9196" spans="1:187" ht="11.25" customHeight="1">
      <c r="A9196" s="1" t="s">
        <v>12901</v>
      </c>
      <c r="B9196" s="1" t="str">
        <f ca="1">IFERROR(__xludf.DUMMYFUNCTION("GOOGLETRANSLATE(A9196, ""en"", ""fr"")"),"Phrase n ° 1")</f>
        <v>Phrase n ° 1</v>
      </c>
      <c r="C9196" s="1" t="s">
        <v>185</v>
      </c>
      <c r="BK9196" s="1" t="s">
        <v>59</v>
      </c>
      <c r="BL9196" s="1" t="s">
        <v>60</v>
      </c>
      <c r="GC9196" s="1" t="s">
        <v>181</v>
      </c>
      <c r="GD9196" s="1" t="s">
        <v>193</v>
      </c>
      <c r="GE9196" s="1" t="s">
        <v>190</v>
      </c>
    </row>
    <row r="9197" spans="1:187" ht="11.25" customHeight="1">
      <c r="A9197" s="1" t="s">
        <v>12902</v>
      </c>
      <c r="B9197" s="1" t="str">
        <f ca="1">IFERROR(__xludf.DUMMYFUNCTION("GOOGLETRANSLATE(A9197, ""en"", ""fr"")"),"Phrase n ° 2")</f>
        <v>Phrase n ° 2</v>
      </c>
      <c r="C9197" s="1" t="s">
        <v>185</v>
      </c>
      <c r="E9197" s="1" t="s">
        <v>16613</v>
      </c>
      <c r="H9197" s="1" t="s">
        <v>4</v>
      </c>
      <c r="J9197" s="1" t="s">
        <v>6</v>
      </c>
      <c r="K9197" s="1" t="s">
        <v>7</v>
      </c>
      <c r="N9197" s="1" t="s">
        <v>10</v>
      </c>
      <c r="AE9197" s="1" t="s">
        <v>27</v>
      </c>
      <c r="BK9197" s="1" t="s">
        <v>59</v>
      </c>
      <c r="DO9197" s="1" t="s">
        <v>115</v>
      </c>
      <c r="FP9197" s="1" t="s">
        <v>168</v>
      </c>
      <c r="GD9197" s="1" t="s">
        <v>189</v>
      </c>
      <c r="GE9197" s="1" t="s">
        <v>190</v>
      </c>
    </row>
    <row r="9198" spans="1:187" ht="11.25" customHeight="1">
      <c r="A9198" s="1" t="s">
        <v>12903</v>
      </c>
      <c r="B9198" s="1" t="str">
        <f ca="1">IFERROR(__xludf.DUMMYFUNCTION("GOOGLETRANSLATE(A9198, ""en"", ""fr"")"),"SENTIMENT")</f>
        <v>SENTIMENT</v>
      </c>
      <c r="C9198" s="1" t="s">
        <v>185</v>
      </c>
      <c r="L9198" s="1" t="s">
        <v>8</v>
      </c>
      <c r="O9198" s="1" t="s">
        <v>11</v>
      </c>
      <c r="S9198" s="1" t="s">
        <v>15</v>
      </c>
      <c r="T9198" s="1" t="s">
        <v>16</v>
      </c>
      <c r="ER9198" s="1" t="s">
        <v>144</v>
      </c>
      <c r="ES9198" s="1" t="s">
        <v>145</v>
      </c>
      <c r="GD9198" s="1" t="s">
        <v>193</v>
      </c>
      <c r="GE9198" s="1" t="s">
        <v>190</v>
      </c>
    </row>
    <row r="9199" spans="1:187" ht="11.25" customHeight="1">
      <c r="A9199" s="1" t="s">
        <v>12904</v>
      </c>
      <c r="B9199" s="1" t="str">
        <f ca="1">IFERROR(__xludf.DUMMYFUNCTION("GOOGLETRANSLATE(A9199, ""en"", ""fr"")"),"SENTIMENTAL")</f>
        <v>SENTIMENTAL</v>
      </c>
      <c r="C9199" s="1" t="s">
        <v>185</v>
      </c>
      <c r="L9199" s="1" t="s">
        <v>8</v>
      </c>
      <c r="O9199" s="1" t="s">
        <v>11</v>
      </c>
      <c r="S9199" s="1" t="s">
        <v>15</v>
      </c>
      <c r="T9199" s="1" t="s">
        <v>16</v>
      </c>
      <c r="ER9199" s="1" t="s">
        <v>144</v>
      </c>
      <c r="ES9199" s="1" t="s">
        <v>145</v>
      </c>
      <c r="GD9199" s="1" t="s">
        <v>202</v>
      </c>
      <c r="GE9199" s="1" t="s">
        <v>190</v>
      </c>
    </row>
    <row r="9200" spans="1:187" ht="11.25" customHeight="1">
      <c r="A9200" s="1" t="s">
        <v>12905</v>
      </c>
      <c r="B9200" s="1" t="str">
        <f ca="1">IFERROR(__xludf.DUMMYFUNCTION("GOOGLETRANSLATE(A9200, ""en"", ""fr"")"),"Séparé n ° 1")</f>
        <v>Séparé n ° 1</v>
      </c>
      <c r="C9200" s="1" t="s">
        <v>185</v>
      </c>
      <c r="N9200" s="1" t="s">
        <v>10</v>
      </c>
      <c r="DD9200" s="1" t="s">
        <v>104</v>
      </c>
      <c r="DO9200" s="1" t="s">
        <v>115</v>
      </c>
      <c r="FO9200" s="1" t="s">
        <v>167</v>
      </c>
      <c r="GD9200" s="1" t="s">
        <v>189</v>
      </c>
      <c r="GE9200" s="1" t="s">
        <v>12906</v>
      </c>
    </row>
    <row r="9201" spans="1:187" ht="11.25" customHeight="1">
      <c r="A9201" s="1" t="s">
        <v>12907</v>
      </c>
      <c r="B9201" s="1" t="str">
        <f ca="1">IFERROR(__xludf.DUMMYFUNCTION("GOOGLETRANSLATE(A9201, ""en"", ""fr"")"),"Séparé # 2")</f>
        <v>Séparé # 2</v>
      </c>
      <c r="C9201" s="1" t="s">
        <v>185</v>
      </c>
      <c r="DD9201" s="1" t="s">
        <v>104</v>
      </c>
      <c r="GB9201" s="1" t="s">
        <v>180</v>
      </c>
      <c r="GD9201" s="1" t="s">
        <v>202</v>
      </c>
      <c r="GE9201" s="1" t="s">
        <v>12908</v>
      </c>
    </row>
    <row r="9202" spans="1:187" ht="11.25" customHeight="1">
      <c r="A9202" s="1" t="s">
        <v>12909</v>
      </c>
      <c r="B9202" s="1" t="str">
        <f ca="1">IFERROR(__xludf.DUMMYFUNCTION("GOOGLETRANSLATE(A9202, ""en"", ""fr"")"),"Séparé # 3")</f>
        <v>Séparé # 3</v>
      </c>
      <c r="C9202" s="1" t="s">
        <v>185</v>
      </c>
      <c r="CR9202" s="1" t="s">
        <v>92</v>
      </c>
      <c r="GB9202" s="1" t="s">
        <v>180</v>
      </c>
      <c r="GD9202" s="1" t="s">
        <v>236</v>
      </c>
      <c r="GE9202" s="1" t="s">
        <v>12910</v>
      </c>
    </row>
    <row r="9203" spans="1:187" ht="11.25" customHeight="1">
      <c r="A9203" s="1" t="s">
        <v>12911</v>
      </c>
      <c r="B9203" s="1" t="str">
        <f ca="1">IFERROR(__xludf.DUMMYFUNCTION("GOOGLETRANSLATE(A9203, ""en"", ""fr"")"),"SÉPARATION")</f>
        <v>SÉPARATION</v>
      </c>
      <c r="C9203" s="1" t="s">
        <v>185</v>
      </c>
      <c r="DD9203" s="1" t="s">
        <v>104</v>
      </c>
      <c r="FO9203" s="1" t="s">
        <v>167</v>
      </c>
      <c r="GD9203" s="1" t="s">
        <v>193</v>
      </c>
      <c r="GE9203" s="1" t="s">
        <v>190</v>
      </c>
    </row>
    <row r="9204" spans="1:187" ht="11.25" customHeight="1">
      <c r="A9204" s="1" t="s">
        <v>12912</v>
      </c>
      <c r="B9204" s="1" t="str">
        <f ca="1">IFERROR(__xludf.DUMMYFUNCTION("GOOGLETRANSLATE(A9204, ""en"", ""fr"")"),"SEPTEMBRE")</f>
        <v>SEPTEMBRE</v>
      </c>
      <c r="C9204" s="1" t="s">
        <v>185</v>
      </c>
      <c r="CQ9204" s="1" t="s">
        <v>91</v>
      </c>
      <c r="CY9204" s="1" t="s">
        <v>99</v>
      </c>
      <c r="CZ9204" s="1" t="s">
        <v>100</v>
      </c>
      <c r="GB9204" s="1" t="s">
        <v>180</v>
      </c>
      <c r="GD9204" s="1" t="s">
        <v>193</v>
      </c>
      <c r="GE9204" s="1" t="s">
        <v>190</v>
      </c>
    </row>
    <row r="9205" spans="1:187" ht="11.25" customHeight="1">
      <c r="A9205" s="1" t="s">
        <v>12913</v>
      </c>
      <c r="B9205" s="1" t="str">
        <f ca="1">IFERROR(__xludf.DUMMYFUNCTION("GOOGLETRANSLATE(A9205, ""en"", ""fr"")"),"SÉQUENCE")</f>
        <v>SÉQUENCE</v>
      </c>
      <c r="C9205" s="1" t="s">
        <v>185</v>
      </c>
      <c r="CP9205" s="1" t="s">
        <v>90</v>
      </c>
      <c r="CQ9205" s="1" t="s">
        <v>91</v>
      </c>
      <c r="CY9205" s="1" t="s">
        <v>99</v>
      </c>
      <c r="GB9205" s="1" t="s">
        <v>180</v>
      </c>
      <c r="GD9205" s="1" t="s">
        <v>193</v>
      </c>
      <c r="GE9205" s="1" t="s">
        <v>190</v>
      </c>
    </row>
    <row r="9206" spans="1:187" ht="11.25" customHeight="1">
      <c r="A9206" s="1" t="s">
        <v>12914</v>
      </c>
      <c r="B9206" s="1" t="str">
        <f ca="1">IFERROR(__xludf.DUMMYFUNCTION("GOOGLETRANSLATE(A9206, ""en"", ""fr"")"),"SÉQUESTRER")</f>
        <v>SÉQUESTRER</v>
      </c>
      <c r="C9206" s="1" t="s">
        <v>192</v>
      </c>
      <c r="E9206" s="1" t="s">
        <v>16613</v>
      </c>
      <c r="K9206" s="1" t="s">
        <v>7</v>
      </c>
      <c r="AE9206" s="1" t="s">
        <v>27</v>
      </c>
      <c r="CA9206" s="1" t="s">
        <v>75</v>
      </c>
      <c r="DN9206" s="1" t="s">
        <v>114</v>
      </c>
      <c r="GD9206" s="1" t="s">
        <v>189</v>
      </c>
      <c r="GE9206" s="1" t="s">
        <v>190</v>
      </c>
    </row>
    <row r="9207" spans="1:187" ht="11.25" customHeight="1">
      <c r="A9207" s="1" t="s">
        <v>12915</v>
      </c>
      <c r="B9207" s="1" t="str">
        <f ca="1">IFERROR(__xludf.DUMMYFUNCTION("GOOGLETRANSLATE(A9207, ""en"", ""fr"")"),"SEREIN")</f>
        <v>SEREIN</v>
      </c>
      <c r="C9207" s="1" t="s">
        <v>185</v>
      </c>
      <c r="D9207" s="1" t="s">
        <v>16612</v>
      </c>
      <c r="F9207" s="1" t="s">
        <v>2</v>
      </c>
      <c r="J9207" s="1" t="s">
        <v>6</v>
      </c>
      <c r="O9207" s="1" t="s">
        <v>11</v>
      </c>
      <c r="S9207" s="1" t="s">
        <v>15</v>
      </c>
      <c r="T9207" s="1" t="s">
        <v>16</v>
      </c>
      <c r="GD9207" s="1" t="s">
        <v>202</v>
      </c>
      <c r="GE9207" s="1" t="s">
        <v>190</v>
      </c>
    </row>
    <row r="9208" spans="1:187" ht="11.25" customHeight="1">
      <c r="A9208" s="1" t="s">
        <v>12916</v>
      </c>
      <c r="B9208" s="1" t="str">
        <f ca="1">IFERROR(__xludf.DUMMYFUNCTION("GOOGLETRANSLATE(A9208, ""en"", ""fr"")"),"SERGENT")</f>
        <v>SERGENT</v>
      </c>
      <c r="C9208" s="1" t="s">
        <v>185</v>
      </c>
      <c r="K9208" s="1" t="s">
        <v>7</v>
      </c>
      <c r="AF9208" s="1" t="s">
        <v>28</v>
      </c>
      <c r="AJ9208" s="1" t="s">
        <v>32</v>
      </c>
      <c r="AT9208" s="1" t="s">
        <v>42</v>
      </c>
      <c r="DY9208" s="1" t="s">
        <v>125</v>
      </c>
      <c r="ED9208" s="1" t="s">
        <v>130</v>
      </c>
      <c r="GD9208" s="1" t="s">
        <v>193</v>
      </c>
      <c r="GE9208" s="1" t="s">
        <v>190</v>
      </c>
    </row>
    <row r="9209" spans="1:187" ht="11.25" customHeight="1">
      <c r="A9209" s="1" t="s">
        <v>12917</v>
      </c>
      <c r="B9209" s="1" t="str">
        <f ca="1">IFERROR(__xludf.DUMMYFUNCTION("GOOGLETRANSLATE(A9209, ""en"", ""fr"")"),"SÉRIE")</f>
        <v>SÉRIE</v>
      </c>
      <c r="C9209" s="1" t="s">
        <v>185</v>
      </c>
      <c r="CP9209" s="1" t="s">
        <v>90</v>
      </c>
      <c r="CQ9209" s="1" t="s">
        <v>91</v>
      </c>
      <c r="CY9209" s="1" t="s">
        <v>99</v>
      </c>
      <c r="GD9209" s="1" t="s">
        <v>193</v>
      </c>
      <c r="GE9209" s="1" t="s">
        <v>190</v>
      </c>
    </row>
    <row r="9210" spans="1:187" ht="11.25" customHeight="1">
      <c r="A9210" s="1" t="s">
        <v>12918</v>
      </c>
      <c r="B9210" s="1" t="str">
        <f ca="1">IFERROR(__xludf.DUMMYFUNCTION("GOOGLETRANSLATE(A9210, ""en"", ""fr"")"),"SÉRIEUX")</f>
        <v>SÉRIEUX</v>
      </c>
      <c r="C9210" s="1" t="s">
        <v>185</v>
      </c>
      <c r="D9210" s="1" t="s">
        <v>16612</v>
      </c>
      <c r="F9210" s="1" t="s">
        <v>2</v>
      </c>
      <c r="S9210" s="1" t="s">
        <v>15</v>
      </c>
      <c r="CN9210" s="1" t="s">
        <v>88</v>
      </c>
      <c r="FL9210" s="1" t="s">
        <v>164</v>
      </c>
      <c r="FM9210" s="1" t="s">
        <v>418</v>
      </c>
      <c r="GD9210" s="1" t="s">
        <v>202</v>
      </c>
      <c r="GE9210" s="1" t="s">
        <v>12919</v>
      </c>
    </row>
    <row r="9211" spans="1:187" ht="11.25" customHeight="1">
      <c r="A9211" s="1" t="s">
        <v>12920</v>
      </c>
      <c r="B9211" s="1" t="str">
        <f ca="1">IFERROR(__xludf.DUMMYFUNCTION("GOOGLETRANSLATE(A9211, ""en"", ""fr"")"),"GRAVITÉ")</f>
        <v>GRAVITÉ</v>
      </c>
      <c r="C9211" s="1" t="s">
        <v>185</v>
      </c>
      <c r="D9211" s="1" t="s">
        <v>16612</v>
      </c>
      <c r="F9211" s="1" t="s">
        <v>2</v>
      </c>
      <c r="S9211" s="1" t="s">
        <v>15</v>
      </c>
      <c r="GD9211" s="1" t="s">
        <v>193</v>
      </c>
      <c r="GE9211" s="1" t="s">
        <v>190</v>
      </c>
    </row>
    <row r="9212" spans="1:187" ht="11.25" customHeight="1">
      <c r="A9212" s="1" t="s">
        <v>12921</v>
      </c>
      <c r="B9212" s="1" t="str">
        <f ca="1">IFERROR(__xludf.DUMMYFUNCTION("GOOGLETRANSLATE(A9212, ""en"", ""fr"")"),"SERMON")</f>
        <v>SERMON</v>
      </c>
      <c r="C9212" s="1" t="s">
        <v>185</v>
      </c>
      <c r="AI9212" s="1" t="s">
        <v>31</v>
      </c>
      <c r="BK9212" s="1" t="s">
        <v>59</v>
      </c>
      <c r="BL9212" s="1" t="s">
        <v>60</v>
      </c>
      <c r="EF9212" s="1" t="s">
        <v>132</v>
      </c>
      <c r="EJ9212" s="1" t="s">
        <v>136</v>
      </c>
      <c r="GC9212" s="1" t="s">
        <v>181</v>
      </c>
      <c r="GD9212" s="1" t="s">
        <v>193</v>
      </c>
      <c r="GE9212" s="1" t="s">
        <v>190</v>
      </c>
    </row>
    <row r="9213" spans="1:187" ht="11.25" customHeight="1">
      <c r="A9213" s="1" t="s">
        <v>12922</v>
      </c>
      <c r="B9213" s="1" t="str">
        <f ca="1">IFERROR(__xludf.DUMMYFUNCTION("GOOGLETRANSLATE(A9213, ""en"", ""fr"")"),"SÉRUM")</f>
        <v>SÉRUM</v>
      </c>
      <c r="C9213" s="1" t="s">
        <v>185</v>
      </c>
      <c r="BC9213" s="1" t="s">
        <v>51</v>
      </c>
      <c r="BD9213" s="1" t="s">
        <v>52</v>
      </c>
      <c r="EZ9213" s="1" t="s">
        <v>152</v>
      </c>
      <c r="FC9213" s="1" t="s">
        <v>155</v>
      </c>
      <c r="GD9213" s="1" t="s">
        <v>193</v>
      </c>
      <c r="GE9213" s="1" t="s">
        <v>190</v>
      </c>
    </row>
    <row r="9214" spans="1:187" ht="11.25" customHeight="1">
      <c r="A9214" s="1" t="s">
        <v>12923</v>
      </c>
      <c r="B9214" s="1" t="str">
        <f ca="1">IFERROR(__xludf.DUMMYFUNCTION("GOOGLETRANSLATE(A9214, ""en"", ""fr"")"),"SERVITEUR")</f>
        <v>SERVITEUR</v>
      </c>
      <c r="C9214" s="1" t="s">
        <v>185</v>
      </c>
      <c r="M9214" s="1" t="s">
        <v>9</v>
      </c>
      <c r="AA9214" s="1" t="s">
        <v>23</v>
      </c>
      <c r="AC9214" s="1" t="s">
        <v>25</v>
      </c>
      <c r="AJ9214" s="1" t="s">
        <v>32</v>
      </c>
      <c r="AT9214" s="1" t="s">
        <v>42</v>
      </c>
      <c r="FK9214" s="1" t="s">
        <v>163</v>
      </c>
      <c r="FM9214" s="1" t="s">
        <v>418</v>
      </c>
      <c r="GD9214" s="1" t="s">
        <v>193</v>
      </c>
      <c r="GE9214" s="1" t="s">
        <v>12924</v>
      </c>
    </row>
    <row r="9215" spans="1:187" ht="11.25" customHeight="1">
      <c r="A9215" s="1" t="s">
        <v>12925</v>
      </c>
      <c r="B9215" s="1" t="str">
        <f ca="1">IFERROR(__xludf.DUMMYFUNCTION("GOOGLETRANSLATE(A9215, ""en"", ""fr"")"),"Servir n ° 1")</f>
        <v>Servir n ° 1</v>
      </c>
      <c r="C9215" s="1" t="s">
        <v>185</v>
      </c>
      <c r="L9215" s="1" t="s">
        <v>8</v>
      </c>
      <c r="M9215" s="1" t="s">
        <v>9</v>
      </c>
      <c r="N9215" s="1" t="s">
        <v>10</v>
      </c>
      <c r="AA9215" s="1" t="s">
        <v>23</v>
      </c>
      <c r="AN9215" s="1" t="s">
        <v>36</v>
      </c>
      <c r="DN9215" s="1" t="s">
        <v>114</v>
      </c>
      <c r="FQ9215" s="1" t="s">
        <v>169</v>
      </c>
      <c r="GD9215" s="1" t="s">
        <v>189</v>
      </c>
      <c r="GE9215" s="1" t="s">
        <v>12926</v>
      </c>
    </row>
    <row r="9216" spans="1:187" ht="11.25" customHeight="1">
      <c r="A9216" s="1" t="s">
        <v>12927</v>
      </c>
      <c r="B9216" s="1" t="str">
        <f ca="1">IFERROR(__xludf.DUMMYFUNCTION("GOOGLETRANSLATE(A9216, ""en"", ""fr"")"),"Servir n ° 2")</f>
        <v>Servir n ° 2</v>
      </c>
      <c r="C9216" s="1" t="s">
        <v>185</v>
      </c>
      <c r="M9216" s="1" t="s">
        <v>9</v>
      </c>
      <c r="N9216" s="1" t="s">
        <v>10</v>
      </c>
      <c r="AL9216" s="1" t="s">
        <v>34</v>
      </c>
      <c r="DN9216" s="1" t="s">
        <v>114</v>
      </c>
      <c r="FP9216" s="1" t="s">
        <v>168</v>
      </c>
      <c r="GD9216" s="1" t="s">
        <v>189</v>
      </c>
      <c r="GE9216" s="1" t="s">
        <v>12928</v>
      </c>
    </row>
    <row r="9217" spans="1:187" ht="11.25" customHeight="1">
      <c r="A9217" s="1" t="s">
        <v>12929</v>
      </c>
      <c r="B9217" s="1" t="str">
        <f ca="1">IFERROR(__xludf.DUMMYFUNCTION("GOOGLETRANSLATE(A9217, ""en"", ""fr"")"),"Servir # 3")</f>
        <v>Servir # 3</v>
      </c>
      <c r="C9217" s="1" t="s">
        <v>185</v>
      </c>
      <c r="V9217" s="1" t="s">
        <v>18</v>
      </c>
      <c r="DN9217" s="1" t="s">
        <v>114</v>
      </c>
      <c r="EL9217" s="1" t="s">
        <v>138</v>
      </c>
      <c r="EN9217" s="1" t="s">
        <v>140</v>
      </c>
      <c r="GD9217" s="1" t="s">
        <v>189</v>
      </c>
      <c r="GE9217" s="1" t="s">
        <v>12930</v>
      </c>
    </row>
    <row r="9218" spans="1:187" ht="11.25" customHeight="1">
      <c r="A9218" s="1" t="s">
        <v>12931</v>
      </c>
      <c r="B9218" s="1" t="str">
        <f ca="1">IFERROR(__xludf.DUMMYFUNCTION("GOOGLETRANSLATE(A9218, ""en"", ""fr"")"),"Servir n ° 4")</f>
        <v>Servir n ° 4</v>
      </c>
      <c r="C9218" s="1" t="s">
        <v>192</v>
      </c>
      <c r="E9218" s="1" t="s">
        <v>16613</v>
      </c>
      <c r="H9218" s="1" t="s">
        <v>4</v>
      </c>
      <c r="I9218" s="1" t="s">
        <v>5</v>
      </c>
      <c r="BK9218" s="1" t="s">
        <v>59</v>
      </c>
      <c r="DN9218" s="1" t="s">
        <v>114</v>
      </c>
      <c r="GD9218" s="1" t="s">
        <v>189</v>
      </c>
      <c r="GE9218" s="1" t="s">
        <v>12932</v>
      </c>
    </row>
    <row r="9219" spans="1:187" ht="11.25" customHeight="1">
      <c r="A9219" s="1" t="s">
        <v>12933</v>
      </c>
      <c r="B9219" s="1" t="str">
        <f ca="1">IFERROR(__xludf.DUMMYFUNCTION("GOOGLETRANSLATE(A9219, ""en"", ""fr"")"),"Service n ° 1")</f>
        <v>Service n ° 1</v>
      </c>
      <c r="C9219" s="1" t="s">
        <v>185</v>
      </c>
      <c r="M9219" s="1" t="s">
        <v>9</v>
      </c>
      <c r="U9219" s="1" t="s">
        <v>17</v>
      </c>
      <c r="AC9219" s="1" t="s">
        <v>25</v>
      </c>
      <c r="EC9219" s="1" t="s">
        <v>129</v>
      </c>
      <c r="ED9219" s="1" t="s">
        <v>130</v>
      </c>
      <c r="GD9219" s="1" t="s">
        <v>193</v>
      </c>
      <c r="GE9219" s="1" t="s">
        <v>12934</v>
      </c>
    </row>
    <row r="9220" spans="1:187" ht="11.25" customHeight="1">
      <c r="A9220" s="1" t="s">
        <v>12935</v>
      </c>
      <c r="B9220" s="1" t="str">
        <f ca="1">IFERROR(__xludf.DUMMYFUNCTION("GOOGLETRANSLATE(A9220, ""en"", ""fr"")"),"Service n ° 2")</f>
        <v>Service n ° 2</v>
      </c>
      <c r="C9220" s="1" t="s">
        <v>185</v>
      </c>
      <c r="AF9220" s="1" t="s">
        <v>28</v>
      </c>
      <c r="AM9220" s="1" t="s">
        <v>35</v>
      </c>
      <c r="EZ9220" s="1" t="s">
        <v>152</v>
      </c>
      <c r="FC9220" s="1" t="s">
        <v>155</v>
      </c>
      <c r="GD9220" s="1" t="s">
        <v>193</v>
      </c>
      <c r="GE9220" s="1" t="s">
        <v>12936</v>
      </c>
    </row>
    <row r="9221" spans="1:187" ht="11.25" customHeight="1">
      <c r="A9221" s="1" t="s">
        <v>12937</v>
      </c>
      <c r="B9221" s="1" t="str">
        <f ca="1">IFERROR(__xludf.DUMMYFUNCTION("GOOGLETRANSLATE(A9221, ""en"", ""fr"")"),"Service n ° 3")</f>
        <v>Service n ° 3</v>
      </c>
      <c r="C9221" s="1" t="s">
        <v>192</v>
      </c>
      <c r="E9221" s="1" t="s">
        <v>16613</v>
      </c>
      <c r="H9221" s="1" t="s">
        <v>4</v>
      </c>
      <c r="I9221" s="1" t="s">
        <v>5</v>
      </c>
      <c r="L9221" s="1" t="s">
        <v>8</v>
      </c>
      <c r="M9221" s="1" t="s">
        <v>9</v>
      </c>
      <c r="AN9221" s="1" t="s">
        <v>36</v>
      </c>
      <c r="DN9221" s="1" t="s">
        <v>114</v>
      </c>
      <c r="GD9221" s="1" t="s">
        <v>189</v>
      </c>
      <c r="GE9221" s="1" t="s">
        <v>12938</v>
      </c>
    </row>
    <row r="9222" spans="1:187" ht="11.25" customHeight="1">
      <c r="A9222" s="1" t="s">
        <v>12939</v>
      </c>
      <c r="B9222" s="1" t="str">
        <f ca="1">IFERROR(__xludf.DUMMYFUNCTION("GOOGLETRANSLATE(A9222, ""en"", ""fr"")"),"Service n ° 4")</f>
        <v>Service n ° 4</v>
      </c>
      <c r="C9222" s="1" t="s">
        <v>192</v>
      </c>
      <c r="AI9222" s="1" t="s">
        <v>31</v>
      </c>
      <c r="AM9222" s="1" t="s">
        <v>35</v>
      </c>
      <c r="GD9222" s="1" t="s">
        <v>193</v>
      </c>
      <c r="GE9222" s="1" t="s">
        <v>12940</v>
      </c>
    </row>
    <row r="9223" spans="1:187" ht="11.25" customHeight="1">
      <c r="A9223" s="1" t="s">
        <v>12941</v>
      </c>
      <c r="B9223" s="1" t="str">
        <f ca="1">IFERROR(__xludf.DUMMYFUNCTION("GOOGLETRANSLATE(A9223, ""en"", ""fr"")"),"Service n ° 5")</f>
        <v>Service n ° 5</v>
      </c>
      <c r="C9223" s="1" t="s">
        <v>192</v>
      </c>
      <c r="AL9223" s="1" t="s">
        <v>34</v>
      </c>
      <c r="DN9223" s="1" t="s">
        <v>114</v>
      </c>
      <c r="GD9223" s="1" t="s">
        <v>189</v>
      </c>
      <c r="GE9223" s="1" t="s">
        <v>12942</v>
      </c>
    </row>
    <row r="9224" spans="1:187" ht="11.25" customHeight="1">
      <c r="A9224" s="1" t="s">
        <v>12943</v>
      </c>
      <c r="B9224" s="1" t="str">
        <f ca="1">IFERROR(__xludf.DUMMYFUNCTION("GOOGLETRANSLATE(A9224, ""en"", ""fr"")"),"Service n ° 6")</f>
        <v>Service n ° 6</v>
      </c>
      <c r="C9224" s="1" t="s">
        <v>192</v>
      </c>
      <c r="GD9224" s="1" t="s">
        <v>225</v>
      </c>
      <c r="GE9224" s="1" t="s">
        <v>12944</v>
      </c>
    </row>
    <row r="9225" spans="1:187" ht="11.25" customHeight="1">
      <c r="A9225" s="1" t="s">
        <v>12945</v>
      </c>
      <c r="B9225" s="1" t="str">
        <f ca="1">IFERROR(__xludf.DUMMYFUNCTION("GOOGLETRANSLATE(A9225, ""en"", ""fr"")"),"Militaires")</f>
        <v>Militaires</v>
      </c>
      <c r="C9225" s="1" t="s">
        <v>196</v>
      </c>
      <c r="DY9225" s="1" t="s">
        <v>125</v>
      </c>
      <c r="ED9225" s="1" t="s">
        <v>130</v>
      </c>
      <c r="GD9225" s="1" t="s">
        <v>4912</v>
      </c>
    </row>
    <row r="9226" spans="1:187" ht="11.25" customHeight="1">
      <c r="A9226" s="1" t="s">
        <v>12946</v>
      </c>
      <c r="B9226" s="1" t="str">
        <f ca="1">IFERROR(__xludf.DUMMYFUNCTION("GOOGLETRANSLATE(A9226, ""en"", ""fr"")"),"SERVITUDE")</f>
        <v>SERVITUDE</v>
      </c>
      <c r="C9226" s="1" t="s">
        <v>192</v>
      </c>
      <c r="E9226" s="1" t="s">
        <v>16613</v>
      </c>
      <c r="L9226" s="1" t="s">
        <v>8</v>
      </c>
      <c r="M9226" s="1" t="s">
        <v>9</v>
      </c>
      <c r="AN9226" s="1" t="s">
        <v>36</v>
      </c>
      <c r="GD9226" s="1" t="s">
        <v>193</v>
      </c>
      <c r="GE9226" s="1" t="s">
        <v>190</v>
      </c>
    </row>
    <row r="9227" spans="1:187" ht="11.25" customHeight="1">
      <c r="A9227" s="1" t="s">
        <v>12947</v>
      </c>
      <c r="B9227" s="1" t="str">
        <f ca="1">IFERROR(__xludf.DUMMYFUNCTION("GOOGLETRANSLATE(A9227, ""en"", ""fr"")"),"SESSION")</f>
        <v>SESSION</v>
      </c>
      <c r="C9227" s="1" t="s">
        <v>185</v>
      </c>
      <c r="CY9227" s="1" t="s">
        <v>99</v>
      </c>
      <c r="FS9227" s="1" t="s">
        <v>171</v>
      </c>
      <c r="GD9227" s="1" t="s">
        <v>193</v>
      </c>
      <c r="GE9227" s="1" t="s">
        <v>12948</v>
      </c>
    </row>
    <row r="9228" spans="1:187" ht="11.25" customHeight="1">
      <c r="A9228" s="1" t="s">
        <v>12949</v>
      </c>
      <c r="B9228" s="1" t="str">
        <f ca="1">IFERROR(__xludf.DUMMYFUNCTION("GOOGLETRANSLATE(A9228, ""en"", ""fr"")"),"Définir n ° 1")</f>
        <v>Définir n ° 1</v>
      </c>
      <c r="C9228" s="1" t="s">
        <v>185</v>
      </c>
      <c r="N9228" s="1" t="s">
        <v>10</v>
      </c>
      <c r="CA9228" s="1" t="s">
        <v>75</v>
      </c>
      <c r="DN9228" s="1" t="s">
        <v>114</v>
      </c>
      <c r="GD9228" s="1" t="s">
        <v>189</v>
      </c>
      <c r="GE9228" s="1" t="s">
        <v>12950</v>
      </c>
    </row>
    <row r="9229" spans="1:187" ht="11.25" customHeight="1">
      <c r="A9229" s="1" t="s">
        <v>12951</v>
      </c>
      <c r="B9229" s="1" t="str">
        <f ca="1">IFERROR(__xludf.DUMMYFUNCTION("GOOGLETRANSLATE(A9229, ""en"", ""fr"")"),"Set # 10")</f>
        <v>Set # 10</v>
      </c>
      <c r="C9229" s="1" t="s">
        <v>196</v>
      </c>
      <c r="GD9229" s="1" t="s">
        <v>225</v>
      </c>
    </row>
    <row r="9230" spans="1:187" ht="11.25" customHeight="1">
      <c r="A9230" s="1" t="s">
        <v>12952</v>
      </c>
      <c r="B9230" s="1" t="str">
        <f ca="1">IFERROR(__xludf.DUMMYFUNCTION("GOOGLETRANSLATE(A9230, ""en"", ""fr"")"),"Set # 11")</f>
        <v>Set # 11</v>
      </c>
      <c r="C9230" s="1" t="s">
        <v>196</v>
      </c>
      <c r="GD9230" s="1" t="s">
        <v>225</v>
      </c>
    </row>
    <row r="9231" spans="1:187" ht="11.25" customHeight="1">
      <c r="A9231" s="1" t="s">
        <v>12953</v>
      </c>
      <c r="B9231" s="1" t="str">
        <f ca="1">IFERROR(__xludf.DUMMYFUNCTION("GOOGLETRANSLATE(A9231, ""en"", ""fr"")"),"Set # 2")</f>
        <v>Set # 2</v>
      </c>
      <c r="C9231" s="1" t="s">
        <v>185</v>
      </c>
      <c r="CH9231" s="1" t="s">
        <v>82</v>
      </c>
      <c r="GD9231" s="1" t="s">
        <v>193</v>
      </c>
      <c r="GE9231" s="1" t="s">
        <v>12954</v>
      </c>
    </row>
    <row r="9232" spans="1:187" ht="11.25" customHeight="1">
      <c r="A9232" s="1" t="s">
        <v>12955</v>
      </c>
      <c r="B9232" s="1" t="str">
        <f ca="1">IFERROR(__xludf.DUMMYFUNCTION("GOOGLETRANSLATE(A9232, ""en"", ""fr"")"),"Set # 3")</f>
        <v>Set # 3</v>
      </c>
      <c r="C9232" s="1" t="s">
        <v>185</v>
      </c>
      <c r="J9232" s="1" t="s">
        <v>6</v>
      </c>
      <c r="O9232" s="1" t="s">
        <v>11</v>
      </c>
      <c r="CR9232" s="1" t="s">
        <v>92</v>
      </c>
      <c r="GD9232" s="1" t="s">
        <v>202</v>
      </c>
      <c r="GE9232" s="1" t="s">
        <v>12956</v>
      </c>
    </row>
    <row r="9233" spans="1:187" ht="11.25" customHeight="1">
      <c r="A9233" s="1" t="s">
        <v>12957</v>
      </c>
      <c r="B9233" s="1" t="str">
        <f ca="1">IFERROR(__xludf.DUMMYFUNCTION("GOOGLETRANSLATE(A9233, ""en"", ""fr"")"),"Set # 4")</f>
        <v>Set # 4</v>
      </c>
      <c r="C9233" s="1" t="s">
        <v>185</v>
      </c>
      <c r="N9233" s="1" t="s">
        <v>10</v>
      </c>
      <c r="BV9233" s="1" t="s">
        <v>70</v>
      </c>
      <c r="DN9233" s="1" t="s">
        <v>114</v>
      </c>
      <c r="FN9233" s="1" t="s">
        <v>166</v>
      </c>
      <c r="GD9233" s="1" t="s">
        <v>189</v>
      </c>
      <c r="GE9233" s="1" t="s">
        <v>12958</v>
      </c>
    </row>
    <row r="9234" spans="1:187" ht="11.25" customHeight="1">
      <c r="A9234" s="1" t="s">
        <v>12959</v>
      </c>
      <c r="B9234" s="1" t="str">
        <f ca="1">IFERROR(__xludf.DUMMYFUNCTION("GOOGLETRANSLATE(A9234, ""en"", ""fr"")"),"Set # 5")</f>
        <v>Set # 5</v>
      </c>
      <c r="C9234" s="1" t="s">
        <v>185</v>
      </c>
      <c r="BC9234" s="1" t="s">
        <v>51</v>
      </c>
      <c r="BD9234" s="1" t="s">
        <v>52</v>
      </c>
      <c r="GD9234" s="1" t="s">
        <v>193</v>
      </c>
      <c r="GE9234" s="1" t="s">
        <v>12960</v>
      </c>
    </row>
    <row r="9235" spans="1:187" ht="11.25" customHeight="1">
      <c r="A9235" s="1" t="s">
        <v>12961</v>
      </c>
      <c r="B9235" s="1" t="str">
        <f ca="1">IFERROR(__xludf.DUMMYFUNCTION("GOOGLETRANSLATE(A9235, ""en"", ""fr"")"),"Set # 6")</f>
        <v>Set # 6</v>
      </c>
      <c r="C9235" s="1" t="s">
        <v>185</v>
      </c>
      <c r="AV9235" s="1" t="s">
        <v>44</v>
      </c>
      <c r="AX9235" s="1" t="s">
        <v>46</v>
      </c>
      <c r="FS9235" s="1" t="s">
        <v>171</v>
      </c>
      <c r="GD9235" s="1" t="s">
        <v>193</v>
      </c>
      <c r="GE9235" s="1" t="s">
        <v>12962</v>
      </c>
    </row>
    <row r="9236" spans="1:187" ht="11.25" customHeight="1">
      <c r="A9236" s="1" t="s">
        <v>12963</v>
      </c>
      <c r="B9236" s="1" t="str">
        <f ca="1">IFERROR(__xludf.DUMMYFUNCTION("GOOGLETRANSLATE(A9236, ""en"", ""fr"")"),"Set # 7")</f>
        <v>Set # 7</v>
      </c>
      <c r="C9236" s="1" t="s">
        <v>185</v>
      </c>
      <c r="N9236" s="1" t="s">
        <v>10</v>
      </c>
      <c r="AL9236" s="1" t="s">
        <v>34</v>
      </c>
      <c r="DN9236" s="1" t="s">
        <v>114</v>
      </c>
      <c r="GD9236" s="1" t="s">
        <v>189</v>
      </c>
      <c r="GE9236" s="1" t="s">
        <v>12964</v>
      </c>
    </row>
    <row r="9237" spans="1:187" ht="11.25" customHeight="1">
      <c r="A9237" s="1" t="s">
        <v>12965</v>
      </c>
      <c r="B9237" s="1" t="str">
        <f ca="1">IFERROR(__xludf.DUMMYFUNCTION("GOOGLETRANSLATE(A9237, ""en"", ""fr"")"),"Set # 8")</f>
        <v>Set # 8</v>
      </c>
      <c r="C9237" s="1" t="s">
        <v>185</v>
      </c>
      <c r="N9237" s="1" t="s">
        <v>10</v>
      </c>
      <c r="BV9237" s="1" t="s">
        <v>70</v>
      </c>
      <c r="DN9237" s="1" t="s">
        <v>114</v>
      </c>
      <c r="FP9237" s="1" t="s">
        <v>168</v>
      </c>
      <c r="GD9237" s="1" t="s">
        <v>189</v>
      </c>
      <c r="GE9237" s="1" t="s">
        <v>12966</v>
      </c>
    </row>
    <row r="9238" spans="1:187" ht="11.25" customHeight="1">
      <c r="A9238" s="1" t="s">
        <v>12967</v>
      </c>
      <c r="B9238" s="1" t="str">
        <f ca="1">IFERROR(__xludf.DUMMYFUNCTION("GOOGLETRANSLATE(A9238, ""en"", ""fr"")"),"Set # 9")</f>
        <v>Set # 9</v>
      </c>
      <c r="C9238" s="1" t="s">
        <v>185</v>
      </c>
      <c r="CF9238" s="1" t="s">
        <v>80</v>
      </c>
      <c r="DN9238" s="1" t="s">
        <v>114</v>
      </c>
      <c r="GD9238" s="1" t="s">
        <v>189</v>
      </c>
      <c r="GE9238" s="1" t="s">
        <v>12968</v>
      </c>
    </row>
    <row r="9239" spans="1:187" ht="11.25" customHeight="1">
      <c r="A9239" s="1" t="s">
        <v>12969</v>
      </c>
      <c r="B9239" s="1" t="str">
        <f ca="1">IFERROR(__xludf.DUMMYFUNCTION("GOOGLETRANSLATE(A9239, ""en"", ""fr"")"),"Définir # _10")</f>
        <v>Définir # _10</v>
      </c>
      <c r="C9239" s="1" t="s">
        <v>192</v>
      </c>
      <c r="GD9239" s="1" t="s">
        <v>225</v>
      </c>
      <c r="GE9239" s="1" t="s">
        <v>12970</v>
      </c>
    </row>
    <row r="9240" spans="1:187" ht="11.25" customHeight="1">
      <c r="A9240" s="1" t="s">
        <v>12971</v>
      </c>
      <c r="B9240" s="1" t="str">
        <f ca="1">IFERROR(__xludf.DUMMYFUNCTION("GOOGLETRANSLATE(A9240, ""en"", ""fr"")"),"Définir # _11")</f>
        <v>Définir # _11</v>
      </c>
      <c r="C9240" s="1" t="s">
        <v>192</v>
      </c>
      <c r="GD9240" s="1" t="s">
        <v>225</v>
      </c>
      <c r="GE9240" s="1" t="s">
        <v>12972</v>
      </c>
    </row>
    <row r="9241" spans="1:187" ht="11.25" customHeight="1">
      <c r="A9241" s="1" t="s">
        <v>12973</v>
      </c>
      <c r="B9241" s="1" t="str">
        <f ca="1">IFERROR(__xludf.DUMMYFUNCTION("GOOGLETRANSLATE(A9241, ""en"", ""fr"")"),"SETTER")</f>
        <v>SETTER</v>
      </c>
      <c r="C9241" s="1" t="s">
        <v>185</v>
      </c>
      <c r="AU9241" s="1" t="s">
        <v>43</v>
      </c>
      <c r="GD9241" s="1" t="s">
        <v>193</v>
      </c>
      <c r="GE9241" s="1" t="s">
        <v>190</v>
      </c>
    </row>
    <row r="9242" spans="1:187" ht="11.25" customHeight="1">
      <c r="A9242" s="1" t="s">
        <v>12974</v>
      </c>
      <c r="B9242" s="1" t="str">
        <f ca="1">IFERROR(__xludf.DUMMYFUNCTION("GOOGLETRANSLATE(A9242, ""en"", ""fr"")"),"Régler le n ° 1")</f>
        <v>Régler le n ° 1</v>
      </c>
      <c r="C9242" s="1" t="s">
        <v>185</v>
      </c>
      <c r="J9242" s="1" t="s">
        <v>6</v>
      </c>
      <c r="N9242" s="1" t="s">
        <v>10</v>
      </c>
      <c r="CA9242" s="1" t="s">
        <v>75</v>
      </c>
      <c r="DN9242" s="1" t="s">
        <v>114</v>
      </c>
      <c r="DW9242" s="1" t="s">
        <v>123</v>
      </c>
      <c r="ED9242" s="1" t="s">
        <v>130</v>
      </c>
      <c r="GD9242" s="1" t="s">
        <v>189</v>
      </c>
      <c r="GE9242" s="1" t="s">
        <v>12975</v>
      </c>
    </row>
    <row r="9243" spans="1:187" ht="11.25" customHeight="1">
      <c r="A9243" s="1" t="s">
        <v>12976</v>
      </c>
      <c r="B9243" s="1" t="str">
        <f ca="1">IFERROR(__xludf.DUMMYFUNCTION("GOOGLETRANSLATE(A9243, ""en"", ""fr"")"),"Settle # 2")</f>
        <v>Settle # 2</v>
      </c>
      <c r="C9243" s="1" t="s">
        <v>185</v>
      </c>
      <c r="J9243" s="1" t="s">
        <v>6</v>
      </c>
      <c r="K9243" s="1" t="s">
        <v>7</v>
      </c>
      <c r="N9243" s="1" t="s">
        <v>10</v>
      </c>
      <c r="AN9243" s="1" t="s">
        <v>36</v>
      </c>
      <c r="DN9243" s="1" t="s">
        <v>114</v>
      </c>
      <c r="DW9243" s="1" t="s">
        <v>123</v>
      </c>
      <c r="ED9243" s="1" t="s">
        <v>130</v>
      </c>
      <c r="GD9243" s="1" t="s">
        <v>189</v>
      </c>
      <c r="GE9243" s="1" t="s">
        <v>12977</v>
      </c>
    </row>
    <row r="9244" spans="1:187" ht="11.25" customHeight="1">
      <c r="A9244" s="1" t="s">
        <v>12978</v>
      </c>
      <c r="B9244" s="1" t="str">
        <f ca="1">IFERROR(__xludf.DUMMYFUNCTION("GOOGLETRANSLATE(A9244, ""en"", ""fr"")"),"Settle # 3")</f>
        <v>Settle # 3</v>
      </c>
      <c r="C9244" s="1" t="s">
        <v>185</v>
      </c>
      <c r="O9244" s="1" t="s">
        <v>11</v>
      </c>
      <c r="BS9244" s="1" t="s">
        <v>67</v>
      </c>
      <c r="DN9244" s="1" t="s">
        <v>114</v>
      </c>
      <c r="DW9244" s="1" t="s">
        <v>123</v>
      </c>
      <c r="ED9244" s="1" t="s">
        <v>130</v>
      </c>
      <c r="GD9244" s="1" t="s">
        <v>189</v>
      </c>
      <c r="GE9244" s="1" t="s">
        <v>12979</v>
      </c>
    </row>
    <row r="9245" spans="1:187" ht="11.25" customHeight="1">
      <c r="A9245" s="1" t="s">
        <v>12980</v>
      </c>
      <c r="B9245" s="1" t="str">
        <f ca="1">IFERROR(__xludf.DUMMYFUNCTION("GOOGLETRANSLATE(A9245, ""en"", ""fr"")"),"Settle # 4")</f>
        <v>Settle # 4</v>
      </c>
      <c r="C9245" s="1" t="s">
        <v>185</v>
      </c>
      <c r="D9245" s="1" t="s">
        <v>16612</v>
      </c>
      <c r="F9245" s="1" t="s">
        <v>2</v>
      </c>
      <c r="J9245" s="1" t="s">
        <v>6</v>
      </c>
      <c r="O9245" s="1" t="s">
        <v>11</v>
      </c>
      <c r="CA9245" s="1" t="s">
        <v>75</v>
      </c>
      <c r="FX9245" s="1" t="s">
        <v>176</v>
      </c>
      <c r="GD9245" s="1" t="s">
        <v>202</v>
      </c>
      <c r="GE9245" s="1" t="s">
        <v>12981</v>
      </c>
    </row>
    <row r="9246" spans="1:187" ht="11.25" customHeight="1">
      <c r="A9246" s="1" t="s">
        <v>12982</v>
      </c>
      <c r="B9246" s="1" t="str">
        <f ca="1">IFERROR(__xludf.DUMMYFUNCTION("GOOGLETRANSLATE(A9246, ""en"", ""fr"")"),"RÈGLEMENT")</f>
        <v>RÈGLEMENT</v>
      </c>
      <c r="C9246" s="1" t="s">
        <v>185</v>
      </c>
      <c r="AC9246" s="1" t="s">
        <v>25</v>
      </c>
      <c r="AG9246" s="1" t="s">
        <v>29</v>
      </c>
      <c r="AH9246" s="1" t="s">
        <v>30</v>
      </c>
      <c r="AV9246" s="1" t="s">
        <v>44</v>
      </c>
      <c r="AW9246" s="1" t="s">
        <v>45</v>
      </c>
      <c r="EC9246" s="1" t="s">
        <v>129</v>
      </c>
      <c r="ED9246" s="1" t="s">
        <v>130</v>
      </c>
      <c r="GD9246" s="1" t="s">
        <v>193</v>
      </c>
      <c r="GE9246" s="1" t="s">
        <v>190</v>
      </c>
    </row>
    <row r="9247" spans="1:187" ht="11.25" customHeight="1">
      <c r="A9247" s="1" t="s">
        <v>12983</v>
      </c>
      <c r="B9247" s="1" t="str">
        <f ca="1">IFERROR(__xludf.DUMMYFUNCTION("GOOGLETRANSLATE(A9247, ""en"", ""fr"")"),"COLON")</f>
        <v>COLON</v>
      </c>
      <c r="C9247" s="1" t="s">
        <v>185</v>
      </c>
      <c r="AJ9247" s="1" t="s">
        <v>32</v>
      </c>
      <c r="AT9247" s="1" t="s">
        <v>42</v>
      </c>
      <c r="DZ9247" s="1" t="s">
        <v>126</v>
      </c>
      <c r="ED9247" s="1" t="s">
        <v>130</v>
      </c>
      <c r="GD9247" s="1" t="s">
        <v>193</v>
      </c>
      <c r="GE9247" s="1" t="s">
        <v>190</v>
      </c>
    </row>
    <row r="9248" spans="1:187" ht="11.25" customHeight="1">
      <c r="A9248" s="1" t="s">
        <v>12984</v>
      </c>
      <c r="B9248" s="1" t="str">
        <f ca="1">IFERROR(__xludf.DUMMYFUNCTION("GOOGLETRANSLATE(A9248, ""en"", ""fr"")"),"INSTALLATION")</f>
        <v>INSTALLATION</v>
      </c>
      <c r="C9248" s="1" t="s">
        <v>185</v>
      </c>
      <c r="CH9248" s="1" t="s">
        <v>82</v>
      </c>
      <c r="GD9248" s="1" t="s">
        <v>193</v>
      </c>
      <c r="GE9248" s="1" t="s">
        <v>190</v>
      </c>
    </row>
    <row r="9249" spans="1:187" ht="11.25" customHeight="1">
      <c r="A9249" s="1" t="s">
        <v>12985</v>
      </c>
      <c r="B9249" s="1" t="str">
        <f ca="1">IFERROR(__xludf.DUMMYFUNCTION("GOOGLETRANSLATE(A9249, ""en"", ""fr"")"),"SEPT")</f>
        <v>SEPT</v>
      </c>
      <c r="C9249" s="1" t="s">
        <v>185</v>
      </c>
      <c r="CS9249" s="1" t="s">
        <v>93</v>
      </c>
      <c r="CT9249" s="1" t="s">
        <v>94</v>
      </c>
      <c r="CV9249" s="1" t="s">
        <v>96</v>
      </c>
      <c r="GD9249" s="1" t="s">
        <v>1756</v>
      </c>
      <c r="GE9249" s="1" t="s">
        <v>5862</v>
      </c>
    </row>
    <row r="9250" spans="1:187" ht="11.25" customHeight="1">
      <c r="A9250" s="1" t="s">
        <v>12986</v>
      </c>
      <c r="B9250" s="1" t="str">
        <f ca="1">IFERROR(__xludf.DUMMYFUNCTION("GOOGLETRANSLATE(A9250, ""en"", ""fr"")"),"DIX-SEPT")</f>
        <v>DIX-SEPT</v>
      </c>
      <c r="C9250" s="1" t="s">
        <v>185</v>
      </c>
      <c r="CS9250" s="1" t="s">
        <v>93</v>
      </c>
      <c r="CT9250" s="1" t="s">
        <v>94</v>
      </c>
      <c r="CV9250" s="1" t="s">
        <v>96</v>
      </c>
      <c r="GD9250" s="1" t="s">
        <v>1756</v>
      </c>
      <c r="GE9250" s="1" t="s">
        <v>190</v>
      </c>
    </row>
    <row r="9251" spans="1:187" ht="11.25" customHeight="1">
      <c r="A9251" s="1" t="s">
        <v>12987</v>
      </c>
      <c r="B9251" s="1" t="str">
        <f ca="1">IFERROR(__xludf.DUMMYFUNCTION("GOOGLETRANSLATE(A9251, ""en"", ""fr"")"),"Dix-septième # 1")</f>
        <v>Dix-septième # 1</v>
      </c>
      <c r="C9251" s="1" t="s">
        <v>192</v>
      </c>
      <c r="GE9251" s="1" t="s">
        <v>190</v>
      </c>
    </row>
    <row r="9252" spans="1:187" ht="11.25" customHeight="1">
      <c r="A9252" s="1" t="s">
        <v>12988</v>
      </c>
      <c r="B9252" s="1" t="str">
        <f ca="1">IFERROR(__xludf.DUMMYFUNCTION("GOOGLETRANSLATE(A9252, ""en"", ""fr"")"),"Septième # 1")</f>
        <v>Septième # 1</v>
      </c>
      <c r="C9252" s="1" t="s">
        <v>192</v>
      </c>
      <c r="GE9252" s="1" t="s">
        <v>190</v>
      </c>
    </row>
    <row r="9253" spans="1:187" ht="11.25" customHeight="1">
      <c r="A9253" s="1" t="s">
        <v>12989</v>
      </c>
      <c r="B9253" s="1" t="str">
        <f ca="1">IFERROR(__xludf.DUMMYFUNCTION("GOOGLETRANSLATE(A9253, ""en"", ""fr"")"),"SOIXANTE-DIX")</f>
        <v>SOIXANTE-DIX</v>
      </c>
      <c r="C9253" s="1" t="s">
        <v>185</v>
      </c>
      <c r="CS9253" s="1" t="s">
        <v>93</v>
      </c>
      <c r="CT9253" s="1" t="s">
        <v>94</v>
      </c>
      <c r="CV9253" s="1" t="s">
        <v>96</v>
      </c>
      <c r="GD9253" s="1" t="s">
        <v>1756</v>
      </c>
      <c r="GE9253" s="1" t="s">
        <v>190</v>
      </c>
    </row>
    <row r="9254" spans="1:187" ht="11.25" customHeight="1">
      <c r="A9254" s="1" t="s">
        <v>12990</v>
      </c>
      <c r="B9254" s="1" t="str">
        <f ca="1">IFERROR(__xludf.DUMMYFUNCTION("GOOGLETRANSLATE(A9254, ""en"", ""fr"")"),"ROMPRE")</f>
        <v>ROMPRE</v>
      </c>
      <c r="C9254" s="1" t="s">
        <v>185</v>
      </c>
      <c r="E9254" s="1" t="s">
        <v>16613</v>
      </c>
      <c r="I9254" s="1" t="s">
        <v>5</v>
      </c>
      <c r="DR9254" s="1" t="s">
        <v>118</v>
      </c>
      <c r="FW9254" s="1" t="s">
        <v>175</v>
      </c>
      <c r="GD9254" s="1" t="s">
        <v>202</v>
      </c>
      <c r="GE9254" s="1" t="s">
        <v>190</v>
      </c>
    </row>
    <row r="9255" spans="1:187" ht="11.25" customHeight="1">
      <c r="A9255" s="1" t="s">
        <v>12991</v>
      </c>
      <c r="B9255" s="1" t="str">
        <f ca="1">IFERROR(__xludf.DUMMYFUNCTION("GOOGLETRANSLATE(A9255, ""en"", ""fr"")"),"Plusieurs n ° 1")</f>
        <v>Plusieurs n ° 1</v>
      </c>
      <c r="C9255" s="1" t="s">
        <v>185</v>
      </c>
      <c r="X9255" s="1" t="s">
        <v>20</v>
      </c>
      <c r="CS9255" s="1" t="s">
        <v>93</v>
      </c>
      <c r="GD9255" s="1" t="s">
        <v>5691</v>
      </c>
      <c r="GE9255" s="1" t="s">
        <v>12992</v>
      </c>
    </row>
    <row r="9256" spans="1:187" ht="11.25" customHeight="1">
      <c r="A9256" s="1" t="s">
        <v>12993</v>
      </c>
      <c r="B9256" s="1" t="str">
        <f ca="1">IFERROR(__xludf.DUMMYFUNCTION("GOOGLETRANSLATE(A9256, ""en"", ""fr"")"),"Plusieurs # 2")</f>
        <v>Plusieurs # 2</v>
      </c>
      <c r="C9256" s="1" t="s">
        <v>185</v>
      </c>
      <c r="X9256" s="1" t="s">
        <v>20</v>
      </c>
      <c r="GD9256" s="1" t="s">
        <v>884</v>
      </c>
      <c r="GE9256" s="1" t="s">
        <v>12994</v>
      </c>
    </row>
    <row r="9257" spans="1:187" ht="11.25" customHeight="1">
      <c r="A9257" s="1" t="s">
        <v>12995</v>
      </c>
      <c r="B9257" s="1" t="str">
        <f ca="1">IFERROR(__xludf.DUMMYFUNCTION("GOOGLETRANSLATE(A9257, ""en"", ""fr"")"),"GRAVE")</f>
        <v>GRAVE</v>
      </c>
      <c r="C9257" s="1" t="s">
        <v>185</v>
      </c>
      <c r="E9257" s="1" t="s">
        <v>16613</v>
      </c>
      <c r="H9257" s="1" t="s">
        <v>4</v>
      </c>
      <c r="J9257" s="1" t="s">
        <v>6</v>
      </c>
      <c r="V9257" s="1" t="s">
        <v>18</v>
      </c>
      <c r="W9257" s="1" t="s">
        <v>19</v>
      </c>
      <c r="CN9257" s="1" t="s">
        <v>88</v>
      </c>
      <c r="FW9257" s="1" t="s">
        <v>175</v>
      </c>
      <c r="GD9257" s="1" t="s">
        <v>202</v>
      </c>
      <c r="GE9257" s="1" t="s">
        <v>190</v>
      </c>
    </row>
    <row r="9258" spans="1:187" ht="11.25" customHeight="1">
      <c r="A9258" s="1" t="s">
        <v>12996</v>
      </c>
      <c r="B9258" s="1" t="str">
        <f ca="1">IFERROR(__xludf.DUMMYFUNCTION("GOOGLETRANSLATE(A9258, ""en"", ""fr"")"),"GRAVITÉ")</f>
        <v>GRAVITÉ</v>
      </c>
      <c r="C9258" s="1" t="s">
        <v>185</v>
      </c>
      <c r="E9258" s="1" t="s">
        <v>16613</v>
      </c>
      <c r="H9258" s="1" t="s">
        <v>4</v>
      </c>
      <c r="J9258" s="1" t="s">
        <v>6</v>
      </c>
      <c r="V9258" s="1" t="s">
        <v>18</v>
      </c>
      <c r="FW9258" s="1" t="s">
        <v>175</v>
      </c>
      <c r="GD9258" s="1" t="s">
        <v>193</v>
      </c>
      <c r="GE9258" s="1" t="s">
        <v>190</v>
      </c>
    </row>
    <row r="9259" spans="1:187" ht="11.25" customHeight="1">
      <c r="A9259" s="1" t="s">
        <v>12997</v>
      </c>
      <c r="B9259" s="1" t="str">
        <f ca="1">IFERROR(__xludf.DUMMYFUNCTION("GOOGLETRANSLATE(A9259, ""en"", ""fr"")"),"COUDRE")</f>
        <v>COUDRE</v>
      </c>
      <c r="C9259" s="1" t="s">
        <v>196</v>
      </c>
      <c r="GD9259" s="1" t="s">
        <v>189</v>
      </c>
    </row>
    <row r="9260" spans="1:187" ht="11.25" customHeight="1">
      <c r="A9260" s="1" t="s">
        <v>12998</v>
      </c>
      <c r="B9260" s="1" t="str">
        <f ca="1">IFERROR(__xludf.DUMMYFUNCTION("GOOGLETRANSLATE(A9260, ""en"", ""fr"")"),"SEXE")</f>
        <v>SEXE</v>
      </c>
      <c r="C9260" s="1" t="s">
        <v>185</v>
      </c>
      <c r="BU9260" s="1" t="s">
        <v>69</v>
      </c>
      <c r="ER9260" s="1" t="s">
        <v>144</v>
      </c>
      <c r="ES9260" s="1" t="s">
        <v>145</v>
      </c>
      <c r="GD9260" s="1" t="s">
        <v>193</v>
      </c>
      <c r="GE9260" s="1" t="s">
        <v>12999</v>
      </c>
    </row>
    <row r="9261" spans="1:187" ht="11.25" customHeight="1">
      <c r="A9261" s="1" t="s">
        <v>13000</v>
      </c>
      <c r="B9261" s="1" t="str">
        <f ca="1">IFERROR(__xludf.DUMMYFUNCTION("GOOGLETRANSLATE(A9261, ""en"", ""fr"")"),"SEXUEL")</f>
        <v>SEXUEL</v>
      </c>
      <c r="C9261" s="1" t="s">
        <v>185</v>
      </c>
      <c r="BU9261" s="1" t="s">
        <v>69</v>
      </c>
      <c r="ER9261" s="1" t="s">
        <v>144</v>
      </c>
      <c r="ES9261" s="1" t="s">
        <v>145</v>
      </c>
      <c r="GD9261" s="1" t="s">
        <v>421</v>
      </c>
      <c r="GE9261" s="1" t="s">
        <v>13001</v>
      </c>
    </row>
    <row r="9262" spans="1:187" ht="11.25" customHeight="1">
      <c r="A9262" s="1" t="s">
        <v>13002</v>
      </c>
      <c r="B9262" s="1" t="str">
        <f ca="1">IFERROR(__xludf.DUMMYFUNCTION("GOOGLETRANSLATE(A9262, ""en"", ""fr"")"),"MINABLE")</f>
        <v>MINABLE</v>
      </c>
      <c r="C9262" s="1" t="s">
        <v>192</v>
      </c>
      <c r="E9262" s="1" t="s">
        <v>16613</v>
      </c>
      <c r="L9262" s="1" t="s">
        <v>8</v>
      </c>
      <c r="DR9262" s="1" t="s">
        <v>118</v>
      </c>
      <c r="GD9262" s="1" t="s">
        <v>202</v>
      </c>
      <c r="GE9262" s="1" t="s">
        <v>190</v>
      </c>
    </row>
    <row r="9263" spans="1:187" ht="11.25" customHeight="1">
      <c r="A9263" s="1" t="s">
        <v>13003</v>
      </c>
      <c r="B9263" s="1" t="str">
        <f ca="1">IFERROR(__xludf.DUMMYFUNCTION("GOOGLETRANSLATE(A9263, ""en"", ""fr"")"),"Shade # 1")</f>
        <v>Shade # 1</v>
      </c>
      <c r="C9263" s="1" t="s">
        <v>185</v>
      </c>
      <c r="BU9263" s="1" t="s">
        <v>69</v>
      </c>
      <c r="GD9263" s="1" t="s">
        <v>193</v>
      </c>
      <c r="GE9263" s="1" t="s">
        <v>190</v>
      </c>
    </row>
    <row r="9264" spans="1:187" ht="11.25" customHeight="1">
      <c r="A9264" s="1" t="s">
        <v>13004</v>
      </c>
      <c r="B9264" s="1" t="str">
        <f ca="1">IFERROR(__xludf.DUMMYFUNCTION("GOOGLETRANSLATE(A9264, ""en"", ""fr"")"),"Shade # 2")</f>
        <v>Shade # 2</v>
      </c>
      <c r="C9264" s="1" t="s">
        <v>185</v>
      </c>
      <c r="BW9264" s="1" t="s">
        <v>71</v>
      </c>
      <c r="DO9264" s="1" t="s">
        <v>115</v>
      </c>
      <c r="GD9264" s="1" t="s">
        <v>189</v>
      </c>
      <c r="GE9264" s="1" t="s">
        <v>190</v>
      </c>
    </row>
    <row r="9265" spans="1:187" ht="11.25" customHeight="1">
      <c r="A9265" s="1" t="s">
        <v>13005</v>
      </c>
      <c r="B9265" s="1" t="str">
        <f ca="1">IFERROR(__xludf.DUMMYFUNCTION("GOOGLETRANSLATE(A9265, ""en"", ""fr"")"),"Ombre # 1")</f>
        <v>Ombre # 1</v>
      </c>
      <c r="C9265" s="1" t="s">
        <v>185</v>
      </c>
      <c r="BU9265" s="1" t="s">
        <v>69</v>
      </c>
      <c r="GD9265" s="1" t="s">
        <v>193</v>
      </c>
      <c r="GE9265" s="1" t="s">
        <v>190</v>
      </c>
    </row>
    <row r="9266" spans="1:187" ht="11.25" customHeight="1">
      <c r="A9266" s="1" t="s">
        <v>13006</v>
      </c>
      <c r="B9266" s="1" t="str">
        <f ca="1">IFERROR(__xludf.DUMMYFUNCTION("GOOGLETRANSLATE(A9266, ""en"", ""fr"")"),"Ombre # 2")</f>
        <v>Ombre # 2</v>
      </c>
      <c r="C9266" s="1" t="s">
        <v>185</v>
      </c>
      <c r="E9266" s="1" t="s">
        <v>16613</v>
      </c>
      <c r="H9266" s="1" t="s">
        <v>4</v>
      </c>
      <c r="I9266" s="1" t="s">
        <v>5</v>
      </c>
      <c r="N9266" s="1" t="s">
        <v>10</v>
      </c>
      <c r="AN9266" s="1" t="s">
        <v>36</v>
      </c>
      <c r="DN9266" s="1" t="s">
        <v>114</v>
      </c>
      <c r="GD9266" s="1" t="s">
        <v>189</v>
      </c>
      <c r="GE9266" s="1" t="s">
        <v>190</v>
      </c>
    </row>
    <row r="9267" spans="1:187" ht="11.25" customHeight="1">
      <c r="A9267" s="1" t="s">
        <v>13007</v>
      </c>
      <c r="B9267" s="1" t="str">
        <f ca="1">IFERROR(__xludf.DUMMYFUNCTION("GOOGLETRANSLATE(A9267, ""en"", ""fr"")"),"OMBRAGÉ")</f>
        <v>OMBRAGÉ</v>
      </c>
      <c r="C9267" s="1" t="s">
        <v>192</v>
      </c>
      <c r="E9267" s="1" t="s">
        <v>16613</v>
      </c>
      <c r="V9267" s="1" t="s">
        <v>18</v>
      </c>
      <c r="X9267" s="1" t="s">
        <v>20</v>
      </c>
      <c r="DR9267" s="1" t="s">
        <v>118</v>
      </c>
      <c r="GD9267" s="1" t="s">
        <v>202</v>
      </c>
      <c r="GE9267" s="1" t="s">
        <v>190</v>
      </c>
    </row>
    <row r="9268" spans="1:187" ht="11.25" customHeight="1">
      <c r="A9268" s="1" t="s">
        <v>13008</v>
      </c>
      <c r="B9268" s="1" t="str">
        <f ca="1">IFERROR(__xludf.DUMMYFUNCTION("GOOGLETRANSLATE(A9268, ""en"", ""fr"")"),"Arbre n ° 1")</f>
        <v>Arbre n ° 1</v>
      </c>
      <c r="C9268" s="1" t="s">
        <v>185</v>
      </c>
      <c r="BC9268" s="1" t="s">
        <v>51</v>
      </c>
      <c r="BD9268" s="1" t="s">
        <v>52</v>
      </c>
      <c r="GD9268" s="1" t="s">
        <v>193</v>
      </c>
      <c r="GE9268" s="1" t="s">
        <v>190</v>
      </c>
    </row>
    <row r="9269" spans="1:187" ht="11.25" customHeight="1">
      <c r="A9269" s="1" t="s">
        <v>13009</v>
      </c>
      <c r="B9269" s="1" t="str">
        <f ca="1">IFERROR(__xludf.DUMMYFUNCTION("GOOGLETRANSLATE(A9269, ""en"", ""fr"")"),"Arbre n ° 2")</f>
        <v>Arbre n ° 2</v>
      </c>
      <c r="C9269" s="1" t="s">
        <v>185</v>
      </c>
      <c r="I9269" s="1" t="s">
        <v>5</v>
      </c>
      <c r="AN9269" s="1" t="s">
        <v>36</v>
      </c>
      <c r="DN9269" s="1" t="s">
        <v>114</v>
      </c>
      <c r="GD9269" s="1" t="s">
        <v>189</v>
      </c>
      <c r="GE9269" s="1" t="s">
        <v>190</v>
      </c>
    </row>
    <row r="9270" spans="1:187" ht="11.25" customHeight="1">
      <c r="A9270" s="1" t="s">
        <v>13010</v>
      </c>
      <c r="B9270" s="1" t="str">
        <f ca="1">IFERROR(__xludf.DUMMYFUNCTION("GOOGLETRANSLATE(A9270, ""en"", ""fr"")"),"HIRSUTE")</f>
        <v>HIRSUTE</v>
      </c>
      <c r="C9270" s="1" t="s">
        <v>192</v>
      </c>
      <c r="E9270" s="1" t="s">
        <v>16613</v>
      </c>
      <c r="V9270" s="1" t="s">
        <v>18</v>
      </c>
      <c r="DR9270" s="1" t="s">
        <v>118</v>
      </c>
      <c r="GD9270" s="1" t="s">
        <v>202</v>
      </c>
      <c r="GE9270" s="1" t="s">
        <v>190</v>
      </c>
    </row>
    <row r="9271" spans="1:187" ht="11.25" customHeight="1">
      <c r="A9271" s="1" t="s">
        <v>13011</v>
      </c>
      <c r="B9271" s="1" t="str">
        <f ca="1">IFERROR(__xludf.DUMMYFUNCTION("GOOGLETRANSLATE(A9271, ""en"", ""fr"")"),"Shake # 1")</f>
        <v>Shake # 1</v>
      </c>
      <c r="C9271" s="1" t="s">
        <v>185</v>
      </c>
      <c r="E9271" s="1" t="s">
        <v>16613</v>
      </c>
      <c r="H9271" s="1" t="s">
        <v>4</v>
      </c>
      <c r="N9271" s="1" t="s">
        <v>10</v>
      </c>
      <c r="CC9271" s="1" t="s">
        <v>77</v>
      </c>
      <c r="DO9271" s="1" t="s">
        <v>115</v>
      </c>
      <c r="FP9271" s="1" t="s">
        <v>168</v>
      </c>
      <c r="GD9271" s="1" t="s">
        <v>400</v>
      </c>
      <c r="GE9271" s="1" t="s">
        <v>13012</v>
      </c>
    </row>
    <row r="9272" spans="1:187" ht="11.25" customHeight="1">
      <c r="A9272" s="1" t="s">
        <v>13013</v>
      </c>
      <c r="B9272" s="1" t="str">
        <f ca="1">IFERROR(__xludf.DUMMYFUNCTION("GOOGLETRANSLATE(A9272, ""en"", ""fr"")"),"Shake # 2")</f>
        <v>Shake # 2</v>
      </c>
      <c r="C9272" s="1" t="s">
        <v>185</v>
      </c>
      <c r="G9272" s="1" t="s">
        <v>3</v>
      </c>
      <c r="BK9272" s="1" t="s">
        <v>59</v>
      </c>
      <c r="DN9272" s="1" t="s">
        <v>114</v>
      </c>
      <c r="EM9272" s="1" t="s">
        <v>139</v>
      </c>
      <c r="EN9272" s="1" t="s">
        <v>140</v>
      </c>
      <c r="GD9272" s="1" t="s">
        <v>189</v>
      </c>
      <c r="GE9272" s="1" t="s">
        <v>13014</v>
      </c>
    </row>
    <row r="9273" spans="1:187" ht="11.25" customHeight="1">
      <c r="A9273" s="1" t="s">
        <v>13015</v>
      </c>
      <c r="B9273" s="1" t="str">
        <f ca="1">IFERROR(__xludf.DUMMYFUNCTION("GOOGLETRANSLATE(A9273, ""en"", ""fr"")"),"Secoué # 1")</f>
        <v>Secoué # 1</v>
      </c>
      <c r="C9273" s="1" t="s">
        <v>192</v>
      </c>
      <c r="GD9273" s="1" t="s">
        <v>1085</v>
      </c>
      <c r="GE9273" s="1" t="s">
        <v>190</v>
      </c>
    </row>
    <row r="9274" spans="1:187" ht="11.25" customHeight="1">
      <c r="A9274" s="1" t="s">
        <v>13016</v>
      </c>
      <c r="B9274" s="1" t="str">
        <f ca="1">IFERROR(__xludf.DUMMYFUNCTION("GOOGLETRANSLATE(A9274, ""en"", ""fr"")"),"MIXEUR")</f>
        <v>MIXEUR</v>
      </c>
      <c r="C9274" s="1" t="s">
        <v>185</v>
      </c>
      <c r="BC9274" s="1" t="s">
        <v>51</v>
      </c>
      <c r="BD9274" s="1" t="s">
        <v>52</v>
      </c>
      <c r="EF9274" s="1" t="s">
        <v>132</v>
      </c>
      <c r="EJ9274" s="1" t="s">
        <v>136</v>
      </c>
      <c r="GD9274" s="1" t="s">
        <v>193</v>
      </c>
      <c r="GE9274" s="1" t="s">
        <v>190</v>
      </c>
    </row>
    <row r="9275" spans="1:187" ht="11.25" customHeight="1">
      <c r="A9275" s="1" t="s">
        <v>13017</v>
      </c>
      <c r="B9275" s="1" t="str">
        <f ca="1">IFERROR(__xludf.DUMMYFUNCTION("GOOGLETRANSLATE(A9275, ""en"", ""fr"")"),"DEVOIR")</f>
        <v>DEVOIR</v>
      </c>
      <c r="C9275" s="1" t="s">
        <v>185</v>
      </c>
      <c r="DN9275" s="1" t="s">
        <v>114</v>
      </c>
      <c r="FP9275" s="1" t="s">
        <v>168</v>
      </c>
      <c r="GD9275" s="1" t="s">
        <v>222</v>
      </c>
      <c r="GE9275" s="1" t="s">
        <v>13018</v>
      </c>
    </row>
    <row r="9276" spans="1:187" ht="11.25" customHeight="1">
      <c r="A9276" s="1" t="s">
        <v>13019</v>
      </c>
      <c r="B9276" s="1" t="str">
        <f ca="1">IFERROR(__xludf.DUMMYFUNCTION("GOOGLETRANSLATE(A9276, ""en"", ""fr"")"),"PEU PROFOND")</f>
        <v>PEU PROFOND</v>
      </c>
      <c r="C9276" s="1" t="s">
        <v>185</v>
      </c>
      <c r="E9276" s="1" t="s">
        <v>16613</v>
      </c>
      <c r="H9276" s="1" t="s">
        <v>4</v>
      </c>
      <c r="L9276" s="1" t="s">
        <v>8</v>
      </c>
      <c r="DA9276" s="1" t="s">
        <v>101</v>
      </c>
      <c r="GB9276" s="1" t="s">
        <v>180</v>
      </c>
      <c r="GD9276" s="1" t="s">
        <v>193</v>
      </c>
      <c r="GE9276" s="1" t="s">
        <v>190</v>
      </c>
    </row>
    <row r="9277" spans="1:187" ht="11.25" customHeight="1">
      <c r="A9277" s="1" t="s">
        <v>13020</v>
      </c>
      <c r="B9277" s="1" t="str">
        <f ca="1">IFERROR(__xludf.DUMMYFUNCTION("GOOGLETRANSLATE(A9277, ""en"", ""fr"")"),"HONTE")</f>
        <v>HONTE</v>
      </c>
      <c r="C9277" s="1" t="s">
        <v>185</v>
      </c>
      <c r="E9277" s="1" t="s">
        <v>16613</v>
      </c>
      <c r="H9277" s="1" t="s">
        <v>4</v>
      </c>
      <c r="O9277" s="1" t="s">
        <v>11</v>
      </c>
      <c r="Q9277" s="1" t="s">
        <v>13</v>
      </c>
      <c r="T9277" s="1" t="s">
        <v>16</v>
      </c>
      <c r="EL9277" s="1" t="s">
        <v>138</v>
      </c>
      <c r="EN9277" s="1" t="s">
        <v>140</v>
      </c>
      <c r="GD9277" s="1" t="s">
        <v>193</v>
      </c>
      <c r="GE9277" s="1" t="s">
        <v>190</v>
      </c>
    </row>
    <row r="9278" spans="1:187" ht="11.25" customHeight="1">
      <c r="A9278" s="1" t="s">
        <v>13021</v>
      </c>
      <c r="B9278" s="1" t="str">
        <f ca="1">IFERROR(__xludf.DUMMYFUNCTION("GOOGLETRANSLATE(A9278, ""en"", ""fr"")"),"HONTEUX")</f>
        <v>HONTEUX</v>
      </c>
      <c r="C9278" s="1" t="s">
        <v>192</v>
      </c>
      <c r="E9278" s="1" t="s">
        <v>16613</v>
      </c>
      <c r="Q9278" s="1" t="s">
        <v>13</v>
      </c>
      <c r="R9278" s="1" t="s">
        <v>14</v>
      </c>
      <c r="T9278" s="1" t="s">
        <v>16</v>
      </c>
      <c r="DQ9278" s="1" t="s">
        <v>117</v>
      </c>
      <c r="GD9278" s="1" t="s">
        <v>202</v>
      </c>
      <c r="GE9278" s="1" t="s">
        <v>190</v>
      </c>
    </row>
    <row r="9279" spans="1:187" ht="11.25" customHeight="1">
      <c r="A9279" s="1" t="s">
        <v>13022</v>
      </c>
      <c r="B9279" s="1" t="str">
        <f ca="1">IFERROR(__xludf.DUMMYFUNCTION("GOOGLETRANSLATE(A9279, ""en"", ""fr"")"),"ÉHONTÉ")</f>
        <v>ÉHONTÉ</v>
      </c>
      <c r="C9279" s="1" t="s">
        <v>192</v>
      </c>
      <c r="E9279" s="1" t="s">
        <v>16613</v>
      </c>
      <c r="K9279" s="1" t="s">
        <v>7</v>
      </c>
      <c r="T9279" s="1" t="s">
        <v>16</v>
      </c>
      <c r="V9279" s="1" t="s">
        <v>18</v>
      </c>
      <c r="DQ9279" s="1" t="s">
        <v>117</v>
      </c>
      <c r="GD9279" s="1" t="s">
        <v>202</v>
      </c>
      <c r="GE9279" s="1" t="s">
        <v>190</v>
      </c>
    </row>
    <row r="9280" spans="1:187" ht="11.25" customHeight="1">
      <c r="A9280" s="1" t="s">
        <v>13023</v>
      </c>
      <c r="B9280" s="1" t="str">
        <f ca="1">IFERROR(__xludf.DUMMYFUNCTION("GOOGLETRANSLATE(A9280, ""en"", ""fr"")"),"Forme n ° 1")</f>
        <v>Forme n ° 1</v>
      </c>
      <c r="C9280" s="1" t="s">
        <v>185</v>
      </c>
      <c r="DA9280" s="1" t="s">
        <v>101</v>
      </c>
      <c r="GD9280" s="1" t="s">
        <v>193</v>
      </c>
      <c r="GE9280" s="1" t="s">
        <v>13024</v>
      </c>
    </row>
    <row r="9281" spans="1:187" ht="11.25" customHeight="1">
      <c r="A9281" s="1" t="s">
        <v>13025</v>
      </c>
      <c r="B9281" s="1" t="str">
        <f ca="1">IFERROR(__xludf.DUMMYFUNCTION("GOOGLETRANSLATE(A9281, ""en"", ""fr"")"),"Forme n ° 2")</f>
        <v>Forme n ° 2</v>
      </c>
      <c r="C9281" s="1" t="s">
        <v>185</v>
      </c>
      <c r="J9281" s="1" t="s">
        <v>6</v>
      </c>
      <c r="N9281" s="1" t="s">
        <v>10</v>
      </c>
      <c r="AL9281" s="1" t="s">
        <v>34</v>
      </c>
      <c r="DO9281" s="1" t="s">
        <v>115</v>
      </c>
      <c r="FP9281" s="1" t="s">
        <v>168</v>
      </c>
      <c r="GD9281" s="1" t="s">
        <v>189</v>
      </c>
      <c r="GE9281" s="1" t="s">
        <v>13026</v>
      </c>
    </row>
    <row r="9282" spans="1:187" ht="11.25" customHeight="1">
      <c r="A9282" s="1" t="s">
        <v>13027</v>
      </c>
      <c r="B9282" s="1" t="str">
        <f ca="1">IFERROR(__xludf.DUMMYFUNCTION("GOOGLETRANSLATE(A9282, ""en"", ""fr"")"),"Forme n ° 3")</f>
        <v>Forme n ° 3</v>
      </c>
      <c r="C9282" s="1" t="s">
        <v>185</v>
      </c>
      <c r="BP9282" s="1" t="s">
        <v>64</v>
      </c>
      <c r="DN9282" s="1" t="s">
        <v>114</v>
      </c>
      <c r="FP9282" s="1" t="s">
        <v>168</v>
      </c>
      <c r="GD9282" s="1" t="s">
        <v>189</v>
      </c>
      <c r="GE9282" s="1" t="s">
        <v>13028</v>
      </c>
    </row>
    <row r="9283" spans="1:187" ht="11.25" customHeight="1">
      <c r="A9283" s="1" t="s">
        <v>13029</v>
      </c>
      <c r="B9283" s="1" t="str">
        <f ca="1">IFERROR(__xludf.DUMMYFUNCTION("GOOGLETRANSLATE(A9283, ""en"", ""fr"")"),"GALBÉ")</f>
        <v>GALBÉ</v>
      </c>
      <c r="C9283" s="1" t="s">
        <v>185</v>
      </c>
      <c r="CN9283" s="1" t="s">
        <v>88</v>
      </c>
      <c r="CR9283" s="1" t="s">
        <v>92</v>
      </c>
      <c r="GD9283" s="1" t="s">
        <v>202</v>
      </c>
      <c r="GE9283" s="1" t="s">
        <v>190</v>
      </c>
    </row>
    <row r="9284" spans="1:187" ht="11.25" customHeight="1">
      <c r="A9284" s="1" t="s">
        <v>13030</v>
      </c>
      <c r="B9284" s="1" t="str">
        <f ca="1">IFERROR(__xludf.DUMMYFUNCTION("GOOGLETRANSLATE(A9284, ""en"", ""fr"")"),"Partager n ° 1")</f>
        <v>Partager n ° 1</v>
      </c>
      <c r="C9284" s="1" t="s">
        <v>185</v>
      </c>
      <c r="D9284" s="1" t="s">
        <v>16612</v>
      </c>
      <c r="F9284" s="1" t="s">
        <v>2</v>
      </c>
      <c r="G9284" s="1" t="s">
        <v>3</v>
      </c>
      <c r="AN9284" s="1" t="s">
        <v>36</v>
      </c>
      <c r="DO9284" s="1" t="s">
        <v>115</v>
      </c>
      <c r="DX9284" s="1" t="s">
        <v>124</v>
      </c>
      <c r="ED9284" s="1" t="s">
        <v>130</v>
      </c>
      <c r="GD9284" s="1" t="s">
        <v>189</v>
      </c>
      <c r="GE9284" s="1" t="s">
        <v>13031</v>
      </c>
    </row>
    <row r="9285" spans="1:187" ht="11.25" customHeight="1">
      <c r="A9285" s="1" t="s">
        <v>13032</v>
      </c>
      <c r="B9285" s="1" t="str">
        <f ca="1">IFERROR(__xludf.DUMMYFUNCTION("GOOGLETRANSLATE(A9285, ""en"", ""fr"")"),"Partager n ° 2")</f>
        <v>Partager n ° 2</v>
      </c>
      <c r="C9285" s="1" t="s">
        <v>185</v>
      </c>
      <c r="BQ9285" s="1" t="s">
        <v>65</v>
      </c>
      <c r="DX9285" s="1" t="s">
        <v>124</v>
      </c>
      <c r="ED9285" s="1" t="s">
        <v>130</v>
      </c>
      <c r="GD9285" s="1" t="s">
        <v>193</v>
      </c>
      <c r="GE9285" s="1" t="s">
        <v>13033</v>
      </c>
    </row>
    <row r="9286" spans="1:187" ht="11.25" customHeight="1">
      <c r="A9286" s="1" t="s">
        <v>13034</v>
      </c>
      <c r="B9286" s="1" t="str">
        <f ca="1">IFERROR(__xludf.DUMMYFUNCTION("GOOGLETRANSLATE(A9286, ""en"", ""fr"")"),"Partager n ° 3")</f>
        <v>Partager n ° 3</v>
      </c>
      <c r="C9286" s="1" t="s">
        <v>185</v>
      </c>
      <c r="D9286" s="1" t="s">
        <v>16612</v>
      </c>
      <c r="F9286" s="1" t="s">
        <v>2</v>
      </c>
      <c r="G9286" s="1" t="s">
        <v>3</v>
      </c>
      <c r="U9286" s="1" t="s">
        <v>17</v>
      </c>
      <c r="DX9286" s="1" t="s">
        <v>124</v>
      </c>
      <c r="ED9286" s="1" t="s">
        <v>130</v>
      </c>
      <c r="GD9286" s="1" t="s">
        <v>193</v>
      </c>
      <c r="GE9286" s="1" t="s">
        <v>13035</v>
      </c>
    </row>
    <row r="9287" spans="1:187" ht="11.25" customHeight="1">
      <c r="A9287" s="1" t="s">
        <v>13036</v>
      </c>
      <c r="B9287" s="1" t="str">
        <f ca="1">IFERROR(__xludf.DUMMYFUNCTION("GOOGLETRANSLATE(A9287, ""en"", ""fr"")"),"Partager n ° 4")</f>
        <v>Partager n ° 4</v>
      </c>
      <c r="C9287" s="1" t="s">
        <v>185</v>
      </c>
      <c r="D9287" s="1" t="s">
        <v>16612</v>
      </c>
      <c r="F9287" s="1" t="s">
        <v>2</v>
      </c>
      <c r="G9287" s="1" t="s">
        <v>3</v>
      </c>
      <c r="U9287" s="1" t="s">
        <v>17</v>
      </c>
      <c r="DX9287" s="1" t="s">
        <v>124</v>
      </c>
      <c r="ED9287" s="1" t="s">
        <v>130</v>
      </c>
      <c r="GD9287" s="1" t="s">
        <v>202</v>
      </c>
      <c r="GE9287" s="1" t="s">
        <v>13037</v>
      </c>
    </row>
    <row r="9288" spans="1:187" ht="11.25" customHeight="1">
      <c r="A9288" s="1" t="s">
        <v>13038</v>
      </c>
      <c r="B9288" s="1" t="str">
        <f ca="1">IFERROR(__xludf.DUMMYFUNCTION("GOOGLETRANSLATE(A9288, ""en"", ""fr"")"),"REQUIN")</f>
        <v>REQUIN</v>
      </c>
      <c r="C9288" s="1" t="s">
        <v>192</v>
      </c>
      <c r="E9288" s="1" t="s">
        <v>16613</v>
      </c>
      <c r="AU9288" s="1" t="s">
        <v>43</v>
      </c>
      <c r="GD9288" s="1" t="s">
        <v>193</v>
      </c>
      <c r="GE9288" s="1" t="s">
        <v>190</v>
      </c>
    </row>
    <row r="9289" spans="1:187" ht="11.25" customHeight="1">
      <c r="A9289" s="1" t="s">
        <v>13039</v>
      </c>
      <c r="B9289" s="1" t="str">
        <f ca="1">IFERROR(__xludf.DUMMYFUNCTION("GOOGLETRANSLATE(A9289, ""en"", ""fr"")"),"POINTU")</f>
        <v>POINTU</v>
      </c>
      <c r="C9289" s="1" t="s">
        <v>185</v>
      </c>
      <c r="J9289" s="1" t="s">
        <v>6</v>
      </c>
      <c r="W9289" s="1" t="s">
        <v>19</v>
      </c>
      <c r="CR9289" s="1" t="s">
        <v>92</v>
      </c>
      <c r="FY9289" s="1" t="s">
        <v>177</v>
      </c>
      <c r="GD9289" s="1" t="s">
        <v>202</v>
      </c>
      <c r="GE9289" s="1" t="s">
        <v>190</v>
      </c>
    </row>
    <row r="9290" spans="1:187" ht="11.25" customHeight="1">
      <c r="A9290" s="1" t="s">
        <v>13040</v>
      </c>
      <c r="B9290" s="1" t="str">
        <f ca="1">IFERROR(__xludf.DUMMYFUNCTION("GOOGLETRANSLATE(A9290, ""en"", ""fr"")"),"Aiguiser")</f>
        <v>Aiguiser</v>
      </c>
      <c r="C9290" s="1" t="s">
        <v>185</v>
      </c>
      <c r="N9290" s="1" t="s">
        <v>10</v>
      </c>
      <c r="AL9290" s="1" t="s">
        <v>34</v>
      </c>
      <c r="DO9290" s="1" t="s">
        <v>115</v>
      </c>
      <c r="FP9290" s="1" t="s">
        <v>168</v>
      </c>
      <c r="GD9290" s="1" t="s">
        <v>189</v>
      </c>
      <c r="GE9290" s="1" t="s">
        <v>190</v>
      </c>
    </row>
    <row r="9291" spans="1:187" ht="11.25" customHeight="1">
      <c r="A9291" s="1" t="s">
        <v>13041</v>
      </c>
      <c r="B9291" s="1" t="str">
        <f ca="1">IFERROR(__xludf.DUMMYFUNCTION("GOOGLETRANSLATE(A9291, ""en"", ""fr"")"),"BRISER")</f>
        <v>BRISER</v>
      </c>
      <c r="C9291" s="1" t="s">
        <v>185</v>
      </c>
      <c r="I9291" s="1" t="s">
        <v>5</v>
      </c>
      <c r="J9291" s="1" t="s">
        <v>6</v>
      </c>
      <c r="N9291" s="1" t="s">
        <v>10</v>
      </c>
      <c r="CC9291" s="1" t="s">
        <v>77</v>
      </c>
      <c r="DO9291" s="1" t="s">
        <v>115</v>
      </c>
      <c r="FP9291" s="1" t="s">
        <v>168</v>
      </c>
      <c r="GD9291" s="1" t="s">
        <v>189</v>
      </c>
      <c r="GE9291" s="1" t="s">
        <v>190</v>
      </c>
    </row>
    <row r="9292" spans="1:187" ht="11.25" customHeight="1">
      <c r="A9292" s="1" t="s">
        <v>13042</v>
      </c>
      <c r="B9292" s="1" t="str">
        <f ca="1">IFERROR(__xludf.DUMMYFUNCTION("GOOGLETRANSLATE(A9292, ""en"", ""fr"")"),"ELLE")</f>
        <v>ELLE</v>
      </c>
      <c r="C9292" s="1" t="s">
        <v>185</v>
      </c>
      <c r="AR9292" s="1" t="s">
        <v>40</v>
      </c>
      <c r="GD9292" s="1" t="s">
        <v>6973</v>
      </c>
      <c r="GE9292" s="1" t="s">
        <v>13043</v>
      </c>
    </row>
    <row r="9293" spans="1:187" ht="11.25" customHeight="1">
      <c r="A9293" s="1" t="s">
        <v>13044</v>
      </c>
      <c r="B9293" s="1" t="str">
        <f ca="1">IFERROR(__xludf.DUMMYFUNCTION("GOOGLETRANSLATE(A9293, ""en"", ""fr"")"),"SHED # 1")</f>
        <v>SHED # 1</v>
      </c>
      <c r="C9293" s="1" t="s">
        <v>185</v>
      </c>
      <c r="AV9293" s="1" t="s">
        <v>44</v>
      </c>
      <c r="AW9293" s="1" t="s">
        <v>45</v>
      </c>
      <c r="GD9293" s="1" t="s">
        <v>193</v>
      </c>
      <c r="GE9293" s="1" t="s">
        <v>190</v>
      </c>
    </row>
    <row r="9294" spans="1:187" ht="11.25" customHeight="1">
      <c r="A9294" s="1" t="s">
        <v>13045</v>
      </c>
      <c r="B9294" s="1" t="str">
        <f ca="1">IFERROR(__xludf.DUMMYFUNCTION("GOOGLETRANSLATE(A9294, ""en"", ""fr"")"),"Shed n ° 2")</f>
        <v>Shed n ° 2</v>
      </c>
      <c r="C9294" s="1" t="s">
        <v>185</v>
      </c>
      <c r="AL9294" s="1" t="s">
        <v>34</v>
      </c>
      <c r="DN9294" s="1" t="s">
        <v>114</v>
      </c>
      <c r="FP9294" s="1" t="s">
        <v>168</v>
      </c>
      <c r="GD9294" s="1" t="s">
        <v>189</v>
      </c>
      <c r="GE9294" s="1" t="s">
        <v>190</v>
      </c>
    </row>
    <row r="9295" spans="1:187" ht="11.25" customHeight="1">
      <c r="A9295" s="1" t="s">
        <v>13046</v>
      </c>
      <c r="B9295" s="1" t="str">
        <f ca="1">IFERROR(__xludf.DUMMYFUNCTION("GOOGLETRANSLATE(A9295, ""en"", ""fr"")"),"MOUTON")</f>
        <v>MOUTON</v>
      </c>
      <c r="C9295" s="1" t="s">
        <v>185</v>
      </c>
      <c r="AU9295" s="1" t="s">
        <v>43</v>
      </c>
      <c r="GD9295" s="1" t="s">
        <v>576</v>
      </c>
      <c r="GE9295" s="1" t="s">
        <v>13047</v>
      </c>
    </row>
    <row r="9296" spans="1:187" ht="11.25" customHeight="1">
      <c r="A9296" s="1" t="s">
        <v>13048</v>
      </c>
      <c r="B9296" s="1" t="str">
        <f ca="1">IFERROR(__xludf.DUMMYFUNCTION("GOOGLETRANSLATE(A9296, ""en"", ""fr"")"),"PUR")</f>
        <v>PUR</v>
      </c>
      <c r="C9296" s="1" t="s">
        <v>185</v>
      </c>
      <c r="W9296" s="1" t="s">
        <v>19</v>
      </c>
      <c r="CR9296" s="1" t="s">
        <v>92</v>
      </c>
      <c r="GD9296" s="1" t="s">
        <v>202</v>
      </c>
      <c r="GE9296" s="1" t="s">
        <v>190</v>
      </c>
    </row>
    <row r="9297" spans="1:187" ht="11.25" customHeight="1">
      <c r="A9297" s="1" t="s">
        <v>13049</v>
      </c>
      <c r="B9297" s="1" t="str">
        <f ca="1">IFERROR(__xludf.DUMMYFUNCTION("GOOGLETRANSLATE(A9297, ""en"", ""fr"")"),"FEUILLE")</f>
        <v>FEUILLE</v>
      </c>
      <c r="C9297" s="1" t="s">
        <v>185</v>
      </c>
      <c r="BC9297" s="1" t="s">
        <v>51</v>
      </c>
      <c r="BD9297" s="1" t="s">
        <v>52</v>
      </c>
      <c r="GD9297" s="1" t="s">
        <v>193</v>
      </c>
      <c r="GE9297" s="1" t="s">
        <v>190</v>
      </c>
    </row>
    <row r="9298" spans="1:187" ht="11.25" customHeight="1">
      <c r="A9298" s="1" t="s">
        <v>13050</v>
      </c>
      <c r="B9298" s="1" t="str">
        <f ca="1">IFERROR(__xludf.DUMMYFUNCTION("GOOGLETRANSLATE(A9298, ""en"", ""fr"")"),"ÉTAGÈRE")</f>
        <v>ÉTAGÈRE</v>
      </c>
      <c r="C9298" s="1" t="s">
        <v>185</v>
      </c>
      <c r="BC9298" s="1" t="s">
        <v>51</v>
      </c>
      <c r="BD9298" s="1" t="s">
        <v>52</v>
      </c>
      <c r="GD9298" s="1" t="s">
        <v>193</v>
      </c>
      <c r="GE9298" s="1" t="s">
        <v>190</v>
      </c>
    </row>
    <row r="9299" spans="1:187" ht="11.25" customHeight="1">
      <c r="A9299" s="1" t="s">
        <v>13051</v>
      </c>
      <c r="B9299" s="1" t="str">
        <f ca="1">IFERROR(__xludf.DUMMYFUNCTION("GOOGLETRANSLATE(A9299, ""en"", ""fr"")"),"Shell # 1")</f>
        <v>Shell # 1</v>
      </c>
      <c r="C9299" s="1" t="s">
        <v>185</v>
      </c>
      <c r="J9299" s="1" t="s">
        <v>6</v>
      </c>
      <c r="CR9299" s="1" t="s">
        <v>92</v>
      </c>
      <c r="GD9299" s="1" t="s">
        <v>849</v>
      </c>
      <c r="GE9299" s="1" t="s">
        <v>13052</v>
      </c>
    </row>
    <row r="9300" spans="1:187" ht="11.25" customHeight="1">
      <c r="A9300" s="1" t="s">
        <v>13053</v>
      </c>
      <c r="B9300" s="1" t="str">
        <f ca="1">IFERROR(__xludf.DUMMYFUNCTION("GOOGLETRANSLATE(A9300, ""en"", ""fr"")"),"Shell # 2")</f>
        <v>Shell # 2</v>
      </c>
      <c r="C9300" s="1" t="s">
        <v>185</v>
      </c>
      <c r="E9300" s="1" t="s">
        <v>16613</v>
      </c>
      <c r="H9300" s="1" t="s">
        <v>4</v>
      </c>
      <c r="I9300" s="1" t="s">
        <v>5</v>
      </c>
      <c r="J9300" s="1" t="s">
        <v>6</v>
      </c>
      <c r="AF9300" s="1" t="s">
        <v>28</v>
      </c>
      <c r="BC9300" s="1" t="s">
        <v>51</v>
      </c>
      <c r="BD9300" s="1" t="s">
        <v>52</v>
      </c>
      <c r="DW9300" s="1" t="s">
        <v>123</v>
      </c>
      <c r="ED9300" s="1" t="s">
        <v>130</v>
      </c>
      <c r="GD9300" s="1" t="s">
        <v>193</v>
      </c>
      <c r="GE9300" s="1" t="s">
        <v>13054</v>
      </c>
    </row>
    <row r="9301" spans="1:187" ht="11.25" customHeight="1">
      <c r="A9301" s="1" t="s">
        <v>13055</v>
      </c>
      <c r="B9301" s="1" t="str">
        <f ca="1">IFERROR(__xludf.DUMMYFUNCTION("GOOGLETRANSLATE(A9301, ""en"", ""fr"")"),"Shell # 3")</f>
        <v>Shell # 3</v>
      </c>
      <c r="C9301" s="1" t="s">
        <v>185</v>
      </c>
      <c r="E9301" s="1" t="s">
        <v>16613</v>
      </c>
      <c r="H9301" s="1" t="s">
        <v>4</v>
      </c>
      <c r="I9301" s="1" t="s">
        <v>5</v>
      </c>
      <c r="J9301" s="1" t="s">
        <v>6</v>
      </c>
      <c r="N9301" s="1" t="s">
        <v>10</v>
      </c>
      <c r="AF9301" s="1" t="s">
        <v>28</v>
      </c>
      <c r="AN9301" s="1" t="s">
        <v>36</v>
      </c>
      <c r="DO9301" s="1" t="s">
        <v>115</v>
      </c>
      <c r="DW9301" s="1" t="s">
        <v>123</v>
      </c>
      <c r="ED9301" s="1" t="s">
        <v>130</v>
      </c>
      <c r="GD9301" s="1" t="s">
        <v>189</v>
      </c>
      <c r="GE9301" s="1" t="s">
        <v>13056</v>
      </c>
    </row>
    <row r="9302" spans="1:187" ht="11.25" customHeight="1">
      <c r="A9302" s="1" t="s">
        <v>13057</v>
      </c>
      <c r="B9302" s="1" t="str">
        <f ca="1">IFERROR(__xludf.DUMMYFUNCTION("GOOGLETRANSLATE(A9302, ""en"", ""fr"")"),"Abri # 1")</f>
        <v>Abri # 1</v>
      </c>
      <c r="C9302" s="1" t="s">
        <v>185</v>
      </c>
      <c r="D9302" s="1" t="s">
        <v>16612</v>
      </c>
      <c r="F9302" s="1" t="s">
        <v>2</v>
      </c>
      <c r="AV9302" s="1" t="s">
        <v>44</v>
      </c>
      <c r="AW9302" s="1" t="s">
        <v>45</v>
      </c>
      <c r="EZ9302" s="1" t="s">
        <v>152</v>
      </c>
      <c r="FC9302" s="1" t="s">
        <v>155</v>
      </c>
      <c r="GD9302" s="1" t="s">
        <v>193</v>
      </c>
      <c r="GE9302" s="1" t="s">
        <v>190</v>
      </c>
    </row>
    <row r="9303" spans="1:187" ht="11.25" customHeight="1">
      <c r="A9303" s="1" t="s">
        <v>13058</v>
      </c>
      <c r="B9303" s="1" t="str">
        <f ca="1">IFERROR(__xludf.DUMMYFUNCTION("GOOGLETRANSLATE(A9303, ""en"", ""fr"")"),"Abri # 2")</f>
        <v>Abri # 2</v>
      </c>
      <c r="C9303" s="1" t="s">
        <v>185</v>
      </c>
      <c r="D9303" s="1" t="s">
        <v>16612</v>
      </c>
      <c r="F9303" s="1" t="s">
        <v>2</v>
      </c>
      <c r="G9303" s="1" t="s">
        <v>3</v>
      </c>
      <c r="J9303" s="1" t="s">
        <v>6</v>
      </c>
      <c r="K9303" s="1" t="s">
        <v>7</v>
      </c>
      <c r="AN9303" s="1" t="s">
        <v>36</v>
      </c>
      <c r="DN9303" s="1" t="s">
        <v>114</v>
      </c>
      <c r="EZ9303" s="1" t="s">
        <v>152</v>
      </c>
      <c r="FC9303" s="1" t="s">
        <v>155</v>
      </c>
      <c r="GD9303" s="1" t="s">
        <v>189</v>
      </c>
      <c r="GE9303" s="1" t="s">
        <v>190</v>
      </c>
    </row>
    <row r="9304" spans="1:187" ht="11.25" customHeight="1">
      <c r="A9304" s="1" t="s">
        <v>13059</v>
      </c>
      <c r="B9304" s="1" t="str">
        <f ca="1">IFERROR(__xludf.DUMMYFUNCTION("GOOGLETRANSLATE(A9304, ""en"", ""fr"")"),"ÉTAGÈRES")</f>
        <v>ÉTAGÈRES</v>
      </c>
      <c r="C9304" s="1" t="s">
        <v>185</v>
      </c>
      <c r="BC9304" s="1" t="s">
        <v>51</v>
      </c>
      <c r="BD9304" s="1" t="s">
        <v>52</v>
      </c>
      <c r="GD9304" s="1" t="s">
        <v>193</v>
      </c>
      <c r="GE9304" s="1" t="s">
        <v>190</v>
      </c>
    </row>
    <row r="9305" spans="1:187" ht="11.25" customHeight="1">
      <c r="A9305" s="1" t="s">
        <v>13060</v>
      </c>
      <c r="B9305" s="1" t="str">
        <f ca="1">IFERROR(__xludf.DUMMYFUNCTION("GOOGLETRANSLATE(A9305, ""en"", ""fr"")"),"SHÉRIF")</f>
        <v>SHÉRIF</v>
      </c>
      <c r="C9305" s="1" t="s">
        <v>185</v>
      </c>
      <c r="J9305" s="1" t="s">
        <v>6</v>
      </c>
      <c r="K9305" s="1" t="s">
        <v>7</v>
      </c>
      <c r="AE9305" s="1" t="s">
        <v>27</v>
      </c>
      <c r="AH9305" s="1" t="s">
        <v>30</v>
      </c>
      <c r="AJ9305" s="1" t="s">
        <v>32</v>
      </c>
      <c r="AT9305" s="1" t="s">
        <v>42</v>
      </c>
      <c r="DY9305" s="1" t="s">
        <v>125</v>
      </c>
      <c r="ED9305" s="1" t="s">
        <v>130</v>
      </c>
      <c r="GD9305" s="1" t="s">
        <v>193</v>
      </c>
      <c r="GE9305" s="1" t="s">
        <v>190</v>
      </c>
    </row>
    <row r="9306" spans="1:187" ht="11.25" customHeight="1">
      <c r="A9306" s="1" t="s">
        <v>13061</v>
      </c>
      <c r="B9306" s="1" t="str">
        <f ca="1">IFERROR(__xludf.DUMMYFUNCTION("GOOGLETRANSLATE(A9306, ""en"", ""fr"")"),"BOUCLIER")</f>
        <v>BOUCLIER</v>
      </c>
      <c r="C9306" s="1" t="s">
        <v>192</v>
      </c>
      <c r="D9306" s="1" t="s">
        <v>16612</v>
      </c>
      <c r="G9306" s="1" t="s">
        <v>3</v>
      </c>
      <c r="K9306" s="1" t="s">
        <v>7</v>
      </c>
      <c r="N9306" s="1" t="s">
        <v>10</v>
      </c>
      <c r="DN9306" s="1" t="s">
        <v>114</v>
      </c>
      <c r="GD9306" s="1" t="s">
        <v>670</v>
      </c>
      <c r="GE9306" s="1" t="s">
        <v>190</v>
      </c>
    </row>
    <row r="9307" spans="1:187" ht="11.25" customHeight="1">
      <c r="A9307" s="1" t="s">
        <v>13062</v>
      </c>
      <c r="B9307" s="1" t="str">
        <f ca="1">IFERROR(__xludf.DUMMYFUNCTION("GOOGLETRANSLATE(A9307, ""en"", ""fr"")"),"Shift # 1")</f>
        <v>Shift # 1</v>
      </c>
      <c r="C9307" s="1" t="s">
        <v>185</v>
      </c>
      <c r="N9307" s="1" t="s">
        <v>10</v>
      </c>
      <c r="BW9307" s="1" t="s">
        <v>71</v>
      </c>
      <c r="DO9307" s="1" t="s">
        <v>115</v>
      </c>
      <c r="FP9307" s="1" t="s">
        <v>168</v>
      </c>
      <c r="GD9307" s="1" t="s">
        <v>189</v>
      </c>
      <c r="GE9307" s="1" t="s">
        <v>13063</v>
      </c>
    </row>
    <row r="9308" spans="1:187" ht="11.25" customHeight="1">
      <c r="A9308" s="1" t="s">
        <v>13064</v>
      </c>
      <c r="B9308" s="1" t="str">
        <f ca="1">IFERROR(__xludf.DUMMYFUNCTION("GOOGLETRANSLATE(A9308, ""en"", ""fr"")"),"Shift # 2")</f>
        <v>Shift # 2</v>
      </c>
      <c r="C9308" s="1" t="s">
        <v>185</v>
      </c>
      <c r="CY9308" s="1" t="s">
        <v>99</v>
      </c>
      <c r="EV9308" s="1" t="s">
        <v>148</v>
      </c>
      <c r="EW9308" s="1" t="s">
        <v>149</v>
      </c>
      <c r="GD9308" s="1" t="s">
        <v>193</v>
      </c>
      <c r="GE9308" s="1" t="s">
        <v>13065</v>
      </c>
    </row>
    <row r="9309" spans="1:187" ht="11.25" customHeight="1">
      <c r="A9309" s="1" t="s">
        <v>13066</v>
      </c>
      <c r="B9309" s="1" t="str">
        <f ca="1">IFERROR(__xludf.DUMMYFUNCTION("GOOGLETRANSLATE(A9309, ""en"", ""fr"")"),"Shift # 3")</f>
        <v>Shift # 3</v>
      </c>
      <c r="C9309" s="1" t="s">
        <v>185</v>
      </c>
      <c r="J9309" s="1" t="s">
        <v>6</v>
      </c>
      <c r="N9309" s="1" t="s">
        <v>10</v>
      </c>
      <c r="BP9309" s="1" t="s">
        <v>64</v>
      </c>
      <c r="DN9309" s="1" t="s">
        <v>114</v>
      </c>
      <c r="FN9309" s="1" t="s">
        <v>166</v>
      </c>
      <c r="GD9309" s="1" t="s">
        <v>189</v>
      </c>
      <c r="GE9309" s="1" t="s">
        <v>13067</v>
      </c>
    </row>
    <row r="9310" spans="1:187" ht="11.25" customHeight="1">
      <c r="A9310" s="1" t="s">
        <v>13068</v>
      </c>
      <c r="B9310" s="1" t="str">
        <f ca="1">IFERROR(__xludf.DUMMYFUNCTION("GOOGLETRANSLATE(A9310, ""en"", ""fr"")"),"Shift # 4")</f>
        <v>Shift # 4</v>
      </c>
      <c r="C9310" s="1" t="s">
        <v>185</v>
      </c>
      <c r="BW9310" s="1" t="s">
        <v>71</v>
      </c>
      <c r="GD9310" s="1" t="s">
        <v>193</v>
      </c>
      <c r="GE9310" s="1" t="s">
        <v>13069</v>
      </c>
    </row>
    <row r="9311" spans="1:187" ht="11.25" customHeight="1">
      <c r="A9311" s="1" t="s">
        <v>13070</v>
      </c>
      <c r="B9311" s="1" t="str">
        <f ca="1">IFERROR(__xludf.DUMMYFUNCTION("GOOGLETRANSLATE(A9311, ""en"", ""fr"")"),"Shift # 5")</f>
        <v>Shift # 5</v>
      </c>
      <c r="C9311" s="1" t="s">
        <v>185</v>
      </c>
      <c r="L9311" s="1" t="s">
        <v>8</v>
      </c>
      <c r="BW9311" s="1" t="s">
        <v>71</v>
      </c>
      <c r="FZ9311" s="1" t="s">
        <v>178</v>
      </c>
      <c r="GD9311" s="1" t="s">
        <v>202</v>
      </c>
      <c r="GE9311" s="1" t="s">
        <v>13071</v>
      </c>
    </row>
    <row r="9312" spans="1:187" ht="11.25" customHeight="1">
      <c r="A9312" s="1" t="s">
        <v>13072</v>
      </c>
      <c r="B9312" s="1" t="str">
        <f ca="1">IFERROR(__xludf.DUMMYFUNCTION("GOOGLETRANSLATE(A9312, ""en"", ""fr"")"),"Shine # 1")</f>
        <v>Shine # 1</v>
      </c>
      <c r="C9312" s="1" t="s">
        <v>185</v>
      </c>
      <c r="BU9312" s="1" t="s">
        <v>69</v>
      </c>
      <c r="DO9312" s="1" t="s">
        <v>115</v>
      </c>
      <c r="GD9312" s="1" t="s">
        <v>189</v>
      </c>
      <c r="GE9312" s="1" t="s">
        <v>13073</v>
      </c>
    </row>
    <row r="9313" spans="1:187" ht="11.25" customHeight="1">
      <c r="A9313" s="1" t="s">
        <v>13074</v>
      </c>
      <c r="B9313" s="1" t="str">
        <f ca="1">IFERROR(__xludf.DUMMYFUNCTION("GOOGLETRANSLATE(A9313, ""en"", ""fr"")"),"Shine # 2")</f>
        <v>Shine # 2</v>
      </c>
      <c r="C9313" s="1" t="s">
        <v>185</v>
      </c>
      <c r="CR9313" s="1" t="s">
        <v>92</v>
      </c>
      <c r="GD9313" s="1" t="s">
        <v>202</v>
      </c>
      <c r="GE9313" s="1" t="s">
        <v>13075</v>
      </c>
    </row>
    <row r="9314" spans="1:187" ht="11.25" customHeight="1">
      <c r="A9314" s="1" t="s">
        <v>13076</v>
      </c>
      <c r="B9314" s="1" t="str">
        <f ca="1">IFERROR(__xludf.DUMMYFUNCTION("GOOGLETRANSLATE(A9314, ""en"", ""fr"")"),"BRILLANT")</f>
        <v>BRILLANT</v>
      </c>
      <c r="C9314" s="1" t="s">
        <v>192</v>
      </c>
      <c r="D9314" s="1" t="s">
        <v>16612</v>
      </c>
      <c r="CM9314" s="1" t="s">
        <v>87</v>
      </c>
      <c r="CR9314" s="1" t="s">
        <v>92</v>
      </c>
      <c r="DR9314" s="1" t="s">
        <v>118</v>
      </c>
      <c r="GD9314" s="1" t="s">
        <v>202</v>
      </c>
      <c r="GE9314" s="1" t="s">
        <v>190</v>
      </c>
    </row>
    <row r="9315" spans="1:187" ht="11.25" customHeight="1">
      <c r="A9315" s="1" t="s">
        <v>13077</v>
      </c>
      <c r="B9315" s="1" t="str">
        <f ca="1">IFERROR(__xludf.DUMMYFUNCTION("GOOGLETRANSLATE(A9315, ""en"", ""fr"")"),"Navire n ° 1")</f>
        <v>Navire n ° 1</v>
      </c>
      <c r="C9315" s="1" t="s">
        <v>185</v>
      </c>
      <c r="BC9315" s="1" t="s">
        <v>51</v>
      </c>
      <c r="BF9315" s="1" t="s">
        <v>54</v>
      </c>
      <c r="GD9315" s="1" t="s">
        <v>849</v>
      </c>
      <c r="GE9315" s="1" t="s">
        <v>13078</v>
      </c>
    </row>
    <row r="9316" spans="1:187" ht="11.25" customHeight="1">
      <c r="A9316" s="1" t="s">
        <v>13079</v>
      </c>
      <c r="B9316" s="1" t="str">
        <f ca="1">IFERROR(__xludf.DUMMYFUNCTION("GOOGLETRANSLATE(A9316, ""en"", ""fr"")"),"Navire n ° 2")</f>
        <v>Navire n ° 2</v>
      </c>
      <c r="C9316" s="1" t="s">
        <v>185</v>
      </c>
      <c r="N9316" s="1" t="s">
        <v>10</v>
      </c>
      <c r="CE9316" s="1" t="s">
        <v>79</v>
      </c>
      <c r="DO9316" s="1" t="s">
        <v>115</v>
      </c>
      <c r="FP9316" s="1" t="s">
        <v>168</v>
      </c>
      <c r="GD9316" s="1" t="s">
        <v>189</v>
      </c>
      <c r="GE9316" s="1" t="s">
        <v>13080</v>
      </c>
    </row>
    <row r="9317" spans="1:187" ht="11.25" customHeight="1">
      <c r="A9317" s="1" t="s">
        <v>13081</v>
      </c>
      <c r="B9317" s="1" t="str">
        <f ca="1">IFERROR(__xludf.DUMMYFUNCTION("GOOGLETRANSLATE(A9317, ""en"", ""fr"")"),"Navire n ° 3")</f>
        <v>Navire n ° 3</v>
      </c>
      <c r="C9317" s="1" t="s">
        <v>185</v>
      </c>
      <c r="BC9317" s="1" t="s">
        <v>51</v>
      </c>
      <c r="BF9317" s="1" t="s">
        <v>54</v>
      </c>
      <c r="GD9317" s="1" t="s">
        <v>193</v>
      </c>
      <c r="GE9317" s="1" t="s">
        <v>13082</v>
      </c>
    </row>
    <row r="9318" spans="1:187" ht="11.25" customHeight="1">
      <c r="A9318" s="1" t="s">
        <v>13083</v>
      </c>
      <c r="B9318" s="1" t="str">
        <f ca="1">IFERROR(__xludf.DUMMYFUNCTION("GOOGLETRANSLATE(A9318, ""en"", ""fr"")"),"Navire n ° 4")</f>
        <v>Navire n ° 4</v>
      </c>
      <c r="C9318" s="1" t="s">
        <v>185</v>
      </c>
      <c r="K9318" s="1" t="s">
        <v>7</v>
      </c>
      <c r="AG9318" s="1" t="s">
        <v>29</v>
      </c>
      <c r="AH9318" s="1" t="s">
        <v>30</v>
      </c>
      <c r="AK9318" s="1" t="s">
        <v>33</v>
      </c>
      <c r="AT9318" s="1" t="s">
        <v>42</v>
      </c>
      <c r="EC9318" s="1" t="s">
        <v>129</v>
      </c>
      <c r="ED9318" s="1" t="s">
        <v>130</v>
      </c>
      <c r="GD9318" s="1" t="s">
        <v>193</v>
      </c>
      <c r="GE9318" s="1" t="s">
        <v>13084</v>
      </c>
    </row>
    <row r="9319" spans="1:187" ht="11.25" customHeight="1">
      <c r="A9319" s="1" t="s">
        <v>13085</v>
      </c>
      <c r="B9319" s="1" t="str">
        <f ca="1">IFERROR(__xludf.DUMMYFUNCTION("GOOGLETRANSLATE(A9319, ""en"", ""fr"")"),"CONSTRUCTION NAVALE")</f>
        <v>CONSTRUCTION NAVALE</v>
      </c>
      <c r="C9319" s="1" t="s">
        <v>196</v>
      </c>
      <c r="GD9319" s="1" t="s">
        <v>202</v>
      </c>
    </row>
    <row r="9320" spans="1:187" ht="11.25" customHeight="1">
      <c r="A9320" s="1" t="s">
        <v>13086</v>
      </c>
      <c r="B9320" s="1" t="str">
        <f ca="1">IFERROR(__xludf.DUMMYFUNCTION("GOOGLETRANSLATE(A9320, ""en"", ""fr"")"),"EXPÉDITION")</f>
        <v>EXPÉDITION</v>
      </c>
      <c r="C9320" s="1" t="s">
        <v>185</v>
      </c>
      <c r="AA9320" s="1" t="s">
        <v>23</v>
      </c>
      <c r="AC9320" s="1" t="s">
        <v>25</v>
      </c>
      <c r="BQ9320" s="1" t="s">
        <v>65</v>
      </c>
      <c r="GD9320" s="1" t="s">
        <v>193</v>
      </c>
      <c r="GE9320" s="1" t="s">
        <v>190</v>
      </c>
    </row>
    <row r="9321" spans="1:187" ht="11.25" customHeight="1">
      <c r="A9321" s="1" t="s">
        <v>13087</v>
      </c>
      <c r="B9321" s="1" t="str">
        <f ca="1">IFERROR(__xludf.DUMMYFUNCTION("GOOGLETRANSLATE(A9321, ""en"", ""fr"")"),"NAUFRAGE")</f>
        <v>NAUFRAGE</v>
      </c>
      <c r="C9321" s="1" t="s">
        <v>192</v>
      </c>
      <c r="E9321" s="1" t="s">
        <v>16613</v>
      </c>
      <c r="BC9321" s="1" t="s">
        <v>51</v>
      </c>
      <c r="GD9321" s="1" t="s">
        <v>193</v>
      </c>
      <c r="GE9321" s="1" t="s">
        <v>190</v>
      </c>
    </row>
    <row r="9322" spans="1:187" ht="11.25" customHeight="1">
      <c r="A9322" s="1" t="s">
        <v>13088</v>
      </c>
      <c r="B9322" s="1" t="str">
        <f ca="1">IFERROR(__xludf.DUMMYFUNCTION("GOOGLETRANSLATE(A9322, ""en"", ""fr"")"),"SE DÉROBER")</f>
        <v>SE DÉROBER</v>
      </c>
      <c r="C9322" s="1" t="s">
        <v>192</v>
      </c>
      <c r="E9322" s="1" t="s">
        <v>16613</v>
      </c>
      <c r="L9322" s="1" t="s">
        <v>8</v>
      </c>
      <c r="N9322" s="1" t="s">
        <v>10</v>
      </c>
      <c r="BT9322" s="1" t="s">
        <v>68</v>
      </c>
      <c r="DN9322" s="1" t="s">
        <v>114</v>
      </c>
      <c r="GD9322" s="1" t="s">
        <v>189</v>
      </c>
      <c r="GE9322" s="1" t="s">
        <v>190</v>
      </c>
    </row>
    <row r="9323" spans="1:187" ht="11.25" customHeight="1">
      <c r="A9323" s="1" t="s">
        <v>13089</v>
      </c>
      <c r="B9323" s="1" t="str">
        <f ca="1">IFERROR(__xludf.DUMMYFUNCTION("GOOGLETRANSLATE(A9323, ""en"", ""fr"")"),"CHEMISE")</f>
        <v>CHEMISE</v>
      </c>
      <c r="C9323" s="1" t="s">
        <v>185</v>
      </c>
      <c r="BC9323" s="1" t="s">
        <v>51</v>
      </c>
      <c r="BD9323" s="1" t="s">
        <v>52</v>
      </c>
      <c r="GD9323" s="1" t="s">
        <v>193</v>
      </c>
      <c r="GE9323" s="1" t="s">
        <v>190</v>
      </c>
    </row>
    <row r="9324" spans="1:187" ht="11.25" customHeight="1">
      <c r="A9324" s="1" t="s">
        <v>13090</v>
      </c>
      <c r="B9324" s="1" t="str">
        <f ca="1">IFERROR(__xludf.DUMMYFUNCTION("GOOGLETRANSLATE(A9324, ""en"", ""fr"")"),"FRISSON")</f>
        <v>FRISSON</v>
      </c>
      <c r="C9324" s="1" t="s">
        <v>192</v>
      </c>
      <c r="E9324" s="1" t="s">
        <v>16613</v>
      </c>
      <c r="O9324" s="1" t="s">
        <v>11</v>
      </c>
      <c r="Q9324" s="1" t="s">
        <v>13</v>
      </c>
      <c r="DN9324" s="1" t="s">
        <v>114</v>
      </c>
      <c r="GD9324" s="1" t="s">
        <v>189</v>
      </c>
      <c r="GE9324" s="1" t="s">
        <v>190</v>
      </c>
    </row>
    <row r="9325" spans="1:187" ht="11.25" customHeight="1">
      <c r="A9325" s="1" t="s">
        <v>13091</v>
      </c>
      <c r="B9325" s="1" t="str">
        <f ca="1">IFERROR(__xludf.DUMMYFUNCTION("GOOGLETRANSLATE(A9325, ""en"", ""fr"")"),"Choc n ° 1")</f>
        <v>Choc n ° 1</v>
      </c>
      <c r="C9325" s="1" t="s">
        <v>185</v>
      </c>
      <c r="E9325" s="1" t="s">
        <v>16613</v>
      </c>
      <c r="H9325" s="1" t="s">
        <v>4</v>
      </c>
      <c r="J9325" s="1" t="s">
        <v>6</v>
      </c>
      <c r="Q9325" s="1" t="s">
        <v>13</v>
      </c>
      <c r="EY9325" s="1" t="s">
        <v>151</v>
      </c>
      <c r="FC9325" s="1" t="s">
        <v>155</v>
      </c>
      <c r="GD9325" s="1" t="s">
        <v>193</v>
      </c>
      <c r="GE9325" s="1" t="s">
        <v>13092</v>
      </c>
    </row>
    <row r="9326" spans="1:187" ht="11.25" customHeight="1">
      <c r="A9326" s="1" t="s">
        <v>13093</v>
      </c>
      <c r="B9326" s="1" t="str">
        <f ca="1">IFERROR(__xludf.DUMMYFUNCTION("GOOGLETRANSLATE(A9326, ""en"", ""fr"")"),"Choc n ° 2")</f>
        <v>Choc n ° 2</v>
      </c>
      <c r="C9326" s="1" t="s">
        <v>185</v>
      </c>
      <c r="E9326" s="1" t="s">
        <v>16613</v>
      </c>
      <c r="H9326" s="1" t="s">
        <v>4</v>
      </c>
      <c r="I9326" s="1" t="s">
        <v>5</v>
      </c>
      <c r="J9326" s="1" t="s">
        <v>6</v>
      </c>
      <c r="N9326" s="1" t="s">
        <v>10</v>
      </c>
      <c r="AN9326" s="1" t="s">
        <v>36</v>
      </c>
      <c r="DN9326" s="1" t="s">
        <v>114</v>
      </c>
      <c r="EY9326" s="1" t="s">
        <v>151</v>
      </c>
      <c r="FC9326" s="1" t="s">
        <v>155</v>
      </c>
      <c r="GD9326" s="1" t="s">
        <v>189</v>
      </c>
      <c r="GE9326" s="1" t="s">
        <v>13094</v>
      </c>
    </row>
    <row r="9327" spans="1:187" ht="11.25" customHeight="1">
      <c r="A9327" s="1" t="s">
        <v>13095</v>
      </c>
      <c r="B9327" s="1" t="str">
        <f ca="1">IFERROR(__xludf.DUMMYFUNCTION("GOOGLETRANSLATE(A9327, ""en"", ""fr"")"),"Choc # 3")</f>
        <v>Choc # 3</v>
      </c>
      <c r="C9327" s="1" t="s">
        <v>185</v>
      </c>
      <c r="E9327" s="1" t="s">
        <v>16613</v>
      </c>
      <c r="H9327" s="1" t="s">
        <v>4</v>
      </c>
      <c r="L9327" s="1" t="s">
        <v>8</v>
      </c>
      <c r="O9327" s="1" t="s">
        <v>11</v>
      </c>
      <c r="Q9327" s="1" t="s">
        <v>13</v>
      </c>
      <c r="T9327" s="1" t="s">
        <v>16</v>
      </c>
      <c r="FA9327" s="1" t="s">
        <v>153</v>
      </c>
      <c r="FC9327" s="1" t="s">
        <v>155</v>
      </c>
      <c r="GD9327" s="1" t="s">
        <v>202</v>
      </c>
      <c r="GE9327" s="1" t="s">
        <v>13096</v>
      </c>
    </row>
    <row r="9328" spans="1:187" ht="11.25" customHeight="1">
      <c r="A9328" s="1" t="s">
        <v>13097</v>
      </c>
      <c r="B9328" s="1" t="str">
        <f ca="1">IFERROR(__xludf.DUMMYFUNCTION("GOOGLETRANSLATE(A9328, ""en"", ""fr"")"),"Choc n ° 4")</f>
        <v>Choc n ° 4</v>
      </c>
      <c r="C9328" s="1" t="s">
        <v>185</v>
      </c>
      <c r="E9328" s="1" t="s">
        <v>16613</v>
      </c>
      <c r="H9328" s="1" t="s">
        <v>4</v>
      </c>
      <c r="J9328" s="1" t="s">
        <v>6</v>
      </c>
      <c r="Q9328" s="1" t="s">
        <v>13</v>
      </c>
      <c r="FA9328" s="1" t="s">
        <v>153</v>
      </c>
      <c r="FC9328" s="1" t="s">
        <v>155</v>
      </c>
      <c r="GD9328" s="1" t="s">
        <v>202</v>
      </c>
      <c r="GE9328" s="1" t="s">
        <v>13098</v>
      </c>
    </row>
    <row r="9329" spans="1:187" ht="11.25" customHeight="1">
      <c r="A9329" s="1" t="s">
        <v>13099</v>
      </c>
      <c r="B9329" s="1" t="str">
        <f ca="1">IFERROR(__xludf.DUMMYFUNCTION("GOOGLETRANSLATE(A9329, ""en"", ""fr"")"),"Choc # 5")</f>
        <v>Choc # 5</v>
      </c>
      <c r="C9329" s="1" t="s">
        <v>185</v>
      </c>
      <c r="E9329" s="1" t="s">
        <v>16613</v>
      </c>
      <c r="H9329" s="1" t="s">
        <v>4</v>
      </c>
      <c r="J9329" s="1" t="s">
        <v>6</v>
      </c>
      <c r="Q9329" s="1" t="s">
        <v>13</v>
      </c>
      <c r="W9329" s="1" t="s">
        <v>19</v>
      </c>
      <c r="FA9329" s="1" t="s">
        <v>153</v>
      </c>
      <c r="FC9329" s="1" t="s">
        <v>155</v>
      </c>
      <c r="GD9329" s="1" t="s">
        <v>236</v>
      </c>
      <c r="GE9329" s="1" t="s">
        <v>13100</v>
      </c>
    </row>
    <row r="9330" spans="1:187" ht="11.25" customHeight="1">
      <c r="A9330" s="1" t="s">
        <v>13101</v>
      </c>
      <c r="B9330" s="1" t="str">
        <f ca="1">IFERROR(__xludf.DUMMYFUNCTION("GOOGLETRANSLATE(A9330, ""en"", ""fr"")"),"DE MAUVAISE QUALITÉ")</f>
        <v>DE MAUVAISE QUALITÉ</v>
      </c>
      <c r="C9330" s="1" t="s">
        <v>192</v>
      </c>
      <c r="E9330" s="1" t="s">
        <v>16613</v>
      </c>
      <c r="L9330" s="1" t="s">
        <v>8</v>
      </c>
      <c r="BT9330" s="1" t="s">
        <v>68</v>
      </c>
      <c r="DR9330" s="1" t="s">
        <v>118</v>
      </c>
      <c r="GD9330" s="1" t="s">
        <v>202</v>
      </c>
      <c r="GE9330" s="1" t="s">
        <v>190</v>
      </c>
    </row>
    <row r="9331" spans="1:187" ht="11.25" customHeight="1">
      <c r="A9331" s="1" t="s">
        <v>13102</v>
      </c>
      <c r="B9331" s="1" t="str">
        <f ca="1">IFERROR(__xludf.DUMMYFUNCTION("GOOGLETRANSLATE(A9331, ""en"", ""fr"")"),"Chaussure n ° 1")</f>
        <v>Chaussure n ° 1</v>
      </c>
      <c r="C9331" s="1" t="s">
        <v>185</v>
      </c>
      <c r="BC9331" s="1" t="s">
        <v>51</v>
      </c>
      <c r="BD9331" s="1" t="s">
        <v>52</v>
      </c>
      <c r="GD9331" s="1" t="s">
        <v>193</v>
      </c>
      <c r="GE9331" s="1" t="s">
        <v>13103</v>
      </c>
    </row>
    <row r="9332" spans="1:187" ht="11.25" customHeight="1">
      <c r="A9332" s="1" t="s">
        <v>13104</v>
      </c>
      <c r="B9332" s="1" t="str">
        <f ca="1">IFERROR(__xludf.DUMMYFUNCTION("GOOGLETRANSLATE(A9332, ""en"", ""fr"")"),"Chaussure n ° 2")</f>
        <v>Chaussure n ° 2</v>
      </c>
      <c r="C9332" s="1" t="s">
        <v>185</v>
      </c>
      <c r="G9332" s="1" t="s">
        <v>3</v>
      </c>
      <c r="CH9332" s="1" t="s">
        <v>82</v>
      </c>
      <c r="GD9332" s="1" t="s">
        <v>202</v>
      </c>
      <c r="GE9332" s="1" t="s">
        <v>13105</v>
      </c>
    </row>
    <row r="9333" spans="1:187" ht="11.25" customHeight="1">
      <c r="A9333" s="1" t="s">
        <v>13106</v>
      </c>
      <c r="B9333" s="1" t="str">
        <f ca="1">IFERROR(__xludf.DUMMYFUNCTION("GOOGLETRANSLATE(A9333, ""en"", ""fr"")"),"Secoué # 1")</f>
        <v>Secoué # 1</v>
      </c>
      <c r="C9333" s="1" t="s">
        <v>192</v>
      </c>
      <c r="GD9333" s="1" t="s">
        <v>1085</v>
      </c>
      <c r="GE9333" s="1" t="s">
        <v>190</v>
      </c>
    </row>
    <row r="9334" spans="1:187" ht="11.25" customHeight="1">
      <c r="A9334" s="1" t="s">
        <v>13107</v>
      </c>
      <c r="B9334" s="1" t="str">
        <f ca="1">IFERROR(__xludf.DUMMYFUNCTION("GOOGLETRANSLATE(A9334, ""en"", ""fr"")"),"Shoot # 1")</f>
        <v>Shoot # 1</v>
      </c>
      <c r="C9334" s="1" t="s">
        <v>185</v>
      </c>
      <c r="E9334" s="1" t="s">
        <v>16613</v>
      </c>
      <c r="H9334" s="1" t="s">
        <v>4</v>
      </c>
      <c r="I9334" s="1" t="s">
        <v>5</v>
      </c>
      <c r="J9334" s="1" t="s">
        <v>6</v>
      </c>
      <c r="N9334" s="1" t="s">
        <v>10</v>
      </c>
      <c r="CC9334" s="1" t="s">
        <v>77</v>
      </c>
      <c r="DO9334" s="1" t="s">
        <v>115</v>
      </c>
      <c r="FO9334" s="1" t="s">
        <v>167</v>
      </c>
      <c r="GD9334" s="1" t="s">
        <v>189</v>
      </c>
      <c r="GE9334" s="1" t="s">
        <v>13108</v>
      </c>
    </row>
    <row r="9335" spans="1:187" ht="11.25" customHeight="1">
      <c r="A9335" s="1" t="s">
        <v>13109</v>
      </c>
      <c r="B9335" s="1" t="str">
        <f ca="1">IFERROR(__xludf.DUMMYFUNCTION("GOOGLETRANSLATE(A9335, ""en"", ""fr"")"),"Shoot # 2")</f>
        <v>Shoot # 2</v>
      </c>
      <c r="C9335" s="1" t="s">
        <v>185</v>
      </c>
      <c r="N9335" s="1" t="s">
        <v>10</v>
      </c>
      <c r="BP9335" s="1" t="s">
        <v>64</v>
      </c>
      <c r="DN9335" s="1" t="s">
        <v>114</v>
      </c>
      <c r="FL9335" s="1" t="s">
        <v>164</v>
      </c>
      <c r="FM9335" s="1" t="s">
        <v>418</v>
      </c>
      <c r="GD9335" s="1" t="s">
        <v>189</v>
      </c>
      <c r="GE9335" s="1" t="s">
        <v>13110</v>
      </c>
    </row>
    <row r="9336" spans="1:187" ht="11.25" customHeight="1">
      <c r="A9336" s="1" t="s">
        <v>13111</v>
      </c>
      <c r="B9336" s="1" t="str">
        <f ca="1">IFERROR(__xludf.DUMMYFUNCTION("GOOGLETRANSLATE(A9336, ""en"", ""fr"")"),"Shoot # 3")</f>
        <v>Shoot # 3</v>
      </c>
      <c r="C9336" s="1" t="s">
        <v>185</v>
      </c>
      <c r="E9336" s="1" t="s">
        <v>16613</v>
      </c>
      <c r="H9336" s="1" t="s">
        <v>4</v>
      </c>
      <c r="I9336" s="1" t="s">
        <v>5</v>
      </c>
      <c r="J9336" s="1" t="s">
        <v>6</v>
      </c>
      <c r="N9336" s="1" t="s">
        <v>10</v>
      </c>
      <c r="V9336" s="1" t="s">
        <v>18</v>
      </c>
      <c r="FO9336" s="1" t="s">
        <v>167</v>
      </c>
      <c r="GD9336" s="1" t="s">
        <v>193</v>
      </c>
      <c r="GE9336" s="1" t="s">
        <v>13112</v>
      </c>
    </row>
    <row r="9337" spans="1:187" ht="11.25" customHeight="1">
      <c r="A9337" s="1" t="s">
        <v>13113</v>
      </c>
      <c r="B9337" s="1" t="str">
        <f ca="1">IFERROR(__xludf.DUMMYFUNCTION("GOOGLETRANSLATE(A9337, ""en"", ""fr"")"),"Shoot # 4")</f>
        <v>Shoot # 4</v>
      </c>
      <c r="C9337" s="1" t="s">
        <v>185</v>
      </c>
      <c r="AD9337" s="1" t="s">
        <v>26</v>
      </c>
      <c r="AM9337" s="1" t="s">
        <v>35</v>
      </c>
      <c r="FL9337" s="1" t="s">
        <v>164</v>
      </c>
      <c r="FM9337" s="1" t="s">
        <v>418</v>
      </c>
      <c r="GD9337" s="1" t="s">
        <v>193</v>
      </c>
      <c r="GE9337" s="1" t="s">
        <v>13114</v>
      </c>
    </row>
    <row r="9338" spans="1:187" ht="11.25" customHeight="1">
      <c r="A9338" s="1" t="s">
        <v>13115</v>
      </c>
      <c r="B9338" s="1" t="str">
        <f ca="1">IFERROR(__xludf.DUMMYFUNCTION("GOOGLETRANSLATE(A9338, ""en"", ""fr"")"),"Shoot # 5")</f>
        <v>Shoot # 5</v>
      </c>
      <c r="C9338" s="1" t="s">
        <v>185</v>
      </c>
      <c r="BK9338" s="1" t="s">
        <v>59</v>
      </c>
      <c r="DN9338" s="1" t="s">
        <v>114</v>
      </c>
      <c r="FH9338" s="1" t="s">
        <v>160</v>
      </c>
      <c r="FI9338" s="1" t="s">
        <v>161</v>
      </c>
      <c r="GD9338" s="1" t="s">
        <v>189</v>
      </c>
      <c r="GE9338" s="1" t="s">
        <v>13116</v>
      </c>
    </row>
    <row r="9339" spans="1:187" ht="11.25" customHeight="1">
      <c r="A9339" s="1" t="s">
        <v>13117</v>
      </c>
      <c r="B9339" s="1" t="str">
        <f ca="1">IFERROR(__xludf.DUMMYFUNCTION("GOOGLETRANSLATE(A9339, ""en"", ""fr"")"),"Shoot # 6")</f>
        <v>Shoot # 6</v>
      </c>
      <c r="C9339" s="1" t="s">
        <v>185</v>
      </c>
      <c r="E9339" s="1" t="s">
        <v>16613</v>
      </c>
      <c r="H9339" s="1" t="s">
        <v>4</v>
      </c>
      <c r="I9339" s="1" t="s">
        <v>5</v>
      </c>
      <c r="BK9339" s="1" t="s">
        <v>59</v>
      </c>
      <c r="DN9339" s="1" t="s">
        <v>114</v>
      </c>
      <c r="FH9339" s="1" t="s">
        <v>160</v>
      </c>
      <c r="FI9339" s="1" t="s">
        <v>161</v>
      </c>
      <c r="GD9339" s="1" t="s">
        <v>189</v>
      </c>
      <c r="GE9339" s="1" t="s">
        <v>13118</v>
      </c>
    </row>
    <row r="9340" spans="1:187" ht="11.25" customHeight="1">
      <c r="A9340" s="1" t="s">
        <v>13119</v>
      </c>
      <c r="B9340" s="1" t="str">
        <f ca="1">IFERROR(__xludf.DUMMYFUNCTION("GOOGLETRANSLATE(A9340, ""en"", ""fr"")"),"Shoot # 7")</f>
        <v>Shoot # 7</v>
      </c>
      <c r="C9340" s="1" t="s">
        <v>185</v>
      </c>
      <c r="J9340" s="1" t="s">
        <v>6</v>
      </c>
      <c r="N9340" s="1" t="s">
        <v>10</v>
      </c>
      <c r="BX9340" s="1" t="s">
        <v>72</v>
      </c>
      <c r="DN9340" s="1" t="s">
        <v>114</v>
      </c>
      <c r="FP9340" s="1" t="s">
        <v>168</v>
      </c>
      <c r="GD9340" s="1" t="s">
        <v>189</v>
      </c>
      <c r="GE9340" s="1" t="s">
        <v>13120</v>
      </c>
    </row>
    <row r="9341" spans="1:187" ht="11.25" customHeight="1">
      <c r="A9341" s="1" t="s">
        <v>13121</v>
      </c>
      <c r="B9341" s="1" t="str">
        <f ca="1">IFERROR(__xludf.DUMMYFUNCTION("GOOGLETRANSLATE(A9341, ""en"", ""fr"")"),"Boutique n ° 1")</f>
        <v>Boutique n ° 1</v>
      </c>
      <c r="C9341" s="1" t="s">
        <v>185</v>
      </c>
      <c r="AA9341" s="1" t="s">
        <v>23</v>
      </c>
      <c r="AC9341" s="1" t="s">
        <v>25</v>
      </c>
      <c r="AV9341" s="1" t="s">
        <v>44</v>
      </c>
      <c r="AW9341" s="1" t="s">
        <v>45</v>
      </c>
      <c r="EV9341" s="1" t="s">
        <v>148</v>
      </c>
      <c r="EW9341" s="1" t="s">
        <v>149</v>
      </c>
      <c r="GD9341" s="1" t="s">
        <v>193</v>
      </c>
      <c r="GE9341" s="1" t="s">
        <v>13122</v>
      </c>
    </row>
    <row r="9342" spans="1:187" ht="11.25" customHeight="1">
      <c r="A9342" s="1" t="s">
        <v>13123</v>
      </c>
      <c r="B9342" s="1" t="str">
        <f ca="1">IFERROR(__xludf.DUMMYFUNCTION("GOOGLETRANSLATE(A9342, ""en"", ""fr"")"),"Boutique n ° 2")</f>
        <v>Boutique n ° 2</v>
      </c>
      <c r="C9342" s="1" t="s">
        <v>185</v>
      </c>
      <c r="N9342" s="1" t="s">
        <v>10</v>
      </c>
      <c r="AA9342" s="1" t="s">
        <v>23</v>
      </c>
      <c r="AB9342" s="1" t="s">
        <v>24</v>
      </c>
      <c r="DO9342" s="1" t="s">
        <v>115</v>
      </c>
      <c r="EV9342" s="1" t="s">
        <v>148</v>
      </c>
      <c r="EW9342" s="1" t="s">
        <v>149</v>
      </c>
      <c r="GD9342" s="1" t="s">
        <v>189</v>
      </c>
      <c r="GE9342" s="1" t="s">
        <v>13124</v>
      </c>
    </row>
    <row r="9343" spans="1:187" ht="11.25" customHeight="1">
      <c r="A9343" s="1" t="s">
        <v>13125</v>
      </c>
      <c r="B9343" s="1" t="str">
        <f ca="1">IFERROR(__xludf.DUMMYFUNCTION("GOOGLETRANSLATE(A9343, ""en"", ""fr"")"),"Boutique n ° 3")</f>
        <v>Boutique n ° 3</v>
      </c>
      <c r="C9343" s="1" t="s">
        <v>185</v>
      </c>
      <c r="N9343" s="1" t="s">
        <v>10</v>
      </c>
      <c r="AA9343" s="1" t="s">
        <v>23</v>
      </c>
      <c r="AC9343" s="1" t="s">
        <v>25</v>
      </c>
      <c r="BQ9343" s="1" t="s">
        <v>65</v>
      </c>
      <c r="EV9343" s="1" t="s">
        <v>148</v>
      </c>
      <c r="EW9343" s="1" t="s">
        <v>149</v>
      </c>
      <c r="GD9343" s="1" t="s">
        <v>193</v>
      </c>
      <c r="GE9343" s="1" t="s">
        <v>13126</v>
      </c>
    </row>
    <row r="9344" spans="1:187" ht="11.25" customHeight="1">
      <c r="A9344" s="1" t="s">
        <v>13127</v>
      </c>
      <c r="B9344" s="1" t="str">
        <f ca="1">IFERROR(__xludf.DUMMYFUNCTION("GOOGLETRANSLATE(A9344, ""en"", ""fr"")"),"RIVE")</f>
        <v>RIVE</v>
      </c>
      <c r="C9344" s="1" t="s">
        <v>185</v>
      </c>
      <c r="AV9344" s="1" t="s">
        <v>44</v>
      </c>
      <c r="BA9344" s="1" t="s">
        <v>49</v>
      </c>
      <c r="GD9344" s="1" t="s">
        <v>193</v>
      </c>
      <c r="GE9344" s="1" t="s">
        <v>190</v>
      </c>
    </row>
    <row r="9345" spans="1:187" ht="11.25" customHeight="1">
      <c r="A9345" s="1" t="s">
        <v>13128</v>
      </c>
      <c r="B9345" s="1" t="str">
        <f ca="1">IFERROR(__xludf.DUMMYFUNCTION("GOOGLETRANSLATE(A9345, ""en"", ""fr"")"),"Court # 1")</f>
        <v>Court # 1</v>
      </c>
      <c r="C9345" s="1" t="s">
        <v>185</v>
      </c>
      <c r="CS9345" s="1" t="s">
        <v>93</v>
      </c>
      <c r="DC9345" s="1" t="s">
        <v>103</v>
      </c>
      <c r="GD9345" s="1" t="s">
        <v>202</v>
      </c>
      <c r="GE9345" s="1" t="s">
        <v>13129</v>
      </c>
    </row>
    <row r="9346" spans="1:187" ht="11.25" customHeight="1">
      <c r="A9346" s="1" t="s">
        <v>13130</v>
      </c>
      <c r="B9346" s="1" t="str">
        <f ca="1">IFERROR(__xludf.DUMMYFUNCTION("GOOGLETRANSLATE(A9346, ""en"", ""fr"")"),"Court # 2")</f>
        <v>Court # 2</v>
      </c>
      <c r="C9346" s="1" t="s">
        <v>185</v>
      </c>
      <c r="BC9346" s="1" t="s">
        <v>51</v>
      </c>
      <c r="BD9346" s="1" t="s">
        <v>52</v>
      </c>
      <c r="GD9346" s="1" t="s">
        <v>193</v>
      </c>
      <c r="GE9346" s="1" t="s">
        <v>13131</v>
      </c>
    </row>
    <row r="9347" spans="1:187" ht="11.25" customHeight="1">
      <c r="A9347" s="1" t="s">
        <v>13132</v>
      </c>
      <c r="B9347" s="1" t="str">
        <f ca="1">IFERROR(__xludf.DUMMYFUNCTION("GOOGLETRANSLATE(A9347, ""en"", ""fr"")"),"Court # 3")</f>
        <v>Court # 3</v>
      </c>
      <c r="C9347" s="1" t="s">
        <v>185</v>
      </c>
      <c r="X9347" s="1" t="s">
        <v>20</v>
      </c>
      <c r="CS9347" s="1" t="s">
        <v>93</v>
      </c>
      <c r="GD9347" s="1" t="s">
        <v>236</v>
      </c>
      <c r="GE9347" s="1" t="s">
        <v>13133</v>
      </c>
    </row>
    <row r="9348" spans="1:187" ht="11.25" customHeight="1">
      <c r="A9348" s="1" t="s">
        <v>13134</v>
      </c>
      <c r="B9348" s="1" t="str">
        <f ca="1">IFERROR(__xludf.DUMMYFUNCTION("GOOGLETRANSLATE(A9348, ""en"", ""fr"")"),"Court # 4")</f>
        <v>Court # 4</v>
      </c>
      <c r="C9348" s="1" t="s">
        <v>185</v>
      </c>
      <c r="W9348" s="1" t="s">
        <v>19</v>
      </c>
      <c r="CY9348" s="1" t="s">
        <v>99</v>
      </c>
      <c r="GB9348" s="1" t="s">
        <v>180</v>
      </c>
      <c r="GD9348" s="1" t="s">
        <v>236</v>
      </c>
      <c r="GE9348" s="1" t="s">
        <v>13135</v>
      </c>
    </row>
    <row r="9349" spans="1:187" ht="11.25" customHeight="1">
      <c r="A9349" s="1" t="s">
        <v>13136</v>
      </c>
      <c r="B9349" s="1" t="str">
        <f ca="1">IFERROR(__xludf.DUMMYFUNCTION("GOOGLETRANSLATE(A9349, ""en"", ""fr"")"),"Court # 5")</f>
        <v>Court # 5</v>
      </c>
      <c r="C9349" s="1" t="s">
        <v>185</v>
      </c>
      <c r="E9349" s="1" t="s">
        <v>16613</v>
      </c>
      <c r="H9349" s="1" t="s">
        <v>4</v>
      </c>
      <c r="L9349" s="1" t="s">
        <v>8</v>
      </c>
      <c r="V9349" s="1" t="s">
        <v>18</v>
      </c>
      <c r="GD9349" s="1" t="s">
        <v>215</v>
      </c>
      <c r="GE9349" s="1" t="s">
        <v>13137</v>
      </c>
    </row>
    <row r="9350" spans="1:187" ht="11.25" customHeight="1">
      <c r="A9350" s="1" t="s">
        <v>13138</v>
      </c>
      <c r="B9350" s="1" t="str">
        <f ca="1">IFERROR(__xludf.DUMMYFUNCTION("GOOGLETRANSLATE(A9350, ""en"", ""fr"")"),"Court # 6")</f>
        <v>Court # 6</v>
      </c>
      <c r="C9350" s="1" t="s">
        <v>185</v>
      </c>
      <c r="CS9350" s="1" t="s">
        <v>93</v>
      </c>
      <c r="GD9350" s="1" t="s">
        <v>202</v>
      </c>
      <c r="GE9350" s="1" t="s">
        <v>13139</v>
      </c>
    </row>
    <row r="9351" spans="1:187" ht="11.25" customHeight="1">
      <c r="A9351" s="1" t="s">
        <v>13140</v>
      </c>
      <c r="B9351" s="1" t="str">
        <f ca="1">IFERROR(__xludf.DUMMYFUNCTION("GOOGLETRANSLATE(A9351, ""en"", ""fr"")"),"COURT TERME")</f>
        <v>COURT TERME</v>
      </c>
      <c r="C9351" s="1" t="s">
        <v>196</v>
      </c>
      <c r="GB9351" s="1" t="s">
        <v>180</v>
      </c>
      <c r="GD9351" s="1" t="s">
        <v>202</v>
      </c>
    </row>
    <row r="9352" spans="1:187" ht="11.25" customHeight="1">
      <c r="A9352" s="1" t="s">
        <v>13141</v>
      </c>
      <c r="B9352" s="1" t="str">
        <f ca="1">IFERROR(__xludf.DUMMYFUNCTION("GOOGLETRANSLATE(A9352, ""en"", ""fr"")"),"PÉNURIE")</f>
        <v>PÉNURIE</v>
      </c>
      <c r="C9352" s="1" t="s">
        <v>185</v>
      </c>
      <c r="E9352" s="1" t="s">
        <v>16613</v>
      </c>
      <c r="H9352" s="1" t="s">
        <v>4</v>
      </c>
      <c r="L9352" s="1" t="s">
        <v>8</v>
      </c>
      <c r="AC9352" s="1" t="s">
        <v>25</v>
      </c>
      <c r="CS9352" s="1" t="s">
        <v>93</v>
      </c>
      <c r="FQ9352" s="1" t="s">
        <v>169</v>
      </c>
      <c r="GD9352" s="1" t="s">
        <v>193</v>
      </c>
      <c r="GE9352" s="1" t="s">
        <v>190</v>
      </c>
    </row>
    <row r="9353" spans="1:187" ht="11.25" customHeight="1">
      <c r="A9353" s="1" t="s">
        <v>13142</v>
      </c>
      <c r="B9353" s="1" t="str">
        <f ca="1">IFERROR(__xludf.DUMMYFUNCTION("GOOGLETRANSLATE(A9353, ""en"", ""fr"")"),"DÉFAUT")</f>
        <v>DÉFAUT</v>
      </c>
      <c r="C9353" s="1" t="s">
        <v>185</v>
      </c>
      <c r="E9353" s="1" t="s">
        <v>16613</v>
      </c>
      <c r="H9353" s="1" t="s">
        <v>4</v>
      </c>
      <c r="V9353" s="1" t="s">
        <v>18</v>
      </c>
      <c r="GD9353" s="1" t="s">
        <v>193</v>
      </c>
      <c r="GE9353" s="1" t="s">
        <v>190</v>
      </c>
    </row>
    <row r="9354" spans="1:187" ht="11.25" customHeight="1">
      <c r="A9354" s="1" t="s">
        <v>13143</v>
      </c>
      <c r="B9354" s="1" t="str">
        <f ca="1">IFERROR(__xludf.DUMMYFUNCTION("GOOGLETRANSLATE(A9354, ""en"", ""fr"")"),"RACCOURCIR")</f>
        <v>RACCOURCIR</v>
      </c>
      <c r="C9354" s="1" t="s">
        <v>185</v>
      </c>
      <c r="N9354" s="1" t="s">
        <v>10</v>
      </c>
      <c r="AL9354" s="1" t="s">
        <v>34</v>
      </c>
      <c r="DO9354" s="1" t="s">
        <v>115</v>
      </c>
      <c r="GD9354" s="1" t="s">
        <v>189</v>
      </c>
      <c r="GE9354" s="1" t="s">
        <v>190</v>
      </c>
    </row>
    <row r="9355" spans="1:187" ht="11.25" customHeight="1">
      <c r="A9355" s="1" t="s">
        <v>13144</v>
      </c>
      <c r="B9355" s="1" t="str">
        <f ca="1">IFERROR(__xludf.DUMMYFUNCTION("GOOGLETRANSLATE(A9355, ""en"", ""fr"")"),"MYOPE")</f>
        <v>MYOPE</v>
      </c>
      <c r="C9355" s="1" t="s">
        <v>192</v>
      </c>
      <c r="E9355" s="1" t="s">
        <v>16613</v>
      </c>
      <c r="L9355" s="1" t="s">
        <v>8</v>
      </c>
      <c r="CK9355" s="1" t="s">
        <v>85</v>
      </c>
      <c r="DR9355" s="1" t="s">
        <v>118</v>
      </c>
      <c r="GD9355" s="1" t="s">
        <v>202</v>
      </c>
      <c r="GE9355" s="1" t="s">
        <v>190</v>
      </c>
    </row>
    <row r="9356" spans="1:187" ht="11.25" customHeight="1">
      <c r="A9356" s="1" t="s">
        <v>13145</v>
      </c>
      <c r="B9356" s="1" t="str">
        <f ca="1">IFERROR(__xludf.DUMMYFUNCTION("GOOGLETRANSLATE(A9356, ""en"", ""fr"")"),"Shot # 1")</f>
        <v>Shot # 1</v>
      </c>
      <c r="C9356" s="1" t="s">
        <v>185</v>
      </c>
      <c r="E9356" s="1" t="s">
        <v>16613</v>
      </c>
      <c r="H9356" s="1" t="s">
        <v>4</v>
      </c>
      <c r="I9356" s="1" t="s">
        <v>5</v>
      </c>
      <c r="J9356" s="1" t="s">
        <v>6</v>
      </c>
      <c r="N9356" s="1" t="s">
        <v>10</v>
      </c>
      <c r="CC9356" s="1" t="s">
        <v>77</v>
      </c>
      <c r="DO9356" s="1" t="s">
        <v>115</v>
      </c>
      <c r="FO9356" s="1" t="s">
        <v>167</v>
      </c>
      <c r="GD9356" s="1" t="s">
        <v>1076</v>
      </c>
      <c r="GE9356" s="1" t="s">
        <v>13146</v>
      </c>
    </row>
    <row r="9357" spans="1:187" ht="11.25" customHeight="1">
      <c r="A9357" s="1" t="s">
        <v>13147</v>
      </c>
      <c r="B9357" s="1" t="str">
        <f ca="1">IFERROR(__xludf.DUMMYFUNCTION("GOOGLETRANSLATE(A9357, ""en"", ""fr"")"),"Shot # 2")</f>
        <v>Shot # 2</v>
      </c>
      <c r="C9357" s="1" t="s">
        <v>185</v>
      </c>
      <c r="BQ9357" s="1" t="s">
        <v>65</v>
      </c>
      <c r="EZ9357" s="1" t="s">
        <v>152</v>
      </c>
      <c r="FC9357" s="1" t="s">
        <v>155</v>
      </c>
      <c r="GD9357" s="1" t="s">
        <v>193</v>
      </c>
      <c r="GE9357" s="1" t="s">
        <v>13148</v>
      </c>
    </row>
    <row r="9358" spans="1:187" ht="11.25" customHeight="1">
      <c r="A9358" s="1" t="s">
        <v>13149</v>
      </c>
      <c r="B9358" s="1" t="str">
        <f ca="1">IFERROR(__xludf.DUMMYFUNCTION("GOOGLETRANSLATE(A9358, ""en"", ""fr"")"),"Shot # 3")</f>
        <v>Shot # 3</v>
      </c>
      <c r="C9358" s="1" t="s">
        <v>196</v>
      </c>
      <c r="FO9358" s="1" t="s">
        <v>167</v>
      </c>
      <c r="GD9358" s="1" t="s">
        <v>193</v>
      </c>
    </row>
    <row r="9359" spans="1:187" ht="11.25" customHeight="1">
      <c r="A9359" s="1" t="s">
        <v>13150</v>
      </c>
      <c r="B9359" s="1" t="str">
        <f ca="1">IFERROR(__xludf.DUMMYFUNCTION("GOOGLETRANSLATE(A9359, ""en"", ""fr"")"),"Shot # 4")</f>
        <v>Shot # 4</v>
      </c>
      <c r="C9359" s="1" t="s">
        <v>185</v>
      </c>
      <c r="CY9359" s="1" t="s">
        <v>99</v>
      </c>
      <c r="GD9359" s="1" t="s">
        <v>202</v>
      </c>
      <c r="GE9359" s="1" t="s">
        <v>13151</v>
      </c>
    </row>
    <row r="9360" spans="1:187" ht="11.25" customHeight="1">
      <c r="A9360" s="1" t="s">
        <v>13152</v>
      </c>
      <c r="B9360" s="1" t="str">
        <f ca="1">IFERROR(__xludf.DUMMYFUNCTION("GOOGLETRANSLATE(A9360, ""en"", ""fr"")"),"Shot # 5")</f>
        <v>Shot # 5</v>
      </c>
      <c r="C9360" s="1" t="s">
        <v>185</v>
      </c>
      <c r="BQ9360" s="1" t="s">
        <v>65</v>
      </c>
      <c r="GD9360" s="1" t="s">
        <v>193</v>
      </c>
      <c r="GE9360" s="1" t="s">
        <v>13153</v>
      </c>
    </row>
    <row r="9361" spans="1:187" ht="11.25" customHeight="1">
      <c r="A9361" s="1" t="s">
        <v>13154</v>
      </c>
      <c r="B9361" s="1" t="str">
        <f ca="1">IFERROR(__xludf.DUMMYFUNCTION("GOOGLETRANSLATE(A9361, ""en"", ""fr"")"),"DEVRAIT")</f>
        <v>DEVRAIT</v>
      </c>
      <c r="C9361" s="1" t="s">
        <v>185</v>
      </c>
      <c r="CJ9361" s="1" t="s">
        <v>84</v>
      </c>
      <c r="DP9361" s="1" t="s">
        <v>116</v>
      </c>
      <c r="EI9361" s="1" t="s">
        <v>135</v>
      </c>
      <c r="EJ9361" s="1" t="s">
        <v>136</v>
      </c>
      <c r="GD9361" s="1" t="s">
        <v>3475</v>
      </c>
      <c r="GE9361" s="1" t="s">
        <v>13155</v>
      </c>
    </row>
    <row r="9362" spans="1:187" ht="11.25" customHeight="1">
      <c r="A9362" s="1" t="s">
        <v>13156</v>
      </c>
      <c r="B9362" s="1" t="str">
        <f ca="1">IFERROR(__xludf.DUMMYFUNCTION("GOOGLETRANSLATE(A9362, ""en"", ""fr"")"),"Épaule n ° 1")</f>
        <v>Épaule n ° 1</v>
      </c>
      <c r="C9362" s="1" t="s">
        <v>185</v>
      </c>
      <c r="BJ9362" s="1" t="s">
        <v>58</v>
      </c>
      <c r="GD9362" s="1" t="s">
        <v>849</v>
      </c>
      <c r="GE9362" s="1" t="s">
        <v>13157</v>
      </c>
    </row>
    <row r="9363" spans="1:187" ht="11.25" customHeight="1">
      <c r="A9363" s="1" t="s">
        <v>13158</v>
      </c>
      <c r="B9363" s="1" t="str">
        <f ca="1">IFERROR(__xludf.DUMMYFUNCTION("GOOGLETRANSLATE(A9363, ""en"", ""fr"")"),"Épaule n ° 2")</f>
        <v>Épaule n ° 2</v>
      </c>
      <c r="C9363" s="1" t="s">
        <v>185</v>
      </c>
      <c r="J9363" s="1" t="s">
        <v>6</v>
      </c>
      <c r="N9363" s="1" t="s">
        <v>10</v>
      </c>
      <c r="CC9363" s="1" t="s">
        <v>77</v>
      </c>
      <c r="DN9363" s="1" t="s">
        <v>114</v>
      </c>
      <c r="FP9363" s="1" t="s">
        <v>168</v>
      </c>
      <c r="GD9363" s="1" t="s">
        <v>189</v>
      </c>
      <c r="GE9363" s="1" t="s">
        <v>13159</v>
      </c>
    </row>
    <row r="9364" spans="1:187" ht="11.25" customHeight="1">
      <c r="A9364" s="1" t="s">
        <v>13160</v>
      </c>
      <c r="B9364" s="1" t="str">
        <f ca="1">IFERROR(__xludf.DUMMYFUNCTION("GOOGLETRANSLATE(A9364, ""en"", ""fr"")"),"CHOT # 1")</f>
        <v>CHOT # 1</v>
      </c>
      <c r="C9364" s="1" t="s">
        <v>185</v>
      </c>
      <c r="N9364" s="1" t="s">
        <v>10</v>
      </c>
      <c r="BK9364" s="1" t="s">
        <v>59</v>
      </c>
      <c r="DO9364" s="1" t="s">
        <v>115</v>
      </c>
      <c r="FD9364" s="1" t="s">
        <v>156</v>
      </c>
      <c r="FI9364" s="1" t="s">
        <v>161</v>
      </c>
      <c r="GD9364" s="1" t="s">
        <v>400</v>
      </c>
      <c r="GE9364" s="1" t="s">
        <v>13161</v>
      </c>
    </row>
    <row r="9365" spans="1:187" ht="11.25" customHeight="1">
      <c r="A9365" s="1" t="s">
        <v>13162</v>
      </c>
      <c r="B9365" s="1" t="str">
        <f ca="1">IFERROR(__xludf.DUMMYFUNCTION("GOOGLETRANSLATE(A9365, ""en"", ""fr"")"),"Shout # 2")</f>
        <v>Shout # 2</v>
      </c>
      <c r="C9365" s="1" t="s">
        <v>185</v>
      </c>
      <c r="N9365" s="1" t="s">
        <v>10</v>
      </c>
      <c r="BK9365" s="1" t="s">
        <v>59</v>
      </c>
      <c r="BL9365" s="1" t="s">
        <v>60</v>
      </c>
      <c r="GC9365" s="1" t="s">
        <v>181</v>
      </c>
      <c r="GD9365" s="1" t="s">
        <v>193</v>
      </c>
      <c r="GE9365" s="1" t="s">
        <v>13163</v>
      </c>
    </row>
    <row r="9366" spans="1:187" ht="11.25" customHeight="1">
      <c r="A9366" s="1" t="s">
        <v>13164</v>
      </c>
      <c r="B9366" s="1" t="str">
        <f ca="1">IFERROR(__xludf.DUMMYFUNCTION("GOOGLETRANSLATE(A9366, ""en"", ""fr"")"),"Shout # 3")</f>
        <v>Shout # 3</v>
      </c>
      <c r="C9366" s="1" t="s">
        <v>185</v>
      </c>
      <c r="N9366" s="1" t="s">
        <v>10</v>
      </c>
      <c r="BK9366" s="1" t="s">
        <v>59</v>
      </c>
      <c r="BL9366" s="1" t="s">
        <v>60</v>
      </c>
      <c r="GC9366" s="1" t="s">
        <v>181</v>
      </c>
      <c r="GD9366" s="1" t="s">
        <v>193</v>
      </c>
      <c r="GE9366" s="1" t="s">
        <v>13165</v>
      </c>
    </row>
    <row r="9367" spans="1:187" ht="11.25" customHeight="1">
      <c r="A9367" s="1" t="s">
        <v>13166</v>
      </c>
      <c r="B9367" s="1" t="str">
        <f ca="1">IFERROR(__xludf.DUMMYFUNCTION("GOOGLETRANSLATE(A9367, ""en"", ""fr"")"),"POUSSER")</f>
        <v>POUSSER</v>
      </c>
      <c r="C9367" s="1" t="s">
        <v>192</v>
      </c>
      <c r="E9367" s="1" t="s">
        <v>16613</v>
      </c>
      <c r="I9367" s="1" t="s">
        <v>5</v>
      </c>
      <c r="N9367" s="1" t="s">
        <v>10</v>
      </c>
      <c r="CC9367" s="1" t="s">
        <v>77</v>
      </c>
      <c r="DO9367" s="1" t="s">
        <v>115</v>
      </c>
      <c r="GD9367" s="1" t="s">
        <v>189</v>
      </c>
      <c r="GE9367" s="1" t="s">
        <v>190</v>
      </c>
    </row>
    <row r="9368" spans="1:187" ht="11.25" customHeight="1">
      <c r="A9368" s="1" t="s">
        <v>13167</v>
      </c>
      <c r="B9368" s="1" t="str">
        <f ca="1">IFERROR(__xludf.DUMMYFUNCTION("GOOGLETRANSLATE(A9368, ""en"", ""fr"")"),"Show # 1")</f>
        <v>Show # 1</v>
      </c>
      <c r="C9368" s="1" t="s">
        <v>185</v>
      </c>
      <c r="J9368" s="1" t="s">
        <v>6</v>
      </c>
      <c r="N9368" s="1" t="s">
        <v>10</v>
      </c>
      <c r="BK9368" s="1" t="s">
        <v>59</v>
      </c>
      <c r="DN9368" s="1" t="s">
        <v>114</v>
      </c>
      <c r="FD9368" s="1" t="s">
        <v>156</v>
      </c>
      <c r="FI9368" s="1" t="s">
        <v>161</v>
      </c>
      <c r="GD9368" s="1" t="s">
        <v>400</v>
      </c>
      <c r="GE9368" s="1" t="s">
        <v>13168</v>
      </c>
    </row>
    <row r="9369" spans="1:187" ht="11.25" customHeight="1">
      <c r="A9369" s="1" t="s">
        <v>13169</v>
      </c>
      <c r="B9369" s="1" t="str">
        <f ca="1">IFERROR(__xludf.DUMMYFUNCTION("GOOGLETRANSLATE(A9369, ""en"", ""fr"")"),"Show # 2")</f>
        <v>Show # 2</v>
      </c>
      <c r="C9369" s="1" t="s">
        <v>185</v>
      </c>
      <c r="AD9369" s="1" t="s">
        <v>26</v>
      </c>
      <c r="BK9369" s="1" t="s">
        <v>59</v>
      </c>
      <c r="BL9369" s="1" t="s">
        <v>60</v>
      </c>
      <c r="FH9369" s="1" t="s">
        <v>160</v>
      </c>
      <c r="FI9369" s="1" t="s">
        <v>161</v>
      </c>
      <c r="GC9369" s="1" t="s">
        <v>181</v>
      </c>
      <c r="GD9369" s="1" t="s">
        <v>193</v>
      </c>
      <c r="GE9369" s="1" t="s">
        <v>13170</v>
      </c>
    </row>
    <row r="9370" spans="1:187" ht="11.25" customHeight="1">
      <c r="A9370" s="1" t="s">
        <v>13171</v>
      </c>
      <c r="B9370" s="1" t="str">
        <f ca="1">IFERROR(__xludf.DUMMYFUNCTION("GOOGLETRANSLATE(A9370, ""en"", ""fr"")"),"Show # 3")</f>
        <v>Show # 3</v>
      </c>
      <c r="C9370" s="1" t="s">
        <v>185</v>
      </c>
      <c r="J9370" s="1" t="s">
        <v>6</v>
      </c>
      <c r="K9370" s="1" t="s">
        <v>7</v>
      </c>
      <c r="N9370" s="1" t="s">
        <v>10</v>
      </c>
      <c r="BK9370" s="1" t="s">
        <v>59</v>
      </c>
      <c r="DN9370" s="1" t="s">
        <v>114</v>
      </c>
      <c r="FP9370" s="1" t="s">
        <v>168</v>
      </c>
      <c r="GD9370" s="1" t="s">
        <v>189</v>
      </c>
      <c r="GE9370" s="1" t="s">
        <v>13172</v>
      </c>
    </row>
    <row r="9371" spans="1:187" ht="11.25" customHeight="1">
      <c r="A9371" s="1" t="s">
        <v>13173</v>
      </c>
      <c r="B9371" s="1" t="str">
        <f ca="1">IFERROR(__xludf.DUMMYFUNCTION("GOOGLETRANSLATE(A9371, ""en"", ""fr"")"),"Show # 4")</f>
        <v>Show # 4</v>
      </c>
      <c r="C9371" s="1" t="s">
        <v>185</v>
      </c>
      <c r="E9371" s="1" t="s">
        <v>16613</v>
      </c>
      <c r="H9371" s="1" t="s">
        <v>4</v>
      </c>
      <c r="N9371" s="1" t="s">
        <v>10</v>
      </c>
      <c r="BK9371" s="1" t="s">
        <v>59</v>
      </c>
      <c r="DN9371" s="1" t="s">
        <v>114</v>
      </c>
      <c r="EM9371" s="1" t="s">
        <v>139</v>
      </c>
      <c r="EN9371" s="1" t="s">
        <v>140</v>
      </c>
      <c r="GD9371" s="1" t="s">
        <v>189</v>
      </c>
      <c r="GE9371" s="1" t="s">
        <v>13174</v>
      </c>
    </row>
    <row r="9372" spans="1:187" ht="11.25" customHeight="1">
      <c r="A9372" s="1" t="s">
        <v>13175</v>
      </c>
      <c r="B9372" s="1" t="str">
        <f ca="1">IFERROR(__xludf.DUMMYFUNCTION("GOOGLETRANSLATE(A9372, ""en"", ""fr"")"),"Show # 5")</f>
        <v>Show # 5</v>
      </c>
      <c r="C9372" s="1" t="s">
        <v>185</v>
      </c>
      <c r="CE9372" s="1" t="s">
        <v>79</v>
      </c>
      <c r="DN9372" s="1" t="s">
        <v>114</v>
      </c>
      <c r="GD9372" s="1" t="s">
        <v>189</v>
      </c>
      <c r="GE9372" s="1" t="s">
        <v>13176</v>
      </c>
    </row>
    <row r="9373" spans="1:187" ht="11.25" customHeight="1">
      <c r="A9373" s="1" t="s">
        <v>13177</v>
      </c>
      <c r="B9373" s="1" t="str">
        <f ca="1">IFERROR(__xludf.DUMMYFUNCTION("GOOGLETRANSLATE(A9373, ""en"", ""fr"")"),"Douche n ° 1")</f>
        <v>Douche n ° 1</v>
      </c>
      <c r="C9373" s="1" t="s">
        <v>185</v>
      </c>
      <c r="AV9373" s="1" t="s">
        <v>44</v>
      </c>
      <c r="BB9373" s="1" t="s">
        <v>50</v>
      </c>
      <c r="GD9373" s="1" t="s">
        <v>193</v>
      </c>
      <c r="GE9373" s="1" t="s">
        <v>190</v>
      </c>
    </row>
    <row r="9374" spans="1:187" ht="11.25" customHeight="1">
      <c r="A9374" s="1" t="s">
        <v>13178</v>
      </c>
      <c r="B9374" s="1" t="str">
        <f ca="1">IFERROR(__xludf.DUMMYFUNCTION("GOOGLETRANSLATE(A9374, ""en"", ""fr"")"),"Douche n ° 2")</f>
        <v>Douche n ° 2</v>
      </c>
      <c r="C9374" s="1" t="s">
        <v>185</v>
      </c>
      <c r="BU9374" s="1" t="s">
        <v>69</v>
      </c>
      <c r="DN9374" s="1" t="s">
        <v>114</v>
      </c>
      <c r="GD9374" s="1" t="s">
        <v>189</v>
      </c>
      <c r="GE9374" s="1" t="s">
        <v>190</v>
      </c>
    </row>
    <row r="9375" spans="1:187" ht="11.25" customHeight="1">
      <c r="A9375" s="1" t="s">
        <v>13179</v>
      </c>
      <c r="B9375" s="1" t="str">
        <f ca="1">IFERROR(__xludf.DUMMYFUNCTION("GOOGLETRANSLATE(A9375, ""en"", ""fr"")"),"Montré n ° 1")</f>
        <v>Montré n ° 1</v>
      </c>
      <c r="C9375" s="1" t="s">
        <v>192</v>
      </c>
      <c r="GD9375" s="1" t="s">
        <v>1085</v>
      </c>
      <c r="GE9375" s="1" t="s">
        <v>190</v>
      </c>
    </row>
    <row r="9376" spans="1:187" ht="11.25" customHeight="1">
      <c r="A9376" s="1" t="s">
        <v>13180</v>
      </c>
      <c r="B9376" s="1" t="str">
        <f ca="1">IFERROR(__xludf.DUMMYFUNCTION("GOOGLETRANSLATE(A9376, ""en"", ""fr"")"),"Se refroidir")</f>
        <v>Se refroidir</v>
      </c>
      <c r="C9376" s="1" t="s">
        <v>185</v>
      </c>
      <c r="L9376" s="1" t="s">
        <v>8</v>
      </c>
      <c r="O9376" s="1" t="s">
        <v>11</v>
      </c>
      <c r="BY9376" s="1" t="s">
        <v>73</v>
      </c>
      <c r="DO9376" s="1" t="s">
        <v>115</v>
      </c>
      <c r="EE9376" s="1" t="s">
        <v>131</v>
      </c>
      <c r="EJ9376" s="1" t="s">
        <v>136</v>
      </c>
      <c r="GD9376" s="1" t="s">
        <v>1076</v>
      </c>
      <c r="GE9376" s="1" t="s">
        <v>190</v>
      </c>
    </row>
    <row r="9377" spans="1:187" ht="11.25" customHeight="1">
      <c r="A9377" s="1" t="s">
        <v>13181</v>
      </c>
      <c r="B9377" s="1" t="str">
        <f ca="1">IFERROR(__xludf.DUMMYFUNCTION("GOOGLETRANSLATE(A9377, ""en"", ""fr"")"),"DÉCHIQUETER")</f>
        <v>DÉCHIQUETER</v>
      </c>
      <c r="C9377" s="1" t="s">
        <v>192</v>
      </c>
      <c r="E9377" s="1" t="s">
        <v>16613</v>
      </c>
      <c r="I9377" s="1" t="s">
        <v>5</v>
      </c>
      <c r="N9377" s="1" t="s">
        <v>10</v>
      </c>
      <c r="BY9377" s="1" t="s">
        <v>73</v>
      </c>
      <c r="CC9377" s="1" t="s">
        <v>77</v>
      </c>
      <c r="DN9377" s="1" t="s">
        <v>114</v>
      </c>
      <c r="GD9377" s="1" t="s">
        <v>189</v>
      </c>
      <c r="GE9377" s="1" t="s">
        <v>190</v>
      </c>
    </row>
    <row r="9378" spans="1:187" ht="11.25" customHeight="1">
      <c r="A9378" s="1" t="s">
        <v>13182</v>
      </c>
      <c r="B9378" s="1" t="str">
        <f ca="1">IFERROR(__xludf.DUMMYFUNCTION("GOOGLETRANSLATE(A9378, ""en"", ""fr"")"),"MUSARAIGNE")</f>
        <v>MUSARAIGNE</v>
      </c>
      <c r="C9378" s="1" t="s">
        <v>192</v>
      </c>
      <c r="E9378" s="1" t="s">
        <v>16613</v>
      </c>
      <c r="I9378" s="1" t="s">
        <v>5</v>
      </c>
      <c r="AR9378" s="1" t="s">
        <v>40</v>
      </c>
      <c r="AT9378" s="1" t="s">
        <v>42</v>
      </c>
      <c r="GD9378" s="1" t="s">
        <v>193</v>
      </c>
      <c r="GE9378" s="1" t="s">
        <v>190</v>
      </c>
    </row>
    <row r="9379" spans="1:187" ht="11.25" customHeight="1">
      <c r="A9379" s="1" t="s">
        <v>13183</v>
      </c>
      <c r="B9379" s="1" t="str">
        <f ca="1">IFERROR(__xludf.DUMMYFUNCTION("GOOGLETRANSLATE(A9379, ""en"", ""fr"")"),"ASTUCIEUX")</f>
        <v>ASTUCIEUX</v>
      </c>
      <c r="C9379" s="1" t="s">
        <v>185</v>
      </c>
      <c r="D9379" s="1" t="s">
        <v>16612</v>
      </c>
      <c r="F9379" s="1" t="s">
        <v>2</v>
      </c>
      <c r="J9379" s="1" t="s">
        <v>6</v>
      </c>
      <c r="U9379" s="1" t="s">
        <v>17</v>
      </c>
      <c r="GD9379" s="1" t="s">
        <v>202</v>
      </c>
      <c r="GE9379" s="1" t="s">
        <v>190</v>
      </c>
    </row>
    <row r="9380" spans="1:187" ht="11.25" customHeight="1">
      <c r="A9380" s="1" t="s">
        <v>13184</v>
      </c>
      <c r="B9380" s="1" t="str">
        <f ca="1">IFERROR(__xludf.DUMMYFUNCTION("GOOGLETRANSLATE(A9380, ""en"", ""fr"")"),"SAGACITÉ")</f>
        <v>SAGACITÉ</v>
      </c>
      <c r="C9380" s="1" t="s">
        <v>192</v>
      </c>
      <c r="D9380" s="1" t="s">
        <v>16612</v>
      </c>
      <c r="J9380" s="1" t="s">
        <v>6</v>
      </c>
      <c r="U9380" s="1" t="s">
        <v>17</v>
      </c>
      <c r="CH9380" s="1" t="s">
        <v>82</v>
      </c>
      <c r="GD9380" s="1" t="s">
        <v>193</v>
      </c>
      <c r="GE9380" s="1" t="s">
        <v>190</v>
      </c>
    </row>
    <row r="9381" spans="1:187" ht="11.25" customHeight="1">
      <c r="A9381" s="1" t="s">
        <v>13185</v>
      </c>
      <c r="B9381" s="1" t="str">
        <f ca="1">IFERROR(__xludf.DUMMYFUNCTION("GOOGLETRANSLATE(A9381, ""en"", ""fr"")"),"CRI")</f>
        <v>CRI</v>
      </c>
      <c r="C9381" s="1" t="s">
        <v>192</v>
      </c>
      <c r="E9381" s="1" t="s">
        <v>16613</v>
      </c>
      <c r="J9381" s="1" t="s">
        <v>6</v>
      </c>
      <c r="Q9381" s="1" t="s">
        <v>13</v>
      </c>
      <c r="BK9381" s="1" t="s">
        <v>59</v>
      </c>
      <c r="DO9381" s="1" t="s">
        <v>115</v>
      </c>
      <c r="GD9381" s="1" t="s">
        <v>189</v>
      </c>
      <c r="GE9381" s="1" t="s">
        <v>190</v>
      </c>
    </row>
    <row r="9382" spans="1:187" ht="11.25" customHeight="1">
      <c r="A9382" s="1" t="s">
        <v>13186</v>
      </c>
      <c r="B9382" s="1" t="str">
        <f ca="1">IFERROR(__xludf.DUMMYFUNCTION("GOOGLETRANSLATE(A9382, ""en"", ""fr"")"),"AIGU")</f>
        <v>AIGU</v>
      </c>
      <c r="C9382" s="1" t="s">
        <v>192</v>
      </c>
      <c r="E9382" s="1" t="s">
        <v>16613</v>
      </c>
      <c r="Q9382" s="1" t="s">
        <v>13</v>
      </c>
      <c r="BK9382" s="1" t="s">
        <v>59</v>
      </c>
      <c r="DR9382" s="1" t="s">
        <v>118</v>
      </c>
      <c r="GD9382" s="1" t="s">
        <v>202</v>
      </c>
      <c r="GE9382" s="1" t="s">
        <v>190</v>
      </c>
    </row>
    <row r="9383" spans="1:187" ht="11.25" customHeight="1">
      <c r="A9383" s="1" t="s">
        <v>13187</v>
      </c>
      <c r="B9383" s="1" t="str">
        <f ca="1">IFERROR(__xludf.DUMMYFUNCTION("GOOGLETRANSLATE(A9383, ""en"", ""fr"")"),"RÉTRÉCIR")</f>
        <v>RÉTRÉCIR</v>
      </c>
      <c r="C9383" s="1" t="s">
        <v>185</v>
      </c>
      <c r="L9383" s="1" t="s">
        <v>8</v>
      </c>
      <c r="O9383" s="1" t="s">
        <v>11</v>
      </c>
      <c r="BY9383" s="1" t="s">
        <v>73</v>
      </c>
      <c r="DO9383" s="1" t="s">
        <v>115</v>
      </c>
      <c r="EE9383" s="1" t="s">
        <v>131</v>
      </c>
      <c r="EJ9383" s="1" t="s">
        <v>136</v>
      </c>
      <c r="GD9383" s="1" t="s">
        <v>189</v>
      </c>
      <c r="GE9383" s="1" t="s">
        <v>190</v>
      </c>
    </row>
    <row r="9384" spans="1:187" ht="11.25" customHeight="1">
      <c r="A9384" s="1" t="s">
        <v>13188</v>
      </c>
      <c r="B9384" s="1" t="str">
        <f ca="1">IFERROR(__xludf.DUMMYFUNCTION("GOOGLETRANSLATE(A9384, ""en"", ""fr"")"),"SE RATATINER")</f>
        <v>SE RATATINER</v>
      </c>
      <c r="C9384" s="1" t="s">
        <v>192</v>
      </c>
      <c r="E9384" s="1" t="s">
        <v>16613</v>
      </c>
      <c r="BY9384" s="1" t="s">
        <v>73</v>
      </c>
      <c r="DN9384" s="1" t="s">
        <v>114</v>
      </c>
      <c r="GD9384" s="1" t="s">
        <v>189</v>
      </c>
      <c r="GE9384" s="1" t="s">
        <v>190</v>
      </c>
    </row>
    <row r="9385" spans="1:187" ht="11.25" customHeight="1">
      <c r="A9385" s="1" t="s">
        <v>13189</v>
      </c>
      <c r="B9385" s="1" t="str">
        <f ca="1">IFERROR(__xludf.DUMMYFUNCTION("GOOGLETRANSLATE(A9385, ""en"", ""fr"")"),"ENVELOPPER")</f>
        <v>ENVELOPPER</v>
      </c>
      <c r="C9385" s="1" t="s">
        <v>192</v>
      </c>
      <c r="E9385" s="1" t="s">
        <v>16613</v>
      </c>
      <c r="BC9385" s="1" t="s">
        <v>51</v>
      </c>
      <c r="GD9385" s="1" t="s">
        <v>193</v>
      </c>
      <c r="GE9385" s="1" t="s">
        <v>190</v>
      </c>
    </row>
    <row r="9386" spans="1:187" ht="11.25" customHeight="1">
      <c r="A9386" s="1" t="s">
        <v>13190</v>
      </c>
      <c r="B9386" s="1" t="str">
        <f ca="1">IFERROR(__xludf.DUMMYFUNCTION("GOOGLETRANSLATE(A9386, ""en"", ""fr"")"),"Hausser les épaules # 1")</f>
        <v>Hausser les épaules # 1</v>
      </c>
      <c r="C9386" s="1" t="s">
        <v>185</v>
      </c>
      <c r="E9386" s="1" t="s">
        <v>16613</v>
      </c>
      <c r="H9386" s="1" t="s">
        <v>4</v>
      </c>
      <c r="I9386" s="1" t="s">
        <v>5</v>
      </c>
      <c r="BK9386" s="1" t="s">
        <v>59</v>
      </c>
      <c r="GD9386" s="1" t="s">
        <v>193</v>
      </c>
      <c r="GE9386" s="1" t="s">
        <v>190</v>
      </c>
    </row>
    <row r="9387" spans="1:187" ht="11.25" customHeight="1">
      <c r="A9387" s="1" t="s">
        <v>13191</v>
      </c>
      <c r="B9387" s="1" t="str">
        <f ca="1">IFERROR(__xludf.DUMMYFUNCTION("GOOGLETRANSLATE(A9387, ""en"", ""fr"")"),"Hausser les épaules # 2")</f>
        <v>Hausser les épaules # 2</v>
      </c>
      <c r="C9387" s="1" t="s">
        <v>185</v>
      </c>
      <c r="E9387" s="1" t="s">
        <v>16613</v>
      </c>
      <c r="H9387" s="1" t="s">
        <v>4</v>
      </c>
      <c r="I9387" s="1" t="s">
        <v>5</v>
      </c>
      <c r="BK9387" s="1" t="s">
        <v>59</v>
      </c>
      <c r="DO9387" s="1" t="s">
        <v>115</v>
      </c>
      <c r="GD9387" s="1" t="s">
        <v>189</v>
      </c>
      <c r="GE9387" s="1" t="s">
        <v>190</v>
      </c>
    </row>
    <row r="9388" spans="1:187" ht="11.25" customHeight="1">
      <c r="A9388" s="1" t="s">
        <v>13192</v>
      </c>
      <c r="B9388" s="1" t="str">
        <f ca="1">IFERROR(__xludf.DUMMYFUNCTION("GOOGLETRANSLATE(A9388, ""en"", ""fr"")"),"Rétrécir")</f>
        <v>Rétrécir</v>
      </c>
      <c r="C9388" s="1" t="s">
        <v>185</v>
      </c>
      <c r="L9388" s="1" t="s">
        <v>8</v>
      </c>
      <c r="O9388" s="1" t="s">
        <v>11</v>
      </c>
      <c r="BY9388" s="1" t="s">
        <v>73</v>
      </c>
      <c r="DO9388" s="1" t="s">
        <v>115</v>
      </c>
      <c r="EE9388" s="1" t="s">
        <v>131</v>
      </c>
      <c r="EJ9388" s="1" t="s">
        <v>136</v>
      </c>
      <c r="GD9388" s="1" t="s">
        <v>189</v>
      </c>
      <c r="GE9388" s="1" t="s">
        <v>190</v>
      </c>
    </row>
    <row r="9389" spans="1:187" ht="11.25" customHeight="1">
      <c r="A9389" s="1" t="s">
        <v>13193</v>
      </c>
      <c r="B9389" s="1" t="str">
        <f ca="1">IFERROR(__xludf.DUMMYFUNCTION("GOOGLETRANSLATE(A9389, ""en"", ""fr"")"),"Frisson n ° 1")</f>
        <v>Frisson n ° 1</v>
      </c>
      <c r="C9389" s="1" t="s">
        <v>185</v>
      </c>
      <c r="I9389" s="1" t="s">
        <v>5</v>
      </c>
      <c r="O9389" s="1" t="s">
        <v>11</v>
      </c>
      <c r="BK9389" s="1" t="s">
        <v>59</v>
      </c>
      <c r="GD9389" s="1" t="s">
        <v>193</v>
      </c>
      <c r="GE9389" s="1" t="s">
        <v>190</v>
      </c>
    </row>
    <row r="9390" spans="1:187" ht="11.25" customHeight="1">
      <c r="A9390" s="1" t="s">
        <v>13194</v>
      </c>
      <c r="B9390" s="1" t="str">
        <f ca="1">IFERROR(__xludf.DUMMYFUNCTION("GOOGLETRANSLATE(A9390, ""en"", ""fr"")"),"Frisson n ° 2")</f>
        <v>Frisson n ° 2</v>
      </c>
      <c r="C9390" s="1" t="s">
        <v>185</v>
      </c>
      <c r="I9390" s="1" t="s">
        <v>5</v>
      </c>
      <c r="O9390" s="1" t="s">
        <v>11</v>
      </c>
      <c r="BK9390" s="1" t="s">
        <v>59</v>
      </c>
      <c r="DO9390" s="1" t="s">
        <v>115</v>
      </c>
      <c r="GD9390" s="1" t="s">
        <v>189</v>
      </c>
      <c r="GE9390" s="1" t="s">
        <v>190</v>
      </c>
    </row>
    <row r="9391" spans="1:187" ht="11.25" customHeight="1">
      <c r="A9391" s="1" t="s">
        <v>13195</v>
      </c>
      <c r="B9391" s="1" t="str">
        <f ca="1">IFERROR(__xludf.DUMMYFUNCTION("GOOGLETRANSLATE(A9391, ""en"", ""fr"")"),"ÉVITER")</f>
        <v>ÉVITER</v>
      </c>
      <c r="C9391" s="1" t="s">
        <v>192</v>
      </c>
      <c r="E9391" s="1" t="s">
        <v>16613</v>
      </c>
      <c r="G9391" s="1" t="s">
        <v>3</v>
      </c>
      <c r="I9391" s="1" t="s">
        <v>5</v>
      </c>
      <c r="N9391" s="1" t="s">
        <v>10</v>
      </c>
      <c r="W9391" s="1" t="s">
        <v>19</v>
      </c>
      <c r="DN9391" s="1" t="s">
        <v>114</v>
      </c>
      <c r="GD9391" s="1" t="s">
        <v>670</v>
      </c>
      <c r="GE9391" s="1" t="s">
        <v>190</v>
      </c>
    </row>
    <row r="9392" spans="1:187" ht="11.25" customHeight="1">
      <c r="A9392" s="1" t="s">
        <v>13196</v>
      </c>
      <c r="B9392" s="1" t="str">
        <f ca="1">IFERROR(__xludf.DUMMYFUNCTION("GOOGLETRANSLATE(A9392, ""en"", ""fr"")"),"Fermer # 1")</f>
        <v>Fermer # 1</v>
      </c>
      <c r="C9392" s="1" t="s">
        <v>185</v>
      </c>
      <c r="J9392" s="1" t="s">
        <v>6</v>
      </c>
      <c r="N9392" s="1" t="s">
        <v>10</v>
      </c>
      <c r="AL9392" s="1" t="s">
        <v>34</v>
      </c>
      <c r="DO9392" s="1" t="s">
        <v>115</v>
      </c>
      <c r="FP9392" s="1" t="s">
        <v>168</v>
      </c>
      <c r="GD9392" s="1" t="s">
        <v>189</v>
      </c>
      <c r="GE9392" s="1" t="s">
        <v>13197</v>
      </c>
    </row>
    <row r="9393" spans="1:187" ht="11.25" customHeight="1">
      <c r="A9393" s="1" t="s">
        <v>13198</v>
      </c>
      <c r="B9393" s="1" t="str">
        <f ca="1">IFERROR(__xludf.DUMMYFUNCTION("GOOGLETRANSLATE(A9393, ""en"", ""fr"")"),"Fermer # 2")</f>
        <v>Fermer # 2</v>
      </c>
      <c r="C9393" s="1" t="s">
        <v>185</v>
      </c>
      <c r="I9393" s="1" t="s">
        <v>5</v>
      </c>
      <c r="BK9393" s="1" t="s">
        <v>59</v>
      </c>
      <c r="DN9393" s="1" t="s">
        <v>114</v>
      </c>
      <c r="EL9393" s="1" t="s">
        <v>138</v>
      </c>
      <c r="EN9393" s="1" t="s">
        <v>140</v>
      </c>
      <c r="GD9393" s="1" t="s">
        <v>189</v>
      </c>
      <c r="GE9393" s="1" t="s">
        <v>13199</v>
      </c>
    </row>
    <row r="9394" spans="1:187" ht="11.25" customHeight="1">
      <c r="A9394" s="1" t="s">
        <v>13200</v>
      </c>
      <c r="B9394" s="1" t="str">
        <f ca="1">IFERROR(__xludf.DUMMYFUNCTION("GOOGLETRANSLATE(A9394, ""en"", ""fr"")"),"Fermer # 3")</f>
        <v>Fermer # 3</v>
      </c>
      <c r="C9394" s="1" t="s">
        <v>185</v>
      </c>
      <c r="J9394" s="1" t="s">
        <v>6</v>
      </c>
      <c r="N9394" s="1" t="s">
        <v>10</v>
      </c>
      <c r="BZ9394" s="1" t="s">
        <v>74</v>
      </c>
      <c r="DN9394" s="1" t="s">
        <v>114</v>
      </c>
      <c r="FO9394" s="1" t="s">
        <v>167</v>
      </c>
      <c r="GD9394" s="1" t="s">
        <v>189</v>
      </c>
      <c r="GE9394" s="1" t="s">
        <v>13201</v>
      </c>
    </row>
    <row r="9395" spans="1:187" ht="11.25" customHeight="1">
      <c r="A9395" s="1" t="s">
        <v>13202</v>
      </c>
      <c r="B9395" s="1" t="str">
        <f ca="1">IFERROR(__xludf.DUMMYFUNCTION("GOOGLETRANSLATE(A9395, ""en"", ""fr"")"),"Fermer # 4")</f>
        <v>Fermer # 4</v>
      </c>
      <c r="C9395" s="1" t="s">
        <v>185</v>
      </c>
      <c r="J9395" s="1" t="s">
        <v>6</v>
      </c>
      <c r="K9395" s="1" t="s">
        <v>7</v>
      </c>
      <c r="N9395" s="1" t="s">
        <v>10</v>
      </c>
      <c r="CA9395" s="1" t="s">
        <v>75</v>
      </c>
      <c r="DN9395" s="1" t="s">
        <v>114</v>
      </c>
      <c r="FO9395" s="1" t="s">
        <v>167</v>
      </c>
      <c r="GD9395" s="1" t="s">
        <v>189</v>
      </c>
      <c r="GE9395" s="1" t="s">
        <v>13203</v>
      </c>
    </row>
    <row r="9396" spans="1:187" ht="11.25" customHeight="1">
      <c r="A9396" s="1" t="s">
        <v>13204</v>
      </c>
      <c r="B9396" s="1" t="str">
        <f ca="1">IFERROR(__xludf.DUMMYFUNCTION("GOOGLETRANSLATE(A9396, ""en"", ""fr"")"),"OBTURATEUR")</f>
        <v>OBTURATEUR</v>
      </c>
      <c r="C9396" s="1" t="s">
        <v>185</v>
      </c>
      <c r="BC9396" s="1" t="s">
        <v>51</v>
      </c>
      <c r="BG9396" s="1" t="s">
        <v>55</v>
      </c>
      <c r="GD9396" s="1" t="s">
        <v>193</v>
      </c>
      <c r="GE9396" s="1" t="s">
        <v>190</v>
      </c>
    </row>
    <row r="9397" spans="1:187" ht="11.25" customHeight="1">
      <c r="A9397" s="1" t="s">
        <v>13205</v>
      </c>
      <c r="B9397" s="1" t="str">
        <f ca="1">IFERROR(__xludf.DUMMYFUNCTION("GOOGLETRANSLATE(A9397, ""en"", ""fr"")"),"TIMIDE")</f>
        <v>TIMIDE</v>
      </c>
      <c r="C9397" s="1" t="s">
        <v>185</v>
      </c>
      <c r="L9397" s="1" t="s">
        <v>8</v>
      </c>
      <c r="O9397" s="1" t="s">
        <v>11</v>
      </c>
      <c r="S9397" s="1" t="s">
        <v>15</v>
      </c>
      <c r="T9397" s="1" t="s">
        <v>16</v>
      </c>
      <c r="GD9397" s="1" t="s">
        <v>202</v>
      </c>
      <c r="GE9397" s="1" t="s">
        <v>190</v>
      </c>
    </row>
    <row r="9398" spans="1:187" ht="11.25" customHeight="1">
      <c r="A9398" s="1" t="s">
        <v>13206</v>
      </c>
      <c r="B9398" s="1" t="str">
        <f ca="1">IFERROR(__xludf.DUMMYFUNCTION("GOOGLETRANSLATE(A9398, ""en"", ""fr"")"),"LA TIMIDITÉ")</f>
        <v>LA TIMIDITÉ</v>
      </c>
      <c r="C9398" s="1" t="s">
        <v>192</v>
      </c>
      <c r="E9398" s="1" t="s">
        <v>16613</v>
      </c>
      <c r="L9398" s="1" t="s">
        <v>8</v>
      </c>
      <c r="GD9398" s="1" t="s">
        <v>193</v>
      </c>
      <c r="GE9398" s="1" t="s">
        <v>190</v>
      </c>
    </row>
    <row r="9399" spans="1:187" ht="11.25" customHeight="1">
      <c r="A9399" s="1" t="s">
        <v>13207</v>
      </c>
      <c r="B9399" s="1" t="str">
        <f ca="1">IFERROR(__xludf.DUMMYFUNCTION("GOOGLETRANSLATE(A9399, ""en"", ""fr"")"),"Malade n ° 1")</f>
        <v>Malade n ° 1</v>
      </c>
      <c r="C9399" s="1" t="s">
        <v>185</v>
      </c>
      <c r="E9399" s="1" t="s">
        <v>16613</v>
      </c>
      <c r="H9399" s="1" t="s">
        <v>4</v>
      </c>
      <c r="L9399" s="1" t="s">
        <v>8</v>
      </c>
      <c r="O9399" s="1" t="s">
        <v>11</v>
      </c>
      <c r="V9399" s="1" t="s">
        <v>18</v>
      </c>
      <c r="EZ9399" s="1" t="s">
        <v>152</v>
      </c>
      <c r="FC9399" s="1" t="s">
        <v>155</v>
      </c>
      <c r="GD9399" s="1" t="s">
        <v>421</v>
      </c>
      <c r="GE9399" s="1" t="s">
        <v>13208</v>
      </c>
    </row>
    <row r="9400" spans="1:187" ht="11.25" customHeight="1">
      <c r="A9400" s="1" t="s">
        <v>13209</v>
      </c>
      <c r="B9400" s="1" t="str">
        <f ca="1">IFERROR(__xludf.DUMMYFUNCTION("GOOGLETRANSLATE(A9400, ""en"", ""fr"")"),"Malade n ° 2")</f>
        <v>Malade n ° 2</v>
      </c>
      <c r="C9400" s="1" t="s">
        <v>185</v>
      </c>
      <c r="E9400" s="1" t="s">
        <v>16613</v>
      </c>
      <c r="H9400" s="1" t="s">
        <v>4</v>
      </c>
      <c r="L9400" s="1" t="s">
        <v>8</v>
      </c>
      <c r="O9400" s="1" t="s">
        <v>11</v>
      </c>
      <c r="V9400" s="1" t="s">
        <v>18</v>
      </c>
      <c r="EZ9400" s="1" t="s">
        <v>152</v>
      </c>
      <c r="FC9400" s="1" t="s">
        <v>155</v>
      </c>
      <c r="GD9400" s="1" t="s">
        <v>202</v>
      </c>
      <c r="GE9400" s="1" t="s">
        <v>13210</v>
      </c>
    </row>
    <row r="9401" spans="1:187" ht="11.25" customHeight="1">
      <c r="A9401" s="1" t="s">
        <v>13211</v>
      </c>
      <c r="B9401" s="1" t="str">
        <f ca="1">IFERROR(__xludf.DUMMYFUNCTION("GOOGLETRANSLATE(A9401, ""en"", ""fr"")"),"Malade n ° 3")</f>
        <v>Malade n ° 3</v>
      </c>
      <c r="C9401" s="1" t="s">
        <v>185</v>
      </c>
      <c r="E9401" s="1" t="s">
        <v>16613</v>
      </c>
      <c r="H9401" s="1" t="s">
        <v>4</v>
      </c>
      <c r="L9401" s="1" t="s">
        <v>8</v>
      </c>
      <c r="O9401" s="1" t="s">
        <v>11</v>
      </c>
      <c r="V9401" s="1" t="s">
        <v>18</v>
      </c>
      <c r="EZ9401" s="1" t="s">
        <v>152</v>
      </c>
      <c r="FC9401" s="1" t="s">
        <v>155</v>
      </c>
      <c r="GD9401" s="1" t="s">
        <v>202</v>
      </c>
      <c r="GE9401" s="1" t="s">
        <v>13212</v>
      </c>
    </row>
    <row r="9402" spans="1:187" ht="11.25" customHeight="1">
      <c r="A9402" s="1" t="s">
        <v>13213</v>
      </c>
      <c r="B9402" s="1" t="str">
        <f ca="1">IFERROR(__xludf.DUMMYFUNCTION("GOOGLETRANSLATE(A9402, ""en"", ""fr"")"),"Malade n ° 4")</f>
        <v>Malade n ° 4</v>
      </c>
      <c r="C9402" s="1" t="s">
        <v>185</v>
      </c>
      <c r="E9402" s="1" t="s">
        <v>16613</v>
      </c>
      <c r="H9402" s="1" t="s">
        <v>4</v>
      </c>
      <c r="I9402" s="1" t="s">
        <v>5</v>
      </c>
      <c r="O9402" s="1" t="s">
        <v>11</v>
      </c>
      <c r="T9402" s="1" t="s">
        <v>16</v>
      </c>
      <c r="V9402" s="1" t="s">
        <v>18</v>
      </c>
      <c r="FW9402" s="1" t="s">
        <v>175</v>
      </c>
      <c r="GD9402" s="1" t="s">
        <v>202</v>
      </c>
      <c r="GE9402" s="1" t="s">
        <v>13214</v>
      </c>
    </row>
    <row r="9403" spans="1:187" ht="11.25" customHeight="1">
      <c r="A9403" s="1" t="s">
        <v>13215</v>
      </c>
      <c r="B9403" s="1" t="str">
        <f ca="1">IFERROR(__xludf.DUMMYFUNCTION("GOOGLETRANSLATE(A9403, ""en"", ""fr"")"),"MALADIF")</f>
        <v>MALADIF</v>
      </c>
      <c r="C9403" s="1" t="s">
        <v>185</v>
      </c>
      <c r="E9403" s="1" t="s">
        <v>16613</v>
      </c>
      <c r="H9403" s="1" t="s">
        <v>4</v>
      </c>
      <c r="L9403" s="1" t="s">
        <v>8</v>
      </c>
      <c r="O9403" s="1" t="s">
        <v>11</v>
      </c>
      <c r="V9403" s="1" t="s">
        <v>18</v>
      </c>
      <c r="EZ9403" s="1" t="s">
        <v>152</v>
      </c>
      <c r="FC9403" s="1" t="s">
        <v>155</v>
      </c>
      <c r="GD9403" s="1" t="s">
        <v>202</v>
      </c>
      <c r="GE9403" s="1" t="s">
        <v>190</v>
      </c>
    </row>
    <row r="9404" spans="1:187" ht="11.25" customHeight="1">
      <c r="A9404" s="1" t="s">
        <v>13216</v>
      </c>
      <c r="B9404" s="1" t="str">
        <f ca="1">IFERROR(__xludf.DUMMYFUNCTION("GOOGLETRANSLATE(A9404, ""en"", ""fr"")"),"MALADIE")</f>
        <v>MALADIE</v>
      </c>
      <c r="C9404" s="1" t="s">
        <v>185</v>
      </c>
      <c r="E9404" s="1" t="s">
        <v>16613</v>
      </c>
      <c r="H9404" s="1" t="s">
        <v>4</v>
      </c>
      <c r="L9404" s="1" t="s">
        <v>8</v>
      </c>
      <c r="O9404" s="1" t="s">
        <v>11</v>
      </c>
      <c r="V9404" s="1" t="s">
        <v>18</v>
      </c>
      <c r="EZ9404" s="1" t="s">
        <v>152</v>
      </c>
      <c r="FC9404" s="1" t="s">
        <v>155</v>
      </c>
      <c r="GD9404" s="1" t="s">
        <v>193</v>
      </c>
      <c r="GE9404" s="1" t="s">
        <v>13217</v>
      </c>
    </row>
    <row r="9405" spans="1:187" ht="11.25" customHeight="1">
      <c r="A9405" s="1" t="s">
        <v>13218</v>
      </c>
      <c r="B9405" s="1" t="str">
        <f ca="1">IFERROR(__xludf.DUMMYFUNCTION("GOOGLETRANSLATE(A9405, ""en"", ""fr"")"),"Côté n ° 1")</f>
        <v>Côté n ° 1</v>
      </c>
      <c r="C9405" s="1" t="s">
        <v>185</v>
      </c>
      <c r="AH9405" s="1" t="s">
        <v>30</v>
      </c>
      <c r="DD9405" s="1" t="s">
        <v>104</v>
      </c>
      <c r="GB9405" s="1" t="s">
        <v>180</v>
      </c>
      <c r="GD9405" s="1" t="s">
        <v>849</v>
      </c>
      <c r="GE9405" s="1" t="s">
        <v>13219</v>
      </c>
    </row>
    <row r="9406" spans="1:187" ht="11.25" customHeight="1">
      <c r="A9406" s="1" t="s">
        <v>13220</v>
      </c>
      <c r="B9406" s="1" t="str">
        <f ca="1">IFERROR(__xludf.DUMMYFUNCTION("GOOGLETRANSLATE(A9406, ""en"", ""fr"")"),"Côté n ° 2")</f>
        <v>Côté n ° 2</v>
      </c>
      <c r="C9406" s="1" t="s">
        <v>185</v>
      </c>
      <c r="DA9406" s="1" t="s">
        <v>101</v>
      </c>
      <c r="GB9406" s="1" t="s">
        <v>180</v>
      </c>
      <c r="GD9406" s="1" t="s">
        <v>236</v>
      </c>
      <c r="GE9406" s="1" t="s">
        <v>13221</v>
      </c>
    </row>
    <row r="9407" spans="1:187" ht="11.25" customHeight="1">
      <c r="A9407" s="1" t="s">
        <v>13222</v>
      </c>
      <c r="B9407" s="1" t="str">
        <f ca="1">IFERROR(__xludf.DUMMYFUNCTION("GOOGLETRANSLATE(A9407, ""en"", ""fr"")"),"Côté n ° 3")</f>
        <v>Côté n ° 3</v>
      </c>
      <c r="C9407" s="1" t="s">
        <v>185</v>
      </c>
      <c r="AL9407" s="1" t="s">
        <v>34</v>
      </c>
      <c r="DO9407" s="1" t="s">
        <v>115</v>
      </c>
      <c r="GD9407" s="1" t="s">
        <v>189</v>
      </c>
      <c r="GE9407" s="1" t="s">
        <v>13223</v>
      </c>
    </row>
    <row r="9408" spans="1:187" ht="11.25" customHeight="1">
      <c r="A9408" s="1" t="s">
        <v>13224</v>
      </c>
      <c r="B9408" s="1" t="str">
        <f ca="1">IFERROR(__xludf.DUMMYFUNCTION("GOOGLETRANSLATE(A9408, ""en"", ""fr"")"),"Côté n ° 4")</f>
        <v>Côté n ° 4</v>
      </c>
      <c r="C9408" s="1" t="s">
        <v>185</v>
      </c>
      <c r="G9408" s="1" t="s">
        <v>3</v>
      </c>
      <c r="AN9408" s="1" t="s">
        <v>36</v>
      </c>
      <c r="DN9408" s="1" t="s">
        <v>114</v>
      </c>
      <c r="DW9408" s="1" t="s">
        <v>123</v>
      </c>
      <c r="ED9408" s="1" t="s">
        <v>130</v>
      </c>
      <c r="GD9408" s="1" t="s">
        <v>189</v>
      </c>
      <c r="GE9408" s="1" t="s">
        <v>13225</v>
      </c>
    </row>
    <row r="9409" spans="1:187" ht="11.25" customHeight="1">
      <c r="A9409" s="1" t="s">
        <v>13226</v>
      </c>
      <c r="B9409" s="1" t="str">
        <f ca="1">IFERROR(__xludf.DUMMYFUNCTION("GOOGLETRANSLATE(A9409, ""en"", ""fr"")"),"TROTTOIR")</f>
        <v>TROTTOIR</v>
      </c>
      <c r="C9409" s="1" t="s">
        <v>185</v>
      </c>
      <c r="AV9409" s="1" t="s">
        <v>44</v>
      </c>
      <c r="AY9409" s="1" t="s">
        <v>47</v>
      </c>
      <c r="GD9409" s="1" t="s">
        <v>193</v>
      </c>
      <c r="GE9409" s="1" t="s">
        <v>190</v>
      </c>
    </row>
    <row r="9410" spans="1:187" ht="11.25" customHeight="1">
      <c r="A9410" s="1" t="s">
        <v>13227</v>
      </c>
      <c r="B9410" s="1" t="str">
        <f ca="1">IFERROR(__xludf.DUMMYFUNCTION("GOOGLETRANSLATE(A9410, ""en"", ""fr"")"),"SIÈGE")</f>
        <v>SIÈGE</v>
      </c>
      <c r="C9410" s="1" t="s">
        <v>185</v>
      </c>
      <c r="E9410" s="1" t="s">
        <v>16613</v>
      </c>
      <c r="I9410" s="1" t="s">
        <v>5</v>
      </c>
      <c r="AG9410" s="1" t="s">
        <v>29</v>
      </c>
      <c r="AN9410" s="1" t="s">
        <v>36</v>
      </c>
      <c r="DW9410" s="1" t="s">
        <v>123</v>
      </c>
      <c r="ED9410" s="1" t="s">
        <v>130</v>
      </c>
      <c r="GD9410" s="1" t="s">
        <v>193</v>
      </c>
      <c r="GE9410" s="1" t="s">
        <v>190</v>
      </c>
    </row>
    <row r="9411" spans="1:187" ht="11.25" customHeight="1">
      <c r="A9411" s="1" t="s">
        <v>13228</v>
      </c>
      <c r="B9411" s="1" t="str">
        <f ca="1">IFERROR(__xludf.DUMMYFUNCTION("GOOGLETRANSLATE(A9411, ""en"", ""fr"")"),"Soupir n ° 1")</f>
        <v>Soupir n ° 1</v>
      </c>
      <c r="C9411" s="1" t="s">
        <v>185</v>
      </c>
      <c r="O9411" s="1" t="s">
        <v>11</v>
      </c>
      <c r="BK9411" s="1" t="s">
        <v>59</v>
      </c>
      <c r="BL9411" s="1" t="s">
        <v>60</v>
      </c>
      <c r="GC9411" s="1" t="s">
        <v>181</v>
      </c>
      <c r="GD9411" s="1" t="s">
        <v>193</v>
      </c>
      <c r="GE9411" s="1" t="s">
        <v>190</v>
      </c>
    </row>
    <row r="9412" spans="1:187" ht="11.25" customHeight="1">
      <c r="A9412" s="1" t="s">
        <v>13229</v>
      </c>
      <c r="B9412" s="1" t="str">
        <f ca="1">IFERROR(__xludf.DUMMYFUNCTION("GOOGLETRANSLATE(A9412, ""en"", ""fr"")"),"Soupir n ° 2")</f>
        <v>Soupir n ° 2</v>
      </c>
      <c r="C9412" s="1" t="s">
        <v>185</v>
      </c>
      <c r="N9412" s="1" t="s">
        <v>10</v>
      </c>
      <c r="O9412" s="1" t="s">
        <v>11</v>
      </c>
      <c r="BK9412" s="1" t="s">
        <v>59</v>
      </c>
      <c r="DO9412" s="1" t="s">
        <v>115</v>
      </c>
      <c r="GD9412" s="1" t="s">
        <v>189</v>
      </c>
      <c r="GE9412" s="1" t="s">
        <v>190</v>
      </c>
    </row>
    <row r="9413" spans="1:187" ht="11.25" customHeight="1">
      <c r="A9413" s="1" t="s">
        <v>13230</v>
      </c>
      <c r="B9413" s="1" t="str">
        <f ca="1">IFERROR(__xludf.DUMMYFUNCTION("GOOGLETRANSLATE(A9413, ""en"", ""fr"")"),"Vue # 1")</f>
        <v>Vue # 1</v>
      </c>
      <c r="C9413" s="1" t="s">
        <v>185</v>
      </c>
      <c r="CK9413" s="1" t="s">
        <v>85</v>
      </c>
      <c r="GD9413" s="1" t="s">
        <v>193</v>
      </c>
      <c r="GE9413" s="1" t="s">
        <v>13231</v>
      </c>
    </row>
    <row r="9414" spans="1:187" ht="11.25" customHeight="1">
      <c r="A9414" s="1" t="s">
        <v>13232</v>
      </c>
      <c r="B9414" s="1" t="str">
        <f ca="1">IFERROR(__xludf.DUMMYFUNCTION("GOOGLETRANSLATE(A9414, ""en"", ""fr"")"),"Vue # 2")</f>
        <v>Vue # 2</v>
      </c>
      <c r="C9414" s="1" t="s">
        <v>185</v>
      </c>
      <c r="CK9414" s="1" t="s">
        <v>85</v>
      </c>
      <c r="GD9414" s="1" t="s">
        <v>193</v>
      </c>
      <c r="GE9414" s="1" t="s">
        <v>13233</v>
      </c>
    </row>
    <row r="9415" spans="1:187" ht="11.25" customHeight="1">
      <c r="A9415" s="1" t="s">
        <v>13234</v>
      </c>
      <c r="B9415" s="1" t="str">
        <f ca="1">IFERROR(__xludf.DUMMYFUNCTION("GOOGLETRANSLATE(A9415, ""en"", ""fr"")"),"Vue # 3")</f>
        <v>Vue # 3</v>
      </c>
      <c r="C9415" s="1" t="s">
        <v>185</v>
      </c>
      <c r="CS9415" s="1" t="s">
        <v>93</v>
      </c>
      <c r="GD9415" s="1" t="s">
        <v>193</v>
      </c>
      <c r="GE9415" s="1" t="s">
        <v>13235</v>
      </c>
    </row>
    <row r="9416" spans="1:187" ht="11.25" customHeight="1">
      <c r="A9416" s="1" t="s">
        <v>13236</v>
      </c>
      <c r="B9416" s="1" t="str">
        <f ca="1">IFERROR(__xludf.DUMMYFUNCTION("GOOGLETRANSLATE(A9416, ""en"", ""fr"")"),"Vue # 4")</f>
        <v>Vue # 4</v>
      </c>
      <c r="C9416" s="1" t="s">
        <v>185</v>
      </c>
      <c r="BC9416" s="1" t="s">
        <v>51</v>
      </c>
      <c r="BD9416" s="1" t="s">
        <v>52</v>
      </c>
      <c r="GD9416" s="1" t="s">
        <v>193</v>
      </c>
      <c r="GE9416" s="1" t="s">
        <v>13237</v>
      </c>
    </row>
    <row r="9417" spans="1:187" ht="11.25" customHeight="1">
      <c r="A9417" s="1" t="s">
        <v>13238</v>
      </c>
      <c r="B9417" s="1" t="str">
        <f ca="1">IFERROR(__xludf.DUMMYFUNCTION("GOOGLETRANSLATE(A9417, ""en"", ""fr"")"),"Vue # 5")</f>
        <v>Vue # 5</v>
      </c>
      <c r="C9417" s="1" t="s">
        <v>185</v>
      </c>
      <c r="O9417" s="1" t="s">
        <v>11</v>
      </c>
      <c r="CK9417" s="1" t="s">
        <v>85</v>
      </c>
      <c r="DN9417" s="1" t="s">
        <v>114</v>
      </c>
      <c r="GD9417" s="1" t="s">
        <v>189</v>
      </c>
      <c r="GE9417" s="1" t="s">
        <v>13239</v>
      </c>
    </row>
    <row r="9418" spans="1:187" ht="11.25" customHeight="1">
      <c r="A9418" s="1" t="s">
        <v>13240</v>
      </c>
      <c r="B9418" s="1" t="str">
        <f ca="1">IFERROR(__xludf.DUMMYFUNCTION("GOOGLETRANSLATE(A9418, ""en"", ""fr"")"),"Vue # 6")</f>
        <v>Vue # 6</v>
      </c>
      <c r="C9418" s="1" t="s">
        <v>185</v>
      </c>
      <c r="BK9418" s="1" t="s">
        <v>59</v>
      </c>
      <c r="DN9418" s="1" t="s">
        <v>114</v>
      </c>
      <c r="GD9418" s="1" t="s">
        <v>189</v>
      </c>
      <c r="GE9418" s="1" t="s">
        <v>13241</v>
      </c>
    </row>
    <row r="9419" spans="1:187" ht="11.25" customHeight="1">
      <c r="A9419" s="1" t="s">
        <v>13242</v>
      </c>
      <c r="B9419" s="1" t="str">
        <f ca="1">IFERROR(__xludf.DUMMYFUNCTION("GOOGLETRANSLATE(A9419, ""en"", ""fr"")"),"Signe n ° 1")</f>
        <v>Signe n ° 1</v>
      </c>
      <c r="C9419" s="1" t="s">
        <v>185</v>
      </c>
      <c r="BK9419" s="1" t="s">
        <v>59</v>
      </c>
      <c r="BL9419" s="1" t="s">
        <v>60</v>
      </c>
      <c r="FH9419" s="1" t="s">
        <v>160</v>
      </c>
      <c r="FI9419" s="1" t="s">
        <v>161</v>
      </c>
      <c r="GC9419" s="1" t="s">
        <v>181</v>
      </c>
      <c r="GD9419" s="1" t="s">
        <v>193</v>
      </c>
      <c r="GE9419" s="1" t="s">
        <v>13243</v>
      </c>
    </row>
    <row r="9420" spans="1:187" ht="11.25" customHeight="1">
      <c r="A9420" s="1" t="s">
        <v>13244</v>
      </c>
      <c r="B9420" s="1" t="str">
        <f ca="1">IFERROR(__xludf.DUMMYFUNCTION("GOOGLETRANSLATE(A9420, ""en"", ""fr"")"),"Signe n ° 2")</f>
        <v>Signe n ° 2</v>
      </c>
      <c r="C9420" s="1" t="s">
        <v>185</v>
      </c>
      <c r="N9420" s="1" t="s">
        <v>10</v>
      </c>
      <c r="BK9420" s="1" t="s">
        <v>59</v>
      </c>
      <c r="DN9420" s="1" t="s">
        <v>114</v>
      </c>
      <c r="FP9420" s="1" t="s">
        <v>168</v>
      </c>
      <c r="GD9420" s="1" t="s">
        <v>13245</v>
      </c>
      <c r="GE9420" s="1" t="s">
        <v>13246</v>
      </c>
    </row>
    <row r="9421" spans="1:187" ht="11.25" customHeight="1">
      <c r="A9421" s="1" t="s">
        <v>13247</v>
      </c>
      <c r="B9421" s="1" t="str">
        <f ca="1">IFERROR(__xludf.DUMMYFUNCTION("GOOGLETRANSLATE(A9421, ""en"", ""fr"")"),"Signe n ° 3")</f>
        <v>Signe n ° 3</v>
      </c>
      <c r="C9421" s="1" t="s">
        <v>185</v>
      </c>
      <c r="N9421" s="1" t="s">
        <v>10</v>
      </c>
      <c r="BK9421" s="1" t="s">
        <v>59</v>
      </c>
      <c r="BL9421" s="1" t="s">
        <v>60</v>
      </c>
      <c r="GC9421" s="1" t="s">
        <v>181</v>
      </c>
      <c r="GD9421" s="1" t="s">
        <v>193</v>
      </c>
      <c r="GE9421" s="1" t="s">
        <v>13248</v>
      </c>
    </row>
    <row r="9422" spans="1:187" ht="11.25" customHeight="1">
      <c r="A9422" s="1" t="s">
        <v>13249</v>
      </c>
      <c r="B9422" s="1" t="str">
        <f ca="1">IFERROR(__xludf.DUMMYFUNCTION("GOOGLETRANSLATE(A9422, ""en"", ""fr"")"),"Signe n ° 4")</f>
        <v>Signe n ° 4</v>
      </c>
      <c r="C9422" s="1" t="s">
        <v>185</v>
      </c>
      <c r="BK9422" s="1" t="s">
        <v>59</v>
      </c>
      <c r="GC9422" s="1" t="s">
        <v>181</v>
      </c>
      <c r="GD9422" s="1" t="s">
        <v>202</v>
      </c>
      <c r="GE9422" s="1" t="s">
        <v>13250</v>
      </c>
    </row>
    <row r="9423" spans="1:187" ht="11.25" customHeight="1">
      <c r="A9423" s="1" t="s">
        <v>13251</v>
      </c>
      <c r="B9423" s="1" t="str">
        <f ca="1">IFERROR(__xludf.DUMMYFUNCTION("GOOGLETRANSLATE(A9423, ""en"", ""fr"")"),"Signal n ° 1")</f>
        <v>Signal n ° 1</v>
      </c>
      <c r="C9423" s="1" t="s">
        <v>185</v>
      </c>
      <c r="BK9423" s="1" t="s">
        <v>59</v>
      </c>
      <c r="BL9423" s="1" t="s">
        <v>60</v>
      </c>
      <c r="FH9423" s="1" t="s">
        <v>160</v>
      </c>
      <c r="FI9423" s="1" t="s">
        <v>161</v>
      </c>
      <c r="GC9423" s="1" t="s">
        <v>181</v>
      </c>
      <c r="GD9423" s="1" t="s">
        <v>193</v>
      </c>
      <c r="GE9423" s="1" t="s">
        <v>190</v>
      </c>
    </row>
    <row r="9424" spans="1:187" ht="11.25" customHeight="1">
      <c r="A9424" s="1" t="s">
        <v>13252</v>
      </c>
      <c r="B9424" s="1" t="str">
        <f ca="1">IFERROR(__xludf.DUMMYFUNCTION("GOOGLETRANSLATE(A9424, ""en"", ""fr"")"),"Signal n ° 2")</f>
        <v>Signal n ° 2</v>
      </c>
      <c r="C9424" s="1" t="s">
        <v>185</v>
      </c>
      <c r="N9424" s="1" t="s">
        <v>10</v>
      </c>
      <c r="BK9424" s="1" t="s">
        <v>59</v>
      </c>
      <c r="DN9424" s="1" t="s">
        <v>114</v>
      </c>
      <c r="FH9424" s="1" t="s">
        <v>160</v>
      </c>
      <c r="FI9424" s="1" t="s">
        <v>161</v>
      </c>
      <c r="GD9424" s="1" t="s">
        <v>189</v>
      </c>
      <c r="GE9424" s="1" t="s">
        <v>190</v>
      </c>
    </row>
    <row r="9425" spans="1:187" ht="11.25" customHeight="1">
      <c r="A9425" s="1" t="s">
        <v>13253</v>
      </c>
      <c r="B9425" s="1" t="str">
        <f ca="1">IFERROR(__xludf.DUMMYFUNCTION("GOOGLETRANSLATE(A9425, ""en"", ""fr"")"),"SIGNATAIRE")</f>
        <v>SIGNATAIRE</v>
      </c>
      <c r="C9425" s="1" t="s">
        <v>196</v>
      </c>
      <c r="DX9425" s="1" t="s">
        <v>124</v>
      </c>
      <c r="ED9425" s="1" t="s">
        <v>130</v>
      </c>
      <c r="GD9425" s="1" t="s">
        <v>202</v>
      </c>
    </row>
    <row r="9426" spans="1:187" ht="11.25" customHeight="1">
      <c r="A9426" s="1" t="s">
        <v>13254</v>
      </c>
      <c r="B9426" s="1" t="str">
        <f ca="1">IFERROR(__xludf.DUMMYFUNCTION("GOOGLETRANSLATE(A9426, ""en"", ""fr"")"),"SIGNATURE")</f>
        <v>SIGNATURE</v>
      </c>
      <c r="C9426" s="1" t="s">
        <v>185</v>
      </c>
      <c r="BC9426" s="1" t="s">
        <v>51</v>
      </c>
      <c r="BH9426" s="1" t="s">
        <v>56</v>
      </c>
      <c r="BL9426" s="1" t="s">
        <v>60</v>
      </c>
      <c r="GD9426" s="1" t="s">
        <v>193</v>
      </c>
      <c r="GE9426" s="1" t="s">
        <v>190</v>
      </c>
    </row>
    <row r="9427" spans="1:187" ht="11.25" customHeight="1">
      <c r="A9427" s="1" t="s">
        <v>13255</v>
      </c>
      <c r="B9427" s="1" t="str">
        <f ca="1">IFERROR(__xludf.DUMMYFUNCTION("GOOGLETRANSLATE(A9427, ""en"", ""fr"")"),"Signataire")</f>
        <v>Signataire</v>
      </c>
      <c r="C9427" s="1" t="s">
        <v>185</v>
      </c>
      <c r="AJ9427" s="1" t="s">
        <v>32</v>
      </c>
      <c r="AT9427" s="1" t="s">
        <v>42</v>
      </c>
      <c r="FT9427" s="1" t="s">
        <v>172</v>
      </c>
      <c r="GD9427" s="1" t="s">
        <v>193</v>
      </c>
      <c r="GE9427" s="1" t="s">
        <v>190</v>
      </c>
    </row>
    <row r="9428" spans="1:187" ht="11.25" customHeight="1">
      <c r="A9428" s="1" t="s">
        <v>13256</v>
      </c>
      <c r="B9428" s="1" t="str">
        <f ca="1">IFERROR(__xludf.DUMMYFUNCTION("GOOGLETRANSLATE(A9428, ""en"", ""fr"")"),"IMPORTANCE")</f>
        <v>IMPORTANCE</v>
      </c>
      <c r="C9428" s="1" t="s">
        <v>185</v>
      </c>
      <c r="D9428" s="1" t="s">
        <v>16612</v>
      </c>
      <c r="F9428" s="1" t="s">
        <v>2</v>
      </c>
      <c r="J9428" s="1" t="s">
        <v>6</v>
      </c>
      <c r="U9428" s="1" t="s">
        <v>17</v>
      </c>
      <c r="W9428" s="1" t="s">
        <v>19</v>
      </c>
      <c r="CP9428" s="1" t="s">
        <v>90</v>
      </c>
      <c r="CQ9428" s="1" t="s">
        <v>91</v>
      </c>
      <c r="FY9428" s="1" t="s">
        <v>177</v>
      </c>
      <c r="GD9428" s="1" t="s">
        <v>193</v>
      </c>
      <c r="GE9428" s="1" t="s">
        <v>190</v>
      </c>
    </row>
    <row r="9429" spans="1:187" ht="11.25" customHeight="1">
      <c r="A9429" s="1" t="s">
        <v>13257</v>
      </c>
      <c r="B9429" s="1" t="str">
        <f ca="1">IFERROR(__xludf.DUMMYFUNCTION("GOOGLETRANSLATE(A9429, ""en"", ""fr"")"),"SIGNIFICATIF")</f>
        <v>SIGNIFICATIF</v>
      </c>
      <c r="C9429" s="1" t="s">
        <v>185</v>
      </c>
      <c r="D9429" s="1" t="s">
        <v>16612</v>
      </c>
      <c r="F9429" s="1" t="s">
        <v>2</v>
      </c>
      <c r="J9429" s="1" t="s">
        <v>6</v>
      </c>
      <c r="U9429" s="1" t="s">
        <v>17</v>
      </c>
      <c r="W9429" s="1" t="s">
        <v>19</v>
      </c>
      <c r="CN9429" s="1" t="s">
        <v>88</v>
      </c>
      <c r="FY9429" s="1" t="s">
        <v>177</v>
      </c>
      <c r="GD9429" s="1" t="s">
        <v>202</v>
      </c>
      <c r="GE9429" s="1" t="s">
        <v>190</v>
      </c>
    </row>
    <row r="9430" spans="1:187" ht="11.25" customHeight="1">
      <c r="A9430" s="1" t="s">
        <v>13258</v>
      </c>
      <c r="B9430" s="1" t="str">
        <f ca="1">IFERROR(__xludf.DUMMYFUNCTION("GOOGLETRANSLATE(A9430, ""en"", ""fr"")"),"SIGNIFIER")</f>
        <v>SIGNIFIER</v>
      </c>
      <c r="C9430" s="1" t="s">
        <v>185</v>
      </c>
      <c r="D9430" s="1" t="s">
        <v>16612</v>
      </c>
      <c r="O9430" s="1" t="s">
        <v>11</v>
      </c>
      <c r="AN9430" s="1" t="s">
        <v>36</v>
      </c>
      <c r="BK9430" s="1" t="s">
        <v>59</v>
      </c>
      <c r="CI9430" s="1" t="s">
        <v>83</v>
      </c>
      <c r="DN9430" s="1" t="s">
        <v>114</v>
      </c>
      <c r="FH9430" s="1" t="s">
        <v>160</v>
      </c>
      <c r="FI9430" s="1" t="s">
        <v>161</v>
      </c>
      <c r="GD9430" s="1" t="s">
        <v>189</v>
      </c>
      <c r="GE9430" s="1" t="s">
        <v>190</v>
      </c>
    </row>
    <row r="9431" spans="1:187" ht="11.25" customHeight="1">
      <c r="A9431" s="1" t="s">
        <v>13259</v>
      </c>
      <c r="B9431" s="1" t="str">
        <f ca="1">IFERROR(__xludf.DUMMYFUNCTION("GOOGLETRANSLATE(A9431, ""en"", ""fr"")"),"SILENCE")</f>
        <v>SILENCE</v>
      </c>
      <c r="C9431" s="1" t="s">
        <v>185</v>
      </c>
      <c r="CR9431" s="1" t="s">
        <v>92</v>
      </c>
      <c r="GD9431" s="1" t="s">
        <v>193</v>
      </c>
      <c r="GE9431" s="1" t="s">
        <v>190</v>
      </c>
    </row>
    <row r="9432" spans="1:187" ht="11.25" customHeight="1">
      <c r="A9432" s="1" t="s">
        <v>13260</v>
      </c>
      <c r="B9432" s="1" t="str">
        <f ca="1">IFERROR(__xludf.DUMMYFUNCTION("GOOGLETRANSLATE(A9432, ""en"", ""fr"")"),"SILENCIEUX")</f>
        <v>SILENCIEUX</v>
      </c>
      <c r="C9432" s="1" t="s">
        <v>185</v>
      </c>
      <c r="O9432" s="1" t="s">
        <v>11</v>
      </c>
      <c r="CR9432" s="1" t="s">
        <v>92</v>
      </c>
      <c r="GD9432" s="1" t="s">
        <v>421</v>
      </c>
      <c r="GE9432" s="1" t="s">
        <v>13261</v>
      </c>
    </row>
    <row r="9433" spans="1:187" ht="11.25" customHeight="1">
      <c r="A9433" s="1" t="s">
        <v>13262</v>
      </c>
      <c r="B9433" s="1" t="str">
        <f ca="1">IFERROR(__xludf.DUMMYFUNCTION("GOOGLETRANSLATE(A9433, ""en"", ""fr"")"),"SILHOUETTE")</f>
        <v>SILHOUETTE</v>
      </c>
      <c r="C9433" s="1" t="s">
        <v>185</v>
      </c>
      <c r="CR9433" s="1" t="s">
        <v>92</v>
      </c>
      <c r="GD9433" s="1" t="s">
        <v>193</v>
      </c>
      <c r="GE9433" s="1" t="s">
        <v>190</v>
      </c>
    </row>
    <row r="9434" spans="1:187" ht="11.25" customHeight="1">
      <c r="A9434" s="1" t="s">
        <v>13263</v>
      </c>
      <c r="B9434" s="1" t="str">
        <f ca="1">IFERROR(__xludf.DUMMYFUNCTION("GOOGLETRANSLATE(A9434, ""en"", ""fr"")"),"SOIE")</f>
        <v>SOIE</v>
      </c>
      <c r="C9434" s="1" t="s">
        <v>185</v>
      </c>
      <c r="BC9434" s="1" t="s">
        <v>51</v>
      </c>
      <c r="BD9434" s="1" t="s">
        <v>52</v>
      </c>
      <c r="EV9434" s="1" t="s">
        <v>148</v>
      </c>
      <c r="EW9434" s="1" t="s">
        <v>149</v>
      </c>
      <c r="GD9434" s="1" t="s">
        <v>193</v>
      </c>
      <c r="GE9434" s="1" t="s">
        <v>190</v>
      </c>
    </row>
    <row r="9435" spans="1:187" ht="11.25" customHeight="1">
      <c r="A9435" s="1" t="s">
        <v>13264</v>
      </c>
      <c r="B9435" s="1" t="str">
        <f ca="1">IFERROR(__xludf.DUMMYFUNCTION("GOOGLETRANSLATE(A9435, ""en"", ""fr"")"),"IDIOT")</f>
        <v>IDIOT</v>
      </c>
      <c r="C9435" s="1" t="s">
        <v>185</v>
      </c>
      <c r="E9435" s="1" t="s">
        <v>16613</v>
      </c>
      <c r="H9435" s="1" t="s">
        <v>4</v>
      </c>
      <c r="L9435" s="1" t="s">
        <v>8</v>
      </c>
      <c r="V9435" s="1" t="s">
        <v>18</v>
      </c>
      <c r="CN9435" s="1" t="s">
        <v>88</v>
      </c>
      <c r="GD9435" s="1" t="s">
        <v>202</v>
      </c>
      <c r="GE9435" s="1" t="s">
        <v>190</v>
      </c>
    </row>
    <row r="9436" spans="1:187" ht="11.25" customHeight="1">
      <c r="A9436" s="1" t="s">
        <v>13265</v>
      </c>
      <c r="B9436" s="1" t="str">
        <f ca="1">IFERROR(__xludf.DUMMYFUNCTION("GOOGLETRANSLATE(A9436, ""en"", ""fr"")"),"ARGENT")</f>
        <v>ARGENT</v>
      </c>
      <c r="C9436" s="1" t="s">
        <v>185</v>
      </c>
      <c r="AC9436" s="1" t="s">
        <v>25</v>
      </c>
      <c r="DE9436" s="1" t="s">
        <v>105</v>
      </c>
      <c r="EV9436" s="1" t="s">
        <v>148</v>
      </c>
      <c r="EW9436" s="1" t="s">
        <v>149</v>
      </c>
      <c r="GD9436" s="1" t="s">
        <v>202</v>
      </c>
      <c r="GE9436" s="1" t="s">
        <v>190</v>
      </c>
    </row>
    <row r="9437" spans="1:187" ht="11.25" customHeight="1">
      <c r="A9437" s="1" t="s">
        <v>13266</v>
      </c>
      <c r="B9437" s="1" t="str">
        <f ca="1">IFERROR(__xludf.DUMMYFUNCTION("GOOGLETRANSLATE(A9437, ""en"", ""fr"")"),"Similaire n ° 1")</f>
        <v>Similaire n ° 1</v>
      </c>
      <c r="C9437" s="1" t="s">
        <v>185</v>
      </c>
      <c r="DD9437" s="1" t="s">
        <v>104</v>
      </c>
      <c r="GD9437" s="1" t="s">
        <v>421</v>
      </c>
      <c r="GE9437" s="1" t="s">
        <v>13267</v>
      </c>
    </row>
    <row r="9438" spans="1:187" ht="11.25" customHeight="1">
      <c r="A9438" s="1" t="s">
        <v>13268</v>
      </c>
      <c r="B9438" s="1" t="str">
        <f ca="1">IFERROR(__xludf.DUMMYFUNCTION("GOOGLETRANSLATE(A9438, ""en"", ""fr"")"),"Similaire n ° 2")</f>
        <v>Similaire n ° 2</v>
      </c>
      <c r="C9438" s="1" t="s">
        <v>185</v>
      </c>
      <c r="CH9438" s="1" t="s">
        <v>82</v>
      </c>
      <c r="GD9438" s="1" t="s">
        <v>236</v>
      </c>
      <c r="GE9438" s="1" t="s">
        <v>13269</v>
      </c>
    </row>
    <row r="9439" spans="1:187" ht="11.25" customHeight="1">
      <c r="A9439" s="1" t="s">
        <v>13270</v>
      </c>
      <c r="B9439" s="1" t="str">
        <f ca="1">IFERROR(__xludf.DUMMYFUNCTION("GOOGLETRANSLATE(A9439, ""en"", ""fr"")"),"SIMILARITÉ")</f>
        <v>SIMILARITÉ</v>
      </c>
      <c r="C9439" s="1" t="s">
        <v>185</v>
      </c>
      <c r="CH9439" s="1" t="s">
        <v>82</v>
      </c>
      <c r="GD9439" s="1" t="s">
        <v>193</v>
      </c>
      <c r="GE9439" s="1" t="s">
        <v>190</v>
      </c>
    </row>
    <row r="9440" spans="1:187" ht="11.25" customHeight="1">
      <c r="A9440" s="1" t="s">
        <v>13271</v>
      </c>
      <c r="B9440" s="1" t="str">
        <f ca="1">IFERROR(__xludf.DUMMYFUNCTION("GOOGLETRANSLATE(A9440, ""en"", ""fr"")"),"Simple # 1")</f>
        <v>Simple # 1</v>
      </c>
      <c r="C9440" s="1" t="s">
        <v>185</v>
      </c>
      <c r="W9440" s="1" t="s">
        <v>19</v>
      </c>
      <c r="CH9440" s="1" t="s">
        <v>82</v>
      </c>
      <c r="CN9440" s="1" t="s">
        <v>88</v>
      </c>
      <c r="GD9440" s="1" t="s">
        <v>202</v>
      </c>
      <c r="GE9440" s="1" t="s">
        <v>13272</v>
      </c>
    </row>
    <row r="9441" spans="1:187" ht="11.25" customHeight="1">
      <c r="A9441" s="1" t="s">
        <v>13273</v>
      </c>
      <c r="B9441" s="1" t="str">
        <f ca="1">IFERROR(__xludf.DUMMYFUNCTION("GOOGLETRANSLATE(A9441, ""en"", ""fr"")"),"Simple # 2")</f>
        <v>Simple # 2</v>
      </c>
      <c r="C9441" s="1" t="s">
        <v>185</v>
      </c>
      <c r="CH9441" s="1" t="s">
        <v>82</v>
      </c>
      <c r="CN9441" s="1" t="s">
        <v>88</v>
      </c>
      <c r="GD9441" s="1" t="s">
        <v>202</v>
      </c>
      <c r="GE9441" s="1" t="s">
        <v>13274</v>
      </c>
    </row>
    <row r="9442" spans="1:187" ht="11.25" customHeight="1">
      <c r="A9442" s="1" t="s">
        <v>13275</v>
      </c>
      <c r="B9442" s="1" t="str">
        <f ca="1">IFERROR(__xludf.DUMMYFUNCTION("GOOGLETRANSLATE(A9442, ""en"", ""fr"")"),"Simple # 3")</f>
        <v>Simple # 3</v>
      </c>
      <c r="C9442" s="1" t="s">
        <v>185</v>
      </c>
      <c r="CH9442" s="1" t="s">
        <v>82</v>
      </c>
      <c r="CN9442" s="1" t="s">
        <v>88</v>
      </c>
      <c r="GD9442" s="1" t="s">
        <v>202</v>
      </c>
      <c r="GE9442" s="1" t="s">
        <v>13276</v>
      </c>
    </row>
    <row r="9443" spans="1:187" ht="11.25" customHeight="1">
      <c r="A9443" s="1" t="s">
        <v>13277</v>
      </c>
      <c r="B9443" s="1" t="str">
        <f ca="1">IFERROR(__xludf.DUMMYFUNCTION("GOOGLETRANSLATE(A9443, ""en"", ""fr"")"),"Simple # 4")</f>
        <v>Simple # 4</v>
      </c>
      <c r="C9443" s="1" t="s">
        <v>185</v>
      </c>
      <c r="X9443" s="1" t="s">
        <v>20</v>
      </c>
      <c r="CS9443" s="1" t="s">
        <v>93</v>
      </c>
      <c r="GD9443" s="1" t="s">
        <v>236</v>
      </c>
      <c r="GE9443" s="1" t="s">
        <v>13278</v>
      </c>
    </row>
    <row r="9444" spans="1:187" ht="11.25" customHeight="1">
      <c r="A9444" s="1" t="s">
        <v>13279</v>
      </c>
      <c r="B9444" s="1" t="str">
        <f ca="1">IFERROR(__xludf.DUMMYFUNCTION("GOOGLETRANSLATE(A9444, ""en"", ""fr"")"),"SIMPLICITÉ")</f>
        <v>SIMPLICITÉ</v>
      </c>
      <c r="C9444" s="1" t="s">
        <v>185</v>
      </c>
      <c r="D9444" s="1" t="s">
        <v>16612</v>
      </c>
      <c r="F9444" s="1" t="s">
        <v>2</v>
      </c>
      <c r="U9444" s="1" t="s">
        <v>17</v>
      </c>
      <c r="W9444" s="1" t="s">
        <v>19</v>
      </c>
      <c r="GD9444" s="1" t="s">
        <v>193</v>
      </c>
      <c r="GE9444" s="1" t="s">
        <v>190</v>
      </c>
    </row>
    <row r="9445" spans="1:187" ht="11.25" customHeight="1">
      <c r="A9445" s="1" t="s">
        <v>13280</v>
      </c>
      <c r="B9445" s="1" t="str">
        <f ca="1">IFERROR(__xludf.DUMMYFUNCTION("GOOGLETRANSLATE(A9445, ""en"", ""fr"")"),"Simplifier # 1")</f>
        <v>Simplifier # 1</v>
      </c>
      <c r="C9445" s="1" t="s">
        <v>185</v>
      </c>
      <c r="D9445" s="1" t="s">
        <v>16612</v>
      </c>
      <c r="F9445" s="1" t="s">
        <v>2</v>
      </c>
      <c r="N9445" s="1" t="s">
        <v>10</v>
      </c>
      <c r="U9445" s="1" t="s">
        <v>17</v>
      </c>
      <c r="GD9445" s="1" t="s">
        <v>202</v>
      </c>
      <c r="GE9445" s="1" t="s">
        <v>190</v>
      </c>
    </row>
    <row r="9446" spans="1:187" ht="11.25" customHeight="1">
      <c r="A9446" s="1" t="s">
        <v>13281</v>
      </c>
      <c r="B9446" s="1" t="str">
        <f ca="1">IFERROR(__xludf.DUMMYFUNCTION("GOOGLETRANSLATE(A9446, ""en"", ""fr"")"),"Simplifier # 2")</f>
        <v>Simplifier # 2</v>
      </c>
      <c r="C9446" s="1" t="s">
        <v>185</v>
      </c>
      <c r="D9446" s="1" t="s">
        <v>16612</v>
      </c>
      <c r="F9446" s="1" t="s">
        <v>2</v>
      </c>
      <c r="N9446" s="1" t="s">
        <v>10</v>
      </c>
      <c r="CO9446" s="1" t="s">
        <v>89</v>
      </c>
      <c r="DN9446" s="1" t="s">
        <v>114</v>
      </c>
      <c r="GD9446" s="1" t="s">
        <v>189</v>
      </c>
      <c r="GE9446" s="1" t="s">
        <v>190</v>
      </c>
    </row>
    <row r="9447" spans="1:187" ht="11.25" customHeight="1">
      <c r="A9447" s="1" t="s">
        <v>13282</v>
      </c>
      <c r="B9447" s="1" t="str">
        <f ca="1">IFERROR(__xludf.DUMMYFUNCTION("GOOGLETRANSLATE(A9447, ""en"", ""fr"")"),"Simpliste")</f>
        <v>Simpliste</v>
      </c>
      <c r="C9447" s="1" t="s">
        <v>192</v>
      </c>
      <c r="E9447" s="1" t="s">
        <v>16613</v>
      </c>
      <c r="L9447" s="1" t="s">
        <v>8</v>
      </c>
      <c r="DR9447" s="1" t="s">
        <v>118</v>
      </c>
      <c r="GD9447" s="1" t="s">
        <v>202</v>
      </c>
      <c r="GE9447" s="1" t="s">
        <v>190</v>
      </c>
    </row>
    <row r="9448" spans="1:187" ht="11.25" customHeight="1">
      <c r="A9448" s="1" t="s">
        <v>13283</v>
      </c>
      <c r="B9448" s="1" t="str">
        <f ca="1">IFERROR(__xludf.DUMMYFUNCTION("GOOGLETRANSLATE(A9448, ""en"", ""fr"")"),"Simuler # 1")</f>
        <v>Simuler # 1</v>
      </c>
      <c r="C9448" s="1" t="s">
        <v>185</v>
      </c>
      <c r="N9448" s="1" t="s">
        <v>10</v>
      </c>
      <c r="CH9448" s="1" t="s">
        <v>82</v>
      </c>
      <c r="GD9448" s="1" t="s">
        <v>202</v>
      </c>
      <c r="GE9448" s="1" t="s">
        <v>190</v>
      </c>
    </row>
    <row r="9449" spans="1:187" ht="11.25" customHeight="1">
      <c r="A9449" s="1" t="s">
        <v>13284</v>
      </c>
      <c r="B9449" s="1" t="str">
        <f ca="1">IFERROR(__xludf.DUMMYFUNCTION("GOOGLETRANSLATE(A9449, ""en"", ""fr"")"),"Simuler # 2")</f>
        <v>Simuler # 2</v>
      </c>
      <c r="C9449" s="1" t="s">
        <v>185</v>
      </c>
      <c r="N9449" s="1" t="s">
        <v>10</v>
      </c>
      <c r="CO9449" s="1" t="s">
        <v>89</v>
      </c>
      <c r="DN9449" s="1" t="s">
        <v>114</v>
      </c>
      <c r="GD9449" s="1" t="s">
        <v>189</v>
      </c>
      <c r="GE9449" s="1" t="s">
        <v>190</v>
      </c>
    </row>
    <row r="9450" spans="1:187" ht="11.25" customHeight="1">
      <c r="A9450" s="1" t="s">
        <v>13285</v>
      </c>
      <c r="B9450" s="1" t="str">
        <f ca="1">IFERROR(__xludf.DUMMYFUNCTION("GOOGLETRANSLATE(A9450, ""en"", ""fr"")"),"Péché n ° 1")</f>
        <v>Péché n ° 1</v>
      </c>
      <c r="C9450" s="1" t="s">
        <v>185</v>
      </c>
      <c r="E9450" s="1" t="s">
        <v>16613</v>
      </c>
      <c r="H9450" s="1" t="s">
        <v>4</v>
      </c>
      <c r="V9450" s="1" t="s">
        <v>18</v>
      </c>
      <c r="AI9450" s="1" t="s">
        <v>31</v>
      </c>
      <c r="EH9450" s="1" t="s">
        <v>134</v>
      </c>
      <c r="EJ9450" s="1" t="s">
        <v>136</v>
      </c>
      <c r="GD9450" s="1" t="s">
        <v>193</v>
      </c>
      <c r="GE9450" s="1" t="s">
        <v>190</v>
      </c>
    </row>
    <row r="9451" spans="1:187" ht="11.25" customHeight="1">
      <c r="A9451" s="1" t="s">
        <v>13286</v>
      </c>
      <c r="B9451" s="1" t="str">
        <f ca="1">IFERROR(__xludf.DUMMYFUNCTION("GOOGLETRANSLATE(A9451, ""en"", ""fr"")"),"Péché n ° 2")</f>
        <v>Péché n ° 2</v>
      </c>
      <c r="C9451" s="1" t="s">
        <v>185</v>
      </c>
      <c r="E9451" s="1" t="s">
        <v>16613</v>
      </c>
      <c r="H9451" s="1" t="s">
        <v>4</v>
      </c>
      <c r="V9451" s="1" t="s">
        <v>18</v>
      </c>
      <c r="AI9451" s="1" t="s">
        <v>31</v>
      </c>
      <c r="DN9451" s="1" t="s">
        <v>114</v>
      </c>
      <c r="EH9451" s="1" t="s">
        <v>134</v>
      </c>
      <c r="EJ9451" s="1" t="s">
        <v>136</v>
      </c>
      <c r="GD9451" s="1" t="s">
        <v>189</v>
      </c>
      <c r="GE9451" s="1" t="s">
        <v>190</v>
      </c>
    </row>
    <row r="9452" spans="1:187" ht="11.25" customHeight="1">
      <c r="A9452" s="1" t="s">
        <v>13287</v>
      </c>
      <c r="B9452" s="1" t="str">
        <f ca="1">IFERROR(__xludf.DUMMYFUNCTION("GOOGLETRANSLATE(A9452, ""en"", ""fr"")"),"Depuis n ° 1")</f>
        <v>Depuis n ° 1</v>
      </c>
      <c r="C9452" s="1" t="s">
        <v>185</v>
      </c>
      <c r="CY9452" s="1" t="s">
        <v>99</v>
      </c>
      <c r="GB9452" s="1" t="s">
        <v>180</v>
      </c>
      <c r="GD9452" s="1" t="s">
        <v>13288</v>
      </c>
      <c r="GE9452" s="1" t="s">
        <v>13289</v>
      </c>
    </row>
    <row r="9453" spans="1:187" ht="11.25" customHeight="1">
      <c r="A9453" s="1" t="s">
        <v>13290</v>
      </c>
      <c r="B9453" s="1" t="str">
        <f ca="1">IFERROR(__xludf.DUMMYFUNCTION("GOOGLETRANSLATE(A9453, ""en"", ""fr"")"),"Depuis # 2")</f>
        <v>Depuis # 2</v>
      </c>
      <c r="C9453" s="1" t="s">
        <v>185</v>
      </c>
      <c r="W9453" s="1" t="s">
        <v>19</v>
      </c>
      <c r="CI9453" s="1" t="s">
        <v>83</v>
      </c>
      <c r="GD9453" s="1" t="s">
        <v>763</v>
      </c>
      <c r="GE9453" s="1" t="s">
        <v>13291</v>
      </c>
    </row>
    <row r="9454" spans="1:187" ht="11.25" customHeight="1">
      <c r="A9454" s="1" t="s">
        <v>13292</v>
      </c>
      <c r="B9454" s="1" t="str">
        <f ca="1">IFERROR(__xludf.DUMMYFUNCTION("GOOGLETRANSLATE(A9454, ""en"", ""fr"")"),"SINCÈRE")</f>
        <v>SINCÈRE</v>
      </c>
      <c r="C9454" s="1" t="s">
        <v>185</v>
      </c>
      <c r="D9454" s="1" t="s">
        <v>16612</v>
      </c>
      <c r="F9454" s="1" t="s">
        <v>2</v>
      </c>
      <c r="G9454" s="1" t="s">
        <v>3</v>
      </c>
      <c r="U9454" s="1" t="s">
        <v>17</v>
      </c>
      <c r="CN9454" s="1" t="s">
        <v>88</v>
      </c>
      <c r="EE9454" s="1" t="s">
        <v>131</v>
      </c>
      <c r="EJ9454" s="1" t="s">
        <v>136</v>
      </c>
      <c r="GD9454" s="1" t="s">
        <v>202</v>
      </c>
      <c r="GE9454" s="1" t="s">
        <v>13293</v>
      </c>
    </row>
    <row r="9455" spans="1:187" ht="11.25" customHeight="1">
      <c r="A9455" s="1" t="s">
        <v>13294</v>
      </c>
      <c r="B9455" s="1" t="str">
        <f ca="1">IFERROR(__xludf.DUMMYFUNCTION("GOOGLETRANSLATE(A9455, ""en"", ""fr"")"),"LA SINCÉRITÉ")</f>
        <v>LA SINCÉRITÉ</v>
      </c>
      <c r="C9455" s="1" t="s">
        <v>185</v>
      </c>
      <c r="D9455" s="1" t="s">
        <v>16612</v>
      </c>
      <c r="F9455" s="1" t="s">
        <v>2</v>
      </c>
      <c r="G9455" s="1" t="s">
        <v>3</v>
      </c>
      <c r="U9455" s="1" t="s">
        <v>17</v>
      </c>
      <c r="EE9455" s="1" t="s">
        <v>131</v>
      </c>
      <c r="EJ9455" s="1" t="s">
        <v>136</v>
      </c>
      <c r="GD9455" s="1" t="s">
        <v>193</v>
      </c>
      <c r="GE9455" s="1" t="s">
        <v>190</v>
      </c>
    </row>
    <row r="9456" spans="1:187" ht="11.25" customHeight="1">
      <c r="A9456" s="1" t="s">
        <v>13295</v>
      </c>
      <c r="B9456" s="1" t="str">
        <f ca="1">IFERROR(__xludf.DUMMYFUNCTION("GOOGLETRANSLATE(A9456, ""en"", ""fr"")"),"COUPABLE")</f>
        <v>COUPABLE</v>
      </c>
      <c r="C9456" s="1" t="s">
        <v>192</v>
      </c>
      <c r="E9456" s="1" t="s">
        <v>16613</v>
      </c>
      <c r="Z9456" s="1" t="s">
        <v>22</v>
      </c>
      <c r="BT9456" s="1" t="s">
        <v>68</v>
      </c>
      <c r="DR9456" s="1" t="s">
        <v>118</v>
      </c>
      <c r="GD9456" s="1" t="s">
        <v>202</v>
      </c>
      <c r="GE9456" s="1" t="s">
        <v>190</v>
      </c>
    </row>
    <row r="9457" spans="1:187" ht="11.25" customHeight="1">
      <c r="A9457" s="1" t="s">
        <v>13296</v>
      </c>
      <c r="B9457" s="1" t="str">
        <f ca="1">IFERROR(__xludf.DUMMYFUNCTION("GOOGLETRANSLATE(A9457, ""en"", ""fr"")"),"Chanter # 1")</f>
        <v>Chanter # 1</v>
      </c>
      <c r="C9457" s="1" t="s">
        <v>185</v>
      </c>
      <c r="N9457" s="1" t="s">
        <v>10</v>
      </c>
      <c r="AD9457" s="1" t="s">
        <v>26</v>
      </c>
      <c r="BK9457" s="1" t="s">
        <v>59</v>
      </c>
      <c r="DO9457" s="1" t="s">
        <v>115</v>
      </c>
      <c r="GD9457" s="1" t="s">
        <v>189</v>
      </c>
      <c r="GE9457" s="1" t="s">
        <v>13297</v>
      </c>
    </row>
    <row r="9458" spans="1:187" ht="11.25" customHeight="1">
      <c r="A9458" s="1" t="s">
        <v>13298</v>
      </c>
      <c r="B9458" s="1" t="str">
        <f ca="1">IFERROR(__xludf.DUMMYFUNCTION("GOOGLETRANSLATE(A9458, ""en"", ""fr"")"),"Chanter # 2")</f>
        <v>Chanter # 2</v>
      </c>
      <c r="C9458" s="1" t="s">
        <v>185</v>
      </c>
      <c r="N9458" s="1" t="s">
        <v>10</v>
      </c>
      <c r="AD9458" s="1" t="s">
        <v>26</v>
      </c>
      <c r="BK9458" s="1" t="s">
        <v>59</v>
      </c>
      <c r="BL9458" s="1" t="s">
        <v>60</v>
      </c>
      <c r="GC9458" s="1" t="s">
        <v>181</v>
      </c>
      <c r="GD9458" s="1" t="s">
        <v>193</v>
      </c>
      <c r="GE9458" s="1" t="s">
        <v>13299</v>
      </c>
    </row>
    <row r="9459" spans="1:187" ht="11.25" customHeight="1">
      <c r="A9459" s="1" t="s">
        <v>13300</v>
      </c>
      <c r="B9459" s="1" t="str">
        <f ca="1">IFERROR(__xludf.DUMMYFUNCTION("GOOGLETRANSLATE(A9459, ""en"", ""fr"")"),"SINGAPOUR")</f>
        <v>SINGAPOUR</v>
      </c>
      <c r="C9459" s="1" t="s">
        <v>196</v>
      </c>
      <c r="FU9459" s="1" t="s">
        <v>173</v>
      </c>
      <c r="GD9459" s="1" t="s">
        <v>545</v>
      </c>
    </row>
    <row r="9460" spans="1:187" ht="11.25" customHeight="1">
      <c r="A9460" s="1" t="s">
        <v>13301</v>
      </c>
      <c r="B9460" s="1" t="str">
        <f ca="1">IFERROR(__xludf.DUMMYFUNCTION("GOOGLETRANSLATE(A9460, ""en"", ""fr"")"),"CHANTEUR")</f>
        <v>CHANTEUR</v>
      </c>
      <c r="C9460" s="1" t="s">
        <v>185</v>
      </c>
      <c r="N9460" s="1" t="s">
        <v>10</v>
      </c>
      <c r="AD9460" s="1" t="s">
        <v>26</v>
      </c>
      <c r="AJ9460" s="1" t="s">
        <v>32</v>
      </c>
      <c r="AT9460" s="1" t="s">
        <v>42</v>
      </c>
      <c r="FK9460" s="1" t="s">
        <v>163</v>
      </c>
      <c r="FM9460" s="1" t="s">
        <v>418</v>
      </c>
      <c r="GD9460" s="1" t="s">
        <v>193</v>
      </c>
      <c r="GE9460" s="1" t="s">
        <v>190</v>
      </c>
    </row>
    <row r="9461" spans="1:187" ht="11.25" customHeight="1">
      <c r="A9461" s="1" t="s">
        <v>13302</v>
      </c>
      <c r="B9461" s="1" t="str">
        <f ca="1">IFERROR(__xludf.DUMMYFUNCTION("GOOGLETRANSLATE(A9461, ""en"", ""fr"")"),"Single # 1")</f>
        <v>Single # 1</v>
      </c>
      <c r="C9461" s="1" t="s">
        <v>185</v>
      </c>
      <c r="X9461" s="1" t="s">
        <v>20</v>
      </c>
      <c r="CS9461" s="1" t="s">
        <v>93</v>
      </c>
      <c r="GD9461" s="1" t="s">
        <v>1962</v>
      </c>
      <c r="GE9461" s="1" t="s">
        <v>13303</v>
      </c>
    </row>
    <row r="9462" spans="1:187" ht="11.25" customHeight="1">
      <c r="A9462" s="1" t="s">
        <v>13304</v>
      </c>
      <c r="B9462" s="1" t="str">
        <f ca="1">IFERROR(__xludf.DUMMYFUNCTION("GOOGLETRANSLATE(A9462, ""en"", ""fr"")"),"Single # 2")</f>
        <v>Single # 2</v>
      </c>
      <c r="C9462" s="1" t="s">
        <v>185</v>
      </c>
      <c r="CO9462" s="1" t="s">
        <v>89</v>
      </c>
      <c r="DN9462" s="1" t="s">
        <v>114</v>
      </c>
      <c r="GD9462" s="1" t="s">
        <v>189</v>
      </c>
      <c r="GE9462" s="1" t="s">
        <v>13305</v>
      </c>
    </row>
    <row r="9463" spans="1:187" ht="11.25" customHeight="1">
      <c r="A9463" s="1" t="s">
        <v>13306</v>
      </c>
      <c r="B9463" s="1" t="str">
        <f ca="1">IFERROR(__xludf.DUMMYFUNCTION("GOOGLETRANSLATE(A9463, ""en"", ""fr"")"),"SÉPARÉMENT")</f>
        <v>SÉPARÉMENT</v>
      </c>
      <c r="C9463" s="1" t="s">
        <v>185</v>
      </c>
      <c r="CS9463" s="1" t="s">
        <v>93</v>
      </c>
      <c r="GD9463" s="1" t="s">
        <v>236</v>
      </c>
      <c r="GE9463" s="1" t="s">
        <v>190</v>
      </c>
    </row>
    <row r="9464" spans="1:187" ht="11.25" customHeight="1">
      <c r="A9464" s="1" t="s">
        <v>13307</v>
      </c>
      <c r="B9464" s="1" t="str">
        <f ca="1">IFERROR(__xludf.DUMMYFUNCTION("GOOGLETRANSLATE(A9464, ""en"", ""fr"")"),"SINISTRE")</f>
        <v>SINISTRE</v>
      </c>
      <c r="C9464" s="1" t="s">
        <v>185</v>
      </c>
      <c r="E9464" s="1" t="s">
        <v>16613</v>
      </c>
      <c r="H9464" s="1" t="s">
        <v>4</v>
      </c>
      <c r="I9464" s="1" t="s">
        <v>5</v>
      </c>
      <c r="V9464" s="1" t="s">
        <v>18</v>
      </c>
      <c r="CN9464" s="1" t="s">
        <v>88</v>
      </c>
      <c r="FW9464" s="1" t="s">
        <v>175</v>
      </c>
      <c r="GD9464" s="1" t="s">
        <v>202</v>
      </c>
      <c r="GE9464" s="1" t="s">
        <v>190</v>
      </c>
    </row>
    <row r="9465" spans="1:187" ht="11.25" customHeight="1">
      <c r="A9465" s="1" t="s">
        <v>13308</v>
      </c>
      <c r="B9465" s="1" t="str">
        <f ca="1">IFERROR(__xludf.DUMMYFUNCTION("GOOGLETRANSLATE(A9465, ""en"", ""fr"")"),"Évier n ° 1")</f>
        <v>Évier n ° 1</v>
      </c>
      <c r="C9465" s="1" t="s">
        <v>185</v>
      </c>
      <c r="BC9465" s="1" t="s">
        <v>51</v>
      </c>
      <c r="BD9465" s="1" t="s">
        <v>52</v>
      </c>
      <c r="GD9465" s="1" t="s">
        <v>193</v>
      </c>
      <c r="GE9465" s="1" t="s">
        <v>190</v>
      </c>
    </row>
    <row r="9466" spans="1:187" ht="11.25" customHeight="1">
      <c r="A9466" s="1" t="s">
        <v>13309</v>
      </c>
      <c r="B9466" s="1" t="str">
        <f ca="1">IFERROR(__xludf.DUMMYFUNCTION("GOOGLETRANSLATE(A9466, ""en"", ""fr"")"),"Évier n ° 2")</f>
        <v>Évier n ° 2</v>
      </c>
      <c r="C9466" s="1" t="s">
        <v>185</v>
      </c>
      <c r="L9466" s="1" t="s">
        <v>8</v>
      </c>
      <c r="O9466" s="1" t="s">
        <v>11</v>
      </c>
      <c r="CF9466" s="1" t="s">
        <v>80</v>
      </c>
      <c r="DO9466" s="1" t="s">
        <v>115</v>
      </c>
      <c r="FP9466" s="1" t="s">
        <v>168</v>
      </c>
      <c r="GD9466" s="1" t="s">
        <v>189</v>
      </c>
      <c r="GE9466" s="1" t="s">
        <v>190</v>
      </c>
    </row>
    <row r="9467" spans="1:187" ht="11.25" customHeight="1">
      <c r="A9467" s="1" t="s">
        <v>13310</v>
      </c>
      <c r="B9467" s="1" t="str">
        <f ca="1">IFERROR(__xludf.DUMMYFUNCTION("GOOGLETRANSLATE(A9467, ""en"", ""fr"")"),"MONSIEUR")</f>
        <v>MONSIEUR</v>
      </c>
      <c r="C9467" s="1" t="s">
        <v>185</v>
      </c>
      <c r="K9467" s="1" t="s">
        <v>7</v>
      </c>
      <c r="AJ9467" s="1" t="s">
        <v>32</v>
      </c>
      <c r="AQ9467" s="1" t="s">
        <v>39</v>
      </c>
      <c r="AT9467" s="1" t="s">
        <v>42</v>
      </c>
      <c r="EM9467" s="1" t="s">
        <v>139</v>
      </c>
      <c r="EN9467" s="1" t="s">
        <v>140</v>
      </c>
      <c r="GD9467" s="1" t="s">
        <v>193</v>
      </c>
      <c r="GE9467" s="1" t="s">
        <v>13311</v>
      </c>
    </row>
    <row r="9468" spans="1:187" ht="11.25" customHeight="1">
      <c r="A9468" s="1" t="s">
        <v>13312</v>
      </c>
      <c r="B9468" s="1" t="str">
        <f ca="1">IFERROR(__xludf.DUMMYFUNCTION("GOOGLETRANSLATE(A9468, ""en"", ""fr"")"),"SŒUR")</f>
        <v>SŒUR</v>
      </c>
      <c r="C9468" s="1" t="s">
        <v>185</v>
      </c>
      <c r="G9468" s="1" t="s">
        <v>3</v>
      </c>
      <c r="AJ9468" s="1" t="s">
        <v>32</v>
      </c>
      <c r="AP9468" s="1" t="s">
        <v>38</v>
      </c>
      <c r="AR9468" s="1" t="s">
        <v>40</v>
      </c>
      <c r="AT9468" s="1" t="s">
        <v>42</v>
      </c>
      <c r="EQ9468" s="1" t="s">
        <v>143</v>
      </c>
      <c r="ES9468" s="1" t="s">
        <v>145</v>
      </c>
      <c r="GD9468" s="1" t="s">
        <v>837</v>
      </c>
      <c r="GE9468" s="1" t="s">
        <v>13313</v>
      </c>
    </row>
    <row r="9469" spans="1:187" ht="11.25" customHeight="1">
      <c r="A9469" s="1" t="s">
        <v>13314</v>
      </c>
      <c r="B9469" s="1" t="str">
        <f ca="1">IFERROR(__xludf.DUMMYFUNCTION("GOOGLETRANSLATE(A9469, ""en"", ""fr"")"),"Assis n ° 1")</f>
        <v>Assis n ° 1</v>
      </c>
      <c r="C9469" s="1" t="s">
        <v>185</v>
      </c>
      <c r="CA9469" s="1" t="s">
        <v>75</v>
      </c>
      <c r="DO9469" s="1" t="s">
        <v>115</v>
      </c>
      <c r="GD9469" s="1" t="s">
        <v>400</v>
      </c>
      <c r="GE9469" s="1" t="s">
        <v>13315</v>
      </c>
    </row>
    <row r="9470" spans="1:187" ht="11.25" customHeight="1">
      <c r="A9470" s="1" t="s">
        <v>13316</v>
      </c>
      <c r="B9470" s="1" t="str">
        <f ca="1">IFERROR(__xludf.DUMMYFUNCTION("GOOGLETRANSLATE(A9470, ""en"", ""fr"")"),"Assis n ° 2")</f>
        <v>Assis n ° 2</v>
      </c>
      <c r="C9470" s="1" t="s">
        <v>185</v>
      </c>
      <c r="AM9470" s="1" t="s">
        <v>35</v>
      </c>
      <c r="GD9470" s="1" t="s">
        <v>193</v>
      </c>
      <c r="GE9470" s="1" t="s">
        <v>13317</v>
      </c>
    </row>
    <row r="9471" spans="1:187" ht="11.25" customHeight="1">
      <c r="A9471" s="1" t="s">
        <v>13318</v>
      </c>
      <c r="B9471" s="1" t="str">
        <f ca="1">IFERROR(__xludf.DUMMYFUNCTION("GOOGLETRANSLATE(A9471, ""en"", ""fr"")"),"SITE")</f>
        <v>SITE</v>
      </c>
      <c r="C9471" s="1" t="s">
        <v>185</v>
      </c>
      <c r="AV9471" s="1" t="s">
        <v>44</v>
      </c>
      <c r="AW9471" s="1" t="s">
        <v>45</v>
      </c>
      <c r="GB9471" s="1" t="s">
        <v>180</v>
      </c>
      <c r="GD9471" s="1" t="s">
        <v>193</v>
      </c>
      <c r="GE9471" s="1" t="s">
        <v>190</v>
      </c>
    </row>
    <row r="9472" spans="1:187" ht="11.25" customHeight="1">
      <c r="A9472" s="1" t="s">
        <v>13319</v>
      </c>
      <c r="B9472" s="1" t="str">
        <f ca="1">IFERROR(__xludf.DUMMYFUNCTION("GOOGLETRANSLATE(A9472, ""en"", ""fr"")"),"MODÈLE")</f>
        <v>MODÈLE</v>
      </c>
      <c r="C9472" s="1" t="s">
        <v>185</v>
      </c>
      <c r="O9472" s="1" t="s">
        <v>11</v>
      </c>
      <c r="AJ9472" s="1" t="s">
        <v>32</v>
      </c>
      <c r="AT9472" s="1" t="s">
        <v>42</v>
      </c>
      <c r="FB9472" s="1" t="s">
        <v>154</v>
      </c>
      <c r="FC9472" s="1" t="s">
        <v>155</v>
      </c>
      <c r="GD9472" s="1" t="s">
        <v>193</v>
      </c>
      <c r="GE9472" s="1" t="s">
        <v>190</v>
      </c>
    </row>
    <row r="9473" spans="1:187" ht="11.25" customHeight="1">
      <c r="A9473" s="1" t="s">
        <v>13320</v>
      </c>
      <c r="B9473" s="1" t="str">
        <f ca="1">IFERROR(__xludf.DUMMYFUNCTION("GOOGLETRANSLATE(A9473, ""en"", ""fr"")"),"SITUER")</f>
        <v>SITUER</v>
      </c>
      <c r="C9473" s="1" t="s">
        <v>185</v>
      </c>
      <c r="N9473" s="1" t="s">
        <v>10</v>
      </c>
      <c r="CA9473" s="1" t="s">
        <v>75</v>
      </c>
      <c r="DN9473" s="1" t="s">
        <v>114</v>
      </c>
      <c r="FP9473" s="1" t="s">
        <v>168</v>
      </c>
      <c r="GD9473" s="1" t="s">
        <v>189</v>
      </c>
      <c r="GE9473" s="1" t="s">
        <v>190</v>
      </c>
    </row>
    <row r="9474" spans="1:187" ht="11.25" customHeight="1">
      <c r="A9474" s="1" t="s">
        <v>13321</v>
      </c>
      <c r="B9474" s="1" t="str">
        <f ca="1">IFERROR(__xludf.DUMMYFUNCTION("GOOGLETRANSLATE(A9474, ""en"", ""fr"")"),"SITUATION")</f>
        <v>SITUATION</v>
      </c>
      <c r="C9474" s="1" t="s">
        <v>185</v>
      </c>
      <c r="CH9474" s="1" t="s">
        <v>82</v>
      </c>
      <c r="CP9474" s="1" t="s">
        <v>90</v>
      </c>
      <c r="CQ9474" s="1" t="s">
        <v>91</v>
      </c>
      <c r="FS9474" s="1" t="s">
        <v>171</v>
      </c>
      <c r="GD9474" s="1" t="s">
        <v>193</v>
      </c>
      <c r="GE9474" s="1" t="s">
        <v>13322</v>
      </c>
    </row>
    <row r="9475" spans="1:187" ht="11.25" customHeight="1">
      <c r="A9475" s="1" t="s">
        <v>13323</v>
      </c>
      <c r="B9475" s="1" t="str">
        <f ca="1">IFERROR(__xludf.DUMMYFUNCTION("GOOGLETRANSLATE(A9475, ""en"", ""fr"")"),"SIX")</f>
        <v>SIX</v>
      </c>
      <c r="C9475" s="1" t="s">
        <v>185</v>
      </c>
      <c r="CS9475" s="1" t="s">
        <v>93</v>
      </c>
      <c r="CT9475" s="1" t="s">
        <v>94</v>
      </c>
      <c r="CV9475" s="1" t="s">
        <v>96</v>
      </c>
      <c r="GD9475" s="1" t="s">
        <v>1756</v>
      </c>
      <c r="GE9475" s="1" t="s">
        <v>13324</v>
      </c>
    </row>
    <row r="9476" spans="1:187" ht="11.25" customHeight="1">
      <c r="A9476" s="1" t="s">
        <v>13325</v>
      </c>
      <c r="B9476" s="1" t="str">
        <f ca="1">IFERROR(__xludf.DUMMYFUNCTION("GOOGLETRANSLATE(A9476, ""en"", ""fr"")"),"SEIZE")</f>
        <v>SEIZE</v>
      </c>
      <c r="C9476" s="1" t="s">
        <v>185</v>
      </c>
      <c r="CS9476" s="1" t="s">
        <v>93</v>
      </c>
      <c r="CT9476" s="1" t="s">
        <v>94</v>
      </c>
      <c r="CV9476" s="1" t="s">
        <v>96</v>
      </c>
      <c r="GD9476" s="1" t="s">
        <v>1756</v>
      </c>
      <c r="GE9476" s="1" t="s">
        <v>190</v>
      </c>
    </row>
    <row r="9477" spans="1:187" ht="11.25" customHeight="1">
      <c r="A9477" s="1" t="s">
        <v>13326</v>
      </c>
      <c r="B9477" s="1" t="str">
        <f ca="1">IFERROR(__xludf.DUMMYFUNCTION("GOOGLETRANSLATE(A9477, ""en"", ""fr"")"),"Seizième # 1")</f>
        <v>Seizième # 1</v>
      </c>
      <c r="C9477" s="1" t="s">
        <v>192</v>
      </c>
      <c r="GE9477" s="1" t="s">
        <v>190</v>
      </c>
    </row>
    <row r="9478" spans="1:187" ht="11.25" customHeight="1">
      <c r="A9478" s="1" t="s">
        <v>13327</v>
      </c>
      <c r="B9478" s="1" t="str">
        <f ca="1">IFERROR(__xludf.DUMMYFUNCTION("GOOGLETRANSLATE(A9478, ""en"", ""fr"")"),"Sixième n ° 1")</f>
        <v>Sixième n ° 1</v>
      </c>
      <c r="C9478" s="1" t="s">
        <v>192</v>
      </c>
      <c r="GE9478" s="1" t="s">
        <v>190</v>
      </c>
    </row>
    <row r="9479" spans="1:187" ht="11.25" customHeight="1">
      <c r="A9479" s="1" t="s">
        <v>13328</v>
      </c>
      <c r="B9479" s="1" t="str">
        <f ca="1">IFERROR(__xludf.DUMMYFUNCTION("GOOGLETRANSLATE(A9479, ""en"", ""fr"")"),"SOIXANTE")</f>
        <v>SOIXANTE</v>
      </c>
      <c r="C9479" s="1" t="s">
        <v>185</v>
      </c>
      <c r="CS9479" s="1" t="s">
        <v>93</v>
      </c>
      <c r="CT9479" s="1" t="s">
        <v>94</v>
      </c>
      <c r="CV9479" s="1" t="s">
        <v>96</v>
      </c>
      <c r="GD9479" s="1" t="s">
        <v>1756</v>
      </c>
      <c r="GE9479" s="1" t="s">
        <v>4825</v>
      </c>
    </row>
    <row r="9480" spans="1:187" ht="11.25" customHeight="1">
      <c r="A9480" s="1" t="s">
        <v>13329</v>
      </c>
      <c r="B9480" s="1" t="str">
        <f ca="1">IFERROR(__xludf.DUMMYFUNCTION("GOOGLETRANSLATE(A9480, ""en"", ""fr"")"),"Considérable")</f>
        <v>Considérable</v>
      </c>
      <c r="C9480" s="1" t="s">
        <v>185</v>
      </c>
      <c r="J9480" s="1" t="s">
        <v>6</v>
      </c>
      <c r="W9480" s="1" t="s">
        <v>19</v>
      </c>
      <c r="CS9480" s="1" t="s">
        <v>93</v>
      </c>
      <c r="DC9480" s="1" t="s">
        <v>103</v>
      </c>
      <c r="GD9480" s="1" t="s">
        <v>202</v>
      </c>
      <c r="GE9480" s="1" t="s">
        <v>190</v>
      </c>
    </row>
    <row r="9481" spans="1:187" ht="11.25" customHeight="1">
      <c r="A9481" s="1" t="s">
        <v>13330</v>
      </c>
      <c r="B9481" s="1" t="str">
        <f ca="1">IFERROR(__xludf.DUMMYFUNCTION("GOOGLETRANSLATE(A9481, ""en"", ""fr"")"),"Taille n ° 1")</f>
        <v>Taille n ° 1</v>
      </c>
      <c r="C9481" s="1" t="s">
        <v>185</v>
      </c>
      <c r="CS9481" s="1" t="s">
        <v>93</v>
      </c>
      <c r="GD9481" s="1" t="s">
        <v>193</v>
      </c>
      <c r="GE9481" s="1" t="s">
        <v>13331</v>
      </c>
    </row>
    <row r="9482" spans="1:187" ht="11.25" customHeight="1">
      <c r="A9482" s="1" t="s">
        <v>13332</v>
      </c>
      <c r="B9482" s="1" t="str">
        <f ca="1">IFERROR(__xludf.DUMMYFUNCTION("GOOGLETRANSLATE(A9482, ""en"", ""fr"")"),"Taille n ° 2")</f>
        <v>Taille n ° 2</v>
      </c>
      <c r="C9482" s="1" t="s">
        <v>185</v>
      </c>
      <c r="N9482" s="1" t="s">
        <v>10</v>
      </c>
      <c r="CO9482" s="1" t="s">
        <v>89</v>
      </c>
      <c r="DN9482" s="1" t="s">
        <v>114</v>
      </c>
      <c r="GD9482" s="1" t="s">
        <v>189</v>
      </c>
      <c r="GE9482" s="1" t="s">
        <v>13333</v>
      </c>
    </row>
    <row r="9483" spans="1:187" ht="11.25" customHeight="1">
      <c r="A9483" s="1" t="s">
        <v>13334</v>
      </c>
      <c r="B9483" s="1" t="str">
        <f ca="1">IFERROR(__xludf.DUMMYFUNCTION("GOOGLETRANSLATE(A9483, ""en"", ""fr"")"),"De taille n ° 1")</f>
        <v>De taille n ° 1</v>
      </c>
      <c r="C9483" s="1" t="s">
        <v>192</v>
      </c>
      <c r="GE9483" s="1" t="s">
        <v>190</v>
      </c>
    </row>
    <row r="9484" spans="1:187" ht="11.25" customHeight="1">
      <c r="A9484" s="1" t="s">
        <v>13335</v>
      </c>
      <c r="B9484" s="1" t="str">
        <f ca="1">IFERROR(__xludf.DUMMYFUNCTION("GOOGLETRANSLATE(A9484, ""en"", ""fr"")"),"SCEPTIQUE")</f>
        <v>SCEPTIQUE</v>
      </c>
      <c r="C9484" s="1" t="s">
        <v>185</v>
      </c>
      <c r="E9484" s="1" t="s">
        <v>16613</v>
      </c>
      <c r="H9484" s="1" t="s">
        <v>4</v>
      </c>
      <c r="V9484" s="1" t="s">
        <v>18</v>
      </c>
      <c r="FZ9484" s="1" t="s">
        <v>178</v>
      </c>
      <c r="GD9484" s="1" t="s">
        <v>202</v>
      </c>
      <c r="GE9484" s="1" t="s">
        <v>190</v>
      </c>
    </row>
    <row r="9485" spans="1:187" ht="11.25" customHeight="1">
      <c r="A9485" s="1" t="s">
        <v>13336</v>
      </c>
      <c r="B9485" s="1" t="str">
        <f ca="1">IFERROR(__xludf.DUMMYFUNCTION("GOOGLETRANSLATE(A9485, ""en"", ""fr"")"),"ESQUISSER")</f>
        <v>ESQUISSER</v>
      </c>
      <c r="C9485" s="1" t="s">
        <v>185</v>
      </c>
      <c r="N9485" s="1" t="s">
        <v>10</v>
      </c>
      <c r="AD9485" s="1" t="s">
        <v>26</v>
      </c>
      <c r="BC9485" s="1" t="s">
        <v>51</v>
      </c>
      <c r="BH9485" s="1" t="s">
        <v>56</v>
      </c>
      <c r="BL9485" s="1" t="s">
        <v>60</v>
      </c>
      <c r="GD9485" s="1" t="s">
        <v>193</v>
      </c>
      <c r="GE9485" s="1" t="s">
        <v>190</v>
      </c>
    </row>
    <row r="9486" spans="1:187" ht="11.25" customHeight="1">
      <c r="A9486" s="1" t="s">
        <v>13337</v>
      </c>
      <c r="B9486" s="1" t="str">
        <f ca="1">IFERROR(__xludf.DUMMYFUNCTION("GOOGLETRANSLATE(A9486, ""en"", ""fr"")"),"VAGUE")</f>
        <v>VAGUE</v>
      </c>
      <c r="C9486" s="1" t="s">
        <v>192</v>
      </c>
      <c r="E9486" s="1" t="s">
        <v>16613</v>
      </c>
      <c r="V9486" s="1" t="s">
        <v>18</v>
      </c>
      <c r="X9486" s="1" t="s">
        <v>20</v>
      </c>
      <c r="DR9486" s="1" t="s">
        <v>118</v>
      </c>
      <c r="GD9486" s="1" t="s">
        <v>202</v>
      </c>
      <c r="GE9486" s="1" t="s">
        <v>190</v>
      </c>
    </row>
    <row r="9487" spans="1:187" ht="11.25" customHeight="1">
      <c r="A9487" s="1" t="s">
        <v>13338</v>
      </c>
      <c r="B9487" s="1" t="str">
        <f ca="1">IFERROR(__xludf.DUMMYFUNCTION("GOOGLETRANSLATE(A9487, ""en"", ""fr"")"),"Ski # 1")</f>
        <v>Ski # 1</v>
      </c>
      <c r="C9487" s="1" t="s">
        <v>185</v>
      </c>
      <c r="AD9487" s="1" t="s">
        <v>26</v>
      </c>
      <c r="BC9487" s="1" t="s">
        <v>51</v>
      </c>
      <c r="BF9487" s="1" t="s">
        <v>54</v>
      </c>
      <c r="GD9487" s="1" t="s">
        <v>193</v>
      </c>
      <c r="GE9487" s="1" t="s">
        <v>190</v>
      </c>
    </row>
    <row r="9488" spans="1:187" ht="11.25" customHeight="1">
      <c r="A9488" s="1" t="s">
        <v>13339</v>
      </c>
      <c r="B9488" s="1" t="str">
        <f ca="1">IFERROR(__xludf.DUMMYFUNCTION("GOOGLETRANSLATE(A9488, ""en"", ""fr"")"),"Ski # 2")</f>
        <v>Ski # 2</v>
      </c>
      <c r="C9488" s="1" t="s">
        <v>185</v>
      </c>
      <c r="N9488" s="1" t="s">
        <v>10</v>
      </c>
      <c r="AD9488" s="1" t="s">
        <v>26</v>
      </c>
      <c r="CE9488" s="1" t="s">
        <v>79</v>
      </c>
      <c r="DO9488" s="1" t="s">
        <v>115</v>
      </c>
      <c r="GD9488" s="1" t="s">
        <v>189</v>
      </c>
      <c r="GE9488" s="1" t="s">
        <v>190</v>
      </c>
    </row>
    <row r="9489" spans="1:187" ht="11.25" customHeight="1">
      <c r="A9489" s="1" t="s">
        <v>13340</v>
      </c>
      <c r="B9489" s="1" t="str">
        <f ca="1">IFERROR(__xludf.DUMMYFUNCTION("GOOGLETRANSLATE(A9489, ""en"", ""fr"")"),"CIELS")</f>
        <v>CIELS</v>
      </c>
      <c r="C9489" s="1" t="s">
        <v>185</v>
      </c>
      <c r="AV9489" s="1" t="s">
        <v>44</v>
      </c>
      <c r="BB9489" s="1" t="s">
        <v>50</v>
      </c>
      <c r="GD9489" s="1" t="s">
        <v>576</v>
      </c>
      <c r="GE9489" s="1" t="s">
        <v>190</v>
      </c>
    </row>
    <row r="9490" spans="1:187" ht="11.25" customHeight="1">
      <c r="A9490" s="1" t="s">
        <v>13341</v>
      </c>
      <c r="B9490" s="1" t="str">
        <f ca="1">IFERROR(__xludf.DUMMYFUNCTION("GOOGLETRANSLATE(A9490, ""en"", ""fr"")"),"Habile # 1")</f>
        <v>Habile # 1</v>
      </c>
      <c r="C9490" s="1" t="s">
        <v>192</v>
      </c>
      <c r="GE9490" s="1" t="s">
        <v>190</v>
      </c>
    </row>
    <row r="9491" spans="1:187" ht="11.25" customHeight="1">
      <c r="A9491" s="1" t="s">
        <v>13342</v>
      </c>
      <c r="B9491" s="1" t="str">
        <f ca="1">IFERROR(__xludf.DUMMYFUNCTION("GOOGLETRANSLATE(A9491, ""en"", ""fr"")"),"Compétence n ° 1")</f>
        <v>Compétence n ° 1</v>
      </c>
      <c r="C9491" s="1" t="s">
        <v>185</v>
      </c>
      <c r="D9491" s="1" t="s">
        <v>16612</v>
      </c>
      <c r="F9491" s="1" t="s">
        <v>2</v>
      </c>
      <c r="U9491" s="1" t="s">
        <v>17</v>
      </c>
      <c r="AC9491" s="1" t="s">
        <v>25</v>
      </c>
      <c r="FL9491" s="1" t="s">
        <v>164</v>
      </c>
      <c r="FM9491" s="1" t="s">
        <v>418</v>
      </c>
      <c r="GD9491" s="1" t="s">
        <v>193</v>
      </c>
      <c r="GE9491" s="1" t="s">
        <v>13343</v>
      </c>
    </row>
    <row r="9492" spans="1:187" ht="11.25" customHeight="1">
      <c r="A9492" s="1" t="s">
        <v>13344</v>
      </c>
      <c r="B9492" s="1" t="str">
        <f ca="1">IFERROR(__xludf.DUMMYFUNCTION("GOOGLETRANSLATE(A9492, ""en"", ""fr"")"),"Compétence n ° 2")</f>
        <v>Compétence n ° 2</v>
      </c>
      <c r="C9492" s="1" t="s">
        <v>185</v>
      </c>
      <c r="D9492" s="1" t="s">
        <v>16612</v>
      </c>
      <c r="F9492" s="1" t="s">
        <v>2</v>
      </c>
      <c r="U9492" s="1" t="s">
        <v>17</v>
      </c>
      <c r="CN9492" s="1" t="s">
        <v>88</v>
      </c>
      <c r="FL9492" s="1" t="s">
        <v>164</v>
      </c>
      <c r="FM9492" s="1" t="s">
        <v>418</v>
      </c>
      <c r="GD9492" s="1" t="s">
        <v>202</v>
      </c>
      <c r="GE9492" s="1" t="s">
        <v>13345</v>
      </c>
    </row>
    <row r="9493" spans="1:187" ht="11.25" customHeight="1">
      <c r="A9493" s="1" t="s">
        <v>13346</v>
      </c>
      <c r="B9493" s="1" t="str">
        <f ca="1">IFERROR(__xludf.DUMMYFUNCTION("GOOGLETRANSLATE(A9493, ""en"", ""fr"")"),"HABILE")</f>
        <v>HABILE</v>
      </c>
      <c r="C9493" s="1" t="s">
        <v>185</v>
      </c>
      <c r="D9493" s="1" t="s">
        <v>16612</v>
      </c>
      <c r="F9493" s="1" t="s">
        <v>2</v>
      </c>
      <c r="U9493" s="1" t="s">
        <v>17</v>
      </c>
      <c r="CN9493" s="1" t="s">
        <v>88</v>
      </c>
      <c r="FL9493" s="1" t="s">
        <v>164</v>
      </c>
      <c r="FM9493" s="1" t="s">
        <v>418</v>
      </c>
      <c r="GD9493" s="1" t="s">
        <v>202</v>
      </c>
      <c r="GE9493" s="1" t="s">
        <v>190</v>
      </c>
    </row>
    <row r="9494" spans="1:187" ht="11.25" customHeight="1">
      <c r="A9494" s="1" t="s">
        <v>13347</v>
      </c>
      <c r="B9494" s="1" t="str">
        <f ca="1">IFERROR(__xludf.DUMMYFUNCTION("GOOGLETRANSLATE(A9494, ""en"", ""fr"")"),"Peau n ° 1")</f>
        <v>Peau n ° 1</v>
      </c>
      <c r="C9494" s="1" t="s">
        <v>185</v>
      </c>
      <c r="BJ9494" s="1" t="s">
        <v>58</v>
      </c>
      <c r="GD9494" s="1" t="s">
        <v>849</v>
      </c>
      <c r="GE9494" s="1" t="s">
        <v>13348</v>
      </c>
    </row>
    <row r="9495" spans="1:187" ht="11.25" customHeight="1">
      <c r="A9495" s="1" t="s">
        <v>13349</v>
      </c>
      <c r="B9495" s="1" t="str">
        <f ca="1">IFERROR(__xludf.DUMMYFUNCTION("GOOGLETRANSLATE(A9495, ""en"", ""fr"")"),"Peau # 2")</f>
        <v>Peau # 2</v>
      </c>
      <c r="C9495" s="1" t="s">
        <v>185</v>
      </c>
      <c r="N9495" s="1" t="s">
        <v>10</v>
      </c>
      <c r="AL9495" s="1" t="s">
        <v>34</v>
      </c>
      <c r="DO9495" s="1" t="s">
        <v>115</v>
      </c>
      <c r="FP9495" s="1" t="s">
        <v>168</v>
      </c>
      <c r="GD9495" s="1" t="s">
        <v>189</v>
      </c>
      <c r="GE9495" s="1" t="s">
        <v>13350</v>
      </c>
    </row>
    <row r="9496" spans="1:187" ht="11.25" customHeight="1">
      <c r="A9496" s="1" t="s">
        <v>13351</v>
      </c>
      <c r="B9496" s="1" t="str">
        <f ca="1">IFERROR(__xludf.DUMMYFUNCTION("GOOGLETRANSLATE(A9496, ""en"", ""fr"")"),"ESCARMOUCHE")</f>
        <v>ESCARMOUCHE</v>
      </c>
      <c r="C9496" s="1" t="s">
        <v>192</v>
      </c>
      <c r="E9496" s="1" t="s">
        <v>16613</v>
      </c>
      <c r="I9496" s="1" t="s">
        <v>5</v>
      </c>
      <c r="AN9496" s="1" t="s">
        <v>36</v>
      </c>
      <c r="CC9496" s="1" t="s">
        <v>77</v>
      </c>
      <c r="GD9496" s="1" t="s">
        <v>193</v>
      </c>
      <c r="GE9496" s="1" t="s">
        <v>190</v>
      </c>
    </row>
    <row r="9497" spans="1:187" ht="11.25" customHeight="1">
      <c r="A9497" s="1" t="s">
        <v>13352</v>
      </c>
      <c r="B9497" s="1" t="str">
        <f ca="1">IFERROR(__xludf.DUMMYFUNCTION("GOOGLETRANSLATE(A9497, ""en"", ""fr"")"),"JUPE")</f>
        <v>JUPE</v>
      </c>
      <c r="C9497" s="1" t="s">
        <v>185</v>
      </c>
      <c r="BC9497" s="1" t="s">
        <v>51</v>
      </c>
      <c r="BD9497" s="1" t="s">
        <v>52</v>
      </c>
      <c r="GD9497" s="1" t="s">
        <v>193</v>
      </c>
      <c r="GE9497" s="1" t="s">
        <v>190</v>
      </c>
    </row>
    <row r="9498" spans="1:187" ht="11.25" customHeight="1">
      <c r="A9498" s="1" t="s">
        <v>13353</v>
      </c>
      <c r="B9498" s="1" t="str">
        <f ca="1">IFERROR(__xludf.DUMMYFUNCTION("GOOGLETRANSLATE(A9498, ""en"", ""fr"")"),"Se glisser")</f>
        <v>Se glisser</v>
      </c>
      <c r="C9498" s="1" t="s">
        <v>192</v>
      </c>
      <c r="E9498" s="1" t="s">
        <v>16613</v>
      </c>
      <c r="DN9498" s="1" t="s">
        <v>114</v>
      </c>
      <c r="GD9498" s="1" t="s">
        <v>189</v>
      </c>
      <c r="GE9498" s="1" t="s">
        <v>190</v>
      </c>
    </row>
    <row r="9499" spans="1:187" ht="11.25" customHeight="1">
      <c r="A9499" s="1" t="s">
        <v>13354</v>
      </c>
      <c r="B9499" s="1" t="str">
        <f ca="1">IFERROR(__xludf.DUMMYFUNCTION("GOOGLETRANSLATE(A9499, ""en"", ""fr"")"),"CIEL")</f>
        <v>CIEL</v>
      </c>
      <c r="C9499" s="1" t="s">
        <v>185</v>
      </c>
      <c r="AV9499" s="1" t="s">
        <v>44</v>
      </c>
      <c r="BB9499" s="1" t="s">
        <v>50</v>
      </c>
      <c r="GD9499" s="1" t="s">
        <v>193</v>
      </c>
      <c r="GE9499" s="1" t="s">
        <v>13355</v>
      </c>
    </row>
    <row r="9500" spans="1:187" ht="11.25" customHeight="1">
      <c r="A9500" s="1" t="s">
        <v>13356</v>
      </c>
      <c r="B9500" s="1" t="str">
        <f ca="1">IFERROR(__xludf.DUMMYFUNCTION("GOOGLETRANSLATE(A9500, ""en"", ""fr"")"),"Horizon")</f>
        <v>Horizon</v>
      </c>
      <c r="C9500" s="1" t="s">
        <v>185</v>
      </c>
      <c r="AV9500" s="1" t="s">
        <v>44</v>
      </c>
      <c r="BB9500" s="1" t="s">
        <v>50</v>
      </c>
      <c r="GD9500" s="1" t="s">
        <v>193</v>
      </c>
      <c r="GE9500" s="1" t="s">
        <v>190</v>
      </c>
    </row>
    <row r="9501" spans="1:187" ht="11.25" customHeight="1">
      <c r="A9501" s="1" t="s">
        <v>13357</v>
      </c>
      <c r="B9501" s="1" t="str">
        <f ca="1">IFERROR(__xludf.DUMMYFUNCTION("GOOGLETRANSLATE(A9501, ""en"", ""fr"")"),"MOU")</f>
        <v>MOU</v>
      </c>
      <c r="C9501" s="1" t="s">
        <v>185</v>
      </c>
      <c r="CR9501" s="1" t="s">
        <v>92</v>
      </c>
      <c r="DN9501" s="1" t="s">
        <v>114</v>
      </c>
      <c r="GD9501" s="1" t="s">
        <v>202</v>
      </c>
      <c r="GE9501" s="1" t="s">
        <v>190</v>
      </c>
    </row>
    <row r="9502" spans="1:187" ht="11.25" customHeight="1">
      <c r="A9502" s="1" t="s">
        <v>13358</v>
      </c>
      <c r="B9502" s="1" t="str">
        <f ca="1">IFERROR(__xludf.DUMMYFUNCTION("GOOGLETRANSLATE(A9502, ""en"", ""fr"")"),"PANTALON")</f>
        <v>PANTALON</v>
      </c>
      <c r="C9502" s="1" t="s">
        <v>185</v>
      </c>
      <c r="BC9502" s="1" t="s">
        <v>51</v>
      </c>
      <c r="BD9502" s="1" t="s">
        <v>52</v>
      </c>
      <c r="GD9502" s="1" t="s">
        <v>576</v>
      </c>
      <c r="GE9502" s="1" t="s">
        <v>190</v>
      </c>
    </row>
    <row r="9503" spans="1:187" ht="11.25" customHeight="1">
      <c r="A9503" s="1" t="s">
        <v>13359</v>
      </c>
      <c r="B9503" s="1" t="str">
        <f ca="1">IFERROR(__xludf.DUMMYFUNCTION("GOOGLETRANSLATE(A9503, ""en"", ""fr"")"),"CLAQUER")</f>
        <v>CLAQUER</v>
      </c>
      <c r="C9503" s="1" t="s">
        <v>185</v>
      </c>
      <c r="E9503" s="1" t="s">
        <v>16613</v>
      </c>
      <c r="H9503" s="1" t="s">
        <v>4</v>
      </c>
      <c r="I9503" s="1" t="s">
        <v>5</v>
      </c>
      <c r="J9503" s="1" t="s">
        <v>6</v>
      </c>
      <c r="N9503" s="1" t="s">
        <v>10</v>
      </c>
      <c r="CC9503" s="1" t="s">
        <v>77</v>
      </c>
      <c r="DN9503" s="1" t="s">
        <v>114</v>
      </c>
      <c r="FW9503" s="1" t="s">
        <v>175</v>
      </c>
      <c r="GD9503" s="1" t="s">
        <v>189</v>
      </c>
      <c r="GE9503" s="1" t="s">
        <v>190</v>
      </c>
    </row>
    <row r="9504" spans="1:187" ht="11.25" customHeight="1">
      <c r="A9504" s="1" t="s">
        <v>13360</v>
      </c>
      <c r="B9504" s="1" t="str">
        <f ca="1">IFERROR(__xludf.DUMMYFUNCTION("GOOGLETRANSLATE(A9504, ""en"", ""fr"")"),"CALOMNIE")</f>
        <v>CALOMNIE</v>
      </c>
      <c r="C9504" s="1" t="s">
        <v>192</v>
      </c>
      <c r="E9504" s="1" t="s">
        <v>16613</v>
      </c>
      <c r="I9504" s="1" t="s">
        <v>5</v>
      </c>
      <c r="N9504" s="1" t="s">
        <v>10</v>
      </c>
      <c r="BK9504" s="1" t="s">
        <v>59</v>
      </c>
      <c r="DN9504" s="1" t="s">
        <v>114</v>
      </c>
      <c r="GD9504" s="1" t="s">
        <v>670</v>
      </c>
      <c r="GE9504" s="1" t="s">
        <v>190</v>
      </c>
    </row>
    <row r="9505" spans="1:187" ht="11.25" customHeight="1">
      <c r="A9505" s="1" t="s">
        <v>13361</v>
      </c>
      <c r="B9505" s="1" t="str">
        <f ca="1">IFERROR(__xludf.DUMMYFUNCTION("GOOGLETRANSLATE(A9505, ""en"", ""fr"")"),"CALOMNIATEUR")</f>
        <v>CALOMNIATEUR</v>
      </c>
      <c r="C9505" s="1" t="s">
        <v>185</v>
      </c>
      <c r="E9505" s="1" t="s">
        <v>16613</v>
      </c>
      <c r="H9505" s="1" t="s">
        <v>4</v>
      </c>
      <c r="I9505" s="1" t="s">
        <v>5</v>
      </c>
      <c r="N9505" s="1" t="s">
        <v>10</v>
      </c>
      <c r="AJ9505" s="1" t="s">
        <v>32</v>
      </c>
      <c r="AT9505" s="1" t="s">
        <v>42</v>
      </c>
      <c r="EM9505" s="1" t="s">
        <v>139</v>
      </c>
      <c r="EN9505" s="1" t="s">
        <v>140</v>
      </c>
      <c r="GD9505" s="1" t="s">
        <v>193</v>
      </c>
      <c r="GE9505" s="1" t="s">
        <v>190</v>
      </c>
    </row>
    <row r="9506" spans="1:187" ht="11.25" customHeight="1">
      <c r="A9506" s="1" t="s">
        <v>13362</v>
      </c>
      <c r="B9506" s="1" t="str">
        <f ca="1">IFERROR(__xludf.DUMMYFUNCTION("GOOGLETRANSLATE(A9506, ""en"", ""fr"")"),"DIFFAMATOIRE")</f>
        <v>DIFFAMATOIRE</v>
      </c>
      <c r="C9506" s="1" t="s">
        <v>192</v>
      </c>
      <c r="E9506" s="1" t="s">
        <v>16613</v>
      </c>
      <c r="I9506" s="1" t="s">
        <v>5</v>
      </c>
      <c r="BK9506" s="1" t="s">
        <v>59</v>
      </c>
      <c r="DQ9506" s="1" t="s">
        <v>117</v>
      </c>
      <c r="GD9506" s="1" t="s">
        <v>4155</v>
      </c>
      <c r="GE9506" s="1" t="s">
        <v>190</v>
      </c>
    </row>
    <row r="9507" spans="1:187" ht="11.25" customHeight="1">
      <c r="A9507" s="1" t="s">
        <v>13363</v>
      </c>
      <c r="B9507" s="1" t="str">
        <f ca="1">IFERROR(__xludf.DUMMYFUNCTION("GOOGLETRANSLATE(A9507, ""en"", ""fr"")"),"GIFLER")</f>
        <v>GIFLER</v>
      </c>
      <c r="C9507" s="1" t="s">
        <v>192</v>
      </c>
      <c r="E9507" s="1" t="s">
        <v>16613</v>
      </c>
      <c r="I9507" s="1" t="s">
        <v>5</v>
      </c>
      <c r="N9507" s="1" t="s">
        <v>10</v>
      </c>
      <c r="CC9507" s="1" t="s">
        <v>77</v>
      </c>
      <c r="DO9507" s="1" t="s">
        <v>115</v>
      </c>
      <c r="GD9507" s="1" t="s">
        <v>189</v>
      </c>
      <c r="GE9507" s="1" t="s">
        <v>190</v>
      </c>
    </row>
    <row r="9508" spans="1:187" ht="11.25" customHeight="1">
      <c r="A9508" s="1" t="s">
        <v>13364</v>
      </c>
      <c r="B9508" s="1" t="str">
        <f ca="1">IFERROR(__xludf.DUMMYFUNCTION("GOOGLETRANSLATE(A9508, ""en"", ""fr"")"),"SABRER")</f>
        <v>SABRER</v>
      </c>
      <c r="C9508" s="1" t="s">
        <v>185</v>
      </c>
      <c r="E9508" s="1" t="s">
        <v>16613</v>
      </c>
      <c r="H9508" s="1" t="s">
        <v>4</v>
      </c>
      <c r="I9508" s="1" t="s">
        <v>5</v>
      </c>
      <c r="J9508" s="1" t="s">
        <v>6</v>
      </c>
      <c r="N9508" s="1" t="s">
        <v>10</v>
      </c>
      <c r="CC9508" s="1" t="s">
        <v>77</v>
      </c>
      <c r="DO9508" s="1" t="s">
        <v>115</v>
      </c>
      <c r="FP9508" s="1" t="s">
        <v>168</v>
      </c>
      <c r="GD9508" s="1" t="s">
        <v>189</v>
      </c>
      <c r="GE9508" s="1" t="s">
        <v>190</v>
      </c>
    </row>
    <row r="9509" spans="1:187" ht="11.25" customHeight="1">
      <c r="A9509" s="1" t="s">
        <v>13365</v>
      </c>
      <c r="B9509" s="1" t="str">
        <f ca="1">IFERROR(__xludf.DUMMYFUNCTION("GOOGLETRANSLATE(A9509, ""en"", ""fr"")"),"ABATTAGE")</f>
        <v>ABATTAGE</v>
      </c>
      <c r="C9509" s="1" t="s">
        <v>192</v>
      </c>
      <c r="E9509" s="1" t="s">
        <v>16613</v>
      </c>
      <c r="I9509" s="1" t="s">
        <v>5</v>
      </c>
      <c r="N9509" s="1" t="s">
        <v>10</v>
      </c>
      <c r="BU9509" s="1" t="s">
        <v>69</v>
      </c>
      <c r="BZ9509" s="1" t="s">
        <v>74</v>
      </c>
      <c r="CC9509" s="1" t="s">
        <v>77</v>
      </c>
      <c r="DN9509" s="1" t="s">
        <v>114</v>
      </c>
      <c r="GD9509" s="1" t="s">
        <v>189</v>
      </c>
      <c r="GE9509" s="1" t="s">
        <v>190</v>
      </c>
    </row>
    <row r="9510" spans="1:187" ht="11.25" customHeight="1">
      <c r="A9510" s="1" t="s">
        <v>13366</v>
      </c>
      <c r="B9510" s="1" t="str">
        <f ca="1">IFERROR(__xludf.DUMMYFUNCTION("GOOGLETRANSLATE(A9510, ""en"", ""fr"")"),"Esclave n ° 1")</f>
        <v>Esclave n ° 1</v>
      </c>
      <c r="C9510" s="1" t="s">
        <v>185</v>
      </c>
      <c r="L9510" s="1" t="s">
        <v>8</v>
      </c>
      <c r="M9510" s="1" t="s">
        <v>9</v>
      </c>
      <c r="AA9510" s="1" t="s">
        <v>23</v>
      </c>
      <c r="AC9510" s="1" t="s">
        <v>25</v>
      </c>
      <c r="AH9510" s="1" t="s">
        <v>30</v>
      </c>
      <c r="AJ9510" s="1" t="s">
        <v>32</v>
      </c>
      <c r="AT9510" s="1" t="s">
        <v>42</v>
      </c>
      <c r="DZ9510" s="1" t="s">
        <v>126</v>
      </c>
      <c r="ED9510" s="1" t="s">
        <v>130</v>
      </c>
      <c r="GD9510" s="1" t="s">
        <v>849</v>
      </c>
      <c r="GE9510" s="1" t="s">
        <v>13367</v>
      </c>
    </row>
    <row r="9511" spans="1:187" ht="11.25" customHeight="1">
      <c r="A9511" s="1" t="s">
        <v>13368</v>
      </c>
      <c r="B9511" s="1" t="str">
        <f ca="1">IFERROR(__xludf.DUMMYFUNCTION("GOOGLETRANSLATE(A9511, ""en"", ""fr"")"),"Esclave n ° 2")</f>
        <v>Esclave n ° 2</v>
      </c>
      <c r="C9511" s="1" t="s">
        <v>185</v>
      </c>
      <c r="N9511" s="1" t="s">
        <v>10</v>
      </c>
      <c r="AL9511" s="1" t="s">
        <v>34</v>
      </c>
      <c r="DN9511" s="1" t="s">
        <v>114</v>
      </c>
      <c r="FL9511" s="1" t="s">
        <v>164</v>
      </c>
      <c r="FM9511" s="1" t="s">
        <v>418</v>
      </c>
      <c r="GD9511" s="1" t="s">
        <v>189</v>
      </c>
      <c r="GE9511" s="1" t="s">
        <v>13369</v>
      </c>
    </row>
    <row r="9512" spans="1:187" ht="11.25" customHeight="1">
      <c r="A9512" s="1" t="s">
        <v>13370</v>
      </c>
      <c r="B9512" s="1" t="str">
        <f ca="1">IFERROR(__xludf.DUMMYFUNCTION("GOOGLETRANSLATE(A9512, ""en"", ""fr"")"),"ESCLAVAGE")</f>
        <v>ESCLAVAGE</v>
      </c>
      <c r="C9512" s="1" t="s">
        <v>185</v>
      </c>
      <c r="M9512" s="1" t="s">
        <v>9</v>
      </c>
      <c r="Z9512" s="1" t="s">
        <v>22</v>
      </c>
      <c r="AA9512" s="1" t="s">
        <v>23</v>
      </c>
      <c r="AC9512" s="1" t="s">
        <v>25</v>
      </c>
      <c r="AH9512" s="1" t="s">
        <v>30</v>
      </c>
      <c r="GD9512" s="1" t="s">
        <v>193</v>
      </c>
      <c r="GE9512" s="1" t="s">
        <v>190</v>
      </c>
    </row>
    <row r="9513" spans="1:187" ht="11.25" customHeight="1">
      <c r="A9513" s="1" t="s">
        <v>13371</v>
      </c>
      <c r="B9513" s="1" t="str">
        <f ca="1">IFERROR(__xludf.DUMMYFUNCTION("GOOGLETRANSLATE(A9513, ""en"", ""fr"")"),"Tuerre")</f>
        <v>Tuerre</v>
      </c>
      <c r="C9513" s="1" t="s">
        <v>185</v>
      </c>
      <c r="E9513" s="1" t="s">
        <v>16613</v>
      </c>
      <c r="H9513" s="1" t="s">
        <v>4</v>
      </c>
      <c r="I9513" s="1" t="s">
        <v>5</v>
      </c>
      <c r="J9513" s="1" t="s">
        <v>6</v>
      </c>
      <c r="N9513" s="1" t="s">
        <v>10</v>
      </c>
      <c r="AJ9513" s="1" t="s">
        <v>32</v>
      </c>
      <c r="AT9513" s="1" t="s">
        <v>42</v>
      </c>
      <c r="GD9513" s="1" t="s">
        <v>193</v>
      </c>
      <c r="GE9513" s="1" t="s">
        <v>190</v>
      </c>
    </row>
    <row r="9514" spans="1:187" ht="11.25" customHeight="1">
      <c r="A9514" s="1" t="s">
        <v>13372</v>
      </c>
      <c r="B9514" s="1" t="str">
        <f ca="1">IFERROR(__xludf.DUMMYFUNCTION("GOOGLETRANSLATE(A9514, ""en"", ""fr"")"),"SORDIDE")</f>
        <v>SORDIDE</v>
      </c>
      <c r="C9514" s="1" t="s">
        <v>192</v>
      </c>
      <c r="E9514" s="1" t="s">
        <v>16613</v>
      </c>
      <c r="I9514" s="1" t="s">
        <v>5</v>
      </c>
      <c r="L9514" s="1" t="s">
        <v>8</v>
      </c>
      <c r="DR9514" s="1" t="s">
        <v>118</v>
      </c>
      <c r="GD9514" s="1" t="s">
        <v>202</v>
      </c>
      <c r="GE9514" s="1" t="s">
        <v>190</v>
      </c>
    </row>
    <row r="9515" spans="1:187" ht="11.25" customHeight="1">
      <c r="A9515" s="1" t="s">
        <v>13373</v>
      </c>
      <c r="B9515" s="1" t="str">
        <f ca="1">IFERROR(__xludf.DUMMYFUNCTION("GOOGLETRANSLATE(A9515, ""en"", ""fr"")"),"LISSE")</f>
        <v>LISSE</v>
      </c>
      <c r="C9515" s="1" t="s">
        <v>192</v>
      </c>
      <c r="D9515" s="1" t="s">
        <v>16612</v>
      </c>
      <c r="CM9515" s="1" t="s">
        <v>87</v>
      </c>
      <c r="CR9515" s="1" t="s">
        <v>92</v>
      </c>
      <c r="DR9515" s="1" t="s">
        <v>118</v>
      </c>
      <c r="GD9515" s="1" t="s">
        <v>202</v>
      </c>
      <c r="GE9515" s="1" t="s">
        <v>190</v>
      </c>
    </row>
    <row r="9516" spans="1:187" ht="11.25" customHeight="1">
      <c r="A9516" s="1" t="s">
        <v>13374</v>
      </c>
      <c r="B9516" s="1" t="str">
        <f ca="1">IFERROR(__xludf.DUMMYFUNCTION("GOOGLETRANSLATE(A9516, ""en"", ""fr"")"),"Sommeil # 1")</f>
        <v>Sommeil # 1</v>
      </c>
      <c r="C9516" s="1" t="s">
        <v>185</v>
      </c>
      <c r="O9516" s="1" t="s">
        <v>11</v>
      </c>
      <c r="BU9516" s="1" t="s">
        <v>69</v>
      </c>
      <c r="DO9516" s="1" t="s">
        <v>115</v>
      </c>
      <c r="EZ9516" s="1" t="s">
        <v>152</v>
      </c>
      <c r="FC9516" s="1" t="s">
        <v>155</v>
      </c>
      <c r="GD9516" s="1" t="s">
        <v>189</v>
      </c>
      <c r="GE9516" s="1" t="s">
        <v>13375</v>
      </c>
    </row>
    <row r="9517" spans="1:187" ht="11.25" customHeight="1">
      <c r="A9517" s="1" t="s">
        <v>13376</v>
      </c>
      <c r="B9517" s="1" t="str">
        <f ca="1">IFERROR(__xludf.DUMMYFUNCTION("GOOGLETRANSLATE(A9517, ""en"", ""fr"")"),"Sommeil # 2")</f>
        <v>Sommeil # 2</v>
      </c>
      <c r="C9517" s="1" t="s">
        <v>185</v>
      </c>
      <c r="O9517" s="1" t="s">
        <v>11</v>
      </c>
      <c r="BU9517" s="1" t="s">
        <v>69</v>
      </c>
      <c r="EZ9517" s="1" t="s">
        <v>152</v>
      </c>
      <c r="FC9517" s="1" t="s">
        <v>155</v>
      </c>
      <c r="GD9517" s="1" t="s">
        <v>193</v>
      </c>
      <c r="GE9517" s="1" t="s">
        <v>13377</v>
      </c>
    </row>
    <row r="9518" spans="1:187" ht="11.25" customHeight="1">
      <c r="A9518" s="1" t="s">
        <v>13378</v>
      </c>
      <c r="B9518" s="1" t="str">
        <f ca="1">IFERROR(__xludf.DUMMYFUNCTION("GOOGLETRANSLATE(A9518, ""en"", ""fr"")"),"Sommeil # 3")</f>
        <v>Sommeil # 3</v>
      </c>
      <c r="C9518" s="1" t="s">
        <v>185</v>
      </c>
      <c r="O9518" s="1" t="s">
        <v>11</v>
      </c>
      <c r="BU9518" s="1" t="s">
        <v>69</v>
      </c>
      <c r="EZ9518" s="1" t="s">
        <v>152</v>
      </c>
      <c r="FC9518" s="1" t="s">
        <v>155</v>
      </c>
      <c r="GD9518" s="1" t="s">
        <v>202</v>
      </c>
      <c r="GE9518" s="1" t="s">
        <v>13379</v>
      </c>
    </row>
    <row r="9519" spans="1:187" ht="11.25" customHeight="1">
      <c r="A9519" s="1" t="s">
        <v>13380</v>
      </c>
      <c r="B9519" s="1" t="str">
        <f ca="1">IFERROR(__xludf.DUMMYFUNCTION("GOOGLETRANSLATE(A9519, ""en"", ""fr"")"),"SANS SOMMEIL")</f>
        <v>SANS SOMMEIL</v>
      </c>
      <c r="C9519" s="1" t="s">
        <v>192</v>
      </c>
      <c r="E9519" s="1" t="s">
        <v>16613</v>
      </c>
      <c r="BU9519" s="1" t="s">
        <v>69</v>
      </c>
      <c r="DL9519" s="1" t="s">
        <v>112</v>
      </c>
      <c r="DR9519" s="1" t="s">
        <v>118</v>
      </c>
      <c r="GD9519" s="1" t="s">
        <v>202</v>
      </c>
      <c r="GE9519" s="1" t="s">
        <v>190</v>
      </c>
    </row>
    <row r="9520" spans="1:187" ht="11.25" customHeight="1">
      <c r="A9520" s="1" t="s">
        <v>13381</v>
      </c>
      <c r="B9520" s="1" t="str">
        <f ca="1">IFERROR(__xludf.DUMMYFUNCTION("GOOGLETRANSLATE(A9520, ""en"", ""fr"")"),"MINCE")</f>
        <v>MINCE</v>
      </c>
      <c r="C9520" s="1" t="s">
        <v>185</v>
      </c>
      <c r="L9520" s="1" t="s">
        <v>8</v>
      </c>
      <c r="CR9520" s="1" t="s">
        <v>92</v>
      </c>
      <c r="DC9520" s="1" t="s">
        <v>103</v>
      </c>
      <c r="EZ9520" s="1" t="s">
        <v>152</v>
      </c>
      <c r="FC9520" s="1" t="s">
        <v>155</v>
      </c>
      <c r="GD9520" s="1" t="s">
        <v>202</v>
      </c>
      <c r="GE9520" s="1" t="s">
        <v>190</v>
      </c>
    </row>
    <row r="9521" spans="1:187" ht="11.25" customHeight="1">
      <c r="A9521" s="1" t="s">
        <v>13382</v>
      </c>
      <c r="B9521" s="1" t="str">
        <f ca="1">IFERROR(__xludf.DUMMYFUNCTION("GOOGLETRANSLATE(A9521, ""en"", ""fr"")"),"DORMI")</f>
        <v>DORMI</v>
      </c>
      <c r="C9521" s="1" t="s">
        <v>185</v>
      </c>
      <c r="L9521" s="1" t="s">
        <v>8</v>
      </c>
      <c r="O9521" s="1" t="s">
        <v>11</v>
      </c>
      <c r="BU9521" s="1" t="s">
        <v>69</v>
      </c>
      <c r="DO9521" s="1" t="s">
        <v>115</v>
      </c>
      <c r="EZ9521" s="1" t="s">
        <v>152</v>
      </c>
      <c r="FC9521" s="1" t="s">
        <v>155</v>
      </c>
      <c r="GD9521" s="1" t="s">
        <v>1076</v>
      </c>
      <c r="GE9521" s="1" t="s">
        <v>13383</v>
      </c>
    </row>
    <row r="9522" spans="1:187" ht="11.25" customHeight="1">
      <c r="A9522" s="1" t="s">
        <v>13384</v>
      </c>
      <c r="B9522" s="1" t="str">
        <f ca="1">IFERROR(__xludf.DUMMYFUNCTION("GOOGLETRANSLATE(A9522, ""en"", ""fr"")"),"Trancher # 1")</f>
        <v>Trancher # 1</v>
      </c>
      <c r="C9522" s="1" t="s">
        <v>185</v>
      </c>
      <c r="DA9522" s="1" t="s">
        <v>101</v>
      </c>
      <c r="GD9522" s="1" t="s">
        <v>193</v>
      </c>
      <c r="GE9522" s="1" t="s">
        <v>190</v>
      </c>
    </row>
    <row r="9523" spans="1:187" ht="11.25" customHeight="1">
      <c r="A9523" s="1" t="s">
        <v>13385</v>
      </c>
      <c r="B9523" s="1" t="str">
        <f ca="1">IFERROR(__xludf.DUMMYFUNCTION("GOOGLETRANSLATE(A9523, ""en"", ""fr"")"),"Tranche n ° 2")</f>
        <v>Tranche n ° 2</v>
      </c>
      <c r="C9523" s="1" t="s">
        <v>185</v>
      </c>
      <c r="N9523" s="1" t="s">
        <v>10</v>
      </c>
      <c r="AL9523" s="1" t="s">
        <v>34</v>
      </c>
      <c r="DN9523" s="1" t="s">
        <v>114</v>
      </c>
      <c r="GD9523" s="1" t="s">
        <v>189</v>
      </c>
      <c r="GE9523" s="1" t="s">
        <v>190</v>
      </c>
    </row>
    <row r="9524" spans="1:187" ht="11.25" customHeight="1">
      <c r="A9524" s="1" t="s">
        <v>13386</v>
      </c>
      <c r="B9524" s="1" t="str">
        <f ca="1">IFERROR(__xludf.DUMMYFUNCTION("GOOGLETRANSLATE(A9524, ""en"", ""fr"")"),"Glissé")</f>
        <v>Glissé</v>
      </c>
      <c r="C9524" s="1" t="s">
        <v>185</v>
      </c>
      <c r="CF9524" s="1" t="s">
        <v>80</v>
      </c>
      <c r="DO9524" s="1" t="s">
        <v>115</v>
      </c>
      <c r="GD9524" s="1" t="s">
        <v>1076</v>
      </c>
      <c r="GE9524" s="1" t="s">
        <v>190</v>
      </c>
    </row>
    <row r="9525" spans="1:187" ht="11.25" customHeight="1">
      <c r="A9525" s="1" t="s">
        <v>13387</v>
      </c>
      <c r="B9525" s="1" t="str">
        <f ca="1">IFERROR(__xludf.DUMMYFUNCTION("GOOGLETRANSLATE(A9525, ""en"", ""fr"")"),"Diapositive n ° 1")</f>
        <v>Diapositive n ° 1</v>
      </c>
      <c r="C9525" s="1" t="s">
        <v>185</v>
      </c>
      <c r="O9525" s="1" t="s">
        <v>11</v>
      </c>
      <c r="CF9525" s="1" t="s">
        <v>80</v>
      </c>
      <c r="GD9525" s="1" t="s">
        <v>13388</v>
      </c>
      <c r="GE9525" s="1" t="s">
        <v>190</v>
      </c>
    </row>
    <row r="9526" spans="1:187" ht="11.25" customHeight="1">
      <c r="A9526" s="1" t="s">
        <v>13389</v>
      </c>
      <c r="B9526" s="1" t="str">
        <f ca="1">IFERROR(__xludf.DUMMYFUNCTION("GOOGLETRANSLATE(A9526, ""en"", ""fr"")"),"Diapositive n ° 2")</f>
        <v>Diapositive n ° 2</v>
      </c>
      <c r="C9526" s="1" t="s">
        <v>185</v>
      </c>
      <c r="O9526" s="1" t="s">
        <v>11</v>
      </c>
      <c r="CF9526" s="1" t="s">
        <v>80</v>
      </c>
      <c r="DO9526" s="1" t="s">
        <v>115</v>
      </c>
      <c r="GD9526" s="1" t="s">
        <v>189</v>
      </c>
      <c r="GE9526" s="1" t="s">
        <v>190</v>
      </c>
    </row>
    <row r="9527" spans="1:187" ht="11.25" customHeight="1">
      <c r="A9527" s="1" t="s">
        <v>13390</v>
      </c>
      <c r="B9527" s="1" t="str">
        <f ca="1">IFERROR(__xludf.DUMMYFUNCTION("GOOGLETRANSLATE(A9527, ""en"", ""fr"")"),"Léger # 1")</f>
        <v>Léger # 1</v>
      </c>
      <c r="C9527" s="1" t="s">
        <v>185</v>
      </c>
      <c r="L9527" s="1" t="s">
        <v>8</v>
      </c>
      <c r="X9527" s="1" t="s">
        <v>20</v>
      </c>
      <c r="DA9527" s="1" t="s">
        <v>101</v>
      </c>
      <c r="GD9527" s="1" t="s">
        <v>202</v>
      </c>
      <c r="GE9527" s="1" t="s">
        <v>13391</v>
      </c>
    </row>
    <row r="9528" spans="1:187" ht="11.25" customHeight="1">
      <c r="A9528" s="1" t="s">
        <v>13392</v>
      </c>
      <c r="B9528" s="1" t="str">
        <f ca="1">IFERROR(__xludf.DUMMYFUNCTION("GOOGLETRANSLATE(A9528, ""en"", ""fr"")"),"Léger # 2")</f>
        <v>Léger # 2</v>
      </c>
      <c r="C9528" s="1" t="s">
        <v>185</v>
      </c>
      <c r="E9528" s="1" t="s">
        <v>16613</v>
      </c>
      <c r="H9528" s="1" t="s">
        <v>4</v>
      </c>
      <c r="L9528" s="1" t="s">
        <v>8</v>
      </c>
      <c r="X9528" s="1" t="s">
        <v>20</v>
      </c>
      <c r="CH9528" s="1" t="s">
        <v>82</v>
      </c>
      <c r="GD9528" s="1" t="s">
        <v>202</v>
      </c>
      <c r="GE9528" s="1" t="s">
        <v>13393</v>
      </c>
    </row>
    <row r="9529" spans="1:187" ht="11.25" customHeight="1">
      <c r="A9529" s="1" t="s">
        <v>13394</v>
      </c>
      <c r="B9529" s="1" t="str">
        <f ca="1">IFERROR(__xludf.DUMMYFUNCTION("GOOGLETRANSLATE(A9529, ""en"", ""fr"")"),"Léger # 3")</f>
        <v>Léger # 3</v>
      </c>
      <c r="C9529" s="1" t="s">
        <v>185</v>
      </c>
      <c r="E9529" s="1" t="s">
        <v>16613</v>
      </c>
      <c r="H9529" s="1" t="s">
        <v>4</v>
      </c>
      <c r="L9529" s="1" t="s">
        <v>8</v>
      </c>
      <c r="X9529" s="1" t="s">
        <v>20</v>
      </c>
      <c r="CS9529" s="1" t="s">
        <v>93</v>
      </c>
      <c r="GD9529" s="1" t="s">
        <v>236</v>
      </c>
      <c r="GE9529" s="1" t="s">
        <v>13395</v>
      </c>
    </row>
    <row r="9530" spans="1:187" ht="11.25" customHeight="1">
      <c r="A9530" s="1" t="s">
        <v>13396</v>
      </c>
      <c r="B9530" s="1" t="str">
        <f ca="1">IFERROR(__xludf.DUMMYFUNCTION("GOOGLETRANSLATE(A9530, ""en"", ""fr"")"),"Léger # 4")</f>
        <v>Léger # 4</v>
      </c>
      <c r="C9530" s="1" t="s">
        <v>185</v>
      </c>
      <c r="E9530" s="1" t="s">
        <v>16613</v>
      </c>
      <c r="H9530" s="1" t="s">
        <v>4</v>
      </c>
      <c r="I9530" s="1" t="s">
        <v>5</v>
      </c>
      <c r="N9530" s="1" t="s">
        <v>10</v>
      </c>
      <c r="AN9530" s="1" t="s">
        <v>36</v>
      </c>
      <c r="DN9530" s="1" t="s">
        <v>114</v>
      </c>
      <c r="EL9530" s="1" t="s">
        <v>138</v>
      </c>
      <c r="EN9530" s="1" t="s">
        <v>140</v>
      </c>
      <c r="GD9530" s="1" t="s">
        <v>189</v>
      </c>
      <c r="GE9530" s="1" t="s">
        <v>13397</v>
      </c>
    </row>
    <row r="9531" spans="1:187" ht="11.25" customHeight="1">
      <c r="A9531" s="1" t="s">
        <v>13398</v>
      </c>
      <c r="B9531" s="1" t="str">
        <f ca="1">IFERROR(__xludf.DUMMYFUNCTION("GOOGLETRANSLATE(A9531, ""en"", ""fr"")"),"Léger # 5")</f>
        <v>Léger # 5</v>
      </c>
      <c r="C9531" s="1" t="s">
        <v>185</v>
      </c>
      <c r="E9531" s="1" t="s">
        <v>16613</v>
      </c>
      <c r="H9531" s="1" t="s">
        <v>4</v>
      </c>
      <c r="I9531" s="1" t="s">
        <v>5</v>
      </c>
      <c r="BK9531" s="1" t="s">
        <v>59</v>
      </c>
      <c r="BL9531" s="1" t="s">
        <v>60</v>
      </c>
      <c r="EL9531" s="1" t="s">
        <v>138</v>
      </c>
      <c r="EN9531" s="1" t="s">
        <v>140</v>
      </c>
      <c r="GC9531" s="1" t="s">
        <v>181</v>
      </c>
      <c r="GD9531" s="1" t="s">
        <v>193</v>
      </c>
      <c r="GE9531" s="1" t="s">
        <v>13399</v>
      </c>
    </row>
    <row r="9532" spans="1:187" ht="11.25" customHeight="1">
      <c r="A9532" s="1" t="s">
        <v>13400</v>
      </c>
      <c r="B9532" s="1" t="str">
        <f ca="1">IFERROR(__xludf.DUMMYFUNCTION("GOOGLETRANSLATE(A9532, ""en"", ""fr"")"),"MINCE")</f>
        <v>MINCE</v>
      </c>
      <c r="C9532" s="1" t="s">
        <v>185</v>
      </c>
      <c r="L9532" s="1" t="s">
        <v>8</v>
      </c>
      <c r="CR9532" s="1" t="s">
        <v>92</v>
      </c>
      <c r="DC9532" s="1" t="s">
        <v>103</v>
      </c>
      <c r="GD9532" s="1" t="s">
        <v>202</v>
      </c>
      <c r="GE9532" s="1" t="s">
        <v>190</v>
      </c>
    </row>
    <row r="9533" spans="1:187" ht="11.25" customHeight="1">
      <c r="A9533" s="1" t="s">
        <v>13401</v>
      </c>
      <c r="B9533" s="1" t="str">
        <f ca="1">IFERROR(__xludf.DUMMYFUNCTION("GOOGLETRANSLATE(A9533, ""en"", ""fr"")"),"VASE")</f>
        <v>VASE</v>
      </c>
      <c r="C9533" s="1" t="s">
        <v>192</v>
      </c>
      <c r="E9533" s="1" t="s">
        <v>16613</v>
      </c>
      <c r="BC9533" s="1" t="s">
        <v>51</v>
      </c>
      <c r="GD9533" s="1" t="s">
        <v>193</v>
      </c>
      <c r="GE9533" s="1" t="s">
        <v>190</v>
      </c>
    </row>
    <row r="9534" spans="1:187" ht="11.25" customHeight="1">
      <c r="A9534" s="1" t="s">
        <v>13402</v>
      </c>
      <c r="B9534" s="1" t="str">
        <f ca="1">IFERROR(__xludf.DUMMYFUNCTION("GOOGLETRANSLATE(A9534, ""en"", ""fr"")"),"Glissement n ° 1")</f>
        <v>Glissement n ° 1</v>
      </c>
      <c r="C9534" s="1" t="s">
        <v>185</v>
      </c>
      <c r="O9534" s="1" t="s">
        <v>11</v>
      </c>
      <c r="CF9534" s="1" t="s">
        <v>80</v>
      </c>
      <c r="DO9534" s="1" t="s">
        <v>115</v>
      </c>
      <c r="GD9534" s="1" t="s">
        <v>13403</v>
      </c>
      <c r="GE9534" s="1" t="s">
        <v>13404</v>
      </c>
    </row>
    <row r="9535" spans="1:187" ht="11.25" customHeight="1">
      <c r="A9535" s="1" t="s">
        <v>13405</v>
      </c>
      <c r="B9535" s="1" t="str">
        <f ca="1">IFERROR(__xludf.DUMMYFUNCTION("GOOGLETRANSLATE(A9535, ""en"", ""fr"")"),"Glissement n ° 2")</f>
        <v>Glissement n ° 2</v>
      </c>
      <c r="C9535" s="1" t="s">
        <v>185</v>
      </c>
      <c r="BC9535" s="1" t="s">
        <v>51</v>
      </c>
      <c r="BD9535" s="1" t="s">
        <v>52</v>
      </c>
      <c r="GD9535" s="1" t="s">
        <v>193</v>
      </c>
      <c r="GE9535" s="1" t="s">
        <v>13406</v>
      </c>
    </row>
    <row r="9536" spans="1:187" ht="11.25" customHeight="1">
      <c r="A9536" s="1" t="s">
        <v>13407</v>
      </c>
      <c r="B9536" s="1" t="str">
        <f ca="1">IFERROR(__xludf.DUMMYFUNCTION("GOOGLETRANSLATE(A9536, ""en"", ""fr"")"),"Glissement n ° 3")</f>
        <v>Glissement n ° 3</v>
      </c>
      <c r="C9536" s="1" t="s">
        <v>185</v>
      </c>
      <c r="BC9536" s="1" t="s">
        <v>51</v>
      </c>
      <c r="BD9536" s="1" t="s">
        <v>52</v>
      </c>
      <c r="BL9536" s="1" t="s">
        <v>60</v>
      </c>
      <c r="GD9536" s="1" t="s">
        <v>193</v>
      </c>
      <c r="GE9536" s="1" t="s">
        <v>13408</v>
      </c>
    </row>
    <row r="9537" spans="1:187" ht="11.25" customHeight="1">
      <c r="A9537" s="1" t="s">
        <v>13409</v>
      </c>
      <c r="B9537" s="1" t="str">
        <f ca="1">IFERROR(__xludf.DUMMYFUNCTION("GOOGLETRANSLATE(A9537, ""en"", ""fr"")"),"PANTOUFLE")</f>
        <v>PANTOUFLE</v>
      </c>
      <c r="C9537" s="1" t="s">
        <v>185</v>
      </c>
      <c r="BC9537" s="1" t="s">
        <v>51</v>
      </c>
      <c r="BD9537" s="1" t="s">
        <v>52</v>
      </c>
      <c r="GD9537" s="1" t="s">
        <v>193</v>
      </c>
      <c r="GE9537" s="1" t="s">
        <v>190</v>
      </c>
    </row>
    <row r="9538" spans="1:187" ht="11.25" customHeight="1">
      <c r="A9538" s="1" t="s">
        <v>13410</v>
      </c>
      <c r="B9538" s="1" t="str">
        <f ca="1">IFERROR(__xludf.DUMMYFUNCTION("GOOGLETRANSLATE(A9538, ""en"", ""fr"")"),"NÉGLIGENT")</f>
        <v>NÉGLIGENT</v>
      </c>
      <c r="C9538" s="1" t="s">
        <v>192</v>
      </c>
      <c r="E9538" s="1" t="s">
        <v>16613</v>
      </c>
      <c r="L9538" s="1" t="s">
        <v>8</v>
      </c>
      <c r="DR9538" s="1" t="s">
        <v>118</v>
      </c>
      <c r="GD9538" s="1" t="s">
        <v>202</v>
      </c>
      <c r="GE9538" s="1" t="s">
        <v>190</v>
      </c>
    </row>
    <row r="9539" spans="1:187" ht="11.25" customHeight="1">
      <c r="A9539" s="1" t="s">
        <v>13411</v>
      </c>
      <c r="B9539" s="1" t="str">
        <f ca="1">IFERROR(__xludf.DUMMYFUNCTION("GOOGLETRANSLATE(A9539, ""en"", ""fr"")"),"FENTE")</f>
        <v>FENTE</v>
      </c>
      <c r="C9539" s="1" t="s">
        <v>185</v>
      </c>
      <c r="DA9539" s="1" t="s">
        <v>101</v>
      </c>
      <c r="GD9539" s="1" t="s">
        <v>193</v>
      </c>
      <c r="GE9539" s="1" t="s">
        <v>190</v>
      </c>
    </row>
    <row r="9540" spans="1:187" ht="11.25" customHeight="1">
      <c r="A9540" s="1" t="s">
        <v>13412</v>
      </c>
      <c r="B9540" s="1" t="str">
        <f ca="1">IFERROR(__xludf.DUMMYFUNCTION("GOOGLETRANSLATE(A9540, ""en"", ""fr"")"),"PARESSEUX")</f>
        <v>PARESSEUX</v>
      </c>
      <c r="C9540" s="1" t="s">
        <v>192</v>
      </c>
      <c r="E9540" s="1" t="s">
        <v>16613</v>
      </c>
      <c r="L9540" s="1" t="s">
        <v>8</v>
      </c>
      <c r="V9540" s="1" t="s">
        <v>18</v>
      </c>
      <c r="AU9540" s="1" t="s">
        <v>43</v>
      </c>
      <c r="GD9540" s="1" t="s">
        <v>193</v>
      </c>
      <c r="GE9540" s="1" t="s">
        <v>190</v>
      </c>
    </row>
    <row r="9541" spans="1:187" ht="11.25" customHeight="1">
      <c r="A9541" s="1" t="s">
        <v>13413</v>
      </c>
      <c r="B9541" s="1" t="str">
        <f ca="1">IFERROR(__xludf.DUMMYFUNCTION("GOOGLETRANSLATE(A9541, ""en"", ""fr"")"),"PARESSEUX")</f>
        <v>PARESSEUX</v>
      </c>
      <c r="C9541" s="1" t="s">
        <v>192</v>
      </c>
      <c r="E9541" s="1" t="s">
        <v>16613</v>
      </c>
      <c r="L9541" s="1" t="s">
        <v>8</v>
      </c>
      <c r="V9541" s="1" t="s">
        <v>18</v>
      </c>
      <c r="CA9541" s="1" t="s">
        <v>75</v>
      </c>
      <c r="DR9541" s="1" t="s">
        <v>118</v>
      </c>
      <c r="GD9541" s="1" t="s">
        <v>202</v>
      </c>
      <c r="GE9541" s="1" t="s">
        <v>190</v>
      </c>
    </row>
    <row r="9542" spans="1:187" ht="11.25" customHeight="1">
      <c r="A9542" s="1" t="s">
        <v>13414</v>
      </c>
      <c r="B9542" s="1" t="str">
        <f ca="1">IFERROR(__xludf.DUMMYFUNCTION("GOOGLETRANSLATE(A9542, ""en"", ""fr"")"),"Lent # 1")</f>
        <v>Lent # 1</v>
      </c>
      <c r="C9542" s="1" t="s">
        <v>185</v>
      </c>
      <c r="X9542" s="1" t="s">
        <v>20</v>
      </c>
      <c r="CY9542" s="1" t="s">
        <v>99</v>
      </c>
      <c r="GD9542" s="1" t="s">
        <v>202</v>
      </c>
      <c r="GE9542" s="1" t="s">
        <v>13415</v>
      </c>
    </row>
    <row r="9543" spans="1:187" ht="11.25" customHeight="1">
      <c r="A9543" s="1" t="s">
        <v>13416</v>
      </c>
      <c r="B9543" s="1" t="str">
        <f ca="1">IFERROR(__xludf.DUMMYFUNCTION("GOOGLETRANSLATE(A9543, ""en"", ""fr"")"),"Lent # 2")</f>
        <v>Lent # 2</v>
      </c>
      <c r="C9543" s="1" t="s">
        <v>185</v>
      </c>
      <c r="X9543" s="1" t="s">
        <v>20</v>
      </c>
      <c r="CY9543" s="1" t="s">
        <v>99</v>
      </c>
      <c r="GD9543" s="1" t="s">
        <v>236</v>
      </c>
      <c r="GE9543" s="1" t="s">
        <v>13417</v>
      </c>
    </row>
    <row r="9544" spans="1:187" ht="11.25" customHeight="1">
      <c r="A9544" s="1" t="s">
        <v>13418</v>
      </c>
      <c r="B9544" s="1" t="str">
        <f ca="1">IFERROR(__xludf.DUMMYFUNCTION("GOOGLETRANSLATE(A9544, ""en"", ""fr"")"),"Lent # 3")</f>
        <v>Lent # 3</v>
      </c>
      <c r="C9544" s="1" t="s">
        <v>185</v>
      </c>
      <c r="X9544" s="1" t="s">
        <v>20</v>
      </c>
      <c r="CY9544" s="1" t="s">
        <v>99</v>
      </c>
      <c r="GD9544" s="1" t="s">
        <v>202</v>
      </c>
      <c r="GE9544" s="1" t="s">
        <v>13419</v>
      </c>
    </row>
    <row r="9545" spans="1:187" ht="11.25" customHeight="1">
      <c r="A9545" s="1" t="s">
        <v>13420</v>
      </c>
      <c r="B9545" s="1" t="str">
        <f ca="1">IFERROR(__xludf.DUMMYFUNCTION("GOOGLETRANSLATE(A9545, ""en"", ""fr"")"),"Lent # 4")</f>
        <v>Lent # 4</v>
      </c>
      <c r="C9545" s="1" t="s">
        <v>185</v>
      </c>
      <c r="X9545" s="1" t="s">
        <v>20</v>
      </c>
      <c r="CY9545" s="1" t="s">
        <v>99</v>
      </c>
      <c r="GD9545" s="1" t="s">
        <v>202</v>
      </c>
      <c r="GE9545" s="1" t="s">
        <v>13421</v>
      </c>
    </row>
    <row r="9546" spans="1:187" ht="11.25" customHeight="1">
      <c r="A9546" s="1" t="s">
        <v>13422</v>
      </c>
      <c r="B9546" s="1" t="str">
        <f ca="1">IFERROR(__xludf.DUMMYFUNCTION("GOOGLETRANSLATE(A9546, ""en"", ""fr"")"),"Lent # 5")</f>
        <v>Lent # 5</v>
      </c>
      <c r="C9546" s="1" t="s">
        <v>185</v>
      </c>
      <c r="BY9546" s="1" t="s">
        <v>73</v>
      </c>
      <c r="DO9546" s="1" t="s">
        <v>115</v>
      </c>
      <c r="GD9546" s="1" t="s">
        <v>189</v>
      </c>
      <c r="GE9546" s="1" t="s">
        <v>13423</v>
      </c>
    </row>
    <row r="9547" spans="1:187" ht="11.25" customHeight="1">
      <c r="A9547" s="1" t="s">
        <v>13424</v>
      </c>
      <c r="B9547" s="1" t="str">
        <f ca="1">IFERROR(__xludf.DUMMYFUNCTION("GOOGLETRANSLATE(A9547, ""en"", ""fr"")"),"LIMACE")</f>
        <v>LIMACE</v>
      </c>
      <c r="C9547" s="1" t="s">
        <v>192</v>
      </c>
      <c r="E9547" s="1" t="s">
        <v>16613</v>
      </c>
      <c r="L9547" s="1" t="s">
        <v>8</v>
      </c>
      <c r="V9547" s="1" t="s">
        <v>18</v>
      </c>
      <c r="AU9547" s="1" t="s">
        <v>43</v>
      </c>
      <c r="GD9547" s="1" t="s">
        <v>193</v>
      </c>
      <c r="GE9547" s="1" t="s">
        <v>190</v>
      </c>
    </row>
    <row r="9548" spans="1:187" ht="11.25" customHeight="1">
      <c r="A9548" s="1" t="s">
        <v>13425</v>
      </c>
      <c r="B9548" s="1" t="str">
        <f ca="1">IFERROR(__xludf.DUMMYFUNCTION("GOOGLETRANSLATE(A9548, ""en"", ""fr"")"),"PARESSEUX")</f>
        <v>PARESSEUX</v>
      </c>
      <c r="C9548" s="1" t="s">
        <v>192</v>
      </c>
      <c r="E9548" s="1" t="s">
        <v>16613</v>
      </c>
      <c r="L9548" s="1" t="s">
        <v>8</v>
      </c>
      <c r="V9548" s="1" t="s">
        <v>18</v>
      </c>
      <c r="CA9548" s="1" t="s">
        <v>75</v>
      </c>
      <c r="DR9548" s="1" t="s">
        <v>118</v>
      </c>
      <c r="GD9548" s="1" t="s">
        <v>202</v>
      </c>
      <c r="GE9548" s="1" t="s">
        <v>190</v>
      </c>
    </row>
    <row r="9549" spans="1:187" ht="11.25" customHeight="1">
      <c r="A9549" s="1" t="s">
        <v>13426</v>
      </c>
      <c r="B9549" s="1" t="str">
        <f ca="1">IFERROR(__xludf.DUMMYFUNCTION("GOOGLETRANSLATE(A9549, ""en"", ""fr"")"),"TAUDIS")</f>
        <v>TAUDIS</v>
      </c>
      <c r="C9549" s="1" t="s">
        <v>185</v>
      </c>
      <c r="AA9549" s="1" t="s">
        <v>23</v>
      </c>
      <c r="AC9549" s="1" t="s">
        <v>25</v>
      </c>
      <c r="AV9549" s="1" t="s">
        <v>44</v>
      </c>
      <c r="AX9549" s="1" t="s">
        <v>46</v>
      </c>
      <c r="EZ9549" s="1" t="s">
        <v>152</v>
      </c>
      <c r="FC9549" s="1" t="s">
        <v>155</v>
      </c>
      <c r="GD9549" s="1" t="s">
        <v>193</v>
      </c>
      <c r="GE9549" s="1" t="s">
        <v>190</v>
      </c>
    </row>
    <row r="9550" spans="1:187" ht="11.25" customHeight="1">
      <c r="A9550" s="1" t="s">
        <v>13427</v>
      </c>
      <c r="B9550" s="1" t="str">
        <f ca="1">IFERROR(__xludf.DUMMYFUNCTION("GOOGLETRANSLATE(A9550, ""en"", ""fr"")"),"MARASME")</f>
        <v>MARASME</v>
      </c>
      <c r="C9550" s="1" t="s">
        <v>185</v>
      </c>
      <c r="E9550" s="1" t="s">
        <v>16613</v>
      </c>
      <c r="H9550" s="1" t="s">
        <v>4</v>
      </c>
      <c r="O9550" s="1" t="s">
        <v>11</v>
      </c>
      <c r="CF9550" s="1" t="s">
        <v>80</v>
      </c>
      <c r="DO9550" s="1" t="s">
        <v>115</v>
      </c>
      <c r="EZ9550" s="1" t="s">
        <v>152</v>
      </c>
      <c r="FC9550" s="1" t="s">
        <v>155</v>
      </c>
      <c r="GD9550" s="1" t="s">
        <v>189</v>
      </c>
      <c r="GE9550" s="1" t="s">
        <v>190</v>
      </c>
    </row>
    <row r="9551" spans="1:187" ht="11.25" customHeight="1">
      <c r="A9551" s="1" t="s">
        <v>13428</v>
      </c>
      <c r="B9551" s="1" t="str">
        <f ca="1">IFERROR(__xludf.DUMMYFUNCTION("GOOGLETRANSLATE(A9551, ""en"", ""fr"")"),"SOURNOIS")</f>
        <v>SOURNOIS</v>
      </c>
      <c r="C9551" s="1" t="s">
        <v>185</v>
      </c>
      <c r="E9551" s="1" t="s">
        <v>16613</v>
      </c>
      <c r="H9551" s="1" t="s">
        <v>4</v>
      </c>
      <c r="I9551" s="1" t="s">
        <v>5</v>
      </c>
      <c r="V9551" s="1" t="s">
        <v>18</v>
      </c>
      <c r="CN9551" s="1" t="s">
        <v>88</v>
      </c>
      <c r="FL9551" s="1" t="s">
        <v>164</v>
      </c>
      <c r="FM9551" s="1" t="s">
        <v>418</v>
      </c>
      <c r="GD9551" s="1" t="s">
        <v>202</v>
      </c>
      <c r="GE9551" s="1" t="s">
        <v>190</v>
      </c>
    </row>
    <row r="9552" spans="1:187" ht="11.25" customHeight="1">
      <c r="A9552" s="1" t="s">
        <v>13429</v>
      </c>
      <c r="B9552" s="1" t="str">
        <f ca="1">IFERROR(__xludf.DUMMYFUNCTION("GOOGLETRANSLATE(A9552, ""en"", ""fr"")"),"CLAQUE")</f>
        <v>CLAQUE</v>
      </c>
      <c r="C9552" s="1" t="s">
        <v>192</v>
      </c>
      <c r="E9552" s="1" t="s">
        <v>16613</v>
      </c>
      <c r="I9552" s="1" t="s">
        <v>5</v>
      </c>
      <c r="N9552" s="1" t="s">
        <v>10</v>
      </c>
      <c r="CC9552" s="1" t="s">
        <v>77</v>
      </c>
      <c r="DN9552" s="1" t="s">
        <v>114</v>
      </c>
      <c r="GD9552" s="1" t="s">
        <v>189</v>
      </c>
      <c r="GE9552" s="1" t="s">
        <v>190</v>
      </c>
    </row>
    <row r="9553" spans="1:187" ht="11.25" customHeight="1">
      <c r="A9553" s="1" t="s">
        <v>13430</v>
      </c>
      <c r="B9553" s="1" t="str">
        <f ca="1">IFERROR(__xludf.DUMMYFUNCTION("GOOGLETRANSLATE(A9553, ""en"", ""fr"")"),"Petit # 1")</f>
        <v>Petit # 1</v>
      </c>
      <c r="C9553" s="1" t="s">
        <v>185</v>
      </c>
      <c r="L9553" s="1" t="s">
        <v>8</v>
      </c>
      <c r="X9553" s="1" t="s">
        <v>20</v>
      </c>
      <c r="CS9553" s="1" t="s">
        <v>93</v>
      </c>
      <c r="DC9553" s="1" t="s">
        <v>103</v>
      </c>
      <c r="GD9553" s="1" t="s">
        <v>202</v>
      </c>
      <c r="GE9553" s="1" t="s">
        <v>13431</v>
      </c>
    </row>
    <row r="9554" spans="1:187" ht="11.25" customHeight="1">
      <c r="A9554" s="1" t="s">
        <v>13432</v>
      </c>
      <c r="B9554" s="1" t="str">
        <f ca="1">IFERROR(__xludf.DUMMYFUNCTION("GOOGLETRANSLATE(A9554, ""en"", ""fr"")"),"Petit # 2")</f>
        <v>Petit # 2</v>
      </c>
      <c r="C9554" s="1" t="s">
        <v>185</v>
      </c>
      <c r="L9554" s="1" t="s">
        <v>8</v>
      </c>
      <c r="X9554" s="1" t="s">
        <v>20</v>
      </c>
      <c r="CS9554" s="1" t="s">
        <v>93</v>
      </c>
      <c r="DC9554" s="1" t="s">
        <v>103</v>
      </c>
      <c r="GD9554" s="1" t="s">
        <v>202</v>
      </c>
      <c r="GE9554" s="1" t="s">
        <v>13433</v>
      </c>
    </row>
    <row r="9555" spans="1:187" ht="11.25" customHeight="1">
      <c r="A9555" s="1" t="s">
        <v>13434</v>
      </c>
      <c r="B9555" s="1" t="str">
        <f ca="1">IFERROR(__xludf.DUMMYFUNCTION("GOOGLETRANSLATE(A9555, ""en"", ""fr"")"),"Petit # 3")</f>
        <v>Petit # 3</v>
      </c>
      <c r="C9555" s="1" t="s">
        <v>185</v>
      </c>
      <c r="L9555" s="1" t="s">
        <v>8</v>
      </c>
      <c r="X9555" s="1" t="s">
        <v>20</v>
      </c>
      <c r="CS9555" s="1" t="s">
        <v>93</v>
      </c>
      <c r="DC9555" s="1" t="s">
        <v>103</v>
      </c>
      <c r="GD9555" s="1" t="s">
        <v>202</v>
      </c>
      <c r="GE9555" s="1" t="s">
        <v>13435</v>
      </c>
    </row>
    <row r="9556" spans="1:187" ht="11.25" customHeight="1">
      <c r="A9556" s="1" t="s">
        <v>13436</v>
      </c>
      <c r="B9556" s="1" t="str">
        <f ca="1">IFERROR(__xludf.DUMMYFUNCTION("GOOGLETRANSLATE(A9556, ""en"", ""fr"")"),"Smart # 1")</f>
        <v>Smart # 1</v>
      </c>
      <c r="C9556" s="1" t="s">
        <v>185</v>
      </c>
      <c r="D9556" s="1" t="s">
        <v>16612</v>
      </c>
      <c r="F9556" s="1" t="s">
        <v>2</v>
      </c>
      <c r="J9556" s="1" t="s">
        <v>6</v>
      </c>
      <c r="U9556" s="1" t="s">
        <v>17</v>
      </c>
      <c r="CN9556" s="1" t="s">
        <v>88</v>
      </c>
      <c r="FL9556" s="1" t="s">
        <v>164</v>
      </c>
      <c r="FM9556" s="1" t="s">
        <v>418</v>
      </c>
      <c r="GD9556" s="1" t="s">
        <v>202</v>
      </c>
      <c r="GE9556" s="1" t="s">
        <v>13437</v>
      </c>
    </row>
    <row r="9557" spans="1:187" ht="11.25" customHeight="1">
      <c r="A9557" s="1" t="s">
        <v>13438</v>
      </c>
      <c r="B9557" s="1" t="str">
        <f ca="1">IFERROR(__xludf.DUMMYFUNCTION("GOOGLETRANSLATE(A9557, ""en"", ""fr"")"),"Smart # 2")</f>
        <v>Smart # 2</v>
      </c>
      <c r="C9557" s="1" t="s">
        <v>185</v>
      </c>
      <c r="D9557" s="1" t="s">
        <v>16612</v>
      </c>
      <c r="F9557" s="1" t="s">
        <v>2</v>
      </c>
      <c r="J9557" s="1" t="s">
        <v>6</v>
      </c>
      <c r="U9557" s="1" t="s">
        <v>17</v>
      </c>
      <c r="CN9557" s="1" t="s">
        <v>88</v>
      </c>
      <c r="FL9557" s="1" t="s">
        <v>164</v>
      </c>
      <c r="FM9557" s="1" t="s">
        <v>418</v>
      </c>
      <c r="GD9557" s="1" t="s">
        <v>202</v>
      </c>
      <c r="GE9557" s="1" t="s">
        <v>13439</v>
      </c>
    </row>
    <row r="9558" spans="1:187" ht="11.25" customHeight="1">
      <c r="A9558" s="1" t="s">
        <v>13440</v>
      </c>
      <c r="B9558" s="1" t="str">
        <f ca="1">IFERROR(__xludf.DUMMYFUNCTION("GOOGLETRANSLATE(A9558, ""en"", ""fr"")"),"Smart # 3")</f>
        <v>Smart # 3</v>
      </c>
      <c r="C9558" s="1" t="s">
        <v>185</v>
      </c>
      <c r="Q9558" s="1" t="s">
        <v>13</v>
      </c>
      <c r="DN9558" s="1" t="s">
        <v>114</v>
      </c>
      <c r="FP9558" s="1" t="s">
        <v>168</v>
      </c>
      <c r="GD9558" s="1" t="s">
        <v>189</v>
      </c>
      <c r="GE9558" s="1" t="s">
        <v>13441</v>
      </c>
    </row>
    <row r="9559" spans="1:187" ht="11.25" customHeight="1">
      <c r="A9559" s="1" t="s">
        <v>13442</v>
      </c>
      <c r="B9559" s="1" t="str">
        <f ca="1">IFERROR(__xludf.DUMMYFUNCTION("GOOGLETRANSLATE(A9559, ""en"", ""fr"")"),"Smart # 4")</f>
        <v>Smart # 4</v>
      </c>
      <c r="C9559" s="1" t="s">
        <v>185</v>
      </c>
      <c r="D9559" s="1" t="s">
        <v>16612</v>
      </c>
      <c r="F9559" s="1" t="s">
        <v>2</v>
      </c>
      <c r="J9559" s="1" t="s">
        <v>6</v>
      </c>
      <c r="U9559" s="1" t="s">
        <v>17</v>
      </c>
      <c r="CN9559" s="1" t="s">
        <v>88</v>
      </c>
      <c r="FL9559" s="1" t="s">
        <v>164</v>
      </c>
      <c r="FM9559" s="1" t="s">
        <v>418</v>
      </c>
      <c r="GD9559" s="1" t="s">
        <v>202</v>
      </c>
      <c r="GE9559" s="1" t="s">
        <v>13443</v>
      </c>
    </row>
    <row r="9560" spans="1:187" ht="11.25" customHeight="1">
      <c r="A9560" s="1" t="s">
        <v>13444</v>
      </c>
      <c r="B9560" s="1" t="str">
        <f ca="1">IFERROR(__xludf.DUMMYFUNCTION("GOOGLETRANSLATE(A9560, ""en"", ""fr"")"),"Smash # 1")</f>
        <v>Smash # 1</v>
      </c>
      <c r="C9560" s="1" t="s">
        <v>185</v>
      </c>
      <c r="E9560" s="1" t="s">
        <v>16613</v>
      </c>
      <c r="H9560" s="1" t="s">
        <v>4</v>
      </c>
      <c r="I9560" s="1" t="s">
        <v>5</v>
      </c>
      <c r="J9560" s="1" t="s">
        <v>6</v>
      </c>
      <c r="N9560" s="1" t="s">
        <v>10</v>
      </c>
      <c r="CC9560" s="1" t="s">
        <v>77</v>
      </c>
      <c r="DO9560" s="1" t="s">
        <v>115</v>
      </c>
      <c r="FP9560" s="1" t="s">
        <v>168</v>
      </c>
      <c r="GD9560" s="1" t="s">
        <v>400</v>
      </c>
      <c r="GE9560" s="1" t="s">
        <v>13445</v>
      </c>
    </row>
    <row r="9561" spans="1:187" ht="11.25" customHeight="1">
      <c r="A9561" s="1" t="s">
        <v>13446</v>
      </c>
      <c r="B9561" s="1" t="str">
        <f ca="1">IFERROR(__xludf.DUMMYFUNCTION("GOOGLETRANSLATE(A9561, ""en"", ""fr"")"),"Smash # 2")</f>
        <v>Smash # 2</v>
      </c>
      <c r="C9561" s="1" t="s">
        <v>185</v>
      </c>
      <c r="E9561" s="1" t="s">
        <v>16613</v>
      </c>
      <c r="H9561" s="1" t="s">
        <v>4</v>
      </c>
      <c r="I9561" s="1" t="s">
        <v>5</v>
      </c>
      <c r="J9561" s="1" t="s">
        <v>6</v>
      </c>
      <c r="N9561" s="1" t="s">
        <v>10</v>
      </c>
      <c r="CC9561" s="1" t="s">
        <v>77</v>
      </c>
      <c r="GD9561" s="1" t="s">
        <v>193</v>
      </c>
      <c r="GE9561" s="1" t="s">
        <v>13447</v>
      </c>
    </row>
    <row r="9562" spans="1:187" ht="11.25" customHeight="1">
      <c r="A9562" s="1" t="s">
        <v>13448</v>
      </c>
      <c r="B9562" s="1" t="str">
        <f ca="1">IFERROR(__xludf.DUMMYFUNCTION("GOOGLETRANSLATE(A9562, ""en"", ""fr"")"),"Smash # 3")</f>
        <v>Smash # 3</v>
      </c>
      <c r="C9562" s="1" t="s">
        <v>185</v>
      </c>
      <c r="J9562" s="1" t="s">
        <v>6</v>
      </c>
      <c r="U9562" s="1" t="s">
        <v>17</v>
      </c>
      <c r="CN9562" s="1" t="s">
        <v>88</v>
      </c>
      <c r="GD9562" s="1" t="s">
        <v>202</v>
      </c>
      <c r="GE9562" s="1" t="s">
        <v>13449</v>
      </c>
    </row>
    <row r="9563" spans="1:187" ht="11.25" customHeight="1">
      <c r="A9563" s="1" t="s">
        <v>13450</v>
      </c>
      <c r="B9563" s="1" t="str">
        <f ca="1">IFERROR(__xludf.DUMMYFUNCTION("GOOGLETRANSLATE(A9563, ""en"", ""fr"")"),"DIFFAMER")</f>
        <v>DIFFAMER</v>
      </c>
      <c r="C9563" s="1" t="s">
        <v>192</v>
      </c>
      <c r="E9563" s="1" t="s">
        <v>16613</v>
      </c>
      <c r="I9563" s="1" t="s">
        <v>5</v>
      </c>
      <c r="N9563" s="1" t="s">
        <v>10</v>
      </c>
      <c r="BK9563" s="1" t="s">
        <v>59</v>
      </c>
      <c r="DN9563" s="1" t="s">
        <v>114</v>
      </c>
      <c r="GD9563" s="1" t="s">
        <v>189</v>
      </c>
      <c r="GE9563" s="1" t="s">
        <v>190</v>
      </c>
    </row>
    <row r="9564" spans="1:187" ht="11.25" customHeight="1">
      <c r="A9564" s="1" t="s">
        <v>13451</v>
      </c>
      <c r="B9564" s="1" t="str">
        <f ca="1">IFERROR(__xludf.DUMMYFUNCTION("GOOGLETRANSLATE(A9564, ""en"", ""fr"")"),"Odeur n ° 1")</f>
        <v>Odeur n ° 1</v>
      </c>
      <c r="C9564" s="1" t="s">
        <v>185</v>
      </c>
      <c r="CR9564" s="1" t="s">
        <v>92</v>
      </c>
      <c r="GD9564" s="1" t="s">
        <v>193</v>
      </c>
      <c r="GE9564" s="1" t="s">
        <v>190</v>
      </c>
    </row>
    <row r="9565" spans="1:187" ht="11.25" customHeight="1">
      <c r="A9565" s="1" t="s">
        <v>13452</v>
      </c>
      <c r="B9565" s="1" t="str">
        <f ca="1">IFERROR(__xludf.DUMMYFUNCTION("GOOGLETRANSLATE(A9565, ""en"", ""fr"")"),"Odeur n ° 2")</f>
        <v>Odeur n ° 2</v>
      </c>
      <c r="C9565" s="1" t="s">
        <v>185</v>
      </c>
      <c r="O9565" s="1" t="s">
        <v>11</v>
      </c>
      <c r="CK9565" s="1" t="s">
        <v>85</v>
      </c>
      <c r="DO9565" s="1" t="s">
        <v>115</v>
      </c>
      <c r="GD9565" s="1" t="s">
        <v>189</v>
      </c>
      <c r="GE9565" s="1" t="s">
        <v>190</v>
      </c>
    </row>
    <row r="9566" spans="1:187" ht="11.25" customHeight="1">
      <c r="A9566" s="1" t="s">
        <v>13453</v>
      </c>
      <c r="B9566" s="1" t="str">
        <f ca="1">IFERROR(__xludf.DUMMYFUNCTION("GOOGLETRANSLATE(A9566, ""en"", ""fr"")"),"Sourire # 1")</f>
        <v>Sourire # 1</v>
      </c>
      <c r="C9566" s="1" t="s">
        <v>185</v>
      </c>
      <c r="D9566" s="1" t="s">
        <v>16612</v>
      </c>
      <c r="F9566" s="1" t="s">
        <v>2</v>
      </c>
      <c r="G9566" s="1" t="s">
        <v>3</v>
      </c>
      <c r="O9566" s="1" t="s">
        <v>11</v>
      </c>
      <c r="BK9566" s="1" t="s">
        <v>59</v>
      </c>
      <c r="FX9566" s="1" t="s">
        <v>176</v>
      </c>
      <c r="GC9566" s="1" t="s">
        <v>181</v>
      </c>
      <c r="GD9566" s="1" t="s">
        <v>193</v>
      </c>
      <c r="GE9566" s="1" t="s">
        <v>13454</v>
      </c>
    </row>
    <row r="9567" spans="1:187" ht="11.25" customHeight="1">
      <c r="A9567" s="1" t="s">
        <v>13455</v>
      </c>
      <c r="B9567" s="1" t="str">
        <f ca="1">IFERROR(__xludf.DUMMYFUNCTION("GOOGLETRANSLATE(A9567, ""en"", ""fr"")"),"Sourire # 2")</f>
        <v>Sourire # 2</v>
      </c>
      <c r="C9567" s="1" t="s">
        <v>185</v>
      </c>
      <c r="D9567" s="1" t="s">
        <v>16612</v>
      </c>
      <c r="F9567" s="1" t="s">
        <v>2</v>
      </c>
      <c r="G9567" s="1" t="s">
        <v>3</v>
      </c>
      <c r="O9567" s="1" t="s">
        <v>11</v>
      </c>
      <c r="BK9567" s="1" t="s">
        <v>59</v>
      </c>
      <c r="DO9567" s="1" t="s">
        <v>115</v>
      </c>
      <c r="FP9567" s="1" t="s">
        <v>168</v>
      </c>
      <c r="GD9567" s="1" t="s">
        <v>189</v>
      </c>
      <c r="GE9567" s="1" t="s">
        <v>13456</v>
      </c>
    </row>
    <row r="9568" spans="1:187" ht="11.25" customHeight="1">
      <c r="A9568" s="1" t="s">
        <v>13457</v>
      </c>
      <c r="B9568" s="1" t="str">
        <f ca="1">IFERROR(__xludf.DUMMYFUNCTION("GOOGLETRANSLATE(A9568, ""en"", ""fr"")"),"Sourire # 3")</f>
        <v>Sourire # 3</v>
      </c>
      <c r="C9568" s="1" t="s">
        <v>185</v>
      </c>
      <c r="D9568" s="1" t="s">
        <v>16612</v>
      </c>
      <c r="F9568" s="1" t="s">
        <v>2</v>
      </c>
      <c r="G9568" s="1" t="s">
        <v>3</v>
      </c>
      <c r="O9568" s="1" t="s">
        <v>11</v>
      </c>
      <c r="BK9568" s="1" t="s">
        <v>59</v>
      </c>
      <c r="FX9568" s="1" t="s">
        <v>176</v>
      </c>
      <c r="GD9568" s="1" t="s">
        <v>202</v>
      </c>
      <c r="GE9568" s="1" t="s">
        <v>13458</v>
      </c>
    </row>
    <row r="9569" spans="1:187" ht="11.25" customHeight="1">
      <c r="A9569" s="1" t="s">
        <v>13459</v>
      </c>
      <c r="B9569" s="1" t="str">
        <f ca="1">IFERROR(__xludf.DUMMYFUNCTION("GOOGLETRANSLATE(A9569, ""en"", ""fr"")"),"Sourire # 4")</f>
        <v>Sourire # 4</v>
      </c>
      <c r="C9569" s="1" t="s">
        <v>185</v>
      </c>
      <c r="D9569" s="1" t="s">
        <v>16612</v>
      </c>
      <c r="F9569" s="1" t="s">
        <v>2</v>
      </c>
      <c r="G9569" s="1" t="s">
        <v>3</v>
      </c>
      <c r="O9569" s="1" t="s">
        <v>11</v>
      </c>
      <c r="BK9569" s="1" t="s">
        <v>59</v>
      </c>
      <c r="FX9569" s="1" t="s">
        <v>176</v>
      </c>
      <c r="GD9569" s="1" t="s">
        <v>236</v>
      </c>
      <c r="GE9569" s="1" t="s">
        <v>13460</v>
      </c>
    </row>
    <row r="9570" spans="1:187" ht="11.25" customHeight="1">
      <c r="A9570" s="1" t="s">
        <v>13461</v>
      </c>
      <c r="B9570" s="1" t="str">
        <f ca="1">IFERROR(__xludf.DUMMYFUNCTION("GOOGLETRANSLATE(A9570, ""en"", ""fr"")"),"FRAPPÉ")</f>
        <v>FRAPPÉ</v>
      </c>
      <c r="C9570" s="1" t="s">
        <v>192</v>
      </c>
      <c r="D9570" s="1" t="s">
        <v>16612</v>
      </c>
      <c r="O9570" s="1" t="s">
        <v>11</v>
      </c>
      <c r="P9570" s="1" t="s">
        <v>12</v>
      </c>
      <c r="T9570" s="1" t="s">
        <v>16</v>
      </c>
      <c r="AN9570" s="1" t="s">
        <v>36</v>
      </c>
      <c r="BN9570" s="1" t="s">
        <v>62</v>
      </c>
      <c r="DP9570" s="1" t="s">
        <v>116</v>
      </c>
      <c r="GD9570" s="1" t="s">
        <v>189</v>
      </c>
      <c r="GE9570" s="1" t="s">
        <v>190</v>
      </c>
    </row>
    <row r="9571" spans="1:187" ht="11.25" customHeight="1">
      <c r="A9571" s="1" t="s">
        <v>13462</v>
      </c>
      <c r="B9571" s="1" t="str">
        <f ca="1">IFERROR(__xludf.DUMMYFUNCTION("GOOGLETRANSLATE(A9571, ""en"", ""fr"")"),"Fumée # 1")</f>
        <v>Fumée # 1</v>
      </c>
      <c r="C9571" s="1" t="s">
        <v>185</v>
      </c>
      <c r="BU9571" s="1" t="s">
        <v>69</v>
      </c>
      <c r="GD9571" s="1" t="s">
        <v>193</v>
      </c>
      <c r="GE9571" s="1" t="s">
        <v>13463</v>
      </c>
    </row>
    <row r="9572" spans="1:187" ht="11.25" customHeight="1">
      <c r="A9572" s="1" t="s">
        <v>13464</v>
      </c>
      <c r="B9572" s="1" t="str">
        <f ca="1">IFERROR(__xludf.DUMMYFUNCTION("GOOGLETRANSLATE(A9572, ""en"", ""fr"")"),"Fumée # 2")</f>
        <v>Fumée # 2</v>
      </c>
      <c r="C9572" s="1" t="s">
        <v>185</v>
      </c>
      <c r="BU9572" s="1" t="s">
        <v>69</v>
      </c>
      <c r="DO9572" s="1" t="s">
        <v>115</v>
      </c>
      <c r="GD9572" s="1" t="s">
        <v>189</v>
      </c>
      <c r="GE9572" s="1" t="s">
        <v>13465</v>
      </c>
    </row>
    <row r="9573" spans="1:187" ht="11.25" customHeight="1">
      <c r="A9573" s="1" t="s">
        <v>13466</v>
      </c>
      <c r="B9573" s="1" t="str">
        <f ca="1">IFERROR(__xludf.DUMMYFUNCTION("GOOGLETRANSLATE(A9573, ""en"", ""fr"")"),"Fumée # 3")</f>
        <v>Fumée # 3</v>
      </c>
      <c r="C9573" s="1" t="s">
        <v>185</v>
      </c>
      <c r="BU9573" s="1" t="s">
        <v>69</v>
      </c>
      <c r="GD9573" s="1" t="s">
        <v>193</v>
      </c>
      <c r="GE9573" s="1" t="s">
        <v>13467</v>
      </c>
    </row>
    <row r="9574" spans="1:187" ht="11.25" customHeight="1">
      <c r="A9574" s="1" t="s">
        <v>13468</v>
      </c>
      <c r="B9574" s="1" t="str">
        <f ca="1">IFERROR(__xludf.DUMMYFUNCTION("GOOGLETRANSLATE(A9574, ""en"", ""fr"")"),"FUMEUR")</f>
        <v>FUMEUR</v>
      </c>
      <c r="C9574" s="1" t="s">
        <v>185</v>
      </c>
      <c r="AJ9574" s="1" t="s">
        <v>32</v>
      </c>
      <c r="AT9574" s="1" t="s">
        <v>42</v>
      </c>
      <c r="GD9574" s="1" t="s">
        <v>193</v>
      </c>
      <c r="GE9574" s="1" t="s">
        <v>190</v>
      </c>
    </row>
    <row r="9575" spans="1:187" ht="11.25" customHeight="1">
      <c r="A9575" s="1" t="s">
        <v>13469</v>
      </c>
      <c r="B9575" s="1" t="str">
        <f ca="1">IFERROR(__xludf.DUMMYFUNCTION("GOOGLETRANSLATE(A9575, ""en"", ""fr"")"),"ENFUMÉ")</f>
        <v>ENFUMÉ</v>
      </c>
      <c r="C9575" s="1" t="s">
        <v>185</v>
      </c>
      <c r="CR9575" s="1" t="s">
        <v>92</v>
      </c>
      <c r="GD9575" s="1" t="s">
        <v>202</v>
      </c>
      <c r="GE9575" s="1" t="s">
        <v>190</v>
      </c>
    </row>
    <row r="9576" spans="1:187" ht="11.25" customHeight="1">
      <c r="A9576" s="1" t="s">
        <v>13470</v>
      </c>
      <c r="B9576" s="1" t="str">
        <f ca="1">IFERROR(__xludf.DUMMYFUNCTION("GOOGLETRANSLATE(A9576, ""en"", ""fr"")"),"Lisse n ° 1")</f>
        <v>Lisse n ° 1</v>
      </c>
      <c r="C9576" s="1" t="s">
        <v>185</v>
      </c>
      <c r="CR9576" s="1" t="s">
        <v>92</v>
      </c>
      <c r="GD9576" s="1" t="s">
        <v>202</v>
      </c>
      <c r="GE9576" s="1" t="s">
        <v>13471</v>
      </c>
    </row>
    <row r="9577" spans="1:187" ht="11.25" customHeight="1">
      <c r="A9577" s="1" t="s">
        <v>13472</v>
      </c>
      <c r="B9577" s="1" t="str">
        <f ca="1">IFERROR(__xludf.DUMMYFUNCTION("GOOGLETRANSLATE(A9577, ""en"", ""fr"")"),"Lisse # 2")</f>
        <v>Lisse # 2</v>
      </c>
      <c r="C9577" s="1" t="s">
        <v>185</v>
      </c>
      <c r="CR9577" s="1" t="s">
        <v>92</v>
      </c>
      <c r="GD9577" s="1" t="s">
        <v>236</v>
      </c>
      <c r="GE9577" s="1" t="s">
        <v>13473</v>
      </c>
    </row>
    <row r="9578" spans="1:187" ht="11.25" customHeight="1">
      <c r="A9578" s="1" t="s">
        <v>13474</v>
      </c>
      <c r="B9578" s="1" t="str">
        <f ca="1">IFERROR(__xludf.DUMMYFUNCTION("GOOGLETRANSLATE(A9578, ""en"", ""fr"")"),"Lisse # 3")</f>
        <v>Lisse # 3</v>
      </c>
      <c r="C9578" s="1" t="s">
        <v>185</v>
      </c>
      <c r="CR9578" s="1" t="s">
        <v>92</v>
      </c>
      <c r="GD9578" s="1" t="s">
        <v>202</v>
      </c>
      <c r="GE9578" s="1" t="s">
        <v>13475</v>
      </c>
    </row>
    <row r="9579" spans="1:187" ht="11.25" customHeight="1">
      <c r="A9579" s="1" t="s">
        <v>13476</v>
      </c>
      <c r="B9579" s="1" t="str">
        <f ca="1">IFERROR(__xludf.DUMMYFUNCTION("GOOGLETRANSLATE(A9579, ""en"", ""fr"")"),"Lisse # 4")</f>
        <v>Lisse # 4</v>
      </c>
      <c r="C9579" s="1" t="s">
        <v>185</v>
      </c>
      <c r="N9579" s="1" t="s">
        <v>10</v>
      </c>
      <c r="AL9579" s="1" t="s">
        <v>34</v>
      </c>
      <c r="DN9579" s="1" t="s">
        <v>114</v>
      </c>
      <c r="GD9579" s="1" t="s">
        <v>189</v>
      </c>
      <c r="GE9579" s="1" t="s">
        <v>13477</v>
      </c>
    </row>
    <row r="9580" spans="1:187" ht="11.25" customHeight="1">
      <c r="A9580" s="1" t="s">
        <v>13478</v>
      </c>
      <c r="B9580" s="1" t="str">
        <f ca="1">IFERROR(__xludf.DUMMYFUNCTION("GOOGLETRANSLATE(A9580, ""en"", ""fr"")"),"Lisse # 5")</f>
        <v>Lisse # 5</v>
      </c>
      <c r="C9580" s="1" t="s">
        <v>185</v>
      </c>
      <c r="CR9580" s="1" t="s">
        <v>92</v>
      </c>
      <c r="GD9580" s="1" t="s">
        <v>202</v>
      </c>
      <c r="GE9580" s="1" t="s">
        <v>13479</v>
      </c>
    </row>
    <row r="9581" spans="1:187" ht="11.25" customHeight="1">
      <c r="A9581" s="1" t="s">
        <v>13480</v>
      </c>
      <c r="B9581" s="1" t="str">
        <f ca="1">IFERROR(__xludf.DUMMYFUNCTION("GOOGLETRANSLATE(A9581, ""en"", ""fr"")"),"ÉTOUFFER")</f>
        <v>ÉTOUFFER</v>
      </c>
      <c r="C9581" s="1" t="s">
        <v>192</v>
      </c>
      <c r="E9581" s="1" t="s">
        <v>16613</v>
      </c>
      <c r="K9581" s="1" t="s">
        <v>7</v>
      </c>
      <c r="N9581" s="1" t="s">
        <v>10</v>
      </c>
      <c r="AN9581" s="1" t="s">
        <v>36</v>
      </c>
      <c r="BS9581" s="1" t="s">
        <v>67</v>
      </c>
      <c r="DN9581" s="1" t="s">
        <v>114</v>
      </c>
      <c r="GD9581" s="1" t="s">
        <v>189</v>
      </c>
      <c r="GE9581" s="1" t="s">
        <v>190</v>
      </c>
    </row>
    <row r="9582" spans="1:187" ht="11.25" customHeight="1">
      <c r="A9582" s="1" t="s">
        <v>13481</v>
      </c>
      <c r="B9582" s="1" t="str">
        <f ca="1">IFERROR(__xludf.DUMMYFUNCTION("GOOGLETRANSLATE(A9582, ""en"", ""fr"")"),"PASSER EN CONTREBANDE")</f>
        <v>PASSER EN CONTREBANDE</v>
      </c>
      <c r="C9582" s="1" t="s">
        <v>192</v>
      </c>
      <c r="E9582" s="1" t="s">
        <v>16613</v>
      </c>
      <c r="N9582" s="1" t="s">
        <v>10</v>
      </c>
      <c r="CD9582" s="1" t="s">
        <v>78</v>
      </c>
      <c r="DN9582" s="1" t="s">
        <v>114</v>
      </c>
      <c r="GD9582" s="1" t="s">
        <v>189</v>
      </c>
      <c r="GE9582" s="1" t="s">
        <v>190</v>
      </c>
    </row>
    <row r="9583" spans="1:187" ht="11.25" customHeight="1">
      <c r="A9583" s="1" t="s">
        <v>13482</v>
      </c>
      <c r="B9583" s="1" t="str">
        <f ca="1">IFERROR(__xludf.DUMMYFUNCTION("GOOGLETRANSLATE(A9583, ""en"", ""fr"")"),"COLLATION")</f>
        <v>COLLATION</v>
      </c>
      <c r="C9583" s="1" t="s">
        <v>185</v>
      </c>
      <c r="X9583" s="1" t="s">
        <v>20</v>
      </c>
      <c r="BC9583" s="1" t="s">
        <v>51</v>
      </c>
      <c r="BE9583" s="1" t="s">
        <v>53</v>
      </c>
      <c r="GD9583" s="1" t="s">
        <v>193</v>
      </c>
      <c r="GE9583" s="1" t="s">
        <v>190</v>
      </c>
    </row>
    <row r="9584" spans="1:187" ht="11.25" customHeight="1">
      <c r="A9584" s="1" t="s">
        <v>13483</v>
      </c>
      <c r="B9584" s="1" t="str">
        <f ca="1">IFERROR(__xludf.DUMMYFUNCTION("GOOGLETRANSLATE(A9584, ""en"", ""fr"")"),"SERPENT")</f>
        <v>SERPENT</v>
      </c>
      <c r="C9584" s="1" t="s">
        <v>185</v>
      </c>
      <c r="AU9584" s="1" t="s">
        <v>43</v>
      </c>
      <c r="GD9584" s="1" t="s">
        <v>193</v>
      </c>
      <c r="GE9584" s="1" t="s">
        <v>13484</v>
      </c>
    </row>
    <row r="9585" spans="1:187" ht="11.25" customHeight="1">
      <c r="A9585" s="1" t="s">
        <v>13485</v>
      </c>
      <c r="B9585" s="1" t="str">
        <f ca="1">IFERROR(__xludf.DUMMYFUNCTION("GOOGLETRANSLATE(A9585, ""en"", ""fr"")"),"SNAP # 1")</f>
        <v>SNAP # 1</v>
      </c>
      <c r="C9585" s="1" t="s">
        <v>185</v>
      </c>
      <c r="CC9585" s="1" t="s">
        <v>77</v>
      </c>
      <c r="GD9585" s="1" t="s">
        <v>193</v>
      </c>
      <c r="GE9585" s="1" t="s">
        <v>190</v>
      </c>
    </row>
    <row r="9586" spans="1:187" ht="11.25" customHeight="1">
      <c r="A9586" s="1" t="s">
        <v>13486</v>
      </c>
      <c r="B9586" s="1" t="str">
        <f ca="1">IFERROR(__xludf.DUMMYFUNCTION("GOOGLETRANSLATE(A9586, ""en"", ""fr"")"),"SNAP # 2")</f>
        <v>SNAP # 2</v>
      </c>
      <c r="C9586" s="1" t="s">
        <v>185</v>
      </c>
      <c r="N9586" s="1" t="s">
        <v>10</v>
      </c>
      <c r="CC9586" s="1" t="s">
        <v>77</v>
      </c>
      <c r="DO9586" s="1" t="s">
        <v>115</v>
      </c>
      <c r="GD9586" s="1" t="s">
        <v>189</v>
      </c>
      <c r="GE9586" s="1" t="s">
        <v>190</v>
      </c>
    </row>
    <row r="9587" spans="1:187" ht="11.25" customHeight="1">
      <c r="A9587" s="1" t="s">
        <v>13487</v>
      </c>
      <c r="B9587" s="1" t="str">
        <f ca="1">IFERROR(__xludf.DUMMYFUNCTION("GOOGLETRANSLATE(A9587, ""en"", ""fr"")"),"PIÈGE")</f>
        <v>PIÈGE</v>
      </c>
      <c r="C9587" s="1" t="s">
        <v>192</v>
      </c>
      <c r="E9587" s="1" t="s">
        <v>16613</v>
      </c>
      <c r="BC9587" s="1" t="s">
        <v>51</v>
      </c>
      <c r="CD9587" s="1" t="s">
        <v>78</v>
      </c>
      <c r="GD9587" s="1" t="s">
        <v>193</v>
      </c>
      <c r="GE9587" s="1" t="s">
        <v>190</v>
      </c>
    </row>
    <row r="9588" spans="1:187" ht="11.25" customHeight="1">
      <c r="A9588" s="1" t="s">
        <v>13488</v>
      </c>
      <c r="B9588" s="1" t="str">
        <f ca="1">IFERROR(__xludf.DUMMYFUNCTION("GOOGLETRANSLATE(A9588, ""en"", ""fr"")"),"GRONDER")</f>
        <v>GRONDER</v>
      </c>
      <c r="C9588" s="1" t="s">
        <v>185</v>
      </c>
      <c r="E9588" s="1" t="s">
        <v>16613</v>
      </c>
      <c r="H9588" s="1" t="s">
        <v>4</v>
      </c>
      <c r="I9588" s="1" t="s">
        <v>5</v>
      </c>
      <c r="BK9588" s="1" t="s">
        <v>59</v>
      </c>
      <c r="DO9588" s="1" t="s">
        <v>115</v>
      </c>
      <c r="FW9588" s="1" t="s">
        <v>175</v>
      </c>
      <c r="GD9588" s="1" t="s">
        <v>189</v>
      </c>
      <c r="GE9588" s="1" t="s">
        <v>190</v>
      </c>
    </row>
    <row r="9589" spans="1:187" ht="11.25" customHeight="1">
      <c r="A9589" s="1" t="s">
        <v>13489</v>
      </c>
      <c r="B9589" s="1" t="str">
        <f ca="1">IFERROR(__xludf.DUMMYFUNCTION("GOOGLETRANSLATE(A9589, ""en"", ""fr"")"),"ARRACHER")</f>
        <v>ARRACHER</v>
      </c>
      <c r="C9589" s="1" t="s">
        <v>185</v>
      </c>
      <c r="E9589" s="1" t="s">
        <v>16613</v>
      </c>
      <c r="H9589" s="1" t="s">
        <v>4</v>
      </c>
      <c r="I9589" s="1" t="s">
        <v>5</v>
      </c>
      <c r="J9589" s="1" t="s">
        <v>6</v>
      </c>
      <c r="N9589" s="1" t="s">
        <v>10</v>
      </c>
      <c r="CD9589" s="1" t="s">
        <v>78</v>
      </c>
      <c r="DO9589" s="1" t="s">
        <v>115</v>
      </c>
      <c r="GD9589" s="1" t="s">
        <v>189</v>
      </c>
      <c r="GE9589" s="1" t="s">
        <v>190</v>
      </c>
    </row>
    <row r="9590" spans="1:187" ht="11.25" customHeight="1">
      <c r="A9590" s="1" t="s">
        <v>13490</v>
      </c>
      <c r="B9590" s="1" t="str">
        <f ca="1">IFERROR(__xludf.DUMMYFUNCTION("GOOGLETRANSLATE(A9590, ""en"", ""fr"")"),"SE FAUFILER")</f>
        <v>SE FAUFILER</v>
      </c>
      <c r="C9590" s="1" t="s">
        <v>192</v>
      </c>
      <c r="E9590" s="1" t="s">
        <v>16613</v>
      </c>
      <c r="N9590" s="1" t="s">
        <v>10</v>
      </c>
      <c r="DN9590" s="1" t="s">
        <v>114</v>
      </c>
      <c r="GD9590" s="1" t="s">
        <v>189</v>
      </c>
      <c r="GE9590" s="1" t="s">
        <v>190</v>
      </c>
    </row>
    <row r="9591" spans="1:187" ht="11.25" customHeight="1">
      <c r="A9591" s="1" t="s">
        <v>13491</v>
      </c>
      <c r="B9591" s="1" t="str">
        <f ca="1">IFERROR(__xludf.DUMMYFUNCTION("GOOGLETRANSLATE(A9591, ""en"", ""fr"")"),"RICANEMENT")</f>
        <v>RICANEMENT</v>
      </c>
      <c r="C9591" s="1" t="s">
        <v>192</v>
      </c>
      <c r="E9591" s="1" t="s">
        <v>16613</v>
      </c>
      <c r="N9591" s="1" t="s">
        <v>10</v>
      </c>
      <c r="BK9591" s="1" t="s">
        <v>59</v>
      </c>
      <c r="DN9591" s="1" t="s">
        <v>114</v>
      </c>
      <c r="GD9591" s="1" t="s">
        <v>189</v>
      </c>
      <c r="GE9591" s="1" t="s">
        <v>190</v>
      </c>
    </row>
    <row r="9592" spans="1:187" ht="11.25" customHeight="1">
      <c r="A9592" s="1" t="s">
        <v>13492</v>
      </c>
      <c r="B9592" s="1" t="str">
        <f ca="1">IFERROR(__xludf.DUMMYFUNCTION("GOOGLETRANSLATE(A9592, ""en"", ""fr"")"),"RONFLER")</f>
        <v>RONFLER</v>
      </c>
      <c r="C9592" s="1" t="s">
        <v>192</v>
      </c>
      <c r="E9592" s="1" t="s">
        <v>16613</v>
      </c>
      <c r="N9592" s="1" t="s">
        <v>10</v>
      </c>
      <c r="DO9592" s="1" t="s">
        <v>115</v>
      </c>
      <c r="GD9592" s="1" t="s">
        <v>189</v>
      </c>
      <c r="GE9592" s="1" t="s">
        <v>190</v>
      </c>
    </row>
    <row r="9593" spans="1:187" ht="11.25" customHeight="1">
      <c r="A9593" s="1" t="s">
        <v>13493</v>
      </c>
      <c r="B9593" s="1" t="str">
        <f ca="1">IFERROR(__xludf.DUMMYFUNCTION("GOOGLETRANSLATE(A9593, ""en"", ""fr"")"),"Neige # 1")</f>
        <v>Neige # 1</v>
      </c>
      <c r="C9593" s="1" t="s">
        <v>185</v>
      </c>
      <c r="AV9593" s="1" t="s">
        <v>44</v>
      </c>
      <c r="BB9593" s="1" t="s">
        <v>50</v>
      </c>
      <c r="GD9593" s="1" t="s">
        <v>849</v>
      </c>
      <c r="GE9593" s="1" t="s">
        <v>13494</v>
      </c>
    </row>
    <row r="9594" spans="1:187" ht="11.25" customHeight="1">
      <c r="A9594" s="1" t="s">
        <v>13495</v>
      </c>
      <c r="B9594" s="1" t="str">
        <f ca="1">IFERROR(__xludf.DUMMYFUNCTION("GOOGLETRANSLATE(A9594, ""en"", ""fr"")"),"Neige # 2")</f>
        <v>Neige # 2</v>
      </c>
      <c r="C9594" s="1" t="s">
        <v>185</v>
      </c>
      <c r="BU9594" s="1" t="s">
        <v>69</v>
      </c>
      <c r="DO9594" s="1" t="s">
        <v>115</v>
      </c>
      <c r="GD9594" s="1" t="s">
        <v>189</v>
      </c>
      <c r="GE9594" s="1" t="s">
        <v>13496</v>
      </c>
    </row>
    <row r="9595" spans="1:187" ht="11.25" customHeight="1">
      <c r="A9595" s="1" t="s">
        <v>13497</v>
      </c>
      <c r="B9595" s="1" t="str">
        <f ca="1">IFERROR(__xludf.DUMMYFUNCTION("GOOGLETRANSLATE(A9595, ""en"", ""fr"")"),"Neige # 3")</f>
        <v>Neige # 3</v>
      </c>
      <c r="C9595" s="1" t="s">
        <v>185</v>
      </c>
      <c r="O9595" s="1" t="s">
        <v>11</v>
      </c>
      <c r="BT9595" s="1" t="s">
        <v>68</v>
      </c>
      <c r="DN9595" s="1" t="s">
        <v>114</v>
      </c>
      <c r="FO9595" s="1" t="s">
        <v>167</v>
      </c>
      <c r="GD9595" s="1" t="s">
        <v>189</v>
      </c>
      <c r="GE9595" s="1" t="s">
        <v>13498</v>
      </c>
    </row>
    <row r="9596" spans="1:187" ht="11.25" customHeight="1">
      <c r="A9596" s="1" t="s">
        <v>13499</v>
      </c>
      <c r="B9596" s="1" t="str">
        <f ca="1">IFERROR(__xludf.DUMMYFUNCTION("GOOGLETRANSLATE(A9596, ""en"", ""fr"")"),"SỐ 1")</f>
        <v>SỐ 1</v>
      </c>
      <c r="C9596" s="1" t="s">
        <v>185</v>
      </c>
      <c r="W9596" s="1" t="s">
        <v>19</v>
      </c>
      <c r="CS9596" s="1" t="s">
        <v>93</v>
      </c>
      <c r="GD9596" s="1" t="s">
        <v>236</v>
      </c>
      <c r="GE9596" s="1" t="s">
        <v>13500</v>
      </c>
    </row>
    <row r="9597" spans="1:187" ht="11.25" customHeight="1">
      <c r="A9597" s="1" t="s">
        <v>13501</v>
      </c>
      <c r="B9597" s="1" t="str">
        <f ca="1">IFERROR(__xludf.DUMMYFUNCTION("GOOGLETRANSLATE(A9597, ""en"", ""fr"")"),"So # 2")</f>
        <v>So # 2</v>
      </c>
      <c r="C9597" s="1" t="s">
        <v>185</v>
      </c>
      <c r="CI9597" s="1" t="s">
        <v>83</v>
      </c>
      <c r="GD9597" s="1" t="s">
        <v>763</v>
      </c>
      <c r="GE9597" s="1" t="s">
        <v>13502</v>
      </c>
    </row>
    <row r="9598" spans="1:187" ht="11.25" customHeight="1">
      <c r="A9598" s="1" t="s">
        <v>13503</v>
      </c>
      <c r="B9598" s="1" t="str">
        <f ca="1">IFERROR(__xludf.DUMMYFUNCTION("GOOGLETRANSLATE(A9598, ""en"", ""fr"")"),"SỐ 3")</f>
        <v>SỐ 3</v>
      </c>
      <c r="C9598" s="1" t="s">
        <v>185</v>
      </c>
      <c r="GD9598" s="1" t="s">
        <v>225</v>
      </c>
      <c r="GE9598" s="1" t="s">
        <v>13504</v>
      </c>
    </row>
    <row r="9599" spans="1:187" ht="11.25" customHeight="1">
      <c r="A9599" s="1" t="s">
        <v>13505</v>
      </c>
      <c r="B9599" s="1" t="str">
        <f ca="1">IFERROR(__xludf.DUMMYFUNCTION("GOOGLETRANSLATE(A9599, ""en"", ""fr"")"),"So # 4")</f>
        <v>So # 4</v>
      </c>
      <c r="C9599" s="1" t="s">
        <v>185</v>
      </c>
      <c r="GD9599" s="1" t="s">
        <v>225</v>
      </c>
      <c r="GE9599" s="1" t="s">
        <v>13506</v>
      </c>
    </row>
    <row r="9600" spans="1:187" ht="11.25" customHeight="1">
      <c r="A9600" s="1" t="s">
        <v>13507</v>
      </c>
      <c r="B9600" s="1" t="str">
        <f ca="1">IFERROR(__xludf.DUMMYFUNCTION("GOOGLETRANSLATE(A9600, ""en"", ""fr"")"),"So # 5")</f>
        <v>So # 5</v>
      </c>
      <c r="C9600" s="1" t="s">
        <v>185</v>
      </c>
      <c r="GD9600" s="1" t="s">
        <v>225</v>
      </c>
      <c r="GE9600" s="1" t="s">
        <v>13508</v>
      </c>
    </row>
    <row r="9601" spans="1:187" ht="11.25" customHeight="1">
      <c r="A9601" s="1" t="s">
        <v>13509</v>
      </c>
      <c r="B9601" s="1" t="str">
        <f ca="1">IFERROR(__xludf.DUMMYFUNCTION("GOOGLETRANSLATE(A9601, ""en"", ""fr"")"),"So # 6")</f>
        <v>So # 6</v>
      </c>
      <c r="C9601" s="1" t="s">
        <v>185</v>
      </c>
      <c r="GD9601" s="1" t="s">
        <v>225</v>
      </c>
      <c r="GE9601" s="1" t="s">
        <v>13510</v>
      </c>
    </row>
    <row r="9602" spans="1:187" ht="11.25" customHeight="1">
      <c r="A9602" s="1" t="s">
        <v>13511</v>
      </c>
      <c r="B9602" s="1" t="str">
        <f ca="1">IFERROR(__xludf.DUMMYFUNCTION("GOOGLETRANSLATE(A9602, ""en"", ""fr"")"),"MONTER")</f>
        <v>MONTER</v>
      </c>
      <c r="C9602" s="1" t="s">
        <v>185</v>
      </c>
      <c r="J9602" s="1" t="s">
        <v>6</v>
      </c>
      <c r="CB9602" s="1" t="s">
        <v>76</v>
      </c>
      <c r="DN9602" s="1" t="s">
        <v>114</v>
      </c>
      <c r="GD9602" s="1" t="s">
        <v>189</v>
      </c>
      <c r="GE9602" s="1" t="s">
        <v>190</v>
      </c>
    </row>
    <row r="9603" spans="1:187" ht="11.25" customHeight="1">
      <c r="A9603" s="1" t="s">
        <v>13512</v>
      </c>
      <c r="B9603" s="1" t="str">
        <f ca="1">IFERROR(__xludf.DUMMYFUNCTION("GOOGLETRANSLATE(A9603, ""en"", ""fr"")"),"SANGLOT")</f>
        <v>SANGLOT</v>
      </c>
      <c r="C9603" s="1" t="s">
        <v>192</v>
      </c>
      <c r="E9603" s="1" t="s">
        <v>16613</v>
      </c>
      <c r="N9603" s="1" t="s">
        <v>10</v>
      </c>
      <c r="Q9603" s="1" t="s">
        <v>13</v>
      </c>
      <c r="T9603" s="1" t="s">
        <v>16</v>
      </c>
      <c r="DO9603" s="1" t="s">
        <v>115</v>
      </c>
      <c r="GD9603" s="1" t="s">
        <v>189</v>
      </c>
      <c r="GE9603" s="1" t="s">
        <v>190</v>
      </c>
    </row>
    <row r="9604" spans="1:187" ht="11.25" customHeight="1">
      <c r="A9604" s="1" t="s">
        <v>13513</v>
      </c>
      <c r="B9604" s="1" t="str">
        <f ca="1">IFERROR(__xludf.DUMMYFUNCTION("GOOGLETRANSLATE(A9604, ""en"", ""fr"")"),"SOBRE")</f>
        <v>SOBRE</v>
      </c>
      <c r="C9604" s="1" t="s">
        <v>192</v>
      </c>
      <c r="D9604" s="1" t="s">
        <v>16612</v>
      </c>
      <c r="J9604" s="1" t="s">
        <v>6</v>
      </c>
      <c r="CG9604" s="1" t="s">
        <v>81</v>
      </c>
      <c r="DR9604" s="1" t="s">
        <v>118</v>
      </c>
      <c r="GD9604" s="1" t="s">
        <v>202</v>
      </c>
      <c r="GE9604" s="1" t="s">
        <v>190</v>
      </c>
    </row>
    <row r="9605" spans="1:187" ht="11.25" customHeight="1">
      <c r="A9605" s="1" t="s">
        <v>13514</v>
      </c>
      <c r="B9605" s="1" t="str">
        <f ca="1">IFERROR(__xludf.DUMMYFUNCTION("GOOGLETRANSLATE(A9605, ""en"", ""fr"")"),"SOCIABLE")</f>
        <v>SOCIABLE</v>
      </c>
      <c r="C9605" s="1" t="s">
        <v>192</v>
      </c>
      <c r="D9605" s="1" t="s">
        <v>16612</v>
      </c>
      <c r="G9605" s="1" t="s">
        <v>3</v>
      </c>
      <c r="U9605" s="1" t="s">
        <v>17</v>
      </c>
      <c r="AN9605" s="1" t="s">
        <v>36</v>
      </c>
      <c r="DQ9605" s="1" t="s">
        <v>117</v>
      </c>
      <c r="GD9605" s="1" t="s">
        <v>202</v>
      </c>
      <c r="GE9605" s="1" t="s">
        <v>190</v>
      </c>
    </row>
    <row r="9606" spans="1:187" ht="11.25" customHeight="1">
      <c r="A9606" s="1" t="s">
        <v>13515</v>
      </c>
      <c r="B9606" s="1" t="str">
        <f ca="1">IFERROR(__xludf.DUMMYFUNCTION("GOOGLETRANSLATE(A9606, ""en"", ""fr"")"),"Social # 1")</f>
        <v>Social # 1</v>
      </c>
      <c r="C9606" s="1" t="s">
        <v>185</v>
      </c>
      <c r="AG9606" s="1" t="s">
        <v>29</v>
      </c>
      <c r="AH9606" s="1" t="s">
        <v>30</v>
      </c>
      <c r="AK9606" s="1" t="s">
        <v>33</v>
      </c>
      <c r="AT9606" s="1" t="s">
        <v>42</v>
      </c>
      <c r="FS9606" s="1" t="s">
        <v>171</v>
      </c>
      <c r="GD9606" s="1" t="s">
        <v>202</v>
      </c>
      <c r="GE9606" s="1" t="s">
        <v>13516</v>
      </c>
    </row>
    <row r="9607" spans="1:187" ht="11.25" customHeight="1">
      <c r="A9607" s="1" t="s">
        <v>13517</v>
      </c>
      <c r="B9607" s="1" t="str">
        <f ca="1">IFERROR(__xludf.DUMMYFUNCTION("GOOGLETRANSLATE(A9607, ""en"", ""fr"")"),"Social # 2")</f>
        <v>Social # 2</v>
      </c>
      <c r="C9607" s="1" t="s">
        <v>185</v>
      </c>
      <c r="Z9607" s="1" t="s">
        <v>22</v>
      </c>
      <c r="AA9607" s="1" t="s">
        <v>23</v>
      </c>
      <c r="AC9607" s="1" t="s">
        <v>25</v>
      </c>
      <c r="AH9607" s="1" t="s">
        <v>30</v>
      </c>
      <c r="EZ9607" s="1" t="s">
        <v>152</v>
      </c>
      <c r="FC9607" s="1" t="s">
        <v>155</v>
      </c>
      <c r="GD9607" s="1" t="s">
        <v>193</v>
      </c>
      <c r="GE9607" s="1" t="s">
        <v>13518</v>
      </c>
    </row>
    <row r="9608" spans="1:187" ht="11.25" customHeight="1">
      <c r="A9608" s="1" t="s">
        <v>13519</v>
      </c>
      <c r="B9608" s="1" t="str">
        <f ca="1">IFERROR(__xludf.DUMMYFUNCTION("GOOGLETRANSLATE(A9608, ""en"", ""fr"")"),"Social # 3")</f>
        <v>Social # 3</v>
      </c>
      <c r="C9608" s="1" t="s">
        <v>185</v>
      </c>
      <c r="AA9608" s="1" t="s">
        <v>23</v>
      </c>
      <c r="AC9608" s="1" t="s">
        <v>25</v>
      </c>
      <c r="AH9608" s="1" t="s">
        <v>30</v>
      </c>
      <c r="AJ9608" s="1" t="s">
        <v>32</v>
      </c>
      <c r="AT9608" s="1" t="s">
        <v>42</v>
      </c>
      <c r="FK9608" s="1" t="s">
        <v>163</v>
      </c>
      <c r="FM9608" s="1" t="s">
        <v>418</v>
      </c>
      <c r="GD9608" s="1" t="s">
        <v>193</v>
      </c>
      <c r="GE9608" s="1" t="s">
        <v>13520</v>
      </c>
    </row>
    <row r="9609" spans="1:187" ht="11.25" customHeight="1">
      <c r="A9609" s="1" t="s">
        <v>13521</v>
      </c>
      <c r="B9609" s="1" t="str">
        <f ca="1">IFERROR(__xludf.DUMMYFUNCTION("GOOGLETRANSLATE(A9609, ""en"", ""fr"")"),"Social # 4")</f>
        <v>Social # 4</v>
      </c>
      <c r="C9609" s="1" t="s">
        <v>185</v>
      </c>
      <c r="G9609" s="1" t="s">
        <v>3</v>
      </c>
      <c r="AN9609" s="1" t="s">
        <v>36</v>
      </c>
      <c r="FS9609" s="1" t="s">
        <v>171</v>
      </c>
      <c r="GD9609" s="1" t="s">
        <v>236</v>
      </c>
      <c r="GE9609" s="1" t="s">
        <v>13522</v>
      </c>
    </row>
    <row r="9610" spans="1:187" ht="11.25" customHeight="1">
      <c r="A9610" s="1" t="s">
        <v>13523</v>
      </c>
      <c r="B9610" s="1" t="str">
        <f ca="1">IFERROR(__xludf.DUMMYFUNCTION("GOOGLETRANSLATE(A9610, ""en"", ""fr"")"),"Social # 5")</f>
        <v>Social # 5</v>
      </c>
      <c r="C9610" s="1" t="s">
        <v>185</v>
      </c>
      <c r="GD9610" s="1" t="s">
        <v>225</v>
      </c>
      <c r="GE9610" s="1" t="s">
        <v>13524</v>
      </c>
    </row>
    <row r="9611" spans="1:187" ht="11.25" customHeight="1">
      <c r="A9611" s="1" t="s">
        <v>13525</v>
      </c>
      <c r="B9611" s="1" t="str">
        <f ca="1">IFERROR(__xludf.DUMMYFUNCTION("GOOGLETRANSLATE(A9611, ""en"", ""fr"")"),"SOCIALISME")</f>
        <v>SOCIALISME</v>
      </c>
      <c r="C9611" s="1" t="s">
        <v>185</v>
      </c>
      <c r="Z9611" s="1" t="s">
        <v>22</v>
      </c>
      <c r="AC9611" s="1" t="s">
        <v>25</v>
      </c>
      <c r="AG9611" s="1" t="s">
        <v>29</v>
      </c>
      <c r="AH9611" s="1" t="s">
        <v>30</v>
      </c>
      <c r="CP9611" s="1" t="s">
        <v>90</v>
      </c>
      <c r="CQ9611" s="1" t="s">
        <v>91</v>
      </c>
      <c r="EA9611" s="1" t="s">
        <v>127</v>
      </c>
      <c r="ED9611" s="1" t="s">
        <v>130</v>
      </c>
      <c r="GD9611" s="1" t="s">
        <v>193</v>
      </c>
      <c r="GE9611" s="1" t="s">
        <v>190</v>
      </c>
    </row>
    <row r="9612" spans="1:187" ht="11.25" customHeight="1">
      <c r="A9612" s="1" t="s">
        <v>13526</v>
      </c>
      <c r="B9612" s="1" t="str">
        <f ca="1">IFERROR(__xludf.DUMMYFUNCTION("GOOGLETRANSLATE(A9612, ""en"", ""fr"")"),"SOCIALISTE")</f>
        <v>SOCIALISTE</v>
      </c>
      <c r="C9612" s="1" t="s">
        <v>185</v>
      </c>
      <c r="AC9612" s="1" t="s">
        <v>25</v>
      </c>
      <c r="AG9612" s="1" t="s">
        <v>29</v>
      </c>
      <c r="AH9612" s="1" t="s">
        <v>30</v>
      </c>
      <c r="AJ9612" s="1" t="s">
        <v>32</v>
      </c>
      <c r="AT9612" s="1" t="s">
        <v>42</v>
      </c>
      <c r="DZ9612" s="1" t="s">
        <v>126</v>
      </c>
      <c r="ED9612" s="1" t="s">
        <v>130</v>
      </c>
      <c r="GD9612" s="1" t="s">
        <v>193</v>
      </c>
      <c r="GE9612" s="1" t="s">
        <v>190</v>
      </c>
    </row>
    <row r="9613" spans="1:187" ht="11.25" customHeight="1">
      <c r="A9613" s="1" t="s">
        <v>13527</v>
      </c>
      <c r="B9613" s="1" t="str">
        <f ca="1">IFERROR(__xludf.DUMMYFUNCTION("GOOGLETRANSLATE(A9613, ""en"", ""fr"")"),"SOCIÉTÉ")</f>
        <v>SOCIÉTÉ</v>
      </c>
      <c r="C9613" s="1" t="s">
        <v>185</v>
      </c>
      <c r="AG9613" s="1" t="s">
        <v>29</v>
      </c>
      <c r="AH9613" s="1" t="s">
        <v>30</v>
      </c>
      <c r="AK9613" s="1" t="s">
        <v>33</v>
      </c>
      <c r="AT9613" s="1" t="s">
        <v>42</v>
      </c>
      <c r="FS9613" s="1" t="s">
        <v>171</v>
      </c>
      <c r="GD9613" s="1" t="s">
        <v>193</v>
      </c>
      <c r="GE9613" s="1" t="s">
        <v>13528</v>
      </c>
    </row>
    <row r="9614" spans="1:187" ht="11.25" customHeight="1">
      <c r="A9614" s="1" t="s">
        <v>13529</v>
      </c>
      <c r="B9614" s="1" t="str">
        <f ca="1">IFERROR(__xludf.DUMMYFUNCTION("GOOGLETRANSLATE(A9614, ""en"", ""fr"")"),"Sociologique")</f>
        <v>Sociologique</v>
      </c>
      <c r="C9614" s="1" t="s">
        <v>185</v>
      </c>
      <c r="Y9614" s="1" t="s">
        <v>21</v>
      </c>
      <c r="Z9614" s="1" t="s">
        <v>22</v>
      </c>
      <c r="GD9614" s="1" t="s">
        <v>202</v>
      </c>
      <c r="GE9614" s="1" t="s">
        <v>190</v>
      </c>
    </row>
    <row r="9615" spans="1:187" ht="11.25" customHeight="1">
      <c r="A9615" s="1" t="s">
        <v>13530</v>
      </c>
      <c r="B9615" s="1" t="str">
        <f ca="1">IFERROR(__xludf.DUMMYFUNCTION("GOOGLETRANSLATE(A9615, ""en"", ""fr"")"),"SOCIOLOGIE")</f>
        <v>SOCIOLOGIE</v>
      </c>
      <c r="C9615" s="1" t="s">
        <v>185</v>
      </c>
      <c r="Y9615" s="1" t="s">
        <v>21</v>
      </c>
      <c r="Z9615" s="1" t="s">
        <v>22</v>
      </c>
      <c r="GD9615" s="1" t="s">
        <v>193</v>
      </c>
      <c r="GE9615" s="1" t="s">
        <v>190</v>
      </c>
    </row>
    <row r="9616" spans="1:187" ht="11.25" customHeight="1">
      <c r="A9616" s="1" t="s">
        <v>13531</v>
      </c>
      <c r="B9616" s="1" t="str">
        <f ca="1">IFERROR(__xludf.DUMMYFUNCTION("GOOGLETRANSLATE(A9616, ""en"", ""fr"")"),"Que l'on")</f>
        <v>Que l'on</v>
      </c>
      <c r="C9616" s="1" t="s">
        <v>196</v>
      </c>
      <c r="GD9616" s="1" t="s">
        <v>3750</v>
      </c>
    </row>
    <row r="9617" spans="1:187" ht="11.25" customHeight="1">
      <c r="A9617" s="1" t="s">
        <v>13532</v>
      </c>
      <c r="B9617" s="1" t="str">
        <f ca="1">IFERROR(__xludf.DUMMYFUNCTION("GOOGLETRANSLATE(A9617, ""en"", ""fr"")"),"Soft # 1")</f>
        <v>Soft # 1</v>
      </c>
      <c r="C9617" s="1" t="s">
        <v>185</v>
      </c>
      <c r="L9617" s="1" t="s">
        <v>8</v>
      </c>
      <c r="CR9617" s="1" t="s">
        <v>92</v>
      </c>
      <c r="GD9617" s="1" t="s">
        <v>202</v>
      </c>
      <c r="GE9617" s="1" t="s">
        <v>13533</v>
      </c>
    </row>
    <row r="9618" spans="1:187" ht="11.25" customHeight="1">
      <c r="A9618" s="1" t="s">
        <v>13534</v>
      </c>
      <c r="B9618" s="1" t="str">
        <f ca="1">IFERROR(__xludf.DUMMYFUNCTION("GOOGLETRANSLATE(A9618, ""en"", ""fr"")"),"Soft # 2")</f>
        <v>Soft # 2</v>
      </c>
      <c r="C9618" s="1" t="s">
        <v>185</v>
      </c>
      <c r="L9618" s="1" t="s">
        <v>8</v>
      </c>
      <c r="CR9618" s="1" t="s">
        <v>92</v>
      </c>
      <c r="GD9618" s="1" t="s">
        <v>202</v>
      </c>
      <c r="GE9618" s="1" t="s">
        <v>13535</v>
      </c>
    </row>
    <row r="9619" spans="1:187" ht="11.25" customHeight="1">
      <c r="A9619" s="1" t="s">
        <v>13536</v>
      </c>
      <c r="B9619" s="1" t="str">
        <f ca="1">IFERROR(__xludf.DUMMYFUNCTION("GOOGLETRANSLATE(A9619, ""en"", ""fr"")"),"Soft # 3")</f>
        <v>Soft # 3</v>
      </c>
      <c r="C9619" s="1" t="s">
        <v>185</v>
      </c>
      <c r="L9619" s="1" t="s">
        <v>8</v>
      </c>
      <c r="CR9619" s="1" t="s">
        <v>92</v>
      </c>
      <c r="GD9619" s="1" t="s">
        <v>236</v>
      </c>
      <c r="GE9619" s="1" t="s">
        <v>13537</v>
      </c>
    </row>
    <row r="9620" spans="1:187" ht="11.25" customHeight="1">
      <c r="A9620" s="1" t="s">
        <v>13538</v>
      </c>
      <c r="B9620" s="1" t="str">
        <f ca="1">IFERROR(__xludf.DUMMYFUNCTION("GOOGLETRANSLATE(A9620, ""en"", ""fr"")"),"Soft # 4")</f>
        <v>Soft # 4</v>
      </c>
      <c r="C9620" s="1" t="s">
        <v>185</v>
      </c>
      <c r="BC9620" s="1" t="s">
        <v>51</v>
      </c>
      <c r="BE9620" s="1" t="s">
        <v>53</v>
      </c>
      <c r="GD9620" s="1" t="s">
        <v>193</v>
      </c>
      <c r="GE9620" s="1" t="s">
        <v>13539</v>
      </c>
    </row>
    <row r="9621" spans="1:187" ht="11.25" customHeight="1">
      <c r="A9621" s="1" t="s">
        <v>13540</v>
      </c>
      <c r="B9621" s="1" t="str">
        <f ca="1">IFERROR(__xludf.DUMMYFUNCTION("GOOGLETRANSLATE(A9621, ""en"", ""fr"")"),"Soft # 5")</f>
        <v>Soft # 5</v>
      </c>
      <c r="C9621" s="1" t="s">
        <v>185</v>
      </c>
      <c r="L9621" s="1" t="s">
        <v>8</v>
      </c>
      <c r="O9621" s="1" t="s">
        <v>11</v>
      </c>
      <c r="AJ9621" s="1" t="s">
        <v>32</v>
      </c>
      <c r="AT9621" s="1" t="s">
        <v>42</v>
      </c>
      <c r="GD9621" s="1" t="s">
        <v>5405</v>
      </c>
      <c r="GE9621" s="1" t="s">
        <v>13541</v>
      </c>
    </row>
    <row r="9622" spans="1:187" ht="11.25" customHeight="1">
      <c r="A9622" s="1" t="s">
        <v>13542</v>
      </c>
      <c r="B9622" s="1" t="str">
        <f ca="1">IFERROR(__xludf.DUMMYFUNCTION("GOOGLETRANSLATE(A9622, ""en"", ""fr"")"),"DOUCEUR")</f>
        <v>DOUCEUR</v>
      </c>
      <c r="C9622" s="1" t="s">
        <v>192</v>
      </c>
      <c r="D9622" s="1" t="s">
        <v>16612</v>
      </c>
      <c r="CM9622" s="1" t="s">
        <v>87</v>
      </c>
      <c r="CR9622" s="1" t="s">
        <v>92</v>
      </c>
      <c r="GD9622" s="1" t="s">
        <v>193</v>
      </c>
      <c r="GE9622" s="1" t="s">
        <v>190</v>
      </c>
    </row>
    <row r="9623" spans="1:187" ht="11.25" customHeight="1">
      <c r="A9623" s="1" t="s">
        <v>13543</v>
      </c>
      <c r="B9623" s="1" t="str">
        <f ca="1">IFERROR(__xludf.DUMMYFUNCTION("GOOGLETRANSLATE(A9623, ""en"", ""fr"")"),"SOL")</f>
        <v>SOL</v>
      </c>
      <c r="C9623" s="1" t="s">
        <v>185</v>
      </c>
      <c r="BC9623" s="1" t="s">
        <v>51</v>
      </c>
      <c r="BI9623" s="1" t="s">
        <v>57</v>
      </c>
      <c r="GD9623" s="1" t="s">
        <v>193</v>
      </c>
      <c r="GE9623" s="1" t="s">
        <v>190</v>
      </c>
    </row>
    <row r="9624" spans="1:187" ht="11.25" customHeight="1">
      <c r="A9624" s="1" t="s">
        <v>13544</v>
      </c>
      <c r="B9624" s="1" t="str">
        <f ca="1">IFERROR(__xludf.DUMMYFUNCTION("GOOGLETRANSLATE(A9624, ""en"", ""fr"")"),"RÉCONFORT")</f>
        <v>RÉCONFORT</v>
      </c>
      <c r="C9624" s="1" t="s">
        <v>192</v>
      </c>
      <c r="D9624" s="1" t="s">
        <v>16612</v>
      </c>
      <c r="U9624" s="1" t="s">
        <v>17</v>
      </c>
      <c r="W9624" s="1" t="s">
        <v>19</v>
      </c>
      <c r="CG9624" s="1" t="s">
        <v>81</v>
      </c>
      <c r="GD9624" s="1" t="s">
        <v>193</v>
      </c>
      <c r="GE9624" s="1" t="s">
        <v>190</v>
      </c>
    </row>
    <row r="9625" spans="1:187" ht="11.25" customHeight="1">
      <c r="A9625" s="1" t="s">
        <v>13545</v>
      </c>
      <c r="B9625" s="1" t="str">
        <f ca="1">IFERROR(__xludf.DUMMYFUNCTION("GOOGLETRANSLATE(A9625, ""en"", ""fr"")"),"SOLAIRE")</f>
        <v>SOLAIRE</v>
      </c>
      <c r="C9625" s="1" t="s">
        <v>185</v>
      </c>
      <c r="AV9625" s="1" t="s">
        <v>44</v>
      </c>
      <c r="AX9625" s="1" t="s">
        <v>46</v>
      </c>
      <c r="GD9625" s="1" t="s">
        <v>202</v>
      </c>
      <c r="GE9625" s="1" t="s">
        <v>190</v>
      </c>
    </row>
    <row r="9626" spans="1:187" ht="11.25" customHeight="1">
      <c r="A9626" s="1" t="s">
        <v>13546</v>
      </c>
      <c r="B9626" s="1" t="str">
        <f ca="1">IFERROR(__xludf.DUMMYFUNCTION("GOOGLETRANSLATE(A9626, ""en"", ""fr"")"),"Vendu n ° 1")</f>
        <v>Vendu n ° 1</v>
      </c>
      <c r="C9626" s="1" t="s">
        <v>185</v>
      </c>
      <c r="N9626" s="1" t="s">
        <v>10</v>
      </c>
      <c r="AA9626" s="1" t="s">
        <v>23</v>
      </c>
      <c r="AB9626" s="1" t="s">
        <v>24</v>
      </c>
      <c r="DO9626" s="1" t="s">
        <v>115</v>
      </c>
      <c r="EU9626" s="1" t="s">
        <v>147</v>
      </c>
      <c r="EW9626" s="1" t="s">
        <v>149</v>
      </c>
      <c r="GD9626" s="1" t="s">
        <v>1076</v>
      </c>
      <c r="GE9626" s="1" t="s">
        <v>13547</v>
      </c>
    </row>
    <row r="9627" spans="1:187" ht="11.25" customHeight="1">
      <c r="A9627" s="1" t="s">
        <v>13548</v>
      </c>
      <c r="B9627" s="1" t="str">
        <f ca="1">IFERROR(__xludf.DUMMYFUNCTION("GOOGLETRANSLATE(A9627, ""en"", ""fr"")"),"Vendu n ° 2")</f>
        <v>Vendu n ° 2</v>
      </c>
      <c r="C9627" s="1" t="s">
        <v>185</v>
      </c>
      <c r="O9627" s="1" t="s">
        <v>11</v>
      </c>
      <c r="CO9627" s="1" t="s">
        <v>89</v>
      </c>
      <c r="DN9627" s="1" t="s">
        <v>114</v>
      </c>
      <c r="FH9627" s="1" t="s">
        <v>160</v>
      </c>
      <c r="FI9627" s="1" t="s">
        <v>161</v>
      </c>
      <c r="GD9627" s="1" t="s">
        <v>1076</v>
      </c>
      <c r="GE9627" s="1" t="s">
        <v>13549</v>
      </c>
    </row>
    <row r="9628" spans="1:187" ht="11.25" customHeight="1">
      <c r="A9628" s="1" t="s">
        <v>13550</v>
      </c>
      <c r="B9628" s="1" t="str">
        <f ca="1">IFERROR(__xludf.DUMMYFUNCTION("GOOGLETRANSLATE(A9628, ""en"", ""fr"")"),"Vendu # 3")</f>
        <v>Vendu # 3</v>
      </c>
      <c r="C9628" s="1" t="s">
        <v>185</v>
      </c>
      <c r="O9628" s="1" t="s">
        <v>11</v>
      </c>
      <c r="CH9628" s="1" t="s">
        <v>82</v>
      </c>
      <c r="FH9628" s="1" t="s">
        <v>160</v>
      </c>
      <c r="FI9628" s="1" t="s">
        <v>161</v>
      </c>
      <c r="GD9628" s="1" t="s">
        <v>202</v>
      </c>
      <c r="GE9628" s="1" t="s">
        <v>13551</v>
      </c>
    </row>
    <row r="9629" spans="1:187" ht="11.25" customHeight="1">
      <c r="A9629" s="1" t="s">
        <v>13552</v>
      </c>
      <c r="B9629" s="1" t="str">
        <f ca="1">IFERROR(__xludf.DUMMYFUNCTION("GOOGLETRANSLATE(A9629, ""en"", ""fr"")"),"SOLDAT")</f>
        <v>SOLDAT</v>
      </c>
      <c r="C9629" s="1" t="s">
        <v>185</v>
      </c>
      <c r="AF9629" s="1" t="s">
        <v>28</v>
      </c>
      <c r="AJ9629" s="1" t="s">
        <v>32</v>
      </c>
      <c r="AT9629" s="1" t="s">
        <v>42</v>
      </c>
      <c r="DY9629" s="1" t="s">
        <v>125</v>
      </c>
      <c r="ED9629" s="1" t="s">
        <v>130</v>
      </c>
      <c r="GD9629" s="1" t="s">
        <v>193</v>
      </c>
      <c r="GE9629" s="1" t="s">
        <v>13553</v>
      </c>
    </row>
    <row r="9630" spans="1:187" ht="11.25" customHeight="1">
      <c r="A9630" s="1" t="s">
        <v>13554</v>
      </c>
      <c r="B9630" s="1" t="str">
        <f ca="1">IFERROR(__xludf.DUMMYFUNCTION("GOOGLETRANSLATE(A9630, ""en"", ""fr"")"),"SEUL")</f>
        <v>SEUL</v>
      </c>
      <c r="C9630" s="1" t="s">
        <v>185</v>
      </c>
      <c r="W9630" s="1" t="s">
        <v>19</v>
      </c>
      <c r="CS9630" s="1" t="s">
        <v>93</v>
      </c>
      <c r="GD9630" s="1" t="s">
        <v>2464</v>
      </c>
      <c r="GE9630" s="1" t="s">
        <v>190</v>
      </c>
    </row>
    <row r="9631" spans="1:187" ht="11.25" customHeight="1">
      <c r="A9631" s="1" t="s">
        <v>13555</v>
      </c>
      <c r="B9631" s="1" t="str">
        <f ca="1">IFERROR(__xludf.DUMMYFUNCTION("GOOGLETRANSLATE(A9631, ""en"", ""fr"")"),"SOLENNEL")</f>
        <v>SOLENNEL</v>
      </c>
      <c r="C9631" s="1" t="s">
        <v>185</v>
      </c>
      <c r="T9631" s="1" t="s">
        <v>16</v>
      </c>
      <c r="U9631" s="1" t="s">
        <v>17</v>
      </c>
      <c r="AI9631" s="1" t="s">
        <v>31</v>
      </c>
      <c r="EI9631" s="1" t="s">
        <v>135</v>
      </c>
      <c r="EJ9631" s="1" t="s">
        <v>136</v>
      </c>
      <c r="GD9631" s="1" t="s">
        <v>202</v>
      </c>
      <c r="GE9631" s="1" t="s">
        <v>190</v>
      </c>
    </row>
    <row r="9632" spans="1:187" ht="11.25" customHeight="1">
      <c r="A9632" s="1" t="s">
        <v>13556</v>
      </c>
      <c r="B9632" s="1" t="str">
        <f ca="1">IFERROR(__xludf.DUMMYFUNCTION("GOOGLETRANSLATE(A9632, ""en"", ""fr"")"),"SOLLICITEUR")</f>
        <v>SOLLICITEUR</v>
      </c>
      <c r="C9632" s="1" t="s">
        <v>185</v>
      </c>
      <c r="AC9632" s="1" t="s">
        <v>25</v>
      </c>
      <c r="AE9632" s="1" t="s">
        <v>27</v>
      </c>
      <c r="AJ9632" s="1" t="s">
        <v>32</v>
      </c>
      <c r="AT9632" s="1" t="s">
        <v>42</v>
      </c>
      <c r="DY9632" s="1" t="s">
        <v>125</v>
      </c>
      <c r="ED9632" s="1" t="s">
        <v>130</v>
      </c>
      <c r="GD9632" s="1" t="s">
        <v>193</v>
      </c>
      <c r="GE9632" s="1" t="s">
        <v>190</v>
      </c>
    </row>
    <row r="9633" spans="1:187" ht="11.25" customHeight="1">
      <c r="A9633" s="1" t="s">
        <v>13557</v>
      </c>
      <c r="B9633" s="1" t="str">
        <f ca="1">IFERROR(__xludf.DUMMYFUNCTION("GOOGLETRANSLATE(A9633, ""en"", ""fr"")"),"SOLIDE")</f>
        <v>SOLIDE</v>
      </c>
      <c r="C9633" s="1" t="s">
        <v>185</v>
      </c>
      <c r="J9633" s="1" t="s">
        <v>6</v>
      </c>
      <c r="CN9633" s="1" t="s">
        <v>88</v>
      </c>
      <c r="CR9633" s="1" t="s">
        <v>92</v>
      </c>
      <c r="GD9633" s="1" t="s">
        <v>202</v>
      </c>
      <c r="GE9633" s="1" t="s">
        <v>190</v>
      </c>
    </row>
    <row r="9634" spans="1:187" ht="11.25" customHeight="1">
      <c r="A9634" s="1" t="s">
        <v>13558</v>
      </c>
      <c r="B9634" s="1" t="str">
        <f ca="1">IFERROR(__xludf.DUMMYFUNCTION("GOOGLETRANSLATE(A9634, ""en"", ""fr"")"),"SOLIDARITÉ")</f>
        <v>SOLIDARITÉ</v>
      </c>
      <c r="C9634" s="1" t="s">
        <v>185</v>
      </c>
      <c r="G9634" s="1" t="s">
        <v>3</v>
      </c>
      <c r="J9634" s="1" t="s">
        <v>6</v>
      </c>
      <c r="U9634" s="1" t="s">
        <v>17</v>
      </c>
      <c r="AH9634" s="1" t="s">
        <v>30</v>
      </c>
      <c r="DX9634" s="1" t="s">
        <v>124</v>
      </c>
      <c r="ED9634" s="1" t="s">
        <v>130</v>
      </c>
      <c r="GD9634" s="1" t="s">
        <v>193</v>
      </c>
      <c r="GE9634" s="1" t="s">
        <v>190</v>
      </c>
    </row>
    <row r="9635" spans="1:187" ht="11.25" customHeight="1">
      <c r="A9635" s="1" t="s">
        <v>13559</v>
      </c>
      <c r="B9635" s="1" t="str">
        <f ca="1">IFERROR(__xludf.DUMMYFUNCTION("GOOGLETRANSLATE(A9635, ""en"", ""fr"")"),"SOLIDITÉ")</f>
        <v>SOLIDITÉ</v>
      </c>
      <c r="C9635" s="1" t="s">
        <v>185</v>
      </c>
      <c r="J9635" s="1" t="s">
        <v>6</v>
      </c>
      <c r="CR9635" s="1" t="s">
        <v>92</v>
      </c>
      <c r="GD9635" s="1" t="s">
        <v>193</v>
      </c>
      <c r="GE9635" s="1" t="s">
        <v>190</v>
      </c>
    </row>
    <row r="9636" spans="1:187" ht="11.25" customHeight="1">
      <c r="A9636" s="1" t="s">
        <v>13560</v>
      </c>
      <c r="B9636" s="1" t="str">
        <f ca="1">IFERROR(__xludf.DUMMYFUNCTION("GOOGLETRANSLATE(A9636, ""en"", ""fr"")"),"SOLUTION")</f>
        <v>SOLUTION</v>
      </c>
      <c r="C9636" s="1" t="s">
        <v>185</v>
      </c>
      <c r="D9636" s="1" t="s">
        <v>16612</v>
      </c>
      <c r="F9636" s="1" t="s">
        <v>2</v>
      </c>
      <c r="BO9636" s="1" t="s">
        <v>63</v>
      </c>
      <c r="CP9636" s="1" t="s">
        <v>90</v>
      </c>
      <c r="CQ9636" s="1" t="s">
        <v>91</v>
      </c>
      <c r="FH9636" s="1" t="s">
        <v>160</v>
      </c>
      <c r="FI9636" s="1" t="s">
        <v>161</v>
      </c>
      <c r="GD9636" s="1" t="s">
        <v>193</v>
      </c>
      <c r="GE9636" s="1" t="s">
        <v>13561</v>
      </c>
    </row>
    <row r="9637" spans="1:187" ht="11.25" customHeight="1">
      <c r="A9637" s="1" t="s">
        <v>13562</v>
      </c>
      <c r="B9637" s="1" t="str">
        <f ca="1">IFERROR(__xludf.DUMMYFUNCTION("GOOGLETRANSLATE(A9637, ""en"", ""fr"")"),"RÉSOUDRE")</f>
        <v>RÉSOUDRE</v>
      </c>
      <c r="C9637" s="1" t="s">
        <v>185</v>
      </c>
      <c r="N9637" s="1" t="s">
        <v>10</v>
      </c>
      <c r="CO9637" s="1" t="s">
        <v>89</v>
      </c>
      <c r="DN9637" s="1" t="s">
        <v>114</v>
      </c>
      <c r="FD9637" s="1" t="s">
        <v>156</v>
      </c>
      <c r="FI9637" s="1" t="s">
        <v>161</v>
      </c>
      <c r="GD9637" s="1" t="s">
        <v>189</v>
      </c>
      <c r="GE9637" s="1" t="s">
        <v>13563</v>
      </c>
    </row>
    <row r="9638" spans="1:187" ht="11.25" customHeight="1">
      <c r="A9638" s="1" t="s">
        <v>13564</v>
      </c>
      <c r="B9638" s="1" t="str">
        <f ca="1">IFERROR(__xludf.DUMMYFUNCTION("GOOGLETRANSLATE(A9638, ""en"", ""fr"")"),"SOMALIE")</f>
        <v>SOMALIE</v>
      </c>
      <c r="C9638" s="1" t="s">
        <v>196</v>
      </c>
      <c r="FU9638" s="1" t="s">
        <v>173</v>
      </c>
      <c r="GD9638" s="1" t="s">
        <v>545</v>
      </c>
    </row>
    <row r="9639" spans="1:187" ht="11.25" customHeight="1">
      <c r="A9639" s="1" t="s">
        <v>13565</v>
      </c>
      <c r="B9639" s="1" t="str">
        <f ca="1">IFERROR(__xludf.DUMMYFUNCTION("GOOGLETRANSLATE(A9639, ""en"", ""fr"")"),"SOMBRE")</f>
        <v>SOMBRE</v>
      </c>
      <c r="C9639" s="1" t="s">
        <v>192</v>
      </c>
      <c r="E9639" s="1" t="s">
        <v>16613</v>
      </c>
      <c r="Q9639" s="1" t="s">
        <v>13</v>
      </c>
      <c r="T9639" s="1" t="s">
        <v>16</v>
      </c>
      <c r="DR9639" s="1" t="s">
        <v>118</v>
      </c>
      <c r="GD9639" s="1" t="s">
        <v>202</v>
      </c>
      <c r="GE9639" s="1" t="s">
        <v>190</v>
      </c>
    </row>
    <row r="9640" spans="1:187" ht="11.25" customHeight="1">
      <c r="A9640" s="1" t="s">
        <v>13566</v>
      </c>
      <c r="B9640" s="1" t="str">
        <f ca="1">IFERROR(__xludf.DUMMYFUNCTION("GOOGLETRANSLATE(A9640, ""en"", ""fr"")"),"Un peu # 1")</f>
        <v>Un peu # 1</v>
      </c>
      <c r="C9640" s="1" t="s">
        <v>185</v>
      </c>
      <c r="X9640" s="1" t="s">
        <v>20</v>
      </c>
      <c r="CS9640" s="1" t="s">
        <v>93</v>
      </c>
      <c r="GD9640" s="1" t="s">
        <v>6809</v>
      </c>
      <c r="GE9640" s="1" t="s">
        <v>13567</v>
      </c>
    </row>
    <row r="9641" spans="1:187" ht="11.25" customHeight="1">
      <c r="A9641" s="1" t="s">
        <v>13568</v>
      </c>
      <c r="B9641" s="1" t="str">
        <f ca="1">IFERROR(__xludf.DUMMYFUNCTION("GOOGLETRANSLATE(A9641, ""en"", ""fr"")"),"Quelques # 2")</f>
        <v>Quelques # 2</v>
      </c>
      <c r="C9641" s="1" t="s">
        <v>185</v>
      </c>
      <c r="X9641" s="1" t="s">
        <v>20</v>
      </c>
      <c r="GD9641" s="1" t="s">
        <v>884</v>
      </c>
      <c r="GE9641" s="1" t="s">
        <v>13569</v>
      </c>
    </row>
    <row r="9642" spans="1:187" ht="11.25" customHeight="1">
      <c r="A9642" s="1" t="s">
        <v>13570</v>
      </c>
      <c r="B9642" s="1" t="str">
        <f ca="1">IFERROR(__xludf.DUMMYFUNCTION("GOOGLETRANSLATE(A9642, ""en"", ""fr"")"),"QUELQU'UN")</f>
        <v>QUELQU'UN</v>
      </c>
      <c r="C9642" s="1" t="s">
        <v>185</v>
      </c>
      <c r="X9642" s="1" t="s">
        <v>20</v>
      </c>
      <c r="FT9642" s="1" t="s">
        <v>172</v>
      </c>
      <c r="GD9642" s="1" t="s">
        <v>929</v>
      </c>
      <c r="GE9642" s="1" t="s">
        <v>13571</v>
      </c>
    </row>
    <row r="9643" spans="1:187" ht="11.25" customHeight="1">
      <c r="A9643" s="1" t="s">
        <v>13572</v>
      </c>
      <c r="B9643" s="1" t="str">
        <f ca="1">IFERROR(__xludf.DUMMYFUNCTION("GOOGLETRANSLATE(A9643, ""en"", ""fr"")"),"D'une manière ou d'une autre # 1")</f>
        <v>D'une manière ou d'une autre # 1</v>
      </c>
      <c r="C9643" s="1" t="s">
        <v>185</v>
      </c>
      <c r="X9643" s="1" t="s">
        <v>20</v>
      </c>
      <c r="BQ9643" s="1" t="s">
        <v>65</v>
      </c>
      <c r="GD9643" s="1" t="s">
        <v>1357</v>
      </c>
      <c r="GE9643" s="1" t="s">
        <v>13573</v>
      </c>
    </row>
    <row r="9644" spans="1:187" ht="11.25" customHeight="1">
      <c r="A9644" s="1" t="s">
        <v>13574</v>
      </c>
      <c r="B9644" s="1" t="str">
        <f ca="1">IFERROR(__xludf.DUMMYFUNCTION("GOOGLETRANSLATE(A9644, ""en"", ""fr"")"),"D'une manière ou d'une autre # 2")</f>
        <v>D'une manière ou d'une autre # 2</v>
      </c>
      <c r="C9644" s="1" t="s">
        <v>185</v>
      </c>
      <c r="X9644" s="1" t="s">
        <v>20</v>
      </c>
      <c r="BQ9644" s="1" t="s">
        <v>65</v>
      </c>
      <c r="GD9644" s="1" t="s">
        <v>236</v>
      </c>
      <c r="GE9644" s="1" t="s">
        <v>13575</v>
      </c>
    </row>
    <row r="9645" spans="1:187" ht="11.25" customHeight="1">
      <c r="A9645" s="1" t="s">
        <v>13576</v>
      </c>
      <c r="B9645" s="1" t="str">
        <f ca="1">IFERROR(__xludf.DUMMYFUNCTION("GOOGLETRANSLATE(A9645, ""en"", ""fr"")"),"QUELQU'UN")</f>
        <v>QUELQU'UN</v>
      </c>
      <c r="C9645" s="1" t="s">
        <v>185</v>
      </c>
      <c r="X9645" s="1" t="s">
        <v>20</v>
      </c>
      <c r="FT9645" s="1" t="s">
        <v>172</v>
      </c>
      <c r="GD9645" s="1" t="s">
        <v>929</v>
      </c>
      <c r="GE9645" s="1" t="s">
        <v>13577</v>
      </c>
    </row>
    <row r="9646" spans="1:187" ht="11.25" customHeight="1">
      <c r="A9646" s="1" t="s">
        <v>13578</v>
      </c>
      <c r="B9646" s="1" t="str">
        <f ca="1">IFERROR(__xludf.DUMMYFUNCTION("GOOGLETRANSLATE(A9646, ""en"", ""fr"")"),"Quelque chose # 1")</f>
        <v>Quelque chose # 1</v>
      </c>
      <c r="C9646" s="1" t="s">
        <v>185</v>
      </c>
      <c r="X9646" s="1" t="s">
        <v>20</v>
      </c>
      <c r="GD9646" s="1" t="s">
        <v>13579</v>
      </c>
      <c r="GE9646" s="1" t="s">
        <v>13580</v>
      </c>
    </row>
    <row r="9647" spans="1:187" ht="11.25" customHeight="1">
      <c r="A9647" s="1" t="s">
        <v>13581</v>
      </c>
      <c r="B9647" s="1" t="str">
        <f ca="1">IFERROR(__xludf.DUMMYFUNCTION("GOOGLETRANSLATE(A9647, ""en"", ""fr"")"),"Quelque chose # 2")</f>
        <v>Quelque chose # 2</v>
      </c>
      <c r="C9647" s="1" t="s">
        <v>185</v>
      </c>
      <c r="X9647" s="1" t="s">
        <v>20</v>
      </c>
      <c r="CS9647" s="1" t="s">
        <v>93</v>
      </c>
      <c r="GD9647" s="1" t="s">
        <v>236</v>
      </c>
      <c r="GE9647" s="1" t="s">
        <v>13582</v>
      </c>
    </row>
    <row r="9648" spans="1:187" ht="11.25" customHeight="1">
      <c r="A9648" s="1" t="s">
        <v>13583</v>
      </c>
      <c r="B9648" s="1" t="str">
        <f ca="1">IFERROR(__xludf.DUMMYFUNCTION("GOOGLETRANSLATE(A9648, ""en"", ""fr"")"),"Quelque chose # 3")</f>
        <v>Quelque chose # 3</v>
      </c>
      <c r="C9648" s="1" t="s">
        <v>185</v>
      </c>
      <c r="X9648" s="1" t="s">
        <v>20</v>
      </c>
      <c r="BQ9648" s="1" t="s">
        <v>65</v>
      </c>
      <c r="GD9648" s="1" t="s">
        <v>193</v>
      </c>
      <c r="GE9648" s="1" t="s">
        <v>13584</v>
      </c>
    </row>
    <row r="9649" spans="1:187" ht="11.25" customHeight="1">
      <c r="A9649" s="1" t="s">
        <v>13585</v>
      </c>
      <c r="B9649" s="1" t="str">
        <f ca="1">IFERROR(__xludf.DUMMYFUNCTION("GOOGLETRANSLATE(A9649, ""en"", ""fr"")"),"Parfois # 1")</f>
        <v>Parfois # 1</v>
      </c>
      <c r="C9649" s="1" t="s">
        <v>185</v>
      </c>
      <c r="X9649" s="1" t="s">
        <v>20</v>
      </c>
      <c r="CY9649" s="1" t="s">
        <v>99</v>
      </c>
      <c r="GB9649" s="1" t="s">
        <v>180</v>
      </c>
      <c r="GD9649" s="1" t="s">
        <v>236</v>
      </c>
      <c r="GE9649" s="1" t="s">
        <v>13586</v>
      </c>
    </row>
    <row r="9650" spans="1:187" ht="11.25" customHeight="1">
      <c r="A9650" s="1" t="s">
        <v>13587</v>
      </c>
      <c r="B9650" s="1" t="str">
        <f ca="1">IFERROR(__xludf.DUMMYFUNCTION("GOOGLETRANSLATE(A9650, ""en"", ""fr"")"),"Parfois # 2")</f>
        <v>Parfois # 2</v>
      </c>
      <c r="C9650" s="1" t="s">
        <v>185</v>
      </c>
      <c r="X9650" s="1" t="s">
        <v>20</v>
      </c>
      <c r="CW9650" s="1" t="s">
        <v>97</v>
      </c>
      <c r="GB9650" s="1" t="s">
        <v>180</v>
      </c>
      <c r="GD9650" s="1" t="s">
        <v>1357</v>
      </c>
      <c r="GE9650" s="1" t="s">
        <v>13588</v>
      </c>
    </row>
    <row r="9651" spans="1:187" ht="11.25" customHeight="1">
      <c r="A9651" s="1" t="s">
        <v>13589</v>
      </c>
      <c r="B9651" s="1" t="str">
        <f ca="1">IFERROR(__xludf.DUMMYFUNCTION("GOOGLETRANSLATE(A9651, ""en"", ""fr"")"),"QUELQUE PEU")</f>
        <v>QUELQUE PEU</v>
      </c>
      <c r="C9651" s="1" t="s">
        <v>185</v>
      </c>
      <c r="X9651" s="1" t="s">
        <v>20</v>
      </c>
      <c r="CS9651" s="1" t="s">
        <v>93</v>
      </c>
      <c r="FZ9651" s="1" t="s">
        <v>178</v>
      </c>
      <c r="GD9651" s="1" t="s">
        <v>236</v>
      </c>
      <c r="GE9651" s="1" t="s">
        <v>13590</v>
      </c>
    </row>
    <row r="9652" spans="1:187" ht="11.25" customHeight="1">
      <c r="A9652" s="1" t="s">
        <v>13591</v>
      </c>
      <c r="B9652" s="1" t="str">
        <f ca="1">IFERROR(__xludf.DUMMYFUNCTION("GOOGLETRANSLATE(A9652, ""en"", ""fr"")"),"QUELQUE PART")</f>
        <v>QUELQUE PART</v>
      </c>
      <c r="C9652" s="1" t="s">
        <v>185</v>
      </c>
      <c r="X9652" s="1" t="s">
        <v>20</v>
      </c>
      <c r="DA9652" s="1" t="s">
        <v>101</v>
      </c>
      <c r="GB9652" s="1" t="s">
        <v>180</v>
      </c>
      <c r="GD9652" s="1" t="s">
        <v>236</v>
      </c>
      <c r="GE9652" s="1" t="s">
        <v>13592</v>
      </c>
    </row>
    <row r="9653" spans="1:187" ht="11.25" customHeight="1">
      <c r="A9653" s="1" t="s">
        <v>13593</v>
      </c>
      <c r="B9653" s="1" t="str">
        <f ca="1">IFERROR(__xludf.DUMMYFUNCTION("GOOGLETRANSLATE(A9653, ""en"", ""fr"")"),"FILS")</f>
        <v>FILS</v>
      </c>
      <c r="C9653" s="1" t="s">
        <v>185</v>
      </c>
      <c r="G9653" s="1" t="s">
        <v>3</v>
      </c>
      <c r="AJ9653" s="1" t="s">
        <v>32</v>
      </c>
      <c r="AP9653" s="1" t="s">
        <v>38</v>
      </c>
      <c r="AQ9653" s="1" t="s">
        <v>39</v>
      </c>
      <c r="AT9653" s="1" t="s">
        <v>42</v>
      </c>
      <c r="EQ9653" s="1" t="s">
        <v>143</v>
      </c>
      <c r="ES9653" s="1" t="s">
        <v>145</v>
      </c>
      <c r="GD9653" s="1" t="s">
        <v>837</v>
      </c>
      <c r="GE9653" s="1" t="s">
        <v>13594</v>
      </c>
    </row>
    <row r="9654" spans="1:187" ht="11.25" customHeight="1">
      <c r="A9654" s="1" t="s">
        <v>13595</v>
      </c>
      <c r="B9654" s="1" t="str">
        <f ca="1">IFERROR(__xludf.DUMMYFUNCTION("GOOGLETRANSLATE(A9654, ""en"", ""fr"")"),"CHANSON")</f>
        <v>CHANSON</v>
      </c>
      <c r="C9654" s="1" t="s">
        <v>185</v>
      </c>
      <c r="AD9654" s="1" t="s">
        <v>26</v>
      </c>
      <c r="BK9654" s="1" t="s">
        <v>59</v>
      </c>
      <c r="BL9654" s="1" t="s">
        <v>60</v>
      </c>
      <c r="GC9654" s="1" t="s">
        <v>181</v>
      </c>
      <c r="GD9654" s="1" t="s">
        <v>193</v>
      </c>
      <c r="GE9654" s="1" t="s">
        <v>13596</v>
      </c>
    </row>
    <row r="9655" spans="1:187" ht="11.25" customHeight="1">
      <c r="A9655" s="1" t="s">
        <v>13597</v>
      </c>
      <c r="B9655" s="1" t="str">
        <f ca="1">IFERROR(__xludf.DUMMYFUNCTION("GOOGLETRANSLATE(A9655, ""en"", ""fr"")"),"Bientôt # 1")</f>
        <v>Bientôt # 1</v>
      </c>
      <c r="C9655" s="1" t="s">
        <v>185</v>
      </c>
      <c r="W9655" s="1" t="s">
        <v>19</v>
      </c>
      <c r="CY9655" s="1" t="s">
        <v>99</v>
      </c>
      <c r="GB9655" s="1" t="s">
        <v>180</v>
      </c>
      <c r="GD9655" s="1" t="s">
        <v>1357</v>
      </c>
      <c r="GE9655" s="1" t="s">
        <v>13598</v>
      </c>
    </row>
    <row r="9656" spans="1:187" ht="11.25" customHeight="1">
      <c r="A9656" s="1" t="s">
        <v>13599</v>
      </c>
      <c r="B9656" s="1" t="str">
        <f ca="1">IFERROR(__xludf.DUMMYFUNCTION("GOOGLETRANSLATE(A9656, ""en"", ""fr"")"),"Bientôt # 2")</f>
        <v>Bientôt # 2</v>
      </c>
      <c r="C9656" s="1" t="s">
        <v>185</v>
      </c>
      <c r="W9656" s="1" t="s">
        <v>19</v>
      </c>
      <c r="CY9656" s="1" t="s">
        <v>99</v>
      </c>
      <c r="GB9656" s="1" t="s">
        <v>180</v>
      </c>
      <c r="GD9656" s="1" t="s">
        <v>236</v>
      </c>
      <c r="GE9656" s="1" t="s">
        <v>13600</v>
      </c>
    </row>
    <row r="9657" spans="1:187" ht="11.25" customHeight="1">
      <c r="A9657" s="1" t="s">
        <v>13601</v>
      </c>
      <c r="B9657" s="1" t="str">
        <f ca="1">IFERROR(__xludf.DUMMYFUNCTION("GOOGLETRANSLATE(A9657, ""en"", ""fr"")"),"Bientôt # 3")</f>
        <v>Bientôt # 3</v>
      </c>
      <c r="C9657" s="1" t="s">
        <v>185</v>
      </c>
      <c r="W9657" s="1" t="s">
        <v>19</v>
      </c>
      <c r="CY9657" s="1" t="s">
        <v>99</v>
      </c>
      <c r="GB9657" s="1" t="s">
        <v>180</v>
      </c>
      <c r="GD9657" s="1" t="s">
        <v>236</v>
      </c>
      <c r="GE9657" s="1" t="s">
        <v>13602</v>
      </c>
    </row>
    <row r="9658" spans="1:187" ht="11.25" customHeight="1">
      <c r="A9658" s="1" t="s">
        <v>13603</v>
      </c>
      <c r="B9658" s="1" t="str">
        <f ca="1">IFERROR(__xludf.DUMMYFUNCTION("GOOGLETRANSLATE(A9658, ""en"", ""fr"")"),"APAISER")</f>
        <v>APAISER</v>
      </c>
      <c r="C9658" s="1" t="s">
        <v>192</v>
      </c>
      <c r="D9658" s="1" t="s">
        <v>16612</v>
      </c>
      <c r="G9658" s="1" t="s">
        <v>3</v>
      </c>
      <c r="N9658" s="1" t="s">
        <v>10</v>
      </c>
      <c r="DN9658" s="1" t="s">
        <v>114</v>
      </c>
      <c r="GD9658" s="1" t="s">
        <v>670</v>
      </c>
      <c r="GE9658" s="1" t="s">
        <v>190</v>
      </c>
    </row>
    <row r="9659" spans="1:187" ht="11.25" customHeight="1">
      <c r="A9659" s="1" t="s">
        <v>13604</v>
      </c>
      <c r="B9659" s="1" t="str">
        <f ca="1">IFERROR(__xludf.DUMMYFUNCTION("GOOGLETRANSLATE(A9659, ""en"", ""fr"")"),"SOPHISTIQUÉ")</f>
        <v>SOPHISTIQUÉ</v>
      </c>
      <c r="C9659" s="1" t="s">
        <v>185</v>
      </c>
      <c r="D9659" s="1" t="s">
        <v>16612</v>
      </c>
      <c r="F9659" s="1" t="s">
        <v>2</v>
      </c>
      <c r="U9659" s="1" t="s">
        <v>17</v>
      </c>
      <c r="CN9659" s="1" t="s">
        <v>88</v>
      </c>
      <c r="GD9659" s="1" t="s">
        <v>202</v>
      </c>
      <c r="GE9659" s="1" t="s">
        <v>190</v>
      </c>
    </row>
    <row r="9660" spans="1:187" ht="11.25" customHeight="1">
      <c r="A9660" s="1" t="s">
        <v>13605</v>
      </c>
      <c r="B9660" s="1" t="str">
        <f ca="1">IFERROR(__xludf.DUMMYFUNCTION("GOOGLETRANSLATE(A9660, ""en"", ""fr"")"),"DOULOUREUX")</f>
        <v>DOULOUREUX</v>
      </c>
      <c r="C9660" s="1" t="s">
        <v>192</v>
      </c>
      <c r="E9660" s="1" t="s">
        <v>16613</v>
      </c>
      <c r="Q9660" s="1" t="s">
        <v>13</v>
      </c>
      <c r="T9660" s="1" t="s">
        <v>16</v>
      </c>
      <c r="DR9660" s="1" t="s">
        <v>118</v>
      </c>
      <c r="GD9660" s="1" t="s">
        <v>202</v>
      </c>
      <c r="GE9660" s="1" t="s">
        <v>190</v>
      </c>
    </row>
    <row r="9661" spans="1:187" ht="11.25" customHeight="1">
      <c r="A9661" s="1" t="s">
        <v>13606</v>
      </c>
      <c r="B9661" s="1" t="str">
        <f ca="1">IFERROR(__xludf.DUMMYFUNCTION("GOOGLETRANSLATE(A9661, ""en"", ""fr"")"),"DOULEUR")</f>
        <v>DOULEUR</v>
      </c>
      <c r="C9661" s="1" t="s">
        <v>192</v>
      </c>
      <c r="E9661" s="1" t="s">
        <v>16613</v>
      </c>
      <c r="Q9661" s="1" t="s">
        <v>13</v>
      </c>
      <c r="T9661" s="1" t="s">
        <v>16</v>
      </c>
      <c r="GD9661" s="1" t="s">
        <v>193</v>
      </c>
      <c r="GE9661" s="1" t="s">
        <v>190</v>
      </c>
    </row>
    <row r="9662" spans="1:187" ht="11.25" customHeight="1">
      <c r="A9662" s="1" t="s">
        <v>13607</v>
      </c>
      <c r="B9662" s="1" t="str">
        <f ca="1">IFERROR(__xludf.DUMMYFUNCTION("GOOGLETRANSLATE(A9662, ""en"", ""fr"")"),"CHAGRIN")</f>
        <v>CHAGRIN</v>
      </c>
      <c r="C9662" s="1" t="s">
        <v>185</v>
      </c>
      <c r="E9662" s="1" t="s">
        <v>16613</v>
      </c>
      <c r="G9662" s="1" t="s">
        <v>3</v>
      </c>
      <c r="H9662" s="1" t="s">
        <v>4</v>
      </c>
      <c r="L9662" s="1" t="s">
        <v>8</v>
      </c>
      <c r="O9662" s="1" t="s">
        <v>11</v>
      </c>
      <c r="Q9662" s="1" t="s">
        <v>13</v>
      </c>
      <c r="T9662" s="1" t="s">
        <v>16</v>
      </c>
      <c r="ER9662" s="1" t="s">
        <v>144</v>
      </c>
      <c r="ES9662" s="1" t="s">
        <v>145</v>
      </c>
      <c r="GD9662" s="1" t="s">
        <v>193</v>
      </c>
      <c r="GE9662" s="1" t="s">
        <v>13608</v>
      </c>
    </row>
    <row r="9663" spans="1:187" ht="11.25" customHeight="1">
      <c r="A9663" s="1" t="s">
        <v>13609</v>
      </c>
      <c r="B9663" s="1" t="str">
        <f ca="1">IFERROR(__xludf.DUMMYFUNCTION("GOOGLETRANSLATE(A9663, ""en"", ""fr"")"),"DOULOUREUX")</f>
        <v>DOULOUREUX</v>
      </c>
      <c r="C9663" s="1" t="s">
        <v>192</v>
      </c>
      <c r="E9663" s="1" t="s">
        <v>16613</v>
      </c>
      <c r="Q9663" s="1" t="s">
        <v>13</v>
      </c>
      <c r="T9663" s="1" t="s">
        <v>16</v>
      </c>
      <c r="DR9663" s="1" t="s">
        <v>118</v>
      </c>
      <c r="GD9663" s="1" t="s">
        <v>202</v>
      </c>
      <c r="GE9663" s="1" t="s">
        <v>190</v>
      </c>
    </row>
    <row r="9664" spans="1:187" ht="11.25" customHeight="1">
      <c r="A9664" s="1" t="s">
        <v>13610</v>
      </c>
      <c r="B9664" s="1" t="str">
        <f ca="1">IFERROR(__xludf.DUMMYFUNCTION("GOOGLETRANSLATE(A9664, ""en"", ""fr"")"),"Désolé # 1")</f>
        <v>Désolé # 1</v>
      </c>
      <c r="C9664" s="1" t="s">
        <v>185</v>
      </c>
      <c r="E9664" s="1" t="s">
        <v>16613</v>
      </c>
      <c r="H9664" s="1" t="s">
        <v>4</v>
      </c>
      <c r="L9664" s="1" t="s">
        <v>8</v>
      </c>
      <c r="O9664" s="1" t="s">
        <v>11</v>
      </c>
      <c r="Q9664" s="1" t="s">
        <v>13</v>
      </c>
      <c r="T9664" s="1" t="s">
        <v>16</v>
      </c>
      <c r="EE9664" s="1" t="s">
        <v>131</v>
      </c>
      <c r="EJ9664" s="1" t="s">
        <v>136</v>
      </c>
      <c r="GD9664" s="1" t="s">
        <v>421</v>
      </c>
      <c r="GE9664" s="1" t="s">
        <v>13611</v>
      </c>
    </row>
    <row r="9665" spans="1:187" ht="11.25" customHeight="1">
      <c r="A9665" s="1" t="s">
        <v>13612</v>
      </c>
      <c r="B9665" s="1" t="str">
        <f ca="1">IFERROR(__xludf.DUMMYFUNCTION("GOOGLETRANSLATE(A9665, ""en"", ""fr"")"),"Désolé # 2")</f>
        <v>Désolé # 2</v>
      </c>
      <c r="C9665" s="1" t="s">
        <v>185</v>
      </c>
      <c r="E9665" s="1" t="s">
        <v>16613</v>
      </c>
      <c r="H9665" s="1" t="s">
        <v>4</v>
      </c>
      <c r="L9665" s="1" t="s">
        <v>8</v>
      </c>
      <c r="O9665" s="1" t="s">
        <v>11</v>
      </c>
      <c r="V9665" s="1" t="s">
        <v>18</v>
      </c>
      <c r="CN9665" s="1" t="s">
        <v>88</v>
      </c>
      <c r="EZ9665" s="1" t="s">
        <v>152</v>
      </c>
      <c r="FC9665" s="1" t="s">
        <v>155</v>
      </c>
      <c r="GD9665" s="1" t="s">
        <v>202</v>
      </c>
      <c r="GE9665" s="1" t="s">
        <v>13613</v>
      </c>
    </row>
    <row r="9666" spans="1:187" ht="11.25" customHeight="1">
      <c r="A9666" s="1" t="s">
        <v>13614</v>
      </c>
      <c r="B9666" s="1" t="str">
        <f ca="1">IFERROR(__xludf.DUMMYFUNCTION("GOOGLETRANSLATE(A9666, ""en"", ""fr"")"),"Trier n ° 1")</f>
        <v>Trier n ° 1</v>
      </c>
      <c r="C9666" s="1" t="s">
        <v>185</v>
      </c>
      <c r="CH9666" s="1" t="s">
        <v>82</v>
      </c>
      <c r="CP9666" s="1" t="s">
        <v>90</v>
      </c>
      <c r="CQ9666" s="1" t="s">
        <v>91</v>
      </c>
      <c r="GD9666" s="1" t="s">
        <v>193</v>
      </c>
      <c r="GE9666" s="1" t="s">
        <v>13615</v>
      </c>
    </row>
    <row r="9667" spans="1:187" ht="11.25" customHeight="1">
      <c r="A9667" s="1" t="s">
        <v>13616</v>
      </c>
      <c r="B9667" s="1" t="str">
        <f ca="1">IFERROR(__xludf.DUMMYFUNCTION("GOOGLETRANSLATE(A9667, ""en"", ""fr"")"),"Trier n ° 2")</f>
        <v>Trier n ° 2</v>
      </c>
      <c r="C9667" s="1" t="s">
        <v>185</v>
      </c>
      <c r="X9667" s="1" t="s">
        <v>20</v>
      </c>
      <c r="CS9667" s="1" t="s">
        <v>93</v>
      </c>
      <c r="FZ9667" s="1" t="s">
        <v>178</v>
      </c>
      <c r="GD9667" s="1" t="s">
        <v>236</v>
      </c>
      <c r="GE9667" s="1" t="s">
        <v>13617</v>
      </c>
    </row>
    <row r="9668" spans="1:187" ht="11.25" customHeight="1">
      <c r="A9668" s="1" t="s">
        <v>13618</v>
      </c>
      <c r="B9668" s="1" t="str">
        <f ca="1">IFERROR(__xludf.DUMMYFUNCTION("GOOGLETRANSLATE(A9668, ""en"", ""fr"")"),"Triez # 3")</f>
        <v>Triez # 3</v>
      </c>
      <c r="C9668" s="1" t="s">
        <v>185</v>
      </c>
      <c r="E9668" s="1" t="s">
        <v>16613</v>
      </c>
      <c r="H9668" s="1" t="s">
        <v>4</v>
      </c>
      <c r="V9668" s="1" t="s">
        <v>18</v>
      </c>
      <c r="X9668" s="1" t="s">
        <v>20</v>
      </c>
      <c r="FW9668" s="1" t="s">
        <v>175</v>
      </c>
      <c r="GD9668" s="1" t="s">
        <v>202</v>
      </c>
      <c r="GE9668" s="1" t="s">
        <v>13619</v>
      </c>
    </row>
    <row r="9669" spans="1:187" ht="11.25" customHeight="1">
      <c r="A9669" s="1" t="s">
        <v>13620</v>
      </c>
      <c r="B9669" s="1" t="str">
        <f ca="1">IFERROR(__xludf.DUMMYFUNCTION("GOOGLETRANSLATE(A9669, ""en"", ""fr"")"),"Triez # 4")</f>
        <v>Triez # 4</v>
      </c>
      <c r="C9669" s="1" t="s">
        <v>185</v>
      </c>
      <c r="N9669" s="1" t="s">
        <v>10</v>
      </c>
      <c r="DD9669" s="1" t="s">
        <v>104</v>
      </c>
      <c r="DN9669" s="1" t="s">
        <v>114</v>
      </c>
      <c r="FP9669" s="1" t="s">
        <v>168</v>
      </c>
      <c r="GD9669" s="1" t="s">
        <v>189</v>
      </c>
      <c r="GE9669" s="1" t="s">
        <v>13621</v>
      </c>
    </row>
    <row r="9670" spans="1:187" ht="11.25" customHeight="1">
      <c r="A9670" s="1" t="s">
        <v>13622</v>
      </c>
      <c r="B9670" s="1" t="str">
        <f ca="1">IFERROR(__xludf.DUMMYFUNCTION("GOOGLETRANSLATE(A9670, ""en"", ""fr"")"),"RECHERCHÉ")</f>
        <v>RECHERCHÉ</v>
      </c>
      <c r="C9670" s="1" t="s">
        <v>185</v>
      </c>
      <c r="D9670" s="1" t="s">
        <v>16612</v>
      </c>
      <c r="F9670" s="1" t="s">
        <v>2</v>
      </c>
      <c r="BP9670" s="1" t="s">
        <v>64</v>
      </c>
      <c r="DN9670" s="1" t="s">
        <v>114</v>
      </c>
      <c r="FR9670" s="1" t="s">
        <v>170</v>
      </c>
      <c r="GD9670" s="1" t="s">
        <v>1076</v>
      </c>
      <c r="GE9670" s="1" t="s">
        <v>190</v>
      </c>
    </row>
    <row r="9671" spans="1:187" ht="11.25" customHeight="1">
      <c r="A9671" s="1" t="s">
        <v>13623</v>
      </c>
      <c r="B9671" s="1" t="str">
        <f ca="1">IFERROR(__xludf.DUMMYFUNCTION("GOOGLETRANSLATE(A9671, ""en"", ""fr"")"),"ÂME")</f>
        <v>ÂME</v>
      </c>
      <c r="C9671" s="1" t="s">
        <v>185</v>
      </c>
      <c r="AI9671" s="1" t="s">
        <v>31</v>
      </c>
      <c r="AJ9671" s="1" t="s">
        <v>32</v>
      </c>
      <c r="AT9671" s="1" t="s">
        <v>42</v>
      </c>
      <c r="CP9671" s="1" t="s">
        <v>90</v>
      </c>
      <c r="CQ9671" s="1" t="s">
        <v>91</v>
      </c>
      <c r="EF9671" s="1" t="s">
        <v>132</v>
      </c>
      <c r="EJ9671" s="1" t="s">
        <v>136</v>
      </c>
      <c r="GD9671" s="1" t="s">
        <v>193</v>
      </c>
      <c r="GE9671" s="1" t="s">
        <v>13624</v>
      </c>
    </row>
    <row r="9672" spans="1:187" ht="11.25" customHeight="1">
      <c r="A9672" s="1" t="s">
        <v>13625</v>
      </c>
      <c r="B9672" s="1" t="str">
        <f ca="1">IFERROR(__xludf.DUMMYFUNCTION("GOOGLETRANSLATE(A9672, ""en"", ""fr"")"),"Son # 1")</f>
        <v>Son # 1</v>
      </c>
      <c r="C9672" s="1" t="s">
        <v>185</v>
      </c>
      <c r="CR9672" s="1" t="s">
        <v>92</v>
      </c>
      <c r="GD9672" s="1" t="s">
        <v>193</v>
      </c>
      <c r="GE9672" s="1" t="s">
        <v>13626</v>
      </c>
    </row>
    <row r="9673" spans="1:187" ht="11.25" customHeight="1">
      <c r="A9673" s="1" t="s">
        <v>13627</v>
      </c>
      <c r="B9673" s="1" t="str">
        <f ca="1">IFERROR(__xludf.DUMMYFUNCTION("GOOGLETRANSLATE(A9673, ""en"", ""fr"")"),"Sound # 2")</f>
        <v>Sound # 2</v>
      </c>
      <c r="C9673" s="1" t="s">
        <v>185</v>
      </c>
      <c r="BK9673" s="1" t="s">
        <v>59</v>
      </c>
      <c r="DN9673" s="1" t="s">
        <v>114</v>
      </c>
      <c r="FP9673" s="1" t="s">
        <v>168</v>
      </c>
      <c r="GD9673" s="1" t="s">
        <v>969</v>
      </c>
      <c r="GE9673" s="1" t="s">
        <v>13628</v>
      </c>
    </row>
    <row r="9674" spans="1:187" ht="11.25" customHeight="1">
      <c r="A9674" s="1" t="s">
        <v>13629</v>
      </c>
      <c r="B9674" s="1" t="str">
        <f ca="1">IFERROR(__xludf.DUMMYFUNCTION("GOOGLETRANSLATE(A9674, ""en"", ""fr"")"),"Sound # 3")</f>
        <v>Sound # 3</v>
      </c>
      <c r="C9674" s="1" t="s">
        <v>185</v>
      </c>
      <c r="BU9674" s="1" t="s">
        <v>69</v>
      </c>
      <c r="DO9674" s="1" t="s">
        <v>115</v>
      </c>
      <c r="FP9674" s="1" t="s">
        <v>168</v>
      </c>
      <c r="GD9674" s="1" t="s">
        <v>189</v>
      </c>
      <c r="GE9674" s="1" t="s">
        <v>13630</v>
      </c>
    </row>
    <row r="9675" spans="1:187" ht="11.25" customHeight="1">
      <c r="A9675" s="1" t="s">
        <v>13631</v>
      </c>
      <c r="B9675" s="1" t="str">
        <f ca="1">IFERROR(__xludf.DUMMYFUNCTION("GOOGLETRANSLATE(A9675, ""en"", ""fr"")"),"Sound # 4")</f>
        <v>Sound # 4</v>
      </c>
      <c r="C9675" s="1" t="s">
        <v>185</v>
      </c>
      <c r="D9675" s="1" t="s">
        <v>16612</v>
      </c>
      <c r="F9675" s="1" t="s">
        <v>2</v>
      </c>
      <c r="J9675" s="1" t="s">
        <v>6</v>
      </c>
      <c r="U9675" s="1" t="s">
        <v>17</v>
      </c>
      <c r="W9675" s="1" t="s">
        <v>19</v>
      </c>
      <c r="CN9675" s="1" t="s">
        <v>88</v>
      </c>
      <c r="FX9675" s="1" t="s">
        <v>176</v>
      </c>
      <c r="GD9675" s="1" t="s">
        <v>202</v>
      </c>
      <c r="GE9675" s="1" t="s">
        <v>13632</v>
      </c>
    </row>
    <row r="9676" spans="1:187" ht="11.25" customHeight="1">
      <c r="A9676" s="1" t="s">
        <v>13633</v>
      </c>
      <c r="B9676" s="1" t="str">
        <f ca="1">IFERROR(__xludf.DUMMYFUNCTION("GOOGLETRANSLATE(A9676, ""en"", ""fr"")"),"Sound # 5")</f>
        <v>Sound # 5</v>
      </c>
      <c r="C9676" s="1" t="s">
        <v>185</v>
      </c>
      <c r="J9676" s="1" t="s">
        <v>6</v>
      </c>
      <c r="W9676" s="1" t="s">
        <v>19</v>
      </c>
      <c r="CR9676" s="1" t="s">
        <v>92</v>
      </c>
      <c r="GD9676" s="1" t="s">
        <v>236</v>
      </c>
      <c r="GE9676" s="1" t="s">
        <v>13634</v>
      </c>
    </row>
    <row r="9677" spans="1:187" ht="11.25" customHeight="1">
      <c r="A9677" s="1" t="s">
        <v>13635</v>
      </c>
      <c r="B9677" s="1" t="str">
        <f ca="1">IFERROR(__xludf.DUMMYFUNCTION("GOOGLETRANSLATE(A9677, ""en"", ""fr"")"),"Sound # 6")</f>
        <v>Sound # 6</v>
      </c>
      <c r="C9677" s="1" t="s">
        <v>185</v>
      </c>
      <c r="D9677" s="1" t="s">
        <v>16612</v>
      </c>
      <c r="F9677" s="1" t="s">
        <v>2</v>
      </c>
      <c r="J9677" s="1" t="s">
        <v>6</v>
      </c>
      <c r="U9677" s="1" t="s">
        <v>17</v>
      </c>
      <c r="W9677" s="1" t="s">
        <v>19</v>
      </c>
      <c r="CN9677" s="1" t="s">
        <v>88</v>
      </c>
      <c r="GD9677" s="1" t="s">
        <v>202</v>
      </c>
      <c r="GE9677" s="1" t="s">
        <v>13636</v>
      </c>
    </row>
    <row r="9678" spans="1:187" ht="11.25" customHeight="1">
      <c r="A9678" s="1" t="s">
        <v>13637</v>
      </c>
      <c r="B9678" s="1" t="str">
        <f ca="1">IFERROR(__xludf.DUMMYFUNCTION("GOOGLETRANSLATE(A9678, ""en"", ""fr"")"),"Sound # 7")</f>
        <v>Sound # 7</v>
      </c>
      <c r="C9678" s="1" t="s">
        <v>185</v>
      </c>
      <c r="O9678" s="1" t="s">
        <v>11</v>
      </c>
      <c r="BU9678" s="1" t="s">
        <v>69</v>
      </c>
      <c r="GD9678" s="1" t="s">
        <v>193</v>
      </c>
      <c r="GE9678" s="1" t="s">
        <v>13638</v>
      </c>
    </row>
    <row r="9679" spans="1:187" ht="11.25" customHeight="1">
      <c r="A9679" s="1" t="s">
        <v>13639</v>
      </c>
      <c r="B9679" s="1" t="str">
        <f ca="1">IFERROR(__xludf.DUMMYFUNCTION("GOOGLETRANSLATE(A9679, ""en"", ""fr"")"),"SOLIDITÉ")</f>
        <v>SOLIDITÉ</v>
      </c>
      <c r="C9679" s="1" t="s">
        <v>185</v>
      </c>
      <c r="D9679" s="1" t="s">
        <v>16612</v>
      </c>
      <c r="F9679" s="1" t="s">
        <v>2</v>
      </c>
      <c r="J9679" s="1" t="s">
        <v>6</v>
      </c>
      <c r="U9679" s="1" t="s">
        <v>17</v>
      </c>
      <c r="GD9679" s="1" t="s">
        <v>193</v>
      </c>
      <c r="GE9679" s="1" t="s">
        <v>190</v>
      </c>
    </row>
    <row r="9680" spans="1:187" ht="11.25" customHeight="1">
      <c r="A9680" s="1" t="s">
        <v>13640</v>
      </c>
      <c r="B9680" s="1" t="str">
        <f ca="1">IFERROR(__xludf.DUMMYFUNCTION("GOOGLETRANSLATE(A9680, ""en"", ""fr"")"),"SOUPE")</f>
        <v>SOUPE</v>
      </c>
      <c r="C9680" s="1" t="s">
        <v>196</v>
      </c>
      <c r="GD9680" s="1" t="s">
        <v>193</v>
      </c>
    </row>
    <row r="9681" spans="1:187" ht="11.25" customHeight="1">
      <c r="A9681" s="1" t="s">
        <v>13641</v>
      </c>
      <c r="B9681" s="1" t="str">
        <f ca="1">IFERROR(__xludf.DUMMYFUNCTION("GOOGLETRANSLATE(A9681, ""en"", ""fr"")"),"AIGRE")</f>
        <v>AIGRE</v>
      </c>
      <c r="C9681" s="1" t="s">
        <v>192</v>
      </c>
      <c r="E9681" s="1" t="s">
        <v>16613</v>
      </c>
      <c r="V9681" s="1" t="s">
        <v>18</v>
      </c>
      <c r="DR9681" s="1" t="s">
        <v>118</v>
      </c>
      <c r="GD9681" s="1" t="s">
        <v>202</v>
      </c>
      <c r="GE9681" s="1" t="s">
        <v>190</v>
      </c>
    </row>
    <row r="9682" spans="1:187" ht="11.25" customHeight="1">
      <c r="A9682" s="1" t="s">
        <v>13642</v>
      </c>
      <c r="B9682" s="1" t="str">
        <f ca="1">IFERROR(__xludf.DUMMYFUNCTION("GOOGLETRANSLATE(A9682, ""en"", ""fr"")"),"SOURCE")</f>
        <v>SOURCE</v>
      </c>
      <c r="C9682" s="1" t="s">
        <v>185</v>
      </c>
      <c r="J9682" s="1" t="s">
        <v>6</v>
      </c>
      <c r="CH9682" s="1" t="s">
        <v>82</v>
      </c>
      <c r="FQ9682" s="1" t="s">
        <v>169</v>
      </c>
      <c r="GD9682" s="1" t="s">
        <v>193</v>
      </c>
      <c r="GE9682" s="1" t="s">
        <v>190</v>
      </c>
    </row>
    <row r="9683" spans="1:187" ht="11.25" customHeight="1">
      <c r="A9683" s="1" t="s">
        <v>13643</v>
      </c>
      <c r="B9683" s="1" t="str">
        <f ca="1">IFERROR(__xludf.DUMMYFUNCTION("GOOGLETRANSLATE(A9683, ""en"", ""fr"")"),"Sud # 1")</f>
        <v>Sud # 1</v>
      </c>
      <c r="C9683" s="1" t="s">
        <v>185</v>
      </c>
      <c r="DA9683" s="1" t="s">
        <v>101</v>
      </c>
      <c r="GB9683" s="1" t="s">
        <v>180</v>
      </c>
      <c r="GD9683" s="1" t="s">
        <v>193</v>
      </c>
      <c r="GE9683" s="1" t="s">
        <v>13644</v>
      </c>
    </row>
    <row r="9684" spans="1:187" ht="11.25" customHeight="1">
      <c r="A9684" s="1" t="s">
        <v>13645</v>
      </c>
      <c r="B9684" s="1" t="str">
        <f ca="1">IFERROR(__xludf.DUMMYFUNCTION("GOOGLETRANSLATE(A9684, ""en"", ""fr"")"),"Sud # 2")</f>
        <v>Sud # 2</v>
      </c>
      <c r="C9684" s="1" t="s">
        <v>185</v>
      </c>
      <c r="AC9684" s="1" t="s">
        <v>25</v>
      </c>
      <c r="AH9684" s="1" t="s">
        <v>30</v>
      </c>
      <c r="DI9684" s="1" t="s">
        <v>109</v>
      </c>
      <c r="GB9684" s="1" t="s">
        <v>180</v>
      </c>
      <c r="GD9684" s="1" t="s">
        <v>193</v>
      </c>
      <c r="GE9684" s="1" t="s">
        <v>13646</v>
      </c>
    </row>
    <row r="9685" spans="1:187" ht="11.25" customHeight="1">
      <c r="A9685" s="1" t="s">
        <v>13647</v>
      </c>
      <c r="B9685" s="1" t="str">
        <f ca="1">IFERROR(__xludf.DUMMYFUNCTION("GOOGLETRANSLATE(A9685, ""en"", ""fr"")"),"AMÉRIQUE DU SUD")</f>
        <v>AMÉRIQUE DU SUD</v>
      </c>
      <c r="C9685" s="1" t="s">
        <v>196</v>
      </c>
      <c r="DV9685" s="1" t="s">
        <v>122</v>
      </c>
      <c r="ED9685" s="1" t="s">
        <v>130</v>
      </c>
      <c r="GD9685" s="1" t="s">
        <v>193</v>
      </c>
    </row>
    <row r="9686" spans="1:187" ht="11.25" customHeight="1">
      <c r="A9686" s="1" t="s">
        <v>13648</v>
      </c>
      <c r="B9686" s="1" t="str">
        <f ca="1">IFERROR(__xludf.DUMMYFUNCTION("GOOGLETRANSLATE(A9686, ""en"", ""fr"")"),"CORÉE DU SUD")</f>
        <v>CORÉE DU SUD</v>
      </c>
      <c r="C9686" s="1" t="s">
        <v>196</v>
      </c>
      <c r="FU9686" s="1" t="s">
        <v>173</v>
      </c>
      <c r="GD9686" s="1" t="s">
        <v>545</v>
      </c>
    </row>
    <row r="9687" spans="1:187" ht="11.25" customHeight="1">
      <c r="A9687" s="1" t="s">
        <v>13649</v>
      </c>
      <c r="B9687" s="1" t="str">
        <f ca="1">IFERROR(__xludf.DUMMYFUNCTION("GOOGLETRANSLATE(A9687, ""en"", ""fr"")"),"Dans le sud-Vietnam")</f>
        <v>Dans le sud-Vietnam</v>
      </c>
      <c r="C9687" s="1" t="s">
        <v>196</v>
      </c>
      <c r="FU9687" s="1" t="s">
        <v>173</v>
      </c>
      <c r="GD9687" s="1" t="s">
        <v>545</v>
      </c>
    </row>
    <row r="9688" spans="1:187" ht="11.25" customHeight="1">
      <c r="A9688" s="1" t="s">
        <v>13650</v>
      </c>
      <c r="B9688" s="1" t="str">
        <f ca="1">IFERROR(__xludf.DUMMYFUNCTION("GOOGLETRANSLATE(A9688, ""en"", ""fr"")"),"Au sud-est")</f>
        <v>Au sud-est</v>
      </c>
      <c r="C9688" s="1" t="s">
        <v>185</v>
      </c>
      <c r="AV9688" s="1" t="s">
        <v>44</v>
      </c>
      <c r="AX9688" s="1" t="s">
        <v>46</v>
      </c>
      <c r="DA9688" s="1" t="s">
        <v>101</v>
      </c>
      <c r="GB9688" s="1" t="s">
        <v>180</v>
      </c>
      <c r="GD9688" s="1" t="s">
        <v>193</v>
      </c>
      <c r="GE9688" s="1" t="s">
        <v>190</v>
      </c>
    </row>
    <row r="9689" spans="1:187" ht="11.25" customHeight="1">
      <c r="A9689" s="1" t="s">
        <v>13651</v>
      </c>
      <c r="B9689" s="1" t="str">
        <f ca="1">IFERROR(__xludf.DUMMYFUNCTION("GOOGLETRANSLATE(A9689, ""en"", ""fr"")"),"DU SUD")</f>
        <v>DU SUD</v>
      </c>
      <c r="C9689" s="1" t="s">
        <v>185</v>
      </c>
      <c r="DA9689" s="1" t="s">
        <v>101</v>
      </c>
      <c r="GB9689" s="1" t="s">
        <v>180</v>
      </c>
      <c r="GD9689" s="1" t="s">
        <v>202</v>
      </c>
      <c r="GE9689" s="1" t="s">
        <v>13652</v>
      </c>
    </row>
    <row r="9690" spans="1:187" ht="11.25" customHeight="1">
      <c r="A9690" s="1" t="s">
        <v>13653</v>
      </c>
      <c r="B9690" s="1" t="str">
        <f ca="1">IFERROR(__xludf.DUMMYFUNCTION("GOOGLETRANSLATE(A9690, ""en"", ""fr"")"),"Auditeur")</f>
        <v>Auditeur</v>
      </c>
      <c r="C9690" s="1" t="s">
        <v>185</v>
      </c>
      <c r="DI9690" s="1" t="s">
        <v>109</v>
      </c>
      <c r="FT9690" s="1" t="s">
        <v>172</v>
      </c>
      <c r="GD9690" s="1" t="s">
        <v>193</v>
      </c>
      <c r="GE9690" s="1" t="s">
        <v>190</v>
      </c>
    </row>
    <row r="9691" spans="1:187" ht="11.25" customHeight="1">
      <c r="A9691" s="1" t="s">
        <v>13654</v>
      </c>
      <c r="B9691" s="1" t="str">
        <f ca="1">IFERROR(__xludf.DUMMYFUNCTION("GOOGLETRANSLATE(A9691, ""en"", ""fr"")"),"Sud-ouest")</f>
        <v>Sud-ouest</v>
      </c>
      <c r="C9691" s="1" t="s">
        <v>185</v>
      </c>
      <c r="DA9691" s="1" t="s">
        <v>101</v>
      </c>
      <c r="GB9691" s="1" t="s">
        <v>180</v>
      </c>
      <c r="GD9691" s="1" t="s">
        <v>193</v>
      </c>
      <c r="GE9691" s="1" t="s">
        <v>190</v>
      </c>
    </row>
    <row r="9692" spans="1:187" ht="11.25" customHeight="1">
      <c r="A9692" s="1" t="s">
        <v>13655</v>
      </c>
      <c r="B9692" s="1" t="str">
        <f ca="1">IFERROR(__xludf.DUMMYFUNCTION("GOOGLETRANSLATE(A9692, ""en"", ""fr"")"),"SOUVERAIN")</f>
        <v>SOUVERAIN</v>
      </c>
      <c r="C9692" s="1" t="s">
        <v>185</v>
      </c>
      <c r="J9692" s="1" t="s">
        <v>6</v>
      </c>
      <c r="K9692" s="1" t="s">
        <v>7</v>
      </c>
      <c r="Z9692" s="1" t="s">
        <v>22</v>
      </c>
      <c r="AG9692" s="1" t="s">
        <v>29</v>
      </c>
      <c r="AH9692" s="1" t="s">
        <v>30</v>
      </c>
      <c r="DY9692" s="1" t="s">
        <v>125</v>
      </c>
      <c r="EC9692" s="1" t="s">
        <v>129</v>
      </c>
      <c r="ED9692" s="1" t="s">
        <v>130</v>
      </c>
      <c r="GD9692" s="1" t="s">
        <v>202</v>
      </c>
      <c r="GE9692" s="1" t="s">
        <v>190</v>
      </c>
    </row>
    <row r="9693" spans="1:187" ht="11.25" customHeight="1">
      <c r="A9693" s="1" t="s">
        <v>13656</v>
      </c>
      <c r="B9693" s="1" t="str">
        <f ca="1">IFERROR(__xludf.DUMMYFUNCTION("GOOGLETRANSLATE(A9693, ""en"", ""fr"")"),"LA SOUVERAINETÉ")</f>
        <v>LA SOUVERAINETÉ</v>
      </c>
      <c r="C9693" s="1" t="s">
        <v>185</v>
      </c>
      <c r="J9693" s="1" t="s">
        <v>6</v>
      </c>
      <c r="K9693" s="1" t="s">
        <v>7</v>
      </c>
      <c r="Z9693" s="1" t="s">
        <v>22</v>
      </c>
      <c r="AG9693" s="1" t="s">
        <v>29</v>
      </c>
      <c r="AH9693" s="1" t="s">
        <v>30</v>
      </c>
      <c r="EC9693" s="1" t="s">
        <v>129</v>
      </c>
      <c r="ED9693" s="1" t="s">
        <v>130</v>
      </c>
      <c r="GD9693" s="1" t="s">
        <v>193</v>
      </c>
      <c r="GE9693" s="1" t="s">
        <v>190</v>
      </c>
    </row>
    <row r="9694" spans="1:187" ht="11.25" customHeight="1">
      <c r="A9694" s="1" t="s">
        <v>13657</v>
      </c>
      <c r="B9694" s="1" t="str">
        <f ca="1">IFERROR(__xludf.DUMMYFUNCTION("GOOGLETRANSLATE(A9694, ""en"", ""fr"")"),"SOVIÉTIQUE")</f>
        <v>SOVIÉTIQUE</v>
      </c>
      <c r="C9694" s="1" t="s">
        <v>185</v>
      </c>
      <c r="AC9694" s="1" t="s">
        <v>25</v>
      </c>
      <c r="AH9694" s="1" t="s">
        <v>30</v>
      </c>
      <c r="DI9694" s="1" t="s">
        <v>109</v>
      </c>
      <c r="FU9694" s="1" t="s">
        <v>173</v>
      </c>
      <c r="GD9694" s="1" t="s">
        <v>193</v>
      </c>
      <c r="GE9694" s="1" t="s">
        <v>190</v>
      </c>
    </row>
    <row r="9695" spans="1:187" ht="11.25" customHeight="1">
      <c r="A9695" s="1" t="s">
        <v>13658</v>
      </c>
      <c r="B9695" s="1" t="str">
        <f ca="1">IFERROR(__xludf.DUMMYFUNCTION("GOOGLETRANSLATE(A9695, ""en"", ""fr"")"),"Espace n ° 1")</f>
        <v>Espace n ° 1</v>
      </c>
      <c r="C9695" s="1" t="s">
        <v>185</v>
      </c>
      <c r="DA9695" s="1" t="s">
        <v>101</v>
      </c>
      <c r="GB9695" s="1" t="s">
        <v>180</v>
      </c>
      <c r="GD9695" s="1" t="s">
        <v>849</v>
      </c>
      <c r="GE9695" s="1" t="s">
        <v>13659</v>
      </c>
    </row>
    <row r="9696" spans="1:187" ht="11.25" customHeight="1">
      <c r="A9696" s="1" t="s">
        <v>13660</v>
      </c>
      <c r="B9696" s="1" t="str">
        <f ca="1">IFERROR(__xludf.DUMMYFUNCTION("GOOGLETRANSLATE(A9696, ""en"", ""fr"")"),"Espace n ° 2")</f>
        <v>Espace n ° 2</v>
      </c>
      <c r="C9696" s="1" t="s">
        <v>185</v>
      </c>
      <c r="AV9696" s="1" t="s">
        <v>44</v>
      </c>
      <c r="BB9696" s="1" t="s">
        <v>50</v>
      </c>
      <c r="GB9696" s="1" t="s">
        <v>180</v>
      </c>
      <c r="GD9696" s="1" t="s">
        <v>193</v>
      </c>
      <c r="GE9696" s="1" t="s">
        <v>13661</v>
      </c>
    </row>
    <row r="9697" spans="1:187" ht="11.25" customHeight="1">
      <c r="A9697" s="1" t="s">
        <v>13662</v>
      </c>
      <c r="B9697" s="1" t="str">
        <f ca="1">IFERROR(__xludf.DUMMYFUNCTION("GOOGLETRANSLATE(A9697, ""en"", ""fr"")"),"ESPAGNE")</f>
        <v>ESPAGNE</v>
      </c>
      <c r="C9697" s="1" t="s">
        <v>196</v>
      </c>
      <c r="FU9697" s="1" t="s">
        <v>173</v>
      </c>
      <c r="GD9697" s="1" t="s">
        <v>545</v>
      </c>
    </row>
    <row r="9698" spans="1:187" ht="11.25" customHeight="1">
      <c r="A9698" s="1" t="s">
        <v>13663</v>
      </c>
      <c r="B9698" s="1" t="str">
        <f ca="1">IFERROR(__xludf.DUMMYFUNCTION("GOOGLETRANSLATE(A9698, ""en"", ""fr"")"),"Span # 1")</f>
        <v>Span # 1</v>
      </c>
      <c r="C9698" s="1" t="s">
        <v>185</v>
      </c>
      <c r="DA9698" s="1" t="s">
        <v>101</v>
      </c>
      <c r="GB9698" s="1" t="s">
        <v>180</v>
      </c>
      <c r="GD9698" s="1" t="s">
        <v>193</v>
      </c>
      <c r="GE9698" s="1" t="s">
        <v>190</v>
      </c>
    </row>
    <row r="9699" spans="1:187" ht="11.25" customHeight="1">
      <c r="A9699" s="1" t="s">
        <v>13664</v>
      </c>
      <c r="B9699" s="1" t="str">
        <f ca="1">IFERROR(__xludf.DUMMYFUNCTION("GOOGLETRANSLATE(A9699, ""en"", ""fr"")"),"Span # 2")</f>
        <v>Span # 2</v>
      </c>
      <c r="C9699" s="1" t="s">
        <v>185</v>
      </c>
      <c r="DA9699" s="1" t="s">
        <v>101</v>
      </c>
      <c r="DN9699" s="1" t="s">
        <v>114</v>
      </c>
      <c r="FP9699" s="1" t="s">
        <v>168</v>
      </c>
      <c r="GD9699" s="1" t="s">
        <v>189</v>
      </c>
      <c r="GE9699" s="1" t="s">
        <v>190</v>
      </c>
    </row>
    <row r="9700" spans="1:187" ht="11.25" customHeight="1">
      <c r="A9700" s="1" t="s">
        <v>13665</v>
      </c>
      <c r="B9700" s="1" t="str">
        <f ca="1">IFERROR(__xludf.DUMMYFUNCTION("GOOGLETRANSLATE(A9700, ""en"", ""fr"")"),"ESPAGNOL")</f>
        <v>ESPAGNOL</v>
      </c>
      <c r="C9700" s="1" t="s">
        <v>196</v>
      </c>
      <c r="FU9700" s="1" t="s">
        <v>173</v>
      </c>
      <c r="GD9700" s="1" t="s">
        <v>1049</v>
      </c>
    </row>
    <row r="9701" spans="1:187" ht="11.25" customHeight="1">
      <c r="A9701" s="1" t="s">
        <v>13666</v>
      </c>
      <c r="B9701" s="1" t="str">
        <f ca="1">IFERROR(__xludf.DUMMYFUNCTION("GOOGLETRANSLATE(A9701, ""en"", ""fr"")"),"DONNER UNE FESSÉE À")</f>
        <v>DONNER UNE FESSÉE À</v>
      </c>
      <c r="C9701" s="1" t="s">
        <v>192</v>
      </c>
      <c r="E9701" s="1" t="s">
        <v>16613</v>
      </c>
      <c r="I9701" s="1" t="s">
        <v>5</v>
      </c>
      <c r="N9701" s="1" t="s">
        <v>10</v>
      </c>
      <c r="CC9701" s="1" t="s">
        <v>77</v>
      </c>
      <c r="DO9701" s="1" t="s">
        <v>115</v>
      </c>
      <c r="GD9701" s="1" t="s">
        <v>189</v>
      </c>
      <c r="GE9701" s="1" t="s">
        <v>190</v>
      </c>
    </row>
    <row r="9702" spans="1:187" ht="11.25" customHeight="1">
      <c r="A9702" s="1" t="s">
        <v>13667</v>
      </c>
      <c r="B9702" s="1" t="str">
        <f ca="1">IFERROR(__xludf.DUMMYFUNCTION("GOOGLETRANSLATE(A9702, ""en"", ""fr"")"),"Rechange n ° 1")</f>
        <v>Rechange n ° 1</v>
      </c>
      <c r="C9702" s="1" t="s">
        <v>185</v>
      </c>
      <c r="U9702" s="1" t="s">
        <v>17</v>
      </c>
      <c r="GD9702" s="1" t="s">
        <v>193</v>
      </c>
      <c r="GE9702" s="1" t="s">
        <v>13668</v>
      </c>
    </row>
    <row r="9703" spans="1:187" ht="11.25" customHeight="1">
      <c r="A9703" s="1" t="s">
        <v>13669</v>
      </c>
      <c r="B9703" s="1" t="str">
        <f ca="1">IFERROR(__xludf.DUMMYFUNCTION("GOOGLETRANSLATE(A9703, ""en"", ""fr"")"),"Rechange n ° 2")</f>
        <v>Rechange n ° 2</v>
      </c>
      <c r="C9703" s="1" t="s">
        <v>185</v>
      </c>
      <c r="D9703" s="1" t="s">
        <v>16612</v>
      </c>
      <c r="F9703" s="1" t="s">
        <v>2</v>
      </c>
      <c r="G9703" s="1" t="s">
        <v>3</v>
      </c>
      <c r="J9703" s="1" t="s">
        <v>6</v>
      </c>
      <c r="K9703" s="1" t="s">
        <v>7</v>
      </c>
      <c r="AN9703" s="1" t="s">
        <v>36</v>
      </c>
      <c r="DO9703" s="1" t="s">
        <v>115</v>
      </c>
      <c r="EX9703" s="1" t="s">
        <v>150</v>
      </c>
      <c r="FC9703" s="1" t="s">
        <v>155</v>
      </c>
      <c r="GD9703" s="1" t="s">
        <v>189</v>
      </c>
      <c r="GE9703" s="1" t="s">
        <v>13670</v>
      </c>
    </row>
    <row r="9704" spans="1:187" ht="11.25" customHeight="1">
      <c r="A9704" s="1" t="s">
        <v>13671</v>
      </c>
      <c r="B9704" s="1" t="str">
        <f ca="1">IFERROR(__xludf.DUMMYFUNCTION("GOOGLETRANSLATE(A9704, ""en"", ""fr"")"),"Rechange n ° 3")</f>
        <v>Rechange n ° 3</v>
      </c>
      <c r="C9704" s="1" t="s">
        <v>185</v>
      </c>
      <c r="AL9704" s="1" t="s">
        <v>34</v>
      </c>
      <c r="DN9704" s="1" t="s">
        <v>114</v>
      </c>
      <c r="GD9704" s="1" t="s">
        <v>189</v>
      </c>
      <c r="GE9704" s="1" t="s">
        <v>13672</v>
      </c>
    </row>
    <row r="9705" spans="1:187" ht="11.25" customHeight="1">
      <c r="A9705" s="1" t="s">
        <v>13673</v>
      </c>
      <c r="B9705" s="1" t="str">
        <f ca="1">IFERROR(__xludf.DUMMYFUNCTION("GOOGLETRANSLATE(A9705, ""en"", ""fr"")"),"ÉTINCELLE")</f>
        <v>ÉTINCELLE</v>
      </c>
      <c r="C9705" s="1" t="s">
        <v>185</v>
      </c>
      <c r="BU9705" s="1" t="s">
        <v>69</v>
      </c>
      <c r="GD9705" s="1" t="s">
        <v>193</v>
      </c>
      <c r="GE9705" s="1" t="s">
        <v>190</v>
      </c>
    </row>
    <row r="9706" spans="1:187" ht="11.25" customHeight="1">
      <c r="A9706" s="1" t="s">
        <v>13674</v>
      </c>
      <c r="B9706" s="1" t="str">
        <f ca="1">IFERROR(__xludf.DUMMYFUNCTION("GOOGLETRANSLATE(A9706, ""en"", ""fr"")"),"SCINTILLAIT")</f>
        <v>SCINTILLAIT</v>
      </c>
      <c r="C9706" s="1" t="s">
        <v>192</v>
      </c>
      <c r="D9706" s="1" t="s">
        <v>16612</v>
      </c>
      <c r="O9706" s="1" t="s">
        <v>11</v>
      </c>
      <c r="CK9706" s="1" t="s">
        <v>85</v>
      </c>
      <c r="DN9706" s="1" t="s">
        <v>114</v>
      </c>
      <c r="GD9706" s="1" t="s">
        <v>189</v>
      </c>
      <c r="GE9706" s="1" t="s">
        <v>190</v>
      </c>
    </row>
    <row r="9707" spans="1:187" ht="11.25" customHeight="1">
      <c r="A9707" s="1" t="s">
        <v>13675</v>
      </c>
      <c r="B9707" s="1" t="str">
        <f ca="1">IFERROR(__xludf.DUMMYFUNCTION("GOOGLETRANSLATE(A9707, ""en"", ""fr"")"),"Parler n ° 1")</f>
        <v>Parler n ° 1</v>
      </c>
      <c r="C9707" s="1" t="s">
        <v>185</v>
      </c>
      <c r="N9707" s="1" t="s">
        <v>10</v>
      </c>
      <c r="BK9707" s="1" t="s">
        <v>59</v>
      </c>
      <c r="DO9707" s="1" t="s">
        <v>115</v>
      </c>
      <c r="FD9707" s="1" t="s">
        <v>156</v>
      </c>
      <c r="FI9707" s="1" t="s">
        <v>161</v>
      </c>
      <c r="GD9707" s="1" t="s">
        <v>400</v>
      </c>
      <c r="GE9707" s="1" t="s">
        <v>13676</v>
      </c>
    </row>
    <row r="9708" spans="1:187" ht="11.25" customHeight="1">
      <c r="A9708" s="1" t="s">
        <v>13677</v>
      </c>
      <c r="B9708" s="1" t="str">
        <f ca="1">IFERROR(__xludf.DUMMYFUNCTION("GOOGLETRANSLATE(A9708, ""en"", ""fr"")"),"Parler n ° 2")</f>
        <v>Parler n ° 2</v>
      </c>
      <c r="C9708" s="1" t="s">
        <v>185</v>
      </c>
      <c r="K9708" s="1" t="s">
        <v>7</v>
      </c>
      <c r="N9708" s="1" t="s">
        <v>10</v>
      </c>
      <c r="BK9708" s="1" t="s">
        <v>59</v>
      </c>
      <c r="DN9708" s="1" t="s">
        <v>114</v>
      </c>
      <c r="FH9708" s="1" t="s">
        <v>160</v>
      </c>
      <c r="FI9708" s="1" t="s">
        <v>161</v>
      </c>
      <c r="GD9708" s="1" t="s">
        <v>189</v>
      </c>
      <c r="GE9708" s="1" t="s">
        <v>13678</v>
      </c>
    </row>
    <row r="9709" spans="1:187" ht="11.25" customHeight="1">
      <c r="A9709" s="1" t="s">
        <v>13679</v>
      </c>
      <c r="B9709" s="1" t="str">
        <f ca="1">IFERROR(__xludf.DUMMYFUNCTION("GOOGLETRANSLATE(A9709, ""en"", ""fr"")"),"Parler # 3")</f>
        <v>Parler # 3</v>
      </c>
      <c r="C9709" s="1" t="s">
        <v>185</v>
      </c>
      <c r="G9709" s="1" t="s">
        <v>3</v>
      </c>
      <c r="N9709" s="1" t="s">
        <v>10</v>
      </c>
      <c r="AN9709" s="1" t="s">
        <v>36</v>
      </c>
      <c r="DN9709" s="1" t="s">
        <v>114</v>
      </c>
      <c r="DS9709" s="1" t="s">
        <v>119</v>
      </c>
      <c r="ED9709" s="1" t="s">
        <v>130</v>
      </c>
      <c r="GD9709" s="1" t="s">
        <v>189</v>
      </c>
      <c r="GE9709" s="1" t="s">
        <v>13680</v>
      </c>
    </row>
    <row r="9710" spans="1:187" ht="11.25" customHeight="1">
      <c r="A9710" s="1" t="s">
        <v>13681</v>
      </c>
      <c r="B9710" s="1" t="str">
        <f ca="1">IFERROR(__xludf.DUMMYFUNCTION("GOOGLETRANSLATE(A9710, ""en"", ""fr"")"),"Parler # 4")</f>
        <v>Parler # 4</v>
      </c>
      <c r="C9710" s="1" t="s">
        <v>185</v>
      </c>
      <c r="X9710" s="1" t="s">
        <v>20</v>
      </c>
      <c r="BK9710" s="1" t="s">
        <v>59</v>
      </c>
      <c r="FH9710" s="1" t="s">
        <v>160</v>
      </c>
      <c r="FI9710" s="1" t="s">
        <v>161</v>
      </c>
      <c r="GC9710" s="1" t="s">
        <v>181</v>
      </c>
      <c r="GD9710" s="1" t="s">
        <v>202</v>
      </c>
      <c r="GE9710" s="1" t="s">
        <v>13682</v>
      </c>
    </row>
    <row r="9711" spans="1:187" ht="11.25" customHeight="1">
      <c r="A9711" s="1" t="s">
        <v>13683</v>
      </c>
      <c r="B9711" s="1" t="str">
        <f ca="1">IFERROR(__xludf.DUMMYFUNCTION("GOOGLETRANSLATE(A9711, ""en"", ""fr"")"),"Parler n ° 5")</f>
        <v>Parler n ° 5</v>
      </c>
      <c r="C9711" s="1" t="s">
        <v>185</v>
      </c>
      <c r="BQ9711" s="1" t="s">
        <v>65</v>
      </c>
      <c r="GD9711" s="1" t="s">
        <v>202</v>
      </c>
      <c r="GE9711" s="1" t="s">
        <v>13684</v>
      </c>
    </row>
    <row r="9712" spans="1:187" ht="11.25" customHeight="1">
      <c r="A9712" s="1" t="s">
        <v>13685</v>
      </c>
      <c r="B9712" s="1" t="str">
        <f ca="1">IFERROR(__xludf.DUMMYFUNCTION("GOOGLETRANSLATE(A9712, ""en"", ""fr"")"),"Parler # 6")</f>
        <v>Parler # 6</v>
      </c>
      <c r="C9712" s="1" t="s">
        <v>185</v>
      </c>
      <c r="BK9712" s="1" t="s">
        <v>59</v>
      </c>
      <c r="GC9712" s="1" t="s">
        <v>181</v>
      </c>
      <c r="GD9712" s="1" t="s">
        <v>202</v>
      </c>
      <c r="GE9712" s="1" t="s">
        <v>13686</v>
      </c>
    </row>
    <row r="9713" spans="1:187" ht="11.25" customHeight="1">
      <c r="A9713" s="1" t="s">
        <v>13687</v>
      </c>
      <c r="B9713" s="1" t="str">
        <f ca="1">IFERROR(__xludf.DUMMYFUNCTION("GOOGLETRANSLATE(A9713, ""en"", ""fr"")"),"CONFÉRENCIER")</f>
        <v>CONFÉRENCIER</v>
      </c>
      <c r="C9713" s="1" t="s">
        <v>185</v>
      </c>
      <c r="N9713" s="1" t="s">
        <v>10</v>
      </c>
      <c r="AH9713" s="1" t="s">
        <v>30</v>
      </c>
      <c r="AJ9713" s="1" t="s">
        <v>32</v>
      </c>
      <c r="AT9713" s="1" t="s">
        <v>42</v>
      </c>
      <c r="DY9713" s="1" t="s">
        <v>125</v>
      </c>
      <c r="ED9713" s="1" t="s">
        <v>130</v>
      </c>
      <c r="GD9713" s="1" t="s">
        <v>193</v>
      </c>
      <c r="GE9713" s="1" t="s">
        <v>190</v>
      </c>
    </row>
    <row r="9714" spans="1:187" ht="11.25" customHeight="1">
      <c r="A9714" s="1" t="s">
        <v>13688</v>
      </c>
      <c r="B9714" s="1" t="str">
        <f ca="1">IFERROR(__xludf.DUMMYFUNCTION("GOOGLETRANSLATE(A9714, ""en"", ""fr"")"),"Lance n ° 1")</f>
        <v>Lance n ° 1</v>
      </c>
      <c r="C9714" s="1" t="s">
        <v>185</v>
      </c>
      <c r="I9714" s="1" t="s">
        <v>5</v>
      </c>
      <c r="AF9714" s="1" t="s">
        <v>28</v>
      </c>
      <c r="BC9714" s="1" t="s">
        <v>51</v>
      </c>
      <c r="BD9714" s="1" t="s">
        <v>52</v>
      </c>
      <c r="GD9714" s="1" t="s">
        <v>849</v>
      </c>
      <c r="GE9714" s="1" t="s">
        <v>13689</v>
      </c>
    </row>
    <row r="9715" spans="1:187" ht="11.25" customHeight="1">
      <c r="A9715" s="1" t="s">
        <v>13690</v>
      </c>
      <c r="B9715" s="1" t="str">
        <f ca="1">IFERROR(__xludf.DUMMYFUNCTION("GOOGLETRANSLATE(A9715, ""en"", ""fr"")"),"Lance n ° 2")</f>
        <v>Lance n ° 2</v>
      </c>
      <c r="C9715" s="1" t="s">
        <v>185</v>
      </c>
      <c r="E9715" s="1" t="s">
        <v>16613</v>
      </c>
      <c r="H9715" s="1" t="s">
        <v>4</v>
      </c>
      <c r="I9715" s="1" t="s">
        <v>5</v>
      </c>
      <c r="J9715" s="1" t="s">
        <v>6</v>
      </c>
      <c r="N9715" s="1" t="s">
        <v>10</v>
      </c>
      <c r="CC9715" s="1" t="s">
        <v>77</v>
      </c>
      <c r="DO9715" s="1" t="s">
        <v>115</v>
      </c>
      <c r="DW9715" s="1" t="s">
        <v>123</v>
      </c>
      <c r="ED9715" s="1" t="s">
        <v>130</v>
      </c>
      <c r="GD9715" s="1" t="s">
        <v>189</v>
      </c>
      <c r="GE9715" s="1" t="s">
        <v>13691</v>
      </c>
    </row>
    <row r="9716" spans="1:187" ht="11.25" customHeight="1">
      <c r="A9716" s="1" t="s">
        <v>13692</v>
      </c>
      <c r="B9716" s="1" t="str">
        <f ca="1">IFERROR(__xludf.DUMMYFUNCTION("GOOGLETRANSLATE(A9716, ""en"", ""fr"")"),"SPÉCIAL")</f>
        <v>SPÉCIAL</v>
      </c>
      <c r="C9716" s="1" t="s">
        <v>185</v>
      </c>
      <c r="D9716" s="1" t="s">
        <v>16612</v>
      </c>
      <c r="F9716" s="1" t="s">
        <v>2</v>
      </c>
      <c r="U9716" s="1" t="s">
        <v>17</v>
      </c>
      <c r="CN9716" s="1" t="s">
        <v>88</v>
      </c>
      <c r="GD9716" s="1" t="s">
        <v>202</v>
      </c>
      <c r="GE9716" s="1" t="s">
        <v>13693</v>
      </c>
    </row>
    <row r="9717" spans="1:187" ht="11.25" customHeight="1">
      <c r="A9717" s="1" t="s">
        <v>13694</v>
      </c>
      <c r="B9717" s="1" t="str">
        <f ca="1">IFERROR(__xludf.DUMMYFUNCTION("GOOGLETRANSLATE(A9717, ""en"", ""fr"")"),"Spécialisation n ° 1")</f>
        <v>Spécialisation n ° 1</v>
      </c>
      <c r="C9717" s="1" t="s">
        <v>192</v>
      </c>
      <c r="GE9717" s="1" t="s">
        <v>190</v>
      </c>
    </row>
    <row r="9718" spans="1:187" ht="11.25" customHeight="1">
      <c r="A9718" s="1" t="s">
        <v>13695</v>
      </c>
      <c r="B9718" s="1" t="str">
        <f ca="1">IFERROR(__xludf.DUMMYFUNCTION("GOOGLETRANSLATE(A9718, ""en"", ""fr"")"),"SPÉCIALISTE")</f>
        <v>SPÉCIALISTE</v>
      </c>
      <c r="C9718" s="1" t="s">
        <v>185</v>
      </c>
      <c r="AA9718" s="1" t="s">
        <v>23</v>
      </c>
      <c r="AJ9718" s="1" t="s">
        <v>32</v>
      </c>
      <c r="AT9718" s="1" t="s">
        <v>42</v>
      </c>
      <c r="GD9718" s="1" t="s">
        <v>193</v>
      </c>
      <c r="GE9718" s="1" t="s">
        <v>190</v>
      </c>
    </row>
    <row r="9719" spans="1:187" ht="11.25" customHeight="1">
      <c r="A9719" s="1" t="s">
        <v>13696</v>
      </c>
      <c r="B9719" s="1" t="str">
        <f ca="1">IFERROR(__xludf.DUMMYFUNCTION("GOOGLETRANSLATE(A9719, ""en"", ""fr"")"),"SPÉCIALISATION")</f>
        <v>SPÉCIALISATION</v>
      </c>
      <c r="C9719" s="1" t="s">
        <v>185</v>
      </c>
      <c r="Z9719" s="1" t="s">
        <v>22</v>
      </c>
      <c r="GD9719" s="1" t="s">
        <v>193</v>
      </c>
      <c r="GE9719" s="1" t="s">
        <v>190</v>
      </c>
    </row>
    <row r="9720" spans="1:187" ht="11.25" customHeight="1">
      <c r="A9720" s="1" t="s">
        <v>13697</v>
      </c>
      <c r="B9720" s="1" t="str">
        <f ca="1">IFERROR(__xludf.DUMMYFUNCTION("GOOGLETRANSLATE(A9720, ""en"", ""fr"")"),"Spécifique n ° 1")</f>
        <v>Spécifique n ° 1</v>
      </c>
      <c r="C9720" s="1" t="s">
        <v>185</v>
      </c>
      <c r="CH9720" s="1" t="s">
        <v>82</v>
      </c>
      <c r="GD9720" s="1" t="s">
        <v>5691</v>
      </c>
      <c r="GE9720" s="1" t="s">
        <v>13698</v>
      </c>
    </row>
    <row r="9721" spans="1:187" ht="11.25" customHeight="1">
      <c r="A9721" s="1" t="s">
        <v>13699</v>
      </c>
      <c r="B9721" s="1" t="str">
        <f ca="1">IFERROR(__xludf.DUMMYFUNCTION("GOOGLETRANSLATE(A9721, ""en"", ""fr"")"),"Spécifique n ° 2")</f>
        <v>Spécifique n ° 2</v>
      </c>
      <c r="C9721" s="1" t="s">
        <v>185</v>
      </c>
      <c r="CH9721" s="1" t="s">
        <v>82</v>
      </c>
      <c r="GD9721" s="1" t="s">
        <v>193</v>
      </c>
      <c r="GE9721" s="1" t="s">
        <v>13700</v>
      </c>
    </row>
    <row r="9722" spans="1:187" ht="11.25" customHeight="1">
      <c r="A9722" s="1" t="s">
        <v>13701</v>
      </c>
      <c r="B9722" s="1" t="str">
        <f ca="1">IFERROR(__xludf.DUMMYFUNCTION("GOOGLETRANSLATE(A9722, ""en"", ""fr"")"),"SPÉCIFIQUEMENT")</f>
        <v>SPÉCIFIQUEMENT</v>
      </c>
      <c r="C9722" s="1" t="s">
        <v>185</v>
      </c>
      <c r="CH9722" s="1" t="s">
        <v>82</v>
      </c>
      <c r="FY9722" s="1" t="s">
        <v>177</v>
      </c>
      <c r="GD9722" s="1" t="s">
        <v>236</v>
      </c>
      <c r="GE9722" s="1" t="s">
        <v>190</v>
      </c>
    </row>
    <row r="9723" spans="1:187" ht="11.25" customHeight="1">
      <c r="A9723" s="1" t="s">
        <v>13702</v>
      </c>
      <c r="B9723" s="1" t="str">
        <f ca="1">IFERROR(__xludf.DUMMYFUNCTION("GOOGLETRANSLATE(A9723, ""en"", ""fr"")"),"SPÉCIFICATION")</f>
        <v>SPÉCIFICATION</v>
      </c>
      <c r="C9723" s="1" t="s">
        <v>185</v>
      </c>
      <c r="CH9723" s="1" t="s">
        <v>82</v>
      </c>
      <c r="GD9723" s="1" t="s">
        <v>193</v>
      </c>
      <c r="GE9723" s="1" t="s">
        <v>190</v>
      </c>
    </row>
    <row r="9724" spans="1:187" ht="11.25" customHeight="1">
      <c r="A9724" s="1" t="s">
        <v>13703</v>
      </c>
      <c r="B9724" s="1" t="str">
        <f ca="1">IFERROR(__xludf.DUMMYFUNCTION("GOOGLETRANSLATE(A9724, ""en"", ""fr"")"),"SPÉCIFIER")</f>
        <v>SPÉCIFIER</v>
      </c>
      <c r="C9724" s="1" t="s">
        <v>185</v>
      </c>
      <c r="N9724" s="1" t="s">
        <v>10</v>
      </c>
      <c r="BK9724" s="1" t="s">
        <v>59</v>
      </c>
      <c r="DN9724" s="1" t="s">
        <v>114</v>
      </c>
      <c r="FP9724" s="1" t="s">
        <v>168</v>
      </c>
      <c r="GD9724" s="1" t="s">
        <v>189</v>
      </c>
      <c r="GE9724" s="1" t="s">
        <v>190</v>
      </c>
    </row>
    <row r="9725" spans="1:187" ht="11.25" customHeight="1">
      <c r="A9725" s="1" t="s">
        <v>13704</v>
      </c>
      <c r="B9725" s="1" t="str">
        <f ca="1">IFERROR(__xludf.DUMMYFUNCTION("GOOGLETRANSLATE(A9725, ""en"", ""fr"")"),"SPECTACLE")</f>
        <v>SPECTACLE</v>
      </c>
      <c r="C9725" s="1" t="s">
        <v>196</v>
      </c>
      <c r="EM9725" s="1" t="s">
        <v>139</v>
      </c>
      <c r="EN9725" s="1" t="s">
        <v>140</v>
      </c>
      <c r="GD9725" s="1" t="s">
        <v>193</v>
      </c>
    </row>
    <row r="9726" spans="1:187" ht="11.25" customHeight="1">
      <c r="A9726" s="1" t="s">
        <v>13705</v>
      </c>
      <c r="B9726" s="1" t="str">
        <f ca="1">IFERROR(__xludf.DUMMYFUNCTION("GOOGLETRANSLATE(A9726, ""en"", ""fr"")"),"SPECTACULAIRE")</f>
        <v>SPECTACULAIRE</v>
      </c>
      <c r="C9726" s="1" t="s">
        <v>185</v>
      </c>
      <c r="D9726" s="1" t="s">
        <v>16612</v>
      </c>
      <c r="F9726" s="1" t="s">
        <v>2</v>
      </c>
      <c r="J9726" s="1" t="s">
        <v>6</v>
      </c>
      <c r="U9726" s="1" t="s">
        <v>17</v>
      </c>
      <c r="W9726" s="1" t="s">
        <v>19</v>
      </c>
      <c r="CN9726" s="1" t="s">
        <v>88</v>
      </c>
      <c r="GD9726" s="1" t="s">
        <v>202</v>
      </c>
      <c r="GE9726" s="1" t="s">
        <v>190</v>
      </c>
    </row>
    <row r="9727" spans="1:187" ht="11.25" customHeight="1">
      <c r="A9727" s="1" t="s">
        <v>13706</v>
      </c>
      <c r="B9727" s="1" t="str">
        <f ca="1">IFERROR(__xludf.DUMMYFUNCTION("GOOGLETRANSLATE(A9727, ""en"", ""fr"")"),"SPECTATEUR")</f>
        <v>SPECTATEUR</v>
      </c>
      <c r="C9727" s="1" t="s">
        <v>185</v>
      </c>
      <c r="O9727" s="1" t="s">
        <v>11</v>
      </c>
      <c r="AD9727" s="1" t="s">
        <v>26</v>
      </c>
      <c r="AJ9727" s="1" t="s">
        <v>32</v>
      </c>
      <c r="AT9727" s="1" t="s">
        <v>42</v>
      </c>
      <c r="FT9727" s="1" t="s">
        <v>172</v>
      </c>
      <c r="GD9727" s="1" t="s">
        <v>193</v>
      </c>
      <c r="GE9727" s="1" t="s">
        <v>190</v>
      </c>
    </row>
    <row r="9728" spans="1:187" ht="11.25" customHeight="1">
      <c r="A9728" s="1" t="s">
        <v>13707</v>
      </c>
      <c r="B9728" s="1" t="str">
        <f ca="1">IFERROR(__xludf.DUMMYFUNCTION("GOOGLETRANSLATE(A9728, ""en"", ""fr"")"),"SPÉCULER")</f>
        <v>SPÉCULER</v>
      </c>
      <c r="C9728" s="1" t="s">
        <v>185</v>
      </c>
      <c r="X9728" s="1" t="s">
        <v>20</v>
      </c>
      <c r="CO9728" s="1" t="s">
        <v>89</v>
      </c>
      <c r="DN9728" s="1" t="s">
        <v>114</v>
      </c>
      <c r="FH9728" s="1" t="s">
        <v>160</v>
      </c>
      <c r="FI9728" s="1" t="s">
        <v>161</v>
      </c>
      <c r="GD9728" s="1" t="s">
        <v>189</v>
      </c>
      <c r="GE9728" s="1" t="s">
        <v>190</v>
      </c>
    </row>
    <row r="9729" spans="1:187" ht="11.25" customHeight="1">
      <c r="A9729" s="1" t="s">
        <v>13708</v>
      </c>
      <c r="B9729" s="1" t="str">
        <f ca="1">IFERROR(__xludf.DUMMYFUNCTION("GOOGLETRANSLATE(A9729, ""en"", ""fr"")"),"SPÉCULATION")</f>
        <v>SPÉCULATION</v>
      </c>
      <c r="C9729" s="1" t="s">
        <v>185</v>
      </c>
      <c r="X9729" s="1" t="s">
        <v>20</v>
      </c>
      <c r="CH9729" s="1" t="s">
        <v>82</v>
      </c>
      <c r="FH9729" s="1" t="s">
        <v>160</v>
      </c>
      <c r="FI9729" s="1" t="s">
        <v>161</v>
      </c>
      <c r="GD9729" s="1" t="s">
        <v>193</v>
      </c>
      <c r="GE9729" s="1" t="s">
        <v>190</v>
      </c>
    </row>
    <row r="9730" spans="1:187" ht="11.25" customHeight="1">
      <c r="A9730" s="1" t="s">
        <v>13709</v>
      </c>
      <c r="B9730" s="1" t="str">
        <f ca="1">IFERROR(__xludf.DUMMYFUNCTION("GOOGLETRANSLATE(A9730, ""en"", ""fr"")"),"SPÉCULATIF")</f>
        <v>SPÉCULATIF</v>
      </c>
      <c r="C9730" s="1" t="s">
        <v>185</v>
      </c>
      <c r="X9730" s="1" t="s">
        <v>20</v>
      </c>
      <c r="CH9730" s="1" t="s">
        <v>82</v>
      </c>
      <c r="FH9730" s="1" t="s">
        <v>160</v>
      </c>
      <c r="FI9730" s="1" t="s">
        <v>161</v>
      </c>
      <c r="GD9730" s="1" t="s">
        <v>202</v>
      </c>
      <c r="GE9730" s="1" t="s">
        <v>190</v>
      </c>
    </row>
    <row r="9731" spans="1:187" ht="11.25" customHeight="1">
      <c r="A9731" s="1" t="s">
        <v>13710</v>
      </c>
      <c r="B9731" s="1" t="str">
        <f ca="1">IFERROR(__xludf.DUMMYFUNCTION("GOOGLETRANSLATE(A9731, ""en"", ""fr"")"),"Discours n ° 1")</f>
        <v>Discours n ° 1</v>
      </c>
      <c r="C9731" s="1" t="s">
        <v>185</v>
      </c>
      <c r="BK9731" s="1" t="s">
        <v>59</v>
      </c>
      <c r="CP9731" s="1" t="s">
        <v>90</v>
      </c>
      <c r="CQ9731" s="1" t="s">
        <v>91</v>
      </c>
      <c r="FH9731" s="1" t="s">
        <v>160</v>
      </c>
      <c r="FI9731" s="1" t="s">
        <v>161</v>
      </c>
      <c r="GD9731" s="1" t="s">
        <v>193</v>
      </c>
      <c r="GE9731" s="1" t="s">
        <v>13711</v>
      </c>
    </row>
    <row r="9732" spans="1:187" ht="11.25" customHeight="1">
      <c r="A9732" s="1" t="s">
        <v>13712</v>
      </c>
      <c r="B9732" s="1" t="str">
        <f ca="1">IFERROR(__xludf.DUMMYFUNCTION("GOOGLETRANSLATE(A9732, ""en"", ""fr"")"),"Discours n ° 2")</f>
        <v>Discours n ° 2</v>
      </c>
      <c r="C9732" s="1" t="s">
        <v>185</v>
      </c>
      <c r="AD9732" s="1" t="s">
        <v>26</v>
      </c>
      <c r="BK9732" s="1" t="s">
        <v>59</v>
      </c>
      <c r="BL9732" s="1" t="s">
        <v>60</v>
      </c>
      <c r="FH9732" s="1" t="s">
        <v>160</v>
      </c>
      <c r="FI9732" s="1" t="s">
        <v>161</v>
      </c>
      <c r="GC9732" s="1" t="s">
        <v>181</v>
      </c>
      <c r="GD9732" s="1" t="s">
        <v>193</v>
      </c>
      <c r="GE9732" s="1" t="s">
        <v>13713</v>
      </c>
    </row>
    <row r="9733" spans="1:187" ht="11.25" customHeight="1">
      <c r="A9733" s="1" t="s">
        <v>13714</v>
      </c>
      <c r="B9733" s="1" t="str">
        <f ca="1">IFERROR(__xludf.DUMMYFUNCTION("GOOGLETRANSLATE(A9733, ""en"", ""fr"")"),"Discours n ° 3")</f>
        <v>Discours n ° 3</v>
      </c>
      <c r="C9733" s="1" t="s">
        <v>185</v>
      </c>
      <c r="GD9733" s="1" t="s">
        <v>225</v>
      </c>
      <c r="GE9733" s="1" t="s">
        <v>13715</v>
      </c>
    </row>
    <row r="9734" spans="1:187" ht="11.25" customHeight="1">
      <c r="A9734" s="1" t="s">
        <v>13716</v>
      </c>
      <c r="B9734" s="1" t="str">
        <f ca="1">IFERROR(__xludf.DUMMYFUNCTION("GOOGLETRANSLATE(A9734, ""en"", ""fr"")"),"SANS VOIX")</f>
        <v>SANS VOIX</v>
      </c>
      <c r="C9734" s="1" t="s">
        <v>185</v>
      </c>
      <c r="L9734" s="1" t="s">
        <v>8</v>
      </c>
      <c r="O9734" s="1" t="s">
        <v>11</v>
      </c>
      <c r="W9734" s="1" t="s">
        <v>19</v>
      </c>
      <c r="BK9734" s="1" t="s">
        <v>59</v>
      </c>
      <c r="GC9734" s="1" t="s">
        <v>181</v>
      </c>
      <c r="GD9734" s="1" t="s">
        <v>202</v>
      </c>
      <c r="GE9734" s="1" t="s">
        <v>190</v>
      </c>
    </row>
    <row r="9735" spans="1:187" ht="11.25" customHeight="1">
      <c r="A9735" s="1" t="s">
        <v>13717</v>
      </c>
      <c r="B9735" s="1" t="str">
        <f ca="1">IFERROR(__xludf.DUMMYFUNCTION("GOOGLETRANSLATE(A9735, ""en"", ""fr"")"),"Vitesse n ° 1")</f>
        <v>Vitesse n ° 1</v>
      </c>
      <c r="C9735" s="1" t="s">
        <v>185</v>
      </c>
      <c r="J9735" s="1" t="s">
        <v>6</v>
      </c>
      <c r="N9735" s="1" t="s">
        <v>10</v>
      </c>
      <c r="W9735" s="1" t="s">
        <v>19</v>
      </c>
      <c r="CY9735" s="1" t="s">
        <v>99</v>
      </c>
      <c r="GB9735" s="1" t="s">
        <v>180</v>
      </c>
      <c r="GD9735" s="1" t="s">
        <v>202</v>
      </c>
      <c r="GE9735" s="1" t="s">
        <v>190</v>
      </c>
    </row>
    <row r="9736" spans="1:187" ht="11.25" customHeight="1">
      <c r="A9736" s="1" t="s">
        <v>13718</v>
      </c>
      <c r="B9736" s="1" t="str">
        <f ca="1">IFERROR(__xludf.DUMMYFUNCTION("GOOGLETRANSLATE(A9736, ""en"", ""fr"")"),"Vitesse n ° 2")</f>
        <v>Vitesse n ° 2</v>
      </c>
      <c r="C9736" s="1" t="s">
        <v>185</v>
      </c>
      <c r="J9736" s="1" t="s">
        <v>6</v>
      </c>
      <c r="N9736" s="1" t="s">
        <v>10</v>
      </c>
      <c r="CE9736" s="1" t="s">
        <v>79</v>
      </c>
      <c r="DN9736" s="1" t="s">
        <v>114</v>
      </c>
      <c r="GB9736" s="1" t="s">
        <v>180</v>
      </c>
      <c r="GD9736" s="1" t="s">
        <v>189</v>
      </c>
      <c r="GE9736" s="1" t="s">
        <v>190</v>
      </c>
    </row>
    <row r="9737" spans="1:187" ht="11.25" customHeight="1">
      <c r="A9737" s="1" t="s">
        <v>13719</v>
      </c>
      <c r="B9737" s="1" t="str">
        <f ca="1">IFERROR(__xludf.DUMMYFUNCTION("GOOGLETRANSLATE(A9737, ""en"", ""fr"")"),"RAPIDEMENT")</f>
        <v>RAPIDEMENT</v>
      </c>
      <c r="C9737" s="1" t="s">
        <v>192</v>
      </c>
      <c r="D9737" s="1" t="s">
        <v>16612</v>
      </c>
      <c r="W9737" s="1" t="s">
        <v>19</v>
      </c>
      <c r="DR9737" s="1" t="s">
        <v>118</v>
      </c>
      <c r="GD9737" s="1" t="s">
        <v>202</v>
      </c>
      <c r="GE9737" s="1" t="s">
        <v>190</v>
      </c>
    </row>
    <row r="9738" spans="1:187" ht="11.25" customHeight="1">
      <c r="A9738" s="1" t="s">
        <v>13720</v>
      </c>
      <c r="B9738" s="1" t="str">
        <f ca="1">IFERROR(__xludf.DUMMYFUNCTION("GOOGLETRANSLATE(A9738, ""en"", ""fr"")"),"RAPIDE")</f>
        <v>RAPIDE</v>
      </c>
      <c r="C9738" s="1" t="s">
        <v>185</v>
      </c>
      <c r="W9738" s="1" t="s">
        <v>19</v>
      </c>
      <c r="CY9738" s="1" t="s">
        <v>99</v>
      </c>
      <c r="GD9738" s="1" t="s">
        <v>202</v>
      </c>
      <c r="GE9738" s="1" t="s">
        <v>190</v>
      </c>
    </row>
    <row r="9739" spans="1:187" ht="11.25" customHeight="1">
      <c r="A9739" s="1" t="s">
        <v>13721</v>
      </c>
      <c r="B9739" s="1" t="str">
        <f ca="1">IFERROR(__xludf.DUMMYFUNCTION("GOOGLETRANSLATE(A9739, ""en"", ""fr"")"),"Sort n ° 1")</f>
        <v>Sort n ° 1</v>
      </c>
      <c r="C9739" s="1" t="s">
        <v>185</v>
      </c>
      <c r="CY9739" s="1" t="s">
        <v>99</v>
      </c>
      <c r="GB9739" s="1" t="s">
        <v>180</v>
      </c>
      <c r="GD9739" s="1" t="s">
        <v>193</v>
      </c>
      <c r="GE9739" s="1" t="s">
        <v>190</v>
      </c>
    </row>
    <row r="9740" spans="1:187" ht="11.25" customHeight="1">
      <c r="A9740" s="1" t="s">
        <v>13722</v>
      </c>
      <c r="B9740" s="1" t="str">
        <f ca="1">IFERROR(__xludf.DUMMYFUNCTION("GOOGLETRANSLATE(A9740, ""en"", ""fr"")"),"Sort n ° 2")</f>
        <v>Sort n ° 2</v>
      </c>
      <c r="C9740" s="1" t="s">
        <v>185</v>
      </c>
      <c r="BK9740" s="1" t="s">
        <v>59</v>
      </c>
      <c r="DO9740" s="1" t="s">
        <v>115</v>
      </c>
      <c r="FP9740" s="1" t="s">
        <v>168</v>
      </c>
      <c r="GD9740" s="1" t="s">
        <v>189</v>
      </c>
      <c r="GE9740" s="1" t="s">
        <v>190</v>
      </c>
    </row>
    <row r="9741" spans="1:187" ht="11.25" customHeight="1">
      <c r="A9741" s="1" t="s">
        <v>13723</v>
      </c>
      <c r="B9741" s="1" t="str">
        <f ca="1">IFERROR(__xludf.DUMMYFUNCTION("GOOGLETRANSLATE(A9741, ""en"", ""fr"")"),"Dépenser n ° 1")</f>
        <v>Dépenser n ° 1</v>
      </c>
      <c r="C9741" s="1" t="s">
        <v>185</v>
      </c>
      <c r="AA9741" s="1" t="s">
        <v>23</v>
      </c>
      <c r="AB9741" s="1" t="s">
        <v>24</v>
      </c>
      <c r="DO9741" s="1" t="s">
        <v>115</v>
      </c>
      <c r="EU9741" s="1" t="s">
        <v>147</v>
      </c>
      <c r="EW9741" s="1" t="s">
        <v>149</v>
      </c>
      <c r="GD9741" s="1" t="s">
        <v>400</v>
      </c>
      <c r="GE9741" s="1" t="s">
        <v>13724</v>
      </c>
    </row>
    <row r="9742" spans="1:187" ht="11.25" customHeight="1">
      <c r="A9742" s="1" t="s">
        <v>13725</v>
      </c>
      <c r="B9742" s="1" t="str">
        <f ca="1">IFERROR(__xludf.DUMMYFUNCTION("GOOGLETRANSLATE(A9742, ""en"", ""fr"")"),"Dépenser # 2")</f>
        <v>Dépenser # 2</v>
      </c>
      <c r="C9742" s="1" t="s">
        <v>185</v>
      </c>
      <c r="N9742" s="1" t="s">
        <v>10</v>
      </c>
      <c r="AA9742" s="1" t="s">
        <v>23</v>
      </c>
      <c r="AB9742" s="1" t="s">
        <v>24</v>
      </c>
      <c r="EU9742" s="1" t="s">
        <v>147</v>
      </c>
      <c r="EW9742" s="1" t="s">
        <v>149</v>
      </c>
      <c r="GD9742" s="1" t="s">
        <v>193</v>
      </c>
      <c r="GE9742" s="1" t="s">
        <v>13726</v>
      </c>
    </row>
    <row r="9743" spans="1:187" ht="11.25" customHeight="1">
      <c r="A9743" s="1" t="s">
        <v>13727</v>
      </c>
      <c r="B9743" s="1" t="str">
        <f ca="1">IFERROR(__xludf.DUMMYFUNCTION("GOOGLETRANSLATE(A9743, ""en"", ""fr"")"),"Dépenser # 3")</f>
        <v>Dépenser # 3</v>
      </c>
      <c r="C9743" s="1" t="s">
        <v>185</v>
      </c>
      <c r="L9743" s="1" t="s">
        <v>8</v>
      </c>
      <c r="O9743" s="1" t="s">
        <v>11</v>
      </c>
      <c r="S9743" s="1" t="s">
        <v>15</v>
      </c>
      <c r="FO9743" s="1" t="s">
        <v>167</v>
      </c>
      <c r="GD9743" s="1" t="s">
        <v>202</v>
      </c>
      <c r="GE9743" s="1" t="s">
        <v>13728</v>
      </c>
    </row>
    <row r="9744" spans="1:187" ht="11.25" customHeight="1">
      <c r="A9744" s="1" t="s">
        <v>13729</v>
      </c>
      <c r="B9744" s="1" t="str">
        <f ca="1">IFERROR(__xludf.DUMMYFUNCTION("GOOGLETRANSLATE(A9744, ""en"", ""fr"")"),"Dépensé n ° 1")</f>
        <v>Dépensé n ° 1</v>
      </c>
      <c r="C9744" s="1" t="s">
        <v>192</v>
      </c>
      <c r="GD9744" s="1" t="s">
        <v>1085</v>
      </c>
      <c r="GE9744" s="1" t="s">
        <v>190</v>
      </c>
    </row>
    <row r="9745" spans="1:187" ht="11.25" customHeight="1">
      <c r="A9745" s="1" t="s">
        <v>13730</v>
      </c>
      <c r="B9745" s="1" t="str">
        <f ca="1">IFERROR(__xludf.DUMMYFUNCTION("GOOGLETRANSLATE(A9745, ""en"", ""fr"")"),"RÉPANDRE")</f>
        <v>RÉPANDRE</v>
      </c>
      <c r="C9745" s="1" t="s">
        <v>192</v>
      </c>
      <c r="E9745" s="1" t="s">
        <v>16613</v>
      </c>
      <c r="N9745" s="1" t="s">
        <v>10</v>
      </c>
      <c r="BT9745" s="1" t="s">
        <v>68</v>
      </c>
      <c r="DN9745" s="1" t="s">
        <v>114</v>
      </c>
      <c r="GD9745" s="1" t="s">
        <v>189</v>
      </c>
      <c r="GE9745" s="1" t="s">
        <v>190</v>
      </c>
    </row>
    <row r="9746" spans="1:187" ht="11.25" customHeight="1">
      <c r="A9746" s="1" t="s">
        <v>13731</v>
      </c>
      <c r="B9746" s="1" t="str">
        <f ca="1">IFERROR(__xludf.DUMMYFUNCTION("GOOGLETRANSLATE(A9746, ""en"", ""fr"")"),"ROTATION")</f>
        <v>ROTATION</v>
      </c>
      <c r="C9746" s="1" t="s">
        <v>185</v>
      </c>
      <c r="CE9746" s="1" t="s">
        <v>79</v>
      </c>
      <c r="DO9746" s="1" t="s">
        <v>115</v>
      </c>
      <c r="GD9746" s="1" t="s">
        <v>189</v>
      </c>
      <c r="GE9746" s="1" t="s">
        <v>190</v>
      </c>
    </row>
    <row r="9747" spans="1:187" ht="11.25" customHeight="1">
      <c r="A9747" s="1" t="s">
        <v>13732</v>
      </c>
      <c r="B9747" s="1" t="str">
        <f ca="1">IFERROR(__xludf.DUMMYFUNCTION("GOOGLETRANSLATE(A9747, ""en"", ""fr"")"),"VIEILLE FILLE")</f>
        <v>VIEILLE FILLE</v>
      </c>
      <c r="C9747" s="1" t="s">
        <v>192</v>
      </c>
      <c r="E9747" s="1" t="s">
        <v>16613</v>
      </c>
      <c r="AJ9747" s="1" t="s">
        <v>32</v>
      </c>
      <c r="AR9747" s="1" t="s">
        <v>40</v>
      </c>
      <c r="AT9747" s="1" t="s">
        <v>42</v>
      </c>
      <c r="GD9747" s="1" t="s">
        <v>193</v>
      </c>
      <c r="GE9747" s="1" t="s">
        <v>190</v>
      </c>
    </row>
    <row r="9748" spans="1:187" ht="11.25" customHeight="1">
      <c r="A9748" s="1" t="s">
        <v>13733</v>
      </c>
      <c r="B9748" s="1" t="str">
        <f ca="1">IFERROR(__xludf.DUMMYFUNCTION("GOOGLETRANSLATE(A9748, ""en"", ""fr"")"),"Esprit # 1")</f>
        <v>Esprit # 1</v>
      </c>
      <c r="C9748" s="1" t="s">
        <v>185</v>
      </c>
      <c r="Z9748" s="1" t="s">
        <v>22</v>
      </c>
      <c r="AI9748" s="1" t="s">
        <v>31</v>
      </c>
      <c r="GD9748" s="1" t="s">
        <v>193</v>
      </c>
      <c r="GE9748" s="1" t="s">
        <v>13734</v>
      </c>
    </row>
    <row r="9749" spans="1:187" ht="11.25" customHeight="1">
      <c r="A9749" s="1" t="s">
        <v>13735</v>
      </c>
      <c r="B9749" s="1" t="str">
        <f ca="1">IFERROR(__xludf.DUMMYFUNCTION("GOOGLETRANSLATE(A9749, ""en"", ""fr"")"),"Esprit # 2")</f>
        <v>Esprit # 2</v>
      </c>
      <c r="C9749" s="1" t="s">
        <v>185</v>
      </c>
      <c r="P9749" s="1" t="s">
        <v>12</v>
      </c>
      <c r="EZ9749" s="1" t="s">
        <v>152</v>
      </c>
      <c r="FC9749" s="1" t="s">
        <v>155</v>
      </c>
      <c r="GD9749" s="1" t="s">
        <v>202</v>
      </c>
      <c r="GE9749" s="1" t="s">
        <v>13736</v>
      </c>
    </row>
    <row r="9750" spans="1:187" ht="11.25" customHeight="1">
      <c r="A9750" s="1" t="s">
        <v>13737</v>
      </c>
      <c r="B9750" s="1" t="str">
        <f ca="1">IFERROR(__xludf.DUMMYFUNCTION("GOOGLETRANSLATE(A9750, ""en"", ""fr"")"),"SPIRITUEL")</f>
        <v>SPIRITUEL</v>
      </c>
      <c r="C9750" s="1" t="s">
        <v>185</v>
      </c>
      <c r="U9750" s="1" t="s">
        <v>17</v>
      </c>
      <c r="AI9750" s="1" t="s">
        <v>31</v>
      </c>
      <c r="EI9750" s="1" t="s">
        <v>135</v>
      </c>
      <c r="EJ9750" s="1" t="s">
        <v>136</v>
      </c>
      <c r="GD9750" s="1" t="s">
        <v>202</v>
      </c>
      <c r="GE9750" s="1" t="s">
        <v>190</v>
      </c>
    </row>
    <row r="9751" spans="1:187" ht="11.25" customHeight="1">
      <c r="A9751" s="1" t="s">
        <v>13738</v>
      </c>
      <c r="B9751" s="1" t="str">
        <f ca="1">IFERROR(__xludf.DUMMYFUNCTION("GOOGLETRANSLATE(A9751, ""en"", ""fr"")"),"Cracher n ° 1")</f>
        <v>Cracher n ° 1</v>
      </c>
      <c r="C9751" s="1" t="s">
        <v>185</v>
      </c>
      <c r="BU9751" s="1" t="s">
        <v>69</v>
      </c>
      <c r="GD9751" s="1" t="s">
        <v>193</v>
      </c>
      <c r="GE9751" s="1" t="s">
        <v>190</v>
      </c>
    </row>
    <row r="9752" spans="1:187" ht="11.25" customHeight="1">
      <c r="A9752" s="1" t="s">
        <v>13739</v>
      </c>
      <c r="B9752" s="1" t="str">
        <f ca="1">IFERROR(__xludf.DUMMYFUNCTION("GOOGLETRANSLATE(A9752, ""en"", ""fr"")"),"Cracher n ° 2")</f>
        <v>Cracher n ° 2</v>
      </c>
      <c r="C9752" s="1" t="s">
        <v>185</v>
      </c>
      <c r="BU9752" s="1" t="s">
        <v>69</v>
      </c>
      <c r="DO9752" s="1" t="s">
        <v>115</v>
      </c>
      <c r="GD9752" s="1" t="s">
        <v>189</v>
      </c>
      <c r="GE9752" s="1" t="s">
        <v>190</v>
      </c>
    </row>
    <row r="9753" spans="1:187" ht="11.25" customHeight="1">
      <c r="A9753" s="1" t="s">
        <v>13740</v>
      </c>
      <c r="B9753" s="1" t="str">
        <f ca="1">IFERROR(__xludf.DUMMYFUNCTION("GOOGLETRANSLATE(A9753, ""en"", ""fr"")"),"Mépris n ° 1")</f>
        <v>Mépris n ° 1</v>
      </c>
      <c r="C9753" s="1" t="s">
        <v>185</v>
      </c>
      <c r="W9753" s="1" t="s">
        <v>19</v>
      </c>
      <c r="CH9753" s="1" t="s">
        <v>82</v>
      </c>
      <c r="GD9753" s="1" t="s">
        <v>10290</v>
      </c>
      <c r="GE9753" s="1" t="s">
        <v>13741</v>
      </c>
    </row>
    <row r="9754" spans="1:187" ht="11.25" customHeight="1">
      <c r="A9754" s="1" t="s">
        <v>13742</v>
      </c>
      <c r="B9754" s="1" t="str">
        <f ca="1">IFERROR(__xludf.DUMMYFUNCTION("GOOGLETRANSLATE(A9754, ""en"", ""fr"")"),"Dépit n ° 2")</f>
        <v>Dépit n ° 2</v>
      </c>
      <c r="C9754" s="1" t="s">
        <v>185</v>
      </c>
      <c r="E9754" s="1" t="s">
        <v>16613</v>
      </c>
      <c r="H9754" s="1" t="s">
        <v>4</v>
      </c>
      <c r="I9754" s="1" t="s">
        <v>5</v>
      </c>
      <c r="S9754" s="1" t="s">
        <v>15</v>
      </c>
      <c r="T9754" s="1" t="s">
        <v>16</v>
      </c>
      <c r="FW9754" s="1" t="s">
        <v>175</v>
      </c>
      <c r="GD9754" s="1" t="s">
        <v>193</v>
      </c>
      <c r="GE9754" s="1" t="s">
        <v>13743</v>
      </c>
    </row>
    <row r="9755" spans="1:187" ht="11.25" customHeight="1">
      <c r="A9755" s="1" t="s">
        <v>13744</v>
      </c>
      <c r="B9755" s="1" t="str">
        <f ca="1">IFERROR(__xludf.DUMMYFUNCTION("GOOGLETRANSLATE(A9755, ""en"", ""fr"")"),"MALVEILLANT")</f>
        <v>MALVEILLANT</v>
      </c>
      <c r="C9755" s="1" t="s">
        <v>192</v>
      </c>
      <c r="E9755" s="1" t="s">
        <v>16613</v>
      </c>
      <c r="I9755" s="1" t="s">
        <v>5</v>
      </c>
      <c r="T9755" s="1" t="s">
        <v>16</v>
      </c>
      <c r="DQ9755" s="1" t="s">
        <v>117</v>
      </c>
      <c r="GD9755" s="1" t="s">
        <v>202</v>
      </c>
      <c r="GE9755" s="1" t="s">
        <v>190</v>
      </c>
    </row>
    <row r="9756" spans="1:187" ht="11.25" customHeight="1">
      <c r="A9756" s="1" t="s">
        <v>13745</v>
      </c>
      <c r="B9756" s="1" t="str">
        <f ca="1">IFERROR(__xludf.DUMMYFUNCTION("GOOGLETRANSLATE(A9756, ""en"", ""fr"")"),"SPLENDIDE")</f>
        <v>SPLENDIDE</v>
      </c>
      <c r="C9756" s="1" t="s">
        <v>185</v>
      </c>
      <c r="D9756" s="1" t="s">
        <v>16612</v>
      </c>
      <c r="F9756" s="1" t="s">
        <v>2</v>
      </c>
      <c r="U9756" s="1" t="s">
        <v>17</v>
      </c>
      <c r="W9756" s="1" t="s">
        <v>19</v>
      </c>
      <c r="CN9756" s="1" t="s">
        <v>88</v>
      </c>
      <c r="FL9756" s="1" t="s">
        <v>164</v>
      </c>
      <c r="FM9756" s="1" t="s">
        <v>418</v>
      </c>
      <c r="GD9756" s="1" t="s">
        <v>202</v>
      </c>
      <c r="GE9756" s="1" t="s">
        <v>190</v>
      </c>
    </row>
    <row r="9757" spans="1:187" ht="11.25" customHeight="1">
      <c r="A9757" s="1" t="s">
        <v>13746</v>
      </c>
      <c r="B9757" s="1" t="str">
        <f ca="1">IFERROR(__xludf.DUMMYFUNCTION("GOOGLETRANSLATE(A9757, ""en"", ""fr"")"),"SPLENDEUR")</f>
        <v>SPLENDEUR</v>
      </c>
      <c r="C9757" s="1" t="s">
        <v>185</v>
      </c>
      <c r="D9757" s="1" t="s">
        <v>16612</v>
      </c>
      <c r="U9757" s="1" t="s">
        <v>17</v>
      </c>
      <c r="FL9757" s="1" t="s">
        <v>164</v>
      </c>
      <c r="FM9757" s="1" t="s">
        <v>418</v>
      </c>
      <c r="GD9757" s="1" t="s">
        <v>193</v>
      </c>
      <c r="GE9757" s="1" t="s">
        <v>190</v>
      </c>
    </row>
    <row r="9758" spans="1:187" ht="11.25" customHeight="1">
      <c r="A9758" s="1" t="s">
        <v>13747</v>
      </c>
      <c r="B9758" s="1" t="str">
        <f ca="1">IFERROR(__xludf.DUMMYFUNCTION("GOOGLETRANSLATE(A9758, ""en"", ""fr"")"),"Split # 1")</f>
        <v>Split # 1</v>
      </c>
      <c r="C9758" s="1" t="s">
        <v>185</v>
      </c>
      <c r="I9758" s="1" t="s">
        <v>5</v>
      </c>
      <c r="J9758" s="1" t="s">
        <v>6</v>
      </c>
      <c r="N9758" s="1" t="s">
        <v>10</v>
      </c>
      <c r="CC9758" s="1" t="s">
        <v>77</v>
      </c>
      <c r="DO9758" s="1" t="s">
        <v>115</v>
      </c>
      <c r="DW9758" s="1" t="s">
        <v>123</v>
      </c>
      <c r="ED9758" s="1" t="s">
        <v>130</v>
      </c>
      <c r="GD9758" s="1" t="s">
        <v>189</v>
      </c>
      <c r="GE9758" s="1" t="s">
        <v>13748</v>
      </c>
    </row>
    <row r="9759" spans="1:187" ht="11.25" customHeight="1">
      <c r="A9759" s="1" t="s">
        <v>13749</v>
      </c>
      <c r="B9759" s="1" t="str">
        <f ca="1">IFERROR(__xludf.DUMMYFUNCTION("GOOGLETRANSLATE(A9759, ""en"", ""fr"")"),"Split # 2")</f>
        <v>Split # 2</v>
      </c>
      <c r="C9759" s="1" t="s">
        <v>185</v>
      </c>
      <c r="L9759" s="1" t="s">
        <v>8</v>
      </c>
      <c r="O9759" s="1" t="s">
        <v>11</v>
      </c>
      <c r="CR9759" s="1" t="s">
        <v>92</v>
      </c>
      <c r="DW9759" s="1" t="s">
        <v>123</v>
      </c>
      <c r="ED9759" s="1" t="s">
        <v>130</v>
      </c>
      <c r="GD9759" s="1" t="s">
        <v>193</v>
      </c>
      <c r="GE9759" s="1" t="s">
        <v>13750</v>
      </c>
    </row>
    <row r="9760" spans="1:187" ht="11.25" customHeight="1">
      <c r="A9760" s="1" t="s">
        <v>13751</v>
      </c>
      <c r="B9760" s="1" t="str">
        <f ca="1">IFERROR(__xludf.DUMMYFUNCTION("GOOGLETRANSLATE(A9760, ""en"", ""fr"")"),"Split # 3")</f>
        <v>Split # 3</v>
      </c>
      <c r="C9760" s="1" t="s">
        <v>185</v>
      </c>
      <c r="E9760" s="1" t="s">
        <v>16613</v>
      </c>
      <c r="H9760" s="1" t="s">
        <v>4</v>
      </c>
      <c r="CR9760" s="1" t="s">
        <v>92</v>
      </c>
      <c r="FW9760" s="1" t="s">
        <v>175</v>
      </c>
      <c r="GD9760" s="1" t="s">
        <v>202</v>
      </c>
      <c r="GE9760" s="1" t="s">
        <v>13752</v>
      </c>
    </row>
    <row r="9761" spans="1:187" ht="11.25" customHeight="1">
      <c r="A9761" s="1" t="s">
        <v>13753</v>
      </c>
      <c r="B9761" s="1" t="str">
        <f ca="1">IFERROR(__xludf.DUMMYFUNCTION("GOOGLETRANSLATE(A9761, ""en"", ""fr"")"),"GÂCHER")</f>
        <v>GÂCHER</v>
      </c>
      <c r="C9761" s="1" t="s">
        <v>185</v>
      </c>
      <c r="E9761" s="1" t="s">
        <v>16613</v>
      </c>
      <c r="H9761" s="1" t="s">
        <v>4</v>
      </c>
      <c r="I9761" s="1" t="s">
        <v>5</v>
      </c>
      <c r="CC9761" s="1" t="s">
        <v>77</v>
      </c>
      <c r="DN9761" s="1" t="s">
        <v>114</v>
      </c>
      <c r="FO9761" s="1" t="s">
        <v>167</v>
      </c>
      <c r="GD9761" s="1" t="s">
        <v>189</v>
      </c>
      <c r="GE9761" s="1" t="s">
        <v>190</v>
      </c>
    </row>
    <row r="9762" spans="1:187" ht="11.25" customHeight="1">
      <c r="A9762" s="1" t="s">
        <v>13754</v>
      </c>
      <c r="B9762" s="1" t="str">
        <f ca="1">IFERROR(__xludf.DUMMYFUNCTION("GOOGLETRANSLATE(A9762, ""en"", ""fr"")"),"Parlé n ° 1")</f>
        <v>Parlé n ° 1</v>
      </c>
      <c r="C9762" s="1" t="s">
        <v>185</v>
      </c>
      <c r="N9762" s="1" t="s">
        <v>10</v>
      </c>
      <c r="BK9762" s="1" t="s">
        <v>59</v>
      </c>
      <c r="DO9762" s="1" t="s">
        <v>115</v>
      </c>
      <c r="FH9762" s="1" t="s">
        <v>160</v>
      </c>
      <c r="FI9762" s="1" t="s">
        <v>161</v>
      </c>
      <c r="GD9762" s="1" t="s">
        <v>2413</v>
      </c>
      <c r="GE9762" s="1" t="s">
        <v>13755</v>
      </c>
    </row>
    <row r="9763" spans="1:187" ht="11.25" customHeight="1">
      <c r="A9763" s="1" t="s">
        <v>13756</v>
      </c>
      <c r="B9763" s="1" t="str">
        <f ca="1">IFERROR(__xludf.DUMMYFUNCTION("GOOGLETRANSLATE(A9763, ""en"", ""fr"")"),"Parlé n ° 2")</f>
        <v>Parlé n ° 2</v>
      </c>
      <c r="C9763" s="1" t="s">
        <v>185</v>
      </c>
      <c r="G9763" s="1" t="s">
        <v>3</v>
      </c>
      <c r="N9763" s="1" t="s">
        <v>10</v>
      </c>
      <c r="AN9763" s="1" t="s">
        <v>36</v>
      </c>
      <c r="DN9763" s="1" t="s">
        <v>114</v>
      </c>
      <c r="DS9763" s="1" t="s">
        <v>119</v>
      </c>
      <c r="ED9763" s="1" t="s">
        <v>130</v>
      </c>
      <c r="GD9763" s="1" t="s">
        <v>189</v>
      </c>
      <c r="GE9763" s="1" t="s">
        <v>13757</v>
      </c>
    </row>
    <row r="9764" spans="1:187" ht="11.25" customHeight="1">
      <c r="A9764" s="1" t="s">
        <v>13758</v>
      </c>
      <c r="B9764" s="1" t="str">
        <f ca="1">IFERROR(__xludf.DUMMYFUNCTION("GOOGLETRANSLATE(A9764, ""en"", ""fr"")"),"Parlé n ° 3")</f>
        <v>Parlé n ° 3</v>
      </c>
      <c r="C9764" s="1" t="s">
        <v>185</v>
      </c>
      <c r="K9764" s="1" t="s">
        <v>7</v>
      </c>
      <c r="N9764" s="1" t="s">
        <v>10</v>
      </c>
      <c r="BK9764" s="1" t="s">
        <v>59</v>
      </c>
      <c r="DN9764" s="1" t="s">
        <v>114</v>
      </c>
      <c r="FH9764" s="1" t="s">
        <v>160</v>
      </c>
      <c r="FI9764" s="1" t="s">
        <v>161</v>
      </c>
      <c r="GD9764" s="1" t="s">
        <v>189</v>
      </c>
      <c r="GE9764" s="1" t="s">
        <v>13759</v>
      </c>
    </row>
    <row r="9765" spans="1:187" ht="11.25" customHeight="1">
      <c r="A9765" s="1" t="s">
        <v>13760</v>
      </c>
      <c r="B9765" s="1" t="str">
        <f ca="1">IFERROR(__xludf.DUMMYFUNCTION("GOOGLETRANSLATE(A9765, ""en"", ""fr"")"),"Parlé n ° 4")</f>
        <v>Parlé n ° 4</v>
      </c>
      <c r="C9765" s="1" t="s">
        <v>185</v>
      </c>
      <c r="BC9765" s="1" t="s">
        <v>51</v>
      </c>
      <c r="BD9765" s="1" t="s">
        <v>52</v>
      </c>
      <c r="GD9765" s="1" t="s">
        <v>193</v>
      </c>
      <c r="GE9765" s="1" t="s">
        <v>13761</v>
      </c>
    </row>
    <row r="9766" spans="1:187" ht="11.25" customHeight="1">
      <c r="A9766" s="1" t="s">
        <v>13762</v>
      </c>
      <c r="B9766" s="1" t="str">
        <f ca="1">IFERROR(__xludf.DUMMYFUNCTION("GOOGLETRANSLATE(A9766, ""en"", ""fr"")"),"Parlé # 1")</f>
        <v>Parlé # 1</v>
      </c>
      <c r="C9766" s="1" t="s">
        <v>192</v>
      </c>
      <c r="GD9766" s="1" t="s">
        <v>1085</v>
      </c>
      <c r="GE9766" s="1" t="s">
        <v>190</v>
      </c>
    </row>
    <row r="9767" spans="1:187" ht="11.25" customHeight="1">
      <c r="A9767" s="1" t="s">
        <v>13763</v>
      </c>
      <c r="B9767" s="1" t="str">
        <f ca="1">IFERROR(__xludf.DUMMYFUNCTION("GOOGLETRANSLATE(A9767, ""en"", ""fr"")"),"Porte-parole")</f>
        <v>Porte-parole</v>
      </c>
      <c r="C9767" s="1" t="s">
        <v>185</v>
      </c>
      <c r="N9767" s="1" t="s">
        <v>10</v>
      </c>
      <c r="AG9767" s="1" t="s">
        <v>29</v>
      </c>
      <c r="AJ9767" s="1" t="s">
        <v>32</v>
      </c>
      <c r="AT9767" s="1" t="s">
        <v>42</v>
      </c>
      <c r="FG9767" s="1" t="s">
        <v>159</v>
      </c>
      <c r="FI9767" s="1" t="s">
        <v>161</v>
      </c>
      <c r="GD9767" s="1" t="s">
        <v>193</v>
      </c>
      <c r="GE9767" s="1" t="s">
        <v>190</v>
      </c>
    </row>
    <row r="9768" spans="1:187" ht="11.25" customHeight="1">
      <c r="A9768" s="1" t="s">
        <v>13764</v>
      </c>
      <c r="B9768" s="1" t="str">
        <f ca="1">IFERROR(__xludf.DUMMYFUNCTION("GOOGLETRANSLATE(A9768, ""en"", ""fr"")"),"Sponsor # 1")</f>
        <v>Sponsor # 1</v>
      </c>
      <c r="C9768" s="1" t="s">
        <v>185</v>
      </c>
      <c r="N9768" s="1" t="s">
        <v>10</v>
      </c>
      <c r="AA9768" s="1" t="s">
        <v>23</v>
      </c>
      <c r="AC9768" s="1" t="s">
        <v>25</v>
      </c>
      <c r="AJ9768" s="1" t="s">
        <v>32</v>
      </c>
      <c r="AT9768" s="1" t="s">
        <v>42</v>
      </c>
      <c r="GD9768" s="1" t="s">
        <v>193</v>
      </c>
      <c r="GE9768" s="1" t="s">
        <v>190</v>
      </c>
    </row>
    <row r="9769" spans="1:187" ht="11.25" customHeight="1">
      <c r="A9769" s="1" t="s">
        <v>13765</v>
      </c>
      <c r="B9769" s="1" t="str">
        <f ca="1">IFERROR(__xludf.DUMMYFUNCTION("GOOGLETRANSLATE(A9769, ""en"", ""fr"")"),"Sponsor # 2")</f>
        <v>Sponsor # 2</v>
      </c>
      <c r="C9769" s="1" t="s">
        <v>185</v>
      </c>
      <c r="J9769" s="1" t="s">
        <v>6</v>
      </c>
      <c r="K9769" s="1" t="s">
        <v>7</v>
      </c>
      <c r="N9769" s="1" t="s">
        <v>10</v>
      </c>
      <c r="AN9769" s="1" t="s">
        <v>36</v>
      </c>
      <c r="DN9769" s="1" t="s">
        <v>114</v>
      </c>
      <c r="GD9769" s="1" t="s">
        <v>189</v>
      </c>
      <c r="GE9769" s="1" t="s">
        <v>190</v>
      </c>
    </row>
    <row r="9770" spans="1:187" ht="11.25" customHeight="1">
      <c r="A9770" s="1" t="s">
        <v>13766</v>
      </c>
      <c r="B9770" s="1" t="str">
        <f ca="1">IFERROR(__xludf.DUMMYFUNCTION("GOOGLETRANSLATE(A9770, ""en"", ""fr"")"),"SPONTANÉ")</f>
        <v>SPONTANÉ</v>
      </c>
      <c r="C9770" s="1" t="s">
        <v>185</v>
      </c>
      <c r="J9770" s="1" t="s">
        <v>6</v>
      </c>
      <c r="U9770" s="1" t="s">
        <v>17</v>
      </c>
      <c r="GD9770" s="1" t="s">
        <v>202</v>
      </c>
      <c r="GE9770" s="1" t="s">
        <v>190</v>
      </c>
    </row>
    <row r="9771" spans="1:187" ht="11.25" customHeight="1">
      <c r="A9771" s="1" t="s">
        <v>13767</v>
      </c>
      <c r="B9771" s="1" t="str">
        <f ca="1">IFERROR(__xludf.DUMMYFUNCTION("GOOGLETRANSLATE(A9771, ""en"", ""fr"")"),"SPORADIQUE")</f>
        <v>SPORADIQUE</v>
      </c>
      <c r="C9771" s="1" t="s">
        <v>185</v>
      </c>
      <c r="L9771" s="1" t="s">
        <v>8</v>
      </c>
      <c r="CW9771" s="1" t="s">
        <v>97</v>
      </c>
      <c r="GD9771" s="1" t="s">
        <v>202</v>
      </c>
      <c r="GE9771" s="1" t="s">
        <v>190</v>
      </c>
    </row>
    <row r="9772" spans="1:187" ht="11.25" customHeight="1">
      <c r="A9772" s="1" t="s">
        <v>13768</v>
      </c>
      <c r="B9772" s="1" t="str">
        <f ca="1">IFERROR(__xludf.DUMMYFUNCTION("GOOGLETRANSLATE(A9772, ""en"", ""fr"")"),"Sport n ° 1")</f>
        <v>Sport n ° 1</v>
      </c>
      <c r="C9772" s="1" t="s">
        <v>185</v>
      </c>
      <c r="AD9772" s="1" t="s">
        <v>26</v>
      </c>
      <c r="AM9772" s="1" t="s">
        <v>35</v>
      </c>
      <c r="FL9772" s="1" t="s">
        <v>164</v>
      </c>
      <c r="FM9772" s="1" t="s">
        <v>418</v>
      </c>
      <c r="GD9772" s="1" t="s">
        <v>849</v>
      </c>
      <c r="GE9772" s="1" t="s">
        <v>13769</v>
      </c>
    </row>
    <row r="9773" spans="1:187" ht="11.25" customHeight="1">
      <c r="A9773" s="1" t="s">
        <v>13770</v>
      </c>
      <c r="B9773" s="1" t="str">
        <f ca="1">IFERROR(__xludf.DUMMYFUNCTION("GOOGLETRANSLATE(A9773, ""en"", ""fr"")"),"Sport n ° 2")</f>
        <v>Sport n ° 2</v>
      </c>
      <c r="C9773" s="1" t="s">
        <v>185</v>
      </c>
      <c r="U9773" s="1" t="s">
        <v>17</v>
      </c>
      <c r="FX9773" s="1" t="s">
        <v>176</v>
      </c>
      <c r="GD9773" s="1" t="s">
        <v>193</v>
      </c>
      <c r="GE9773" s="1" t="s">
        <v>13771</v>
      </c>
    </row>
    <row r="9774" spans="1:187" ht="11.25" customHeight="1">
      <c r="A9774" s="1" t="s">
        <v>13772</v>
      </c>
      <c r="B9774" s="1" t="str">
        <f ca="1">IFERROR(__xludf.DUMMYFUNCTION("GOOGLETRANSLATE(A9774, ""en"", ""fr"")"),"Sport n ° 3")</f>
        <v>Sport n ° 3</v>
      </c>
      <c r="C9774" s="1" t="s">
        <v>185</v>
      </c>
      <c r="AD9774" s="1" t="s">
        <v>26</v>
      </c>
      <c r="AM9774" s="1" t="s">
        <v>35</v>
      </c>
      <c r="FL9774" s="1" t="s">
        <v>164</v>
      </c>
      <c r="FM9774" s="1" t="s">
        <v>418</v>
      </c>
      <c r="GD9774" s="1" t="s">
        <v>202</v>
      </c>
      <c r="GE9774" s="1" t="s">
        <v>13773</v>
      </c>
    </row>
    <row r="9775" spans="1:187" ht="11.25" customHeight="1">
      <c r="A9775" s="1" t="s">
        <v>13774</v>
      </c>
      <c r="B9775" s="1" t="str">
        <f ca="1">IFERROR(__xludf.DUMMYFUNCTION("GOOGLETRANSLATE(A9775, ""en"", ""fr"")"),"Spot n ° 1")</f>
        <v>Spot n ° 1</v>
      </c>
      <c r="C9775" s="1" t="s">
        <v>185</v>
      </c>
      <c r="AV9775" s="1" t="s">
        <v>44</v>
      </c>
      <c r="AX9775" s="1" t="s">
        <v>46</v>
      </c>
      <c r="GB9775" s="1" t="s">
        <v>180</v>
      </c>
      <c r="GD9775" s="1" t="s">
        <v>193</v>
      </c>
      <c r="GE9775" s="1" t="s">
        <v>13775</v>
      </c>
    </row>
    <row r="9776" spans="1:187" ht="11.25" customHeight="1">
      <c r="A9776" s="1" t="s">
        <v>13776</v>
      </c>
      <c r="B9776" s="1" t="str">
        <f ca="1">IFERROR(__xludf.DUMMYFUNCTION("GOOGLETRANSLATE(A9776, ""en"", ""fr"")"),"Spot n ° 2")</f>
        <v>Spot n ° 2</v>
      </c>
      <c r="C9776" s="1" t="s">
        <v>185</v>
      </c>
      <c r="CK9776" s="1" t="s">
        <v>85</v>
      </c>
      <c r="DN9776" s="1" t="s">
        <v>114</v>
      </c>
      <c r="FD9776" s="1" t="s">
        <v>156</v>
      </c>
      <c r="FI9776" s="1" t="s">
        <v>161</v>
      </c>
      <c r="GD9776" s="1" t="s">
        <v>189</v>
      </c>
      <c r="GE9776" s="1" t="s">
        <v>13777</v>
      </c>
    </row>
    <row r="9777" spans="1:187" ht="11.25" customHeight="1">
      <c r="A9777" s="1" t="s">
        <v>13778</v>
      </c>
      <c r="B9777" s="1" t="str">
        <f ca="1">IFERROR(__xludf.DUMMYFUNCTION("GOOGLETRANSLATE(A9777, ""en"", ""fr"")"),"Spot n ° 3")</f>
        <v>Spot n ° 3</v>
      </c>
      <c r="C9777" s="1" t="s">
        <v>185</v>
      </c>
      <c r="CR9777" s="1" t="s">
        <v>92</v>
      </c>
      <c r="GD9777" s="1" t="s">
        <v>202</v>
      </c>
      <c r="GE9777" s="1" t="s">
        <v>13779</v>
      </c>
    </row>
    <row r="9778" spans="1:187" ht="11.25" customHeight="1">
      <c r="A9778" s="1" t="s">
        <v>13780</v>
      </c>
      <c r="B9778" s="1" t="str">
        <f ca="1">IFERROR(__xludf.DUMMYFUNCTION("GOOGLETRANSLATE(A9778, ""en"", ""fr"")"),"Spot n ° 4")</f>
        <v>Spot n ° 4</v>
      </c>
      <c r="C9778" s="1" t="s">
        <v>185</v>
      </c>
      <c r="CY9778" s="1" t="s">
        <v>99</v>
      </c>
      <c r="GB9778" s="1" t="s">
        <v>180</v>
      </c>
      <c r="GD9778" s="1" t="s">
        <v>236</v>
      </c>
      <c r="GE9778" s="1" t="s">
        <v>13781</v>
      </c>
    </row>
    <row r="9779" spans="1:187" ht="11.25" customHeight="1">
      <c r="A9779" s="1" t="s">
        <v>13782</v>
      </c>
      <c r="B9779" s="1" t="str">
        <f ca="1">IFERROR(__xludf.DUMMYFUNCTION("GOOGLETRANSLATE(A9779, ""en"", ""fr"")"),"Spot n ° 5")</f>
        <v>Spot n ° 5</v>
      </c>
      <c r="C9779" s="1" t="s">
        <v>185</v>
      </c>
      <c r="E9779" s="1" t="s">
        <v>16613</v>
      </c>
      <c r="H9779" s="1" t="s">
        <v>4</v>
      </c>
      <c r="V9779" s="1" t="s">
        <v>18</v>
      </c>
      <c r="GD9779" s="1" t="s">
        <v>202</v>
      </c>
      <c r="GE9779" s="1" t="s">
        <v>13783</v>
      </c>
    </row>
    <row r="9780" spans="1:187" ht="11.25" customHeight="1">
      <c r="A9780" s="1" t="s">
        <v>13784</v>
      </c>
      <c r="B9780" s="1" t="str">
        <f ca="1">IFERROR(__xludf.DUMMYFUNCTION("GOOGLETRANSLATE(A9780, ""en"", ""fr"")"),"IMPECCABLE")</f>
        <v>IMPECCABLE</v>
      </c>
      <c r="C9780" s="1" t="s">
        <v>192</v>
      </c>
      <c r="D9780" s="1" t="s">
        <v>16612</v>
      </c>
      <c r="U9780" s="1" t="s">
        <v>17</v>
      </c>
      <c r="DR9780" s="1" t="s">
        <v>118</v>
      </c>
      <c r="GD9780" s="1" t="s">
        <v>202</v>
      </c>
      <c r="GE9780" s="1" t="s">
        <v>190</v>
      </c>
    </row>
    <row r="9781" spans="1:187" ht="11.25" customHeight="1">
      <c r="A9781" s="1" t="s">
        <v>13785</v>
      </c>
      <c r="B9781" s="1" t="str">
        <f ca="1">IFERROR(__xludf.DUMMYFUNCTION("GOOGLETRANSLATE(A9781, ""en"", ""fr"")"),"ENTORSE")</f>
        <v>ENTORSE</v>
      </c>
      <c r="C9781" s="1" t="s">
        <v>192</v>
      </c>
      <c r="E9781" s="1" t="s">
        <v>16613</v>
      </c>
      <c r="O9781" s="1" t="s">
        <v>11</v>
      </c>
      <c r="Q9781" s="1" t="s">
        <v>13</v>
      </c>
      <c r="DN9781" s="1" t="s">
        <v>114</v>
      </c>
      <c r="GD9781" s="1" t="s">
        <v>189</v>
      </c>
      <c r="GE9781" s="1" t="s">
        <v>190</v>
      </c>
    </row>
    <row r="9782" spans="1:187" ht="11.25" customHeight="1">
      <c r="A9782" s="1" t="s">
        <v>13786</v>
      </c>
      <c r="B9782" s="1" t="str">
        <f ca="1">IFERROR(__xludf.DUMMYFUNCTION("GOOGLETRANSLATE(A9782, ""en"", ""fr"")"),"Surgir")</f>
        <v>Surgir</v>
      </c>
      <c r="C9782" s="1" t="s">
        <v>185</v>
      </c>
      <c r="N9782" s="1" t="s">
        <v>10</v>
      </c>
      <c r="CE9782" s="1" t="s">
        <v>79</v>
      </c>
      <c r="DN9782" s="1" t="s">
        <v>114</v>
      </c>
      <c r="GD9782" s="1" t="s">
        <v>1076</v>
      </c>
      <c r="GE9782" s="1" t="s">
        <v>190</v>
      </c>
    </row>
    <row r="9783" spans="1:187" ht="11.25" customHeight="1">
      <c r="A9783" s="1" t="s">
        <v>13787</v>
      </c>
      <c r="B9783" s="1" t="str">
        <f ca="1">IFERROR(__xludf.DUMMYFUNCTION("GOOGLETRANSLATE(A9783, ""en"", ""fr"")"),"S'étendre")</f>
        <v>S'étendre</v>
      </c>
      <c r="C9783" s="1" t="s">
        <v>185</v>
      </c>
      <c r="O9783" s="1" t="s">
        <v>11</v>
      </c>
      <c r="CA9783" s="1" t="s">
        <v>75</v>
      </c>
      <c r="DN9783" s="1" t="s">
        <v>114</v>
      </c>
      <c r="GD9783" s="1" t="s">
        <v>189</v>
      </c>
      <c r="GE9783" s="1" t="s">
        <v>190</v>
      </c>
    </row>
    <row r="9784" spans="1:187" ht="11.25" customHeight="1">
      <c r="A9784" s="1" t="s">
        <v>13788</v>
      </c>
      <c r="B9784" s="1" t="str">
        <f ca="1">IFERROR(__xludf.DUMMYFUNCTION("GOOGLETRANSLATE(A9784, ""en"", ""fr"")"),"Pulvérisation n ° 1")</f>
        <v>Pulvérisation n ° 1</v>
      </c>
      <c r="C9784" s="1" t="s">
        <v>185</v>
      </c>
      <c r="BU9784" s="1" t="s">
        <v>69</v>
      </c>
      <c r="GD9784" s="1" t="s">
        <v>193</v>
      </c>
      <c r="GE9784" s="1" t="s">
        <v>190</v>
      </c>
    </row>
    <row r="9785" spans="1:187" ht="11.25" customHeight="1">
      <c r="A9785" s="1" t="s">
        <v>13789</v>
      </c>
      <c r="B9785" s="1" t="str">
        <f ca="1">IFERROR(__xludf.DUMMYFUNCTION("GOOGLETRANSLATE(A9785, ""en"", ""fr"")"),"Pulvérisation n ° 2")</f>
        <v>Pulvérisation n ° 2</v>
      </c>
      <c r="C9785" s="1" t="s">
        <v>185</v>
      </c>
      <c r="CF9785" s="1" t="s">
        <v>80</v>
      </c>
      <c r="DO9785" s="1" t="s">
        <v>115</v>
      </c>
      <c r="GD9785" s="1" t="s">
        <v>189</v>
      </c>
      <c r="GE9785" s="1" t="s">
        <v>190</v>
      </c>
    </row>
    <row r="9786" spans="1:187" ht="11.25" customHeight="1">
      <c r="A9786" s="1" t="s">
        <v>13790</v>
      </c>
      <c r="B9786" s="1" t="str">
        <f ca="1">IFERROR(__xludf.DUMMYFUNCTION("GOOGLETRANSLATE(A9786, ""en"", ""fr"")"),"Se propager n ° 1")</f>
        <v>Se propager n ° 1</v>
      </c>
      <c r="C9786" s="1" t="s">
        <v>185</v>
      </c>
      <c r="BX9786" s="1" t="s">
        <v>72</v>
      </c>
      <c r="DN9786" s="1" t="s">
        <v>114</v>
      </c>
      <c r="FP9786" s="1" t="s">
        <v>168</v>
      </c>
      <c r="GD9786" s="1" t="s">
        <v>400</v>
      </c>
      <c r="GE9786" s="1" t="s">
        <v>13791</v>
      </c>
    </row>
    <row r="9787" spans="1:187" ht="11.25" customHeight="1">
      <c r="A9787" s="1" t="s">
        <v>13792</v>
      </c>
      <c r="B9787" s="1" t="str">
        <f ca="1">IFERROR(__xludf.DUMMYFUNCTION("GOOGLETRANSLATE(A9787, ""en"", ""fr"")"),"Se propager n ° 2")</f>
        <v>Se propager n ° 2</v>
      </c>
      <c r="C9787" s="1" t="s">
        <v>185</v>
      </c>
      <c r="DA9787" s="1" t="s">
        <v>101</v>
      </c>
      <c r="GD9787" s="1" t="s">
        <v>193</v>
      </c>
      <c r="GE9787" s="1" t="s">
        <v>13793</v>
      </c>
    </row>
    <row r="9788" spans="1:187" ht="11.25" customHeight="1">
      <c r="A9788" s="1" t="s">
        <v>13794</v>
      </c>
      <c r="B9788" s="1" t="str">
        <f ca="1">IFERROR(__xludf.DUMMYFUNCTION("GOOGLETRANSLATE(A9788, ""en"", ""fr"")"),"ÉPANDEUR")</f>
        <v>ÉPANDEUR</v>
      </c>
      <c r="C9788" s="1" t="s">
        <v>185</v>
      </c>
      <c r="BC9788" s="1" t="s">
        <v>51</v>
      </c>
      <c r="BD9788" s="1" t="s">
        <v>52</v>
      </c>
      <c r="GD9788" s="1" t="s">
        <v>193</v>
      </c>
      <c r="GE9788" s="1" t="s">
        <v>190</v>
      </c>
    </row>
    <row r="9789" spans="1:187" ht="11.25" customHeight="1">
      <c r="A9789" s="1" t="s">
        <v>13795</v>
      </c>
      <c r="B9789" s="1" t="str">
        <f ca="1">IFERROR(__xludf.DUMMYFUNCTION("GOOGLETRANSLATE(A9789, ""en"", ""fr"")"),"VIF")</f>
        <v>VIF</v>
      </c>
      <c r="C9789" s="1" t="s">
        <v>192</v>
      </c>
      <c r="D9789" s="1" t="s">
        <v>16612</v>
      </c>
      <c r="J9789" s="1" t="s">
        <v>6</v>
      </c>
      <c r="N9789" s="1" t="s">
        <v>10</v>
      </c>
      <c r="DR9789" s="1" t="s">
        <v>118</v>
      </c>
      <c r="GD9789" s="1" t="s">
        <v>202</v>
      </c>
      <c r="GE9789" s="1" t="s">
        <v>190</v>
      </c>
    </row>
    <row r="9790" spans="1:187" ht="11.25" customHeight="1">
      <c r="A9790" s="1" t="s">
        <v>13796</v>
      </c>
      <c r="B9790" s="1" t="str">
        <f ca="1">IFERROR(__xludf.DUMMYFUNCTION("GOOGLETRANSLATE(A9790, ""en"", ""fr"")"),"Printemps n ° 1")</f>
        <v>Printemps n ° 1</v>
      </c>
      <c r="C9790" s="1" t="s">
        <v>185</v>
      </c>
      <c r="CQ9790" s="1" t="s">
        <v>91</v>
      </c>
      <c r="CY9790" s="1" t="s">
        <v>99</v>
      </c>
      <c r="CZ9790" s="1" t="s">
        <v>100</v>
      </c>
      <c r="GB9790" s="1" t="s">
        <v>180</v>
      </c>
      <c r="GD9790" s="1" t="s">
        <v>193</v>
      </c>
      <c r="GE9790" s="1" t="s">
        <v>13797</v>
      </c>
    </row>
    <row r="9791" spans="1:187" ht="11.25" customHeight="1">
      <c r="A9791" s="1" t="s">
        <v>13798</v>
      </c>
      <c r="B9791" s="1" t="str">
        <f ca="1">IFERROR(__xludf.DUMMYFUNCTION("GOOGLETRANSLATE(A9791, ""en"", ""fr"")"),"Printemps n ° 2")</f>
        <v>Printemps n ° 2</v>
      </c>
      <c r="C9791" s="1" t="s">
        <v>185</v>
      </c>
      <c r="BU9791" s="1" t="s">
        <v>69</v>
      </c>
      <c r="GD9791" s="1" t="s">
        <v>193</v>
      </c>
      <c r="GE9791" s="1" t="s">
        <v>13799</v>
      </c>
    </row>
    <row r="9792" spans="1:187" ht="11.25" customHeight="1">
      <c r="A9792" s="1" t="s">
        <v>13800</v>
      </c>
      <c r="B9792" s="1" t="str">
        <f ca="1">IFERROR(__xludf.DUMMYFUNCTION("GOOGLETRANSLATE(A9792, ""en"", ""fr"")"),"Printemps n ° 3")</f>
        <v>Printemps n ° 3</v>
      </c>
      <c r="C9792" s="1" t="s">
        <v>185</v>
      </c>
      <c r="N9792" s="1" t="s">
        <v>10</v>
      </c>
      <c r="CE9792" s="1" t="s">
        <v>79</v>
      </c>
      <c r="DN9792" s="1" t="s">
        <v>114</v>
      </c>
      <c r="GD9792" s="1" t="s">
        <v>189</v>
      </c>
      <c r="GE9792" s="1" t="s">
        <v>13801</v>
      </c>
    </row>
    <row r="9793" spans="1:187" ht="11.25" customHeight="1">
      <c r="A9793" s="1" t="s">
        <v>13802</v>
      </c>
      <c r="B9793" s="1" t="str">
        <f ca="1">IFERROR(__xludf.DUMMYFUNCTION("GOOGLETRANSLATE(A9793, ""en"", ""fr"")"),"SAUPOUDRER")</f>
        <v>SAUPOUDRER</v>
      </c>
      <c r="C9793" s="1" t="s">
        <v>185</v>
      </c>
      <c r="CF9793" s="1" t="s">
        <v>80</v>
      </c>
      <c r="DN9793" s="1" t="s">
        <v>114</v>
      </c>
      <c r="GD9793" s="1" t="s">
        <v>189</v>
      </c>
      <c r="GE9793" s="1" t="s">
        <v>190</v>
      </c>
    </row>
    <row r="9794" spans="1:187" ht="11.25" customHeight="1">
      <c r="A9794" s="1" t="s">
        <v>13803</v>
      </c>
      <c r="B9794" s="1" t="str">
        <f ca="1">IFERROR(__xludf.DUMMYFUNCTION("GOOGLETRANSLATE(A9794, ""en"", ""fr"")"),"À RESSORT")</f>
        <v>À RESSORT</v>
      </c>
      <c r="C9794" s="1" t="s">
        <v>185</v>
      </c>
      <c r="N9794" s="1" t="s">
        <v>10</v>
      </c>
      <c r="CE9794" s="1" t="s">
        <v>79</v>
      </c>
      <c r="DN9794" s="1" t="s">
        <v>114</v>
      </c>
      <c r="GD9794" s="1" t="s">
        <v>1076</v>
      </c>
      <c r="GE9794" s="1" t="s">
        <v>190</v>
      </c>
    </row>
    <row r="9795" spans="1:187" ht="11.25" customHeight="1">
      <c r="A9795" s="1" t="s">
        <v>13804</v>
      </c>
      <c r="B9795" s="1" t="str">
        <f ca="1">IFERROR(__xludf.DUMMYFUNCTION("GOOGLETRANSLATE(A9795, ""en"", ""fr"")"),"Spun # 1")</f>
        <v>Spun # 1</v>
      </c>
      <c r="C9795" s="1" t="s">
        <v>185</v>
      </c>
      <c r="CR9795" s="1" t="s">
        <v>92</v>
      </c>
      <c r="GD9795" s="1" t="s">
        <v>202</v>
      </c>
      <c r="GE9795" s="1" t="s">
        <v>190</v>
      </c>
    </row>
    <row r="9796" spans="1:187" ht="11.25" customHeight="1">
      <c r="A9796" s="1" t="s">
        <v>13805</v>
      </c>
      <c r="B9796" s="1" t="str">
        <f ca="1">IFERROR(__xludf.DUMMYFUNCTION("GOOGLETRANSLATE(A9796, ""en"", ""fr"")"),"Spun # 2")</f>
        <v>Spun # 2</v>
      </c>
      <c r="C9796" s="1" t="s">
        <v>185</v>
      </c>
      <c r="AL9796" s="1" t="s">
        <v>34</v>
      </c>
      <c r="DO9796" s="1" t="s">
        <v>115</v>
      </c>
      <c r="GD9796" s="1" t="s">
        <v>1076</v>
      </c>
      <c r="GE9796" s="1" t="s">
        <v>190</v>
      </c>
    </row>
    <row r="9797" spans="1:187" ht="11.25" customHeight="1">
      <c r="A9797" s="1" t="s">
        <v>13806</v>
      </c>
      <c r="B9797" s="1" t="str">
        <f ca="1">IFERROR(__xludf.DUMMYFUNCTION("GOOGLETRANSLATE(A9797, ""en"", ""fr"")"),"Éperon n ° 1")</f>
        <v>Éperon n ° 1</v>
      </c>
      <c r="C9797" s="1" t="s">
        <v>185</v>
      </c>
      <c r="BC9797" s="1" t="s">
        <v>51</v>
      </c>
      <c r="BD9797" s="1" t="s">
        <v>52</v>
      </c>
      <c r="GD9797" s="1" t="s">
        <v>193</v>
      </c>
      <c r="GE9797" s="1" t="s">
        <v>190</v>
      </c>
    </row>
    <row r="9798" spans="1:187" ht="11.25" customHeight="1">
      <c r="A9798" s="1" t="s">
        <v>13807</v>
      </c>
      <c r="B9798" s="1" t="str">
        <f ca="1">IFERROR(__xludf.DUMMYFUNCTION("GOOGLETRANSLATE(A9798, ""en"", ""fr"")"),"Éperon n ° 2")</f>
        <v>Éperon n ° 2</v>
      </c>
      <c r="C9798" s="1" t="s">
        <v>185</v>
      </c>
      <c r="K9798" s="1" t="s">
        <v>7</v>
      </c>
      <c r="AN9798" s="1" t="s">
        <v>36</v>
      </c>
      <c r="DN9798" s="1" t="s">
        <v>114</v>
      </c>
      <c r="GD9798" s="1" t="s">
        <v>189</v>
      </c>
      <c r="GE9798" s="1" t="s">
        <v>190</v>
      </c>
    </row>
    <row r="9799" spans="1:187" ht="11.25" customHeight="1">
      <c r="A9799" s="1" t="s">
        <v>13808</v>
      </c>
      <c r="B9799" s="1" t="str">
        <f ca="1">IFERROR(__xludf.DUMMYFUNCTION("GOOGLETRANSLATE(A9799, ""en"", ""fr"")"),"Bafouement")</f>
        <v>Bafouement</v>
      </c>
      <c r="C9799" s="1" t="s">
        <v>192</v>
      </c>
      <c r="E9799" s="1" t="s">
        <v>16613</v>
      </c>
      <c r="N9799" s="1" t="s">
        <v>10</v>
      </c>
      <c r="BK9799" s="1" t="s">
        <v>59</v>
      </c>
      <c r="DN9799" s="1" t="s">
        <v>114</v>
      </c>
      <c r="GD9799" s="1" t="s">
        <v>189</v>
      </c>
      <c r="GE9799" s="1" t="s">
        <v>190</v>
      </c>
    </row>
    <row r="9800" spans="1:187" ht="11.25" customHeight="1">
      <c r="A9800" s="1" t="s">
        <v>13809</v>
      </c>
      <c r="B9800" s="1" t="str">
        <f ca="1">IFERROR(__xludf.DUMMYFUNCTION("GOOGLETRANSLATE(A9800, ""en"", ""fr"")"),"ÉQUIPE")</f>
        <v>ÉQUIPE</v>
      </c>
      <c r="C9800" s="1" t="s">
        <v>185</v>
      </c>
      <c r="K9800" s="1" t="s">
        <v>7</v>
      </c>
      <c r="AK9800" s="1" t="s">
        <v>33</v>
      </c>
      <c r="AT9800" s="1" t="s">
        <v>42</v>
      </c>
      <c r="GD9800" s="1" t="s">
        <v>193</v>
      </c>
      <c r="GE9800" s="1" t="s">
        <v>190</v>
      </c>
    </row>
    <row r="9801" spans="1:187" ht="11.25" customHeight="1">
      <c r="A9801" s="1" t="s">
        <v>13810</v>
      </c>
      <c r="B9801" s="1" t="str">
        <f ca="1">IFERROR(__xludf.DUMMYFUNCTION("GOOGLETRANSLATE(A9801, ""en"", ""fr"")"),"ESCADRON")</f>
        <v>ESCADRON</v>
      </c>
      <c r="C9801" s="1" t="s">
        <v>196</v>
      </c>
      <c r="DW9801" s="1" t="s">
        <v>123</v>
      </c>
      <c r="ED9801" s="1" t="s">
        <v>130</v>
      </c>
      <c r="GD9801" s="1" t="s">
        <v>193</v>
      </c>
    </row>
    <row r="9802" spans="1:187" ht="11.25" customHeight="1">
      <c r="A9802" s="1" t="s">
        <v>13811</v>
      </c>
      <c r="B9802" s="1" t="str">
        <f ca="1">IFERROR(__xludf.DUMMYFUNCTION("GOOGLETRANSLATE(A9802, ""en"", ""fr"")"),"BOURRASQUE")</f>
        <v>BOURRASQUE</v>
      </c>
      <c r="C9802" s="1" t="s">
        <v>185</v>
      </c>
      <c r="AV9802" s="1" t="s">
        <v>44</v>
      </c>
      <c r="BB9802" s="1" t="s">
        <v>50</v>
      </c>
      <c r="GD9802" s="1" t="s">
        <v>193</v>
      </c>
      <c r="GE9802" s="1" t="s">
        <v>190</v>
      </c>
    </row>
    <row r="9803" spans="1:187" ht="11.25" customHeight="1">
      <c r="A9803" s="1" t="s">
        <v>13812</v>
      </c>
      <c r="B9803" s="1" t="str">
        <f ca="1">IFERROR(__xludf.DUMMYFUNCTION("GOOGLETRANSLATE(A9803, ""en"", ""fr"")"),"GASPILLER")</f>
        <v>GASPILLER</v>
      </c>
      <c r="C9803" s="1" t="s">
        <v>192</v>
      </c>
      <c r="E9803" s="1" t="s">
        <v>16613</v>
      </c>
      <c r="N9803" s="1" t="s">
        <v>10</v>
      </c>
      <c r="AA9803" s="1" t="s">
        <v>23</v>
      </c>
      <c r="AB9803" s="1" t="s">
        <v>24</v>
      </c>
      <c r="DN9803" s="1" t="s">
        <v>114</v>
      </c>
      <c r="GD9803" s="1" t="s">
        <v>189</v>
      </c>
      <c r="GE9803" s="1" t="s">
        <v>190</v>
      </c>
    </row>
    <row r="9804" spans="1:187" ht="11.25" customHeight="1">
      <c r="A9804" s="1" t="s">
        <v>13813</v>
      </c>
      <c r="B9804" s="1" t="str">
        <f ca="1">IFERROR(__xludf.DUMMYFUNCTION("GOOGLETRANSLATE(A9804, ""en"", ""fr"")"),"Carreau")</f>
        <v>Carreau</v>
      </c>
      <c r="C9804" s="1" t="s">
        <v>196</v>
      </c>
      <c r="FL9804" s="1" t="s">
        <v>164</v>
      </c>
      <c r="FM9804" s="1" t="s">
        <v>418</v>
      </c>
      <c r="GD9804" s="1" t="s">
        <v>189</v>
      </c>
    </row>
    <row r="9805" spans="1:187" ht="11.25" customHeight="1">
      <c r="A9805" s="1" t="s">
        <v>13814</v>
      </c>
      <c r="B9805" s="1" t="str">
        <f ca="1">IFERROR(__xludf.DUMMYFUNCTION("GOOGLETRANSLATE(A9805, ""en"", ""fr"")"),"CARRÉ")</f>
        <v>CARRÉ</v>
      </c>
      <c r="C9805" s="1" t="s">
        <v>185</v>
      </c>
      <c r="DA9805" s="1" t="s">
        <v>101</v>
      </c>
      <c r="GB9805" s="1" t="s">
        <v>180</v>
      </c>
      <c r="GD9805" s="1" t="s">
        <v>193</v>
      </c>
      <c r="GE9805" s="1" t="s">
        <v>190</v>
      </c>
    </row>
    <row r="9806" spans="1:187" ht="11.25" customHeight="1">
      <c r="A9806" s="1" t="s">
        <v>13815</v>
      </c>
      <c r="B9806" s="1" t="str">
        <f ca="1">IFERROR(__xludf.DUMMYFUNCTION("GOOGLETRANSLATE(A9806, ""en"", ""fr"")"),"CARRÉMENT")</f>
        <v>CARRÉMENT</v>
      </c>
      <c r="C9806" s="1" t="s">
        <v>192</v>
      </c>
      <c r="D9806" s="1" t="s">
        <v>16612</v>
      </c>
      <c r="J9806" s="1" t="s">
        <v>6</v>
      </c>
      <c r="GD9806" s="1" t="s">
        <v>202</v>
      </c>
      <c r="GE9806" s="1" t="s">
        <v>190</v>
      </c>
    </row>
    <row r="9807" spans="1:187" ht="11.25" customHeight="1">
      <c r="A9807" s="1" t="s">
        <v>13816</v>
      </c>
      <c r="B9807" s="1" t="str">
        <f ca="1">IFERROR(__xludf.DUMMYFUNCTION("GOOGLETRANSLATE(A9807, ""en"", ""fr"")"),"Squat # 1")</f>
        <v>Squat # 1</v>
      </c>
      <c r="C9807" s="1" t="s">
        <v>185</v>
      </c>
      <c r="DA9807" s="1" t="s">
        <v>101</v>
      </c>
      <c r="GD9807" s="1" t="s">
        <v>202</v>
      </c>
      <c r="GE9807" s="1" t="s">
        <v>190</v>
      </c>
    </row>
    <row r="9808" spans="1:187" ht="11.25" customHeight="1">
      <c r="A9808" s="1" t="s">
        <v>13817</v>
      </c>
      <c r="B9808" s="1" t="str">
        <f ca="1">IFERROR(__xludf.DUMMYFUNCTION("GOOGLETRANSLATE(A9808, ""en"", ""fr"")"),"Squat # 2")</f>
        <v>Squat # 2</v>
      </c>
      <c r="C9808" s="1" t="s">
        <v>185</v>
      </c>
      <c r="O9808" s="1" t="s">
        <v>11</v>
      </c>
      <c r="CA9808" s="1" t="s">
        <v>75</v>
      </c>
      <c r="DO9808" s="1" t="s">
        <v>115</v>
      </c>
      <c r="GD9808" s="1" t="s">
        <v>189</v>
      </c>
      <c r="GE9808" s="1" t="s">
        <v>190</v>
      </c>
    </row>
    <row r="9809" spans="1:187" ht="11.25" customHeight="1">
      <c r="A9809" s="1" t="s">
        <v>13818</v>
      </c>
      <c r="B9809" s="1" t="str">
        <f ca="1">IFERROR(__xludf.DUMMYFUNCTION("GOOGLETRANSLATE(A9809, ""en"", ""fr"")"),"Presser # 1")</f>
        <v>Presser # 1</v>
      </c>
      <c r="C9809" s="1" t="s">
        <v>185</v>
      </c>
      <c r="DA9809" s="1" t="s">
        <v>101</v>
      </c>
      <c r="GD9809" s="1" t="s">
        <v>193</v>
      </c>
      <c r="GE9809" s="1" t="s">
        <v>190</v>
      </c>
    </row>
    <row r="9810" spans="1:187" ht="11.25" customHeight="1">
      <c r="A9810" s="1" t="s">
        <v>13819</v>
      </c>
      <c r="B9810" s="1" t="str">
        <f ca="1">IFERROR(__xludf.DUMMYFUNCTION("GOOGLETRANSLATE(A9810, ""en"", ""fr"")"),"Squeeze # 2")</f>
        <v>Squeeze # 2</v>
      </c>
      <c r="C9810" s="1" t="s">
        <v>185</v>
      </c>
      <c r="J9810" s="1" t="s">
        <v>6</v>
      </c>
      <c r="N9810" s="1" t="s">
        <v>10</v>
      </c>
      <c r="CC9810" s="1" t="s">
        <v>77</v>
      </c>
      <c r="DO9810" s="1" t="s">
        <v>115</v>
      </c>
      <c r="GD9810" s="1" t="s">
        <v>189</v>
      </c>
      <c r="GE9810" s="1" t="s">
        <v>190</v>
      </c>
    </row>
    <row r="9811" spans="1:187" ht="11.25" customHeight="1">
      <c r="A9811" s="1" t="s">
        <v>13820</v>
      </c>
      <c r="B9811" s="1" t="str">
        <f ca="1">IFERROR(__xludf.DUMMYFUNCTION("GOOGLETRANSLATE(A9811, ""en"", ""fr"")"),"ÉCUREUIL")</f>
        <v>ÉCUREUIL</v>
      </c>
      <c r="C9811" s="1" t="s">
        <v>185</v>
      </c>
      <c r="AU9811" s="1" t="s">
        <v>43</v>
      </c>
      <c r="GD9811" s="1" t="s">
        <v>193</v>
      </c>
      <c r="GE9811" s="1" t="s">
        <v>13821</v>
      </c>
    </row>
    <row r="9812" spans="1:187" ht="11.25" customHeight="1">
      <c r="A9812" s="1" t="s">
        <v>13822</v>
      </c>
      <c r="B9812" s="1" t="str">
        <f ca="1">IFERROR(__xludf.DUMMYFUNCTION("GOOGLETRANSLATE(A9812, ""en"", ""fr"")"),"POIGNARDER")</f>
        <v>POIGNARDER</v>
      </c>
      <c r="C9812" s="1" t="s">
        <v>192</v>
      </c>
      <c r="E9812" s="1" t="s">
        <v>16613</v>
      </c>
      <c r="I9812" s="1" t="s">
        <v>5</v>
      </c>
      <c r="N9812" s="1" t="s">
        <v>10</v>
      </c>
      <c r="BP9812" s="1" t="s">
        <v>64</v>
      </c>
      <c r="CC9812" s="1" t="s">
        <v>77</v>
      </c>
      <c r="DO9812" s="1" t="s">
        <v>115</v>
      </c>
      <c r="GD9812" s="1" t="s">
        <v>189</v>
      </c>
      <c r="GE9812" s="1" t="s">
        <v>190</v>
      </c>
    </row>
    <row r="9813" spans="1:187" ht="11.25" customHeight="1">
      <c r="A9813" s="1" t="s">
        <v>13823</v>
      </c>
      <c r="B9813" s="1" t="str">
        <f ca="1">IFERROR(__xludf.DUMMYFUNCTION("GOOGLETRANSLATE(A9813, ""en"", ""fr"")"),"LA STABILITÉ")</f>
        <v>LA STABILITÉ</v>
      </c>
      <c r="C9813" s="1" t="s">
        <v>185</v>
      </c>
      <c r="D9813" s="1" t="s">
        <v>16612</v>
      </c>
      <c r="F9813" s="1" t="s">
        <v>2</v>
      </c>
      <c r="J9813" s="1" t="s">
        <v>6</v>
      </c>
      <c r="U9813" s="1" t="s">
        <v>17</v>
      </c>
      <c r="W9813" s="1" t="s">
        <v>19</v>
      </c>
      <c r="FQ9813" s="1" t="s">
        <v>169</v>
      </c>
      <c r="GD9813" s="1" t="s">
        <v>193</v>
      </c>
      <c r="GE9813" s="1" t="s">
        <v>190</v>
      </c>
    </row>
    <row r="9814" spans="1:187" ht="11.25" customHeight="1">
      <c r="A9814" s="1" t="s">
        <v>13824</v>
      </c>
      <c r="B9814" s="1" t="str">
        <f ca="1">IFERROR(__xludf.DUMMYFUNCTION("GOOGLETRANSLATE(A9814, ""en"", ""fr"")"),"STABILISER")</f>
        <v>STABILISER</v>
      </c>
      <c r="C9814" s="1" t="s">
        <v>185</v>
      </c>
      <c r="D9814" s="1" t="s">
        <v>16612</v>
      </c>
      <c r="F9814" s="1" t="s">
        <v>2</v>
      </c>
      <c r="J9814" s="1" t="s">
        <v>6</v>
      </c>
      <c r="K9814" s="1" t="s">
        <v>7</v>
      </c>
      <c r="N9814" s="1" t="s">
        <v>10</v>
      </c>
      <c r="W9814" s="1" t="s">
        <v>19</v>
      </c>
      <c r="CA9814" s="1" t="s">
        <v>75</v>
      </c>
      <c r="DN9814" s="1" t="s">
        <v>114</v>
      </c>
      <c r="FQ9814" s="1" t="s">
        <v>169</v>
      </c>
      <c r="GD9814" s="1" t="s">
        <v>189</v>
      </c>
      <c r="GE9814" s="1" t="s">
        <v>190</v>
      </c>
    </row>
    <row r="9815" spans="1:187" ht="11.25" customHeight="1">
      <c r="A9815" s="1" t="s">
        <v>13825</v>
      </c>
      <c r="B9815" s="1" t="str">
        <f ca="1">IFERROR(__xludf.DUMMYFUNCTION("GOOGLETRANSLATE(A9815, ""en"", ""fr"")"),"ÉCURIE")</f>
        <v>ÉCURIE</v>
      </c>
      <c r="C9815" s="1" t="s">
        <v>185</v>
      </c>
      <c r="D9815" s="1" t="s">
        <v>16612</v>
      </c>
      <c r="F9815" s="1" t="s">
        <v>2</v>
      </c>
      <c r="J9815" s="1" t="s">
        <v>6</v>
      </c>
      <c r="CR9815" s="1" t="s">
        <v>92</v>
      </c>
      <c r="FQ9815" s="1" t="s">
        <v>169</v>
      </c>
      <c r="GD9815" s="1" t="s">
        <v>202</v>
      </c>
      <c r="GE9815" s="1" t="s">
        <v>190</v>
      </c>
    </row>
    <row r="9816" spans="1:187" ht="11.25" customHeight="1">
      <c r="A9816" s="1" t="s">
        <v>13826</v>
      </c>
      <c r="B9816" s="1" t="str">
        <f ca="1">IFERROR(__xludf.DUMMYFUNCTION("GOOGLETRANSLATE(A9816, ""en"", ""fr"")"),"STADE")</f>
        <v>STADE</v>
      </c>
      <c r="C9816" s="1" t="s">
        <v>185</v>
      </c>
      <c r="AD9816" s="1" t="s">
        <v>26</v>
      </c>
      <c r="AV9816" s="1" t="s">
        <v>44</v>
      </c>
      <c r="AW9816" s="1" t="s">
        <v>45</v>
      </c>
      <c r="GD9816" s="1" t="s">
        <v>193</v>
      </c>
      <c r="GE9816" s="1" t="s">
        <v>190</v>
      </c>
    </row>
    <row r="9817" spans="1:187" ht="11.25" customHeight="1">
      <c r="A9817" s="1" t="s">
        <v>13827</v>
      </c>
      <c r="B9817" s="1" t="str">
        <f ca="1">IFERROR(__xludf.DUMMYFUNCTION("GOOGLETRANSLATE(A9817, ""en"", ""fr"")"),"PERSONNEL")</f>
        <v>PERSONNEL</v>
      </c>
      <c r="C9817" s="1" t="s">
        <v>185</v>
      </c>
      <c r="AK9817" s="1" t="s">
        <v>33</v>
      </c>
      <c r="AT9817" s="1" t="s">
        <v>42</v>
      </c>
      <c r="GD9817" s="1" t="s">
        <v>193</v>
      </c>
      <c r="GE9817" s="1" t="s">
        <v>190</v>
      </c>
    </row>
    <row r="9818" spans="1:187" ht="11.25" customHeight="1">
      <c r="A9818" s="1" t="s">
        <v>13828</v>
      </c>
      <c r="B9818" s="1" t="str">
        <f ca="1">IFERROR(__xludf.DUMMYFUNCTION("GOOGLETRANSLATE(A9818, ""en"", ""fr"")"),"ÉTAPE 1")</f>
        <v>ÉTAPE 1</v>
      </c>
      <c r="C9818" s="1" t="s">
        <v>185</v>
      </c>
      <c r="BQ9818" s="1" t="s">
        <v>65</v>
      </c>
      <c r="GD9818" s="1" t="s">
        <v>193</v>
      </c>
      <c r="GE9818" s="1" t="s">
        <v>13829</v>
      </c>
    </row>
    <row r="9819" spans="1:187" ht="11.25" customHeight="1">
      <c r="A9819" s="1" t="s">
        <v>13830</v>
      </c>
      <c r="B9819" s="1" t="str">
        <f ca="1">IFERROR(__xludf.DUMMYFUNCTION("GOOGLETRANSLATE(A9819, ""en"", ""fr"")"),"Étape n ° 2")</f>
        <v>Étape n ° 2</v>
      </c>
      <c r="C9819" s="1" t="s">
        <v>185</v>
      </c>
      <c r="AD9819" s="1" t="s">
        <v>26</v>
      </c>
      <c r="AV9819" s="1" t="s">
        <v>44</v>
      </c>
      <c r="AW9819" s="1" t="s">
        <v>45</v>
      </c>
      <c r="GD9819" s="1" t="s">
        <v>193</v>
      </c>
      <c r="GE9819" s="1" t="s">
        <v>13831</v>
      </c>
    </row>
    <row r="9820" spans="1:187" ht="11.25" customHeight="1">
      <c r="A9820" s="1" t="s">
        <v>13832</v>
      </c>
      <c r="B9820" s="1" t="str">
        <f ca="1">IFERROR(__xludf.DUMMYFUNCTION("GOOGLETRANSLATE(A9820, ""en"", ""fr"")"),"Étape n ° 3")</f>
        <v>Étape n ° 3</v>
      </c>
      <c r="C9820" s="1" t="s">
        <v>185</v>
      </c>
      <c r="N9820" s="1" t="s">
        <v>10</v>
      </c>
      <c r="AL9820" s="1" t="s">
        <v>34</v>
      </c>
      <c r="DN9820" s="1" t="s">
        <v>114</v>
      </c>
      <c r="FP9820" s="1" t="s">
        <v>168</v>
      </c>
      <c r="GD9820" s="1" t="s">
        <v>189</v>
      </c>
      <c r="GE9820" s="1" t="s">
        <v>13833</v>
      </c>
    </row>
    <row r="9821" spans="1:187" ht="11.25" customHeight="1">
      <c r="A9821" s="1" t="s">
        <v>13834</v>
      </c>
      <c r="B9821" s="1" t="str">
        <f ca="1">IFERROR(__xludf.DUMMYFUNCTION("GOOGLETRANSLATE(A9821, ""en"", ""fr"")"),"DILIGENCE")</f>
        <v>DILIGENCE</v>
      </c>
      <c r="C9821" s="1" t="s">
        <v>185</v>
      </c>
      <c r="BC9821" s="1" t="s">
        <v>51</v>
      </c>
      <c r="BF9821" s="1" t="s">
        <v>54</v>
      </c>
      <c r="GD9821" s="1" t="s">
        <v>193</v>
      </c>
      <c r="GE9821" s="1" t="s">
        <v>190</v>
      </c>
    </row>
    <row r="9822" spans="1:187" ht="11.25" customHeight="1">
      <c r="A9822" s="1" t="s">
        <v>13835</v>
      </c>
      <c r="B9822" s="1" t="str">
        <f ca="1">IFERROR(__xludf.DUMMYFUNCTION("GOOGLETRANSLATE(A9822, ""en"", ""fr"")"),"ÉCHELONNER")</f>
        <v>ÉCHELONNER</v>
      </c>
      <c r="C9822" s="1" t="s">
        <v>185</v>
      </c>
      <c r="L9822" s="1" t="s">
        <v>8</v>
      </c>
      <c r="O9822" s="1" t="s">
        <v>11</v>
      </c>
      <c r="CF9822" s="1" t="s">
        <v>80</v>
      </c>
      <c r="DN9822" s="1" t="s">
        <v>114</v>
      </c>
      <c r="GD9822" s="1" t="s">
        <v>189</v>
      </c>
      <c r="GE9822" s="1" t="s">
        <v>190</v>
      </c>
    </row>
    <row r="9823" spans="1:187" ht="11.25" customHeight="1">
      <c r="A9823" s="1" t="s">
        <v>13836</v>
      </c>
      <c r="B9823" s="1" t="str">
        <f ca="1">IFERROR(__xludf.DUMMYFUNCTION("GOOGLETRANSLATE(A9823, ""en"", ""fr"")"),"STAGNANT")</f>
        <v>STAGNANT</v>
      </c>
      <c r="C9823" s="1" t="s">
        <v>192</v>
      </c>
      <c r="E9823" s="1" t="s">
        <v>16613</v>
      </c>
      <c r="CA9823" s="1" t="s">
        <v>75</v>
      </c>
      <c r="DR9823" s="1" t="s">
        <v>118</v>
      </c>
      <c r="GD9823" s="1" t="s">
        <v>202</v>
      </c>
      <c r="GE9823" s="1" t="s">
        <v>190</v>
      </c>
    </row>
    <row r="9824" spans="1:187" ht="11.25" customHeight="1">
      <c r="A9824" s="1" t="s">
        <v>13837</v>
      </c>
      <c r="B9824" s="1" t="str">
        <f ca="1">IFERROR(__xludf.DUMMYFUNCTION("GOOGLETRANSLATE(A9824, ""en"", ""fr"")"),"TACHE")</f>
        <v>TACHE</v>
      </c>
      <c r="C9824" s="1" t="s">
        <v>192</v>
      </c>
      <c r="E9824" s="1" t="s">
        <v>16613</v>
      </c>
      <c r="O9824" s="1" t="s">
        <v>11</v>
      </c>
      <c r="DO9824" s="1" t="s">
        <v>115</v>
      </c>
      <c r="GD9824" s="1" t="s">
        <v>189</v>
      </c>
      <c r="GE9824" s="1" t="s">
        <v>190</v>
      </c>
    </row>
    <row r="9825" spans="1:187" ht="11.25" customHeight="1">
      <c r="A9825" s="1" t="s">
        <v>13838</v>
      </c>
      <c r="B9825" s="1" t="str">
        <f ca="1">IFERROR(__xludf.DUMMYFUNCTION("GOOGLETRANSLATE(A9825, ""en"", ""fr"")"),"ESCALIER")</f>
        <v>ESCALIER</v>
      </c>
      <c r="C9825" s="1" t="s">
        <v>185</v>
      </c>
      <c r="BC9825" s="1" t="s">
        <v>51</v>
      </c>
      <c r="BG9825" s="1" t="s">
        <v>55</v>
      </c>
      <c r="GD9825" s="1" t="s">
        <v>193</v>
      </c>
      <c r="GE9825" s="1" t="s">
        <v>190</v>
      </c>
    </row>
    <row r="9826" spans="1:187" ht="11.25" customHeight="1">
      <c r="A9826" s="1" t="s">
        <v>13839</v>
      </c>
      <c r="B9826" s="1" t="str">
        <f ca="1">IFERROR(__xludf.DUMMYFUNCTION("GOOGLETRANSLATE(A9826, ""en"", ""fr"")"),"ESCALIER")</f>
        <v>ESCALIER</v>
      </c>
      <c r="C9826" s="1" t="s">
        <v>185</v>
      </c>
      <c r="BC9826" s="1" t="s">
        <v>51</v>
      </c>
      <c r="BG9826" s="1" t="s">
        <v>55</v>
      </c>
      <c r="GD9826" s="1" t="s">
        <v>193</v>
      </c>
      <c r="GE9826" s="1" t="s">
        <v>190</v>
      </c>
    </row>
    <row r="9827" spans="1:187" ht="11.25" customHeight="1">
      <c r="A9827" s="1" t="s">
        <v>13840</v>
      </c>
      <c r="B9827" s="1" t="str">
        <f ca="1">IFERROR(__xludf.DUMMYFUNCTION("GOOGLETRANSLATE(A9827, ""en"", ""fr"")"),"MISER")</f>
        <v>MISER</v>
      </c>
      <c r="C9827" s="1" t="s">
        <v>185</v>
      </c>
      <c r="AC9827" s="1" t="s">
        <v>25</v>
      </c>
      <c r="BQ9827" s="1" t="s">
        <v>65</v>
      </c>
      <c r="GD9827" s="1" t="s">
        <v>193</v>
      </c>
      <c r="GE9827" s="1" t="s">
        <v>190</v>
      </c>
    </row>
    <row r="9828" spans="1:187" ht="11.25" customHeight="1">
      <c r="A9828" s="1" t="s">
        <v>13841</v>
      </c>
      <c r="B9828" s="1" t="str">
        <f ca="1">IFERROR(__xludf.DUMMYFUNCTION("GOOGLETRANSLATE(A9828, ""en"", ""fr"")"),"VICIÉ")</f>
        <v>VICIÉ</v>
      </c>
      <c r="C9828" s="1" t="s">
        <v>192</v>
      </c>
      <c r="E9828" s="1" t="s">
        <v>16613</v>
      </c>
      <c r="L9828" s="1" t="s">
        <v>8</v>
      </c>
      <c r="V9828" s="1" t="s">
        <v>18</v>
      </c>
      <c r="DR9828" s="1" t="s">
        <v>118</v>
      </c>
      <c r="GD9828" s="1" t="s">
        <v>202</v>
      </c>
      <c r="GE9828" s="1" t="s">
        <v>190</v>
      </c>
    </row>
    <row r="9829" spans="1:187" ht="11.25" customHeight="1">
      <c r="A9829" s="1" t="s">
        <v>13842</v>
      </c>
      <c r="B9829" s="1" t="str">
        <f ca="1">IFERROR(__xludf.DUMMYFUNCTION("GOOGLETRANSLATE(A9829, ""en"", ""fr"")"),"IMPASSE")</f>
        <v>IMPASSE</v>
      </c>
      <c r="C9829" s="1" t="s">
        <v>192</v>
      </c>
      <c r="E9829" s="1" t="s">
        <v>16613</v>
      </c>
      <c r="AN9829" s="1" t="s">
        <v>36</v>
      </c>
      <c r="BK9829" s="1" t="s">
        <v>59</v>
      </c>
      <c r="CA9829" s="1" t="s">
        <v>75</v>
      </c>
      <c r="GD9829" s="1" t="s">
        <v>193</v>
      </c>
      <c r="GE9829" s="1" t="s">
        <v>190</v>
      </c>
    </row>
    <row r="9830" spans="1:187" ht="11.25" customHeight="1">
      <c r="A9830" s="1" t="s">
        <v>13843</v>
      </c>
      <c r="B9830" s="1" t="str">
        <f ca="1">IFERROR(__xludf.DUMMYFUNCTION("GOOGLETRANSLATE(A9830, ""en"", ""fr"")"),"Staline")</f>
        <v>Staline</v>
      </c>
      <c r="C9830" s="1" t="s">
        <v>185</v>
      </c>
      <c r="AC9830" s="1" t="s">
        <v>25</v>
      </c>
      <c r="AH9830" s="1" t="s">
        <v>30</v>
      </c>
      <c r="DI9830" s="1" t="s">
        <v>109</v>
      </c>
      <c r="DZ9830" s="1" t="s">
        <v>126</v>
      </c>
      <c r="ED9830" s="1" t="s">
        <v>130</v>
      </c>
      <c r="GD9830" s="1" t="s">
        <v>193</v>
      </c>
      <c r="GE9830" s="1" t="s">
        <v>190</v>
      </c>
    </row>
    <row r="9831" spans="1:187" ht="11.25" customHeight="1">
      <c r="A9831" s="1" t="s">
        <v>13844</v>
      </c>
      <c r="B9831" s="1" t="str">
        <f ca="1">IFERROR(__xludf.DUMMYFUNCTION("GOOGLETRANSLATE(A9831, ""en"", ""fr"")"),"Stand n ° 1")</f>
        <v>Stand n ° 1</v>
      </c>
      <c r="C9831" s="1" t="s">
        <v>185</v>
      </c>
      <c r="AV9831" s="1" t="s">
        <v>44</v>
      </c>
      <c r="AW9831" s="1" t="s">
        <v>45</v>
      </c>
      <c r="GD9831" s="1" t="s">
        <v>193</v>
      </c>
      <c r="GE9831" s="1" t="s">
        <v>190</v>
      </c>
    </row>
    <row r="9832" spans="1:187" ht="11.25" customHeight="1">
      <c r="A9832" s="1" t="s">
        <v>13845</v>
      </c>
      <c r="B9832" s="1" t="str">
        <f ca="1">IFERROR(__xludf.DUMMYFUNCTION("GOOGLETRANSLATE(A9832, ""en"", ""fr"")"),"Stand n ° 2")</f>
        <v>Stand n ° 2</v>
      </c>
      <c r="C9832" s="1" t="s">
        <v>185</v>
      </c>
      <c r="I9832" s="1" t="s">
        <v>5</v>
      </c>
      <c r="L9832" s="1" t="s">
        <v>8</v>
      </c>
      <c r="CA9832" s="1" t="s">
        <v>75</v>
      </c>
      <c r="DN9832" s="1" t="s">
        <v>114</v>
      </c>
      <c r="FP9832" s="1" t="s">
        <v>168</v>
      </c>
      <c r="GD9832" s="1" t="s">
        <v>189</v>
      </c>
      <c r="GE9832" s="1" t="s">
        <v>190</v>
      </c>
    </row>
    <row r="9833" spans="1:187" ht="11.25" customHeight="1">
      <c r="A9833" s="1" t="s">
        <v>13846</v>
      </c>
      <c r="B9833" s="1" t="str">
        <f ca="1">IFERROR(__xludf.DUMMYFUNCTION("GOOGLETRANSLATE(A9833, ""en"", ""fr"")"),"BALBUTIER")</f>
        <v>BALBUTIER</v>
      </c>
      <c r="C9833" s="1" t="s">
        <v>192</v>
      </c>
      <c r="E9833" s="1" t="s">
        <v>16613</v>
      </c>
      <c r="N9833" s="1" t="s">
        <v>10</v>
      </c>
      <c r="BK9833" s="1" t="s">
        <v>59</v>
      </c>
      <c r="DO9833" s="1" t="s">
        <v>115</v>
      </c>
      <c r="GD9833" s="1" t="s">
        <v>189</v>
      </c>
      <c r="GE9833" s="1" t="s">
        <v>190</v>
      </c>
    </row>
    <row r="9834" spans="1:187" ht="11.25" customHeight="1">
      <c r="A9834" s="1" t="s">
        <v>13847</v>
      </c>
      <c r="B9834" s="1" t="str">
        <f ca="1">IFERROR(__xludf.DUMMYFUNCTION("GOOGLETRANSLATE(A9834, ""en"", ""fr"")"),"Tampon n ° 1")</f>
        <v>Tampon n ° 1</v>
      </c>
      <c r="C9834" s="1" t="s">
        <v>185</v>
      </c>
      <c r="AA9834" s="1" t="s">
        <v>23</v>
      </c>
      <c r="BC9834" s="1" t="s">
        <v>51</v>
      </c>
      <c r="BH9834" s="1" t="s">
        <v>56</v>
      </c>
      <c r="BL9834" s="1" t="s">
        <v>60</v>
      </c>
      <c r="GD9834" s="1" t="s">
        <v>193</v>
      </c>
      <c r="GE9834" s="1" t="s">
        <v>190</v>
      </c>
    </row>
    <row r="9835" spans="1:187" ht="11.25" customHeight="1">
      <c r="A9835" s="1" t="s">
        <v>13848</v>
      </c>
      <c r="B9835" s="1" t="str">
        <f ca="1">IFERROR(__xludf.DUMMYFUNCTION("GOOGLETRANSLATE(A9835, ""en"", ""fr"")"),"Tampon n ° 2")</f>
        <v>Tampon n ° 2</v>
      </c>
      <c r="C9835" s="1" t="s">
        <v>185</v>
      </c>
      <c r="E9835" s="1" t="s">
        <v>16613</v>
      </c>
      <c r="H9835" s="1" t="s">
        <v>4</v>
      </c>
      <c r="I9835" s="1" t="s">
        <v>5</v>
      </c>
      <c r="J9835" s="1" t="s">
        <v>6</v>
      </c>
      <c r="N9835" s="1" t="s">
        <v>10</v>
      </c>
      <c r="CC9835" s="1" t="s">
        <v>77</v>
      </c>
      <c r="DO9835" s="1" t="s">
        <v>115</v>
      </c>
      <c r="FP9835" s="1" t="s">
        <v>168</v>
      </c>
      <c r="GD9835" s="1" t="s">
        <v>189</v>
      </c>
      <c r="GE9835" s="1" t="s">
        <v>190</v>
      </c>
    </row>
    <row r="9836" spans="1:187" ht="11.25" customHeight="1">
      <c r="A9836" s="1" t="s">
        <v>13849</v>
      </c>
      <c r="B9836" s="1" t="str">
        <f ca="1">IFERROR(__xludf.DUMMYFUNCTION("GOOGLETRANSLATE(A9836, ""en"", ""fr"")"),"POSITION")</f>
        <v>POSITION</v>
      </c>
      <c r="C9836" s="1" t="s">
        <v>185</v>
      </c>
      <c r="BK9836" s="1" t="s">
        <v>59</v>
      </c>
      <c r="BL9836" s="1" t="s">
        <v>60</v>
      </c>
      <c r="GC9836" s="1" t="s">
        <v>181</v>
      </c>
      <c r="GD9836" s="1" t="s">
        <v>193</v>
      </c>
      <c r="GE9836" s="1" t="s">
        <v>190</v>
      </c>
    </row>
    <row r="9837" spans="1:187" ht="11.25" customHeight="1">
      <c r="A9837" s="1" t="s">
        <v>13850</v>
      </c>
      <c r="B9837" s="1" t="str">
        <f ca="1">IFERROR(__xludf.DUMMYFUNCTION("GOOGLETRANSLATE(A9837, ""en"", ""fr"")"),"Stand # 1")</f>
        <v>Stand # 1</v>
      </c>
      <c r="C9837" s="1" t="s">
        <v>185</v>
      </c>
      <c r="J9837" s="1" t="s">
        <v>6</v>
      </c>
      <c r="CA9837" s="1" t="s">
        <v>75</v>
      </c>
      <c r="DO9837" s="1" t="s">
        <v>115</v>
      </c>
      <c r="GD9837" s="1" t="s">
        <v>189</v>
      </c>
      <c r="GE9837" s="1" t="s">
        <v>13851</v>
      </c>
    </row>
    <row r="9838" spans="1:187" ht="11.25" customHeight="1">
      <c r="A9838" s="1" t="s">
        <v>13852</v>
      </c>
      <c r="B9838" s="1" t="str">
        <f ca="1">IFERROR(__xludf.DUMMYFUNCTION("GOOGLETRANSLATE(A9838, ""en"", ""fr"")"),"Stand # 2")</f>
        <v>Stand # 2</v>
      </c>
      <c r="C9838" s="1" t="s">
        <v>185</v>
      </c>
      <c r="J9838" s="1" t="s">
        <v>6</v>
      </c>
      <c r="CH9838" s="1" t="s">
        <v>82</v>
      </c>
      <c r="FH9838" s="1" t="s">
        <v>160</v>
      </c>
      <c r="FI9838" s="1" t="s">
        <v>161</v>
      </c>
      <c r="GD9838" s="1" t="s">
        <v>193</v>
      </c>
      <c r="GE9838" s="1" t="s">
        <v>13853</v>
      </c>
    </row>
    <row r="9839" spans="1:187" ht="11.25" customHeight="1">
      <c r="A9839" s="1" t="s">
        <v>13854</v>
      </c>
      <c r="B9839" s="1" t="str">
        <f ca="1">IFERROR(__xludf.DUMMYFUNCTION("GOOGLETRANSLATE(A9839, ""en"", ""fr"")"),"Stand # 3")</f>
        <v>Stand # 3</v>
      </c>
      <c r="C9839" s="1" t="s">
        <v>185</v>
      </c>
      <c r="G9839" s="1" t="s">
        <v>3</v>
      </c>
      <c r="J9839" s="1" t="s">
        <v>6</v>
      </c>
      <c r="N9839" s="1" t="s">
        <v>10</v>
      </c>
      <c r="AN9839" s="1" t="s">
        <v>36</v>
      </c>
      <c r="DN9839" s="1" t="s">
        <v>114</v>
      </c>
      <c r="DS9839" s="1" t="s">
        <v>119</v>
      </c>
      <c r="ED9839" s="1" t="s">
        <v>130</v>
      </c>
      <c r="GD9839" s="1" t="s">
        <v>189</v>
      </c>
      <c r="GE9839" s="1" t="s">
        <v>13855</v>
      </c>
    </row>
    <row r="9840" spans="1:187" ht="11.25" customHeight="1">
      <c r="A9840" s="1" t="s">
        <v>13856</v>
      </c>
      <c r="B9840" s="1" t="str">
        <f ca="1">IFERROR(__xludf.DUMMYFUNCTION("GOOGLETRANSLATE(A9840, ""en"", ""fr"")"),"Stand # 4")</f>
        <v>Stand # 4</v>
      </c>
      <c r="C9840" s="1" t="s">
        <v>185</v>
      </c>
      <c r="J9840" s="1" t="s">
        <v>6</v>
      </c>
      <c r="M9840" s="1" t="s">
        <v>9</v>
      </c>
      <c r="O9840" s="1" t="s">
        <v>11</v>
      </c>
      <c r="AN9840" s="1" t="s">
        <v>36</v>
      </c>
      <c r="DN9840" s="1" t="s">
        <v>114</v>
      </c>
      <c r="FP9840" s="1" t="s">
        <v>168</v>
      </c>
      <c r="GD9840" s="1" t="s">
        <v>189</v>
      </c>
      <c r="GE9840" s="1" t="s">
        <v>13857</v>
      </c>
    </row>
    <row r="9841" spans="1:187" ht="11.25" customHeight="1">
      <c r="A9841" s="1" t="s">
        <v>13858</v>
      </c>
      <c r="B9841" s="1" t="str">
        <f ca="1">IFERROR(__xludf.DUMMYFUNCTION("GOOGLETRANSLATE(A9841, ""en"", ""fr"")"),"Stand # 5")</f>
        <v>Stand # 5</v>
      </c>
      <c r="C9841" s="1" t="s">
        <v>185</v>
      </c>
      <c r="D9841" s="1" t="s">
        <v>16612</v>
      </c>
      <c r="F9841" s="1" t="s">
        <v>2</v>
      </c>
      <c r="J9841" s="1" t="s">
        <v>6</v>
      </c>
      <c r="CK9841" s="1" t="s">
        <v>85</v>
      </c>
      <c r="DN9841" s="1" t="s">
        <v>114</v>
      </c>
      <c r="FY9841" s="1" t="s">
        <v>177</v>
      </c>
      <c r="GD9841" s="1" t="s">
        <v>189</v>
      </c>
      <c r="GE9841" s="1" t="s">
        <v>13859</v>
      </c>
    </row>
    <row r="9842" spans="1:187" ht="11.25" customHeight="1">
      <c r="A9842" s="1" t="s">
        <v>13860</v>
      </c>
      <c r="B9842" s="1" t="str">
        <f ca="1">IFERROR(__xludf.DUMMYFUNCTION("GOOGLETRANSLATE(A9842, ""en"", ""fr"")"),"Stand # 6")</f>
        <v>Stand # 6</v>
      </c>
      <c r="C9842" s="1" t="s">
        <v>185</v>
      </c>
      <c r="BQ9842" s="1" t="s">
        <v>65</v>
      </c>
      <c r="EM9842" s="1" t="s">
        <v>139</v>
      </c>
      <c r="EN9842" s="1" t="s">
        <v>140</v>
      </c>
      <c r="GD9842" s="1" t="s">
        <v>193</v>
      </c>
      <c r="GE9842" s="1" t="s">
        <v>13861</v>
      </c>
    </row>
    <row r="9843" spans="1:187" ht="11.25" customHeight="1">
      <c r="A9843" s="1" t="s">
        <v>13862</v>
      </c>
      <c r="B9843" s="1" t="str">
        <f ca="1">IFERROR(__xludf.DUMMYFUNCTION("GOOGLETRANSLATE(A9843, ""en"", ""fr"")"),"Stand n ° 7")</f>
        <v>Stand n ° 7</v>
      </c>
      <c r="C9843" s="1" t="s">
        <v>185</v>
      </c>
      <c r="J9843" s="1" t="s">
        <v>6</v>
      </c>
      <c r="CR9843" s="1" t="s">
        <v>92</v>
      </c>
      <c r="GD9843" s="1" t="s">
        <v>193</v>
      </c>
      <c r="GE9843" s="1" t="s">
        <v>13863</v>
      </c>
    </row>
    <row r="9844" spans="1:187" ht="11.25" customHeight="1">
      <c r="A9844" s="1" t="s">
        <v>13864</v>
      </c>
      <c r="B9844" s="1" t="str">
        <f ca="1">IFERROR(__xludf.DUMMYFUNCTION("GOOGLETRANSLATE(A9844, ""en"", ""fr"")"),"Norme n ° 1")</f>
        <v>Norme n ° 1</v>
      </c>
      <c r="C9844" s="1" t="s">
        <v>185</v>
      </c>
      <c r="K9844" s="1" t="s">
        <v>7</v>
      </c>
      <c r="U9844" s="1" t="s">
        <v>17</v>
      </c>
      <c r="CP9844" s="1" t="s">
        <v>90</v>
      </c>
      <c r="CQ9844" s="1" t="s">
        <v>91</v>
      </c>
      <c r="GD9844" s="1" t="s">
        <v>849</v>
      </c>
      <c r="GE9844" s="1" t="s">
        <v>13865</v>
      </c>
    </row>
    <row r="9845" spans="1:187" ht="11.25" customHeight="1">
      <c r="A9845" s="1" t="s">
        <v>13866</v>
      </c>
      <c r="B9845" s="1" t="str">
        <f ca="1">IFERROR(__xludf.DUMMYFUNCTION("GOOGLETRANSLATE(A9845, ""en"", ""fr"")"),"Norme n ° 2")</f>
        <v>Norme n ° 2</v>
      </c>
      <c r="C9845" s="1" t="s">
        <v>185</v>
      </c>
      <c r="CR9845" s="1" t="s">
        <v>92</v>
      </c>
      <c r="GD9845" s="1" t="s">
        <v>202</v>
      </c>
      <c r="GE9845" s="1" t="s">
        <v>13867</v>
      </c>
    </row>
    <row r="9846" spans="1:187" ht="11.25" customHeight="1">
      <c r="A9846" s="1" t="s">
        <v>13868</v>
      </c>
      <c r="B9846" s="1" t="str">
        <f ca="1">IFERROR(__xludf.DUMMYFUNCTION("GOOGLETRANSLATE(A9846, ""en"", ""fr"")"),"STANDARDISER")</f>
        <v>STANDARDISER</v>
      </c>
      <c r="C9846" s="1" t="s">
        <v>192</v>
      </c>
      <c r="D9846" s="1" t="s">
        <v>16612</v>
      </c>
      <c r="N9846" s="1" t="s">
        <v>10</v>
      </c>
      <c r="W9846" s="1" t="s">
        <v>19</v>
      </c>
      <c r="DN9846" s="1" t="s">
        <v>114</v>
      </c>
      <c r="GD9846" s="1" t="s">
        <v>670</v>
      </c>
      <c r="GE9846" s="1" t="s">
        <v>190</v>
      </c>
    </row>
    <row r="9847" spans="1:187" ht="11.25" customHeight="1">
      <c r="A9847" s="1" t="s">
        <v>13869</v>
      </c>
      <c r="B9847" s="1" t="str">
        <f ca="1">IFERROR(__xludf.DUMMYFUNCTION("GOOGLETRANSLATE(A9847, ""en"", ""fr"")"),"Point de vue")</f>
        <v>Point de vue</v>
      </c>
      <c r="C9847" s="1" t="s">
        <v>185</v>
      </c>
      <c r="BK9847" s="1" t="s">
        <v>59</v>
      </c>
      <c r="BL9847" s="1" t="s">
        <v>60</v>
      </c>
      <c r="GC9847" s="1" t="s">
        <v>181</v>
      </c>
      <c r="GD9847" s="1" t="s">
        <v>193</v>
      </c>
      <c r="GE9847" s="1" t="s">
        <v>190</v>
      </c>
    </row>
    <row r="9848" spans="1:187" ht="11.25" customHeight="1">
      <c r="A9848" s="1" t="s">
        <v>13870</v>
      </c>
      <c r="B9848" s="1" t="str">
        <f ca="1">IFERROR(__xludf.DUMMYFUNCTION("GOOGLETRANSLATE(A9848, ""en"", ""fr"")"),"ARRÊT")</f>
        <v>ARRÊT</v>
      </c>
      <c r="C9848" s="1" t="s">
        <v>192</v>
      </c>
      <c r="E9848" s="1" t="s">
        <v>16613</v>
      </c>
      <c r="AN9848" s="1" t="s">
        <v>36</v>
      </c>
      <c r="BK9848" s="1" t="s">
        <v>59</v>
      </c>
      <c r="CA9848" s="1" t="s">
        <v>75</v>
      </c>
      <c r="GD9848" s="1" t="s">
        <v>193</v>
      </c>
      <c r="GE9848" s="1" t="s">
        <v>190</v>
      </c>
    </row>
    <row r="9849" spans="1:187" ht="11.25" customHeight="1">
      <c r="A9849" s="1" t="s">
        <v>13871</v>
      </c>
      <c r="B9849" s="1" t="str">
        <f ca="1">IFERROR(__xludf.DUMMYFUNCTION("GOOGLETRANSLATE(A9849, ""en"", ""fr"")"),"AGRAFE")</f>
        <v>AGRAFE</v>
      </c>
      <c r="C9849" s="1" t="s">
        <v>192</v>
      </c>
      <c r="D9849" s="1" t="s">
        <v>16612</v>
      </c>
      <c r="BE9849" s="1" t="s">
        <v>53</v>
      </c>
      <c r="GD9849" s="1" t="s">
        <v>193</v>
      </c>
      <c r="GE9849" s="1" t="s">
        <v>190</v>
      </c>
    </row>
    <row r="9850" spans="1:187" ht="11.25" customHeight="1">
      <c r="A9850" s="1" t="s">
        <v>13872</v>
      </c>
      <c r="B9850" s="1" t="str">
        <f ca="1">IFERROR(__xludf.DUMMYFUNCTION("GOOGLETRANSLATE(A9850, ""en"", ""fr"")"),"Étoile n ° 1")</f>
        <v>Étoile n ° 1</v>
      </c>
      <c r="C9850" s="1" t="s">
        <v>185</v>
      </c>
      <c r="AV9850" s="1" t="s">
        <v>44</v>
      </c>
      <c r="BB9850" s="1" t="s">
        <v>50</v>
      </c>
      <c r="GD9850" s="1" t="s">
        <v>193</v>
      </c>
      <c r="GE9850" s="1" t="s">
        <v>13873</v>
      </c>
    </row>
    <row r="9851" spans="1:187" ht="11.25" customHeight="1">
      <c r="A9851" s="1" t="s">
        <v>13874</v>
      </c>
      <c r="B9851" s="1" t="str">
        <f ca="1">IFERROR(__xludf.DUMMYFUNCTION("GOOGLETRANSLATE(A9851, ""en"", ""fr"")"),"Étoile n ° 2")</f>
        <v>Étoile n ° 2</v>
      </c>
      <c r="C9851" s="1" t="s">
        <v>185</v>
      </c>
      <c r="W9851" s="1" t="s">
        <v>19</v>
      </c>
      <c r="AD9851" s="1" t="s">
        <v>26</v>
      </c>
      <c r="AJ9851" s="1" t="s">
        <v>32</v>
      </c>
      <c r="AT9851" s="1" t="s">
        <v>42</v>
      </c>
      <c r="GD9851" s="1" t="s">
        <v>193</v>
      </c>
      <c r="GE9851" s="1" t="s">
        <v>13875</v>
      </c>
    </row>
    <row r="9852" spans="1:187" ht="11.25" customHeight="1">
      <c r="A9852" s="1" t="s">
        <v>13876</v>
      </c>
      <c r="B9852" s="1" t="str">
        <f ca="1">IFERROR(__xludf.DUMMYFUNCTION("GOOGLETRANSLATE(A9852, ""en"", ""fr"")"),"Étoile # 3")</f>
        <v>Étoile # 3</v>
      </c>
      <c r="C9852" s="1" t="s">
        <v>185</v>
      </c>
      <c r="W9852" s="1" t="s">
        <v>19</v>
      </c>
      <c r="AL9852" s="1" t="s">
        <v>34</v>
      </c>
      <c r="DN9852" s="1" t="s">
        <v>114</v>
      </c>
      <c r="GD9852" s="1" t="s">
        <v>189</v>
      </c>
      <c r="GE9852" s="1" t="s">
        <v>13877</v>
      </c>
    </row>
    <row r="9853" spans="1:187" ht="11.25" customHeight="1">
      <c r="A9853" s="1" t="s">
        <v>13878</v>
      </c>
      <c r="B9853" s="1" t="str">
        <f ca="1">IFERROR(__xludf.DUMMYFUNCTION("GOOGLETRANSLATE(A9853, ""en"", ""fr"")"),"Regarder n ° 1")</f>
        <v>Regarder n ° 1</v>
      </c>
      <c r="C9853" s="1" t="s">
        <v>185</v>
      </c>
      <c r="CK9853" s="1" t="s">
        <v>85</v>
      </c>
      <c r="FP9853" s="1" t="s">
        <v>168</v>
      </c>
      <c r="GD9853" s="1" t="s">
        <v>193</v>
      </c>
      <c r="GE9853" s="1" t="s">
        <v>190</v>
      </c>
    </row>
    <row r="9854" spans="1:187" ht="11.25" customHeight="1">
      <c r="A9854" s="1" t="s">
        <v>13879</v>
      </c>
      <c r="B9854" s="1" t="str">
        <f ca="1">IFERROR(__xludf.DUMMYFUNCTION("GOOGLETRANSLATE(A9854, ""en"", ""fr"")"),"Stare # 2")</f>
        <v>Stare # 2</v>
      </c>
      <c r="C9854" s="1" t="s">
        <v>185</v>
      </c>
      <c r="CK9854" s="1" t="s">
        <v>85</v>
      </c>
      <c r="DO9854" s="1" t="s">
        <v>115</v>
      </c>
      <c r="FP9854" s="1" t="s">
        <v>168</v>
      </c>
      <c r="GD9854" s="1" t="s">
        <v>189</v>
      </c>
      <c r="GE9854" s="1" t="s">
        <v>190</v>
      </c>
    </row>
    <row r="9855" spans="1:187" ht="11.25" customHeight="1">
      <c r="A9855" s="1" t="s">
        <v>13880</v>
      </c>
      <c r="B9855" s="1" t="str">
        <f ca="1">IFERROR(__xludf.DUMMYFUNCTION("GOOGLETRANSLATE(A9855, ""en"", ""fr"")"),"RIGIDE")</f>
        <v>RIGIDE</v>
      </c>
      <c r="C9855" s="1" t="s">
        <v>185</v>
      </c>
      <c r="E9855" s="1" t="s">
        <v>16613</v>
      </c>
      <c r="H9855" s="1" t="s">
        <v>4</v>
      </c>
      <c r="W9855" s="1" t="s">
        <v>19</v>
      </c>
      <c r="CR9855" s="1" t="s">
        <v>92</v>
      </c>
      <c r="GD9855" s="1" t="s">
        <v>202</v>
      </c>
      <c r="GE9855" s="1" t="s">
        <v>190</v>
      </c>
    </row>
    <row r="9856" spans="1:187" ht="11.25" customHeight="1">
      <c r="A9856" s="1" t="s">
        <v>13881</v>
      </c>
      <c r="B9856" s="1" t="str">
        <f ca="1">IFERROR(__xludf.DUMMYFUNCTION("GOOGLETRANSLATE(A9856, ""en"", ""fr"")"),"Démarrer n ° 1")</f>
        <v>Démarrer n ° 1</v>
      </c>
      <c r="C9856" s="1" t="s">
        <v>185</v>
      </c>
      <c r="N9856" s="1" t="s">
        <v>10</v>
      </c>
      <c r="BV9856" s="1" t="s">
        <v>70</v>
      </c>
      <c r="DO9856" s="1" t="s">
        <v>115</v>
      </c>
      <c r="FP9856" s="1" t="s">
        <v>168</v>
      </c>
      <c r="GD9856" s="1" t="s">
        <v>400</v>
      </c>
      <c r="GE9856" s="1" t="s">
        <v>13882</v>
      </c>
    </row>
    <row r="9857" spans="1:187" ht="11.25" customHeight="1">
      <c r="A9857" s="1" t="s">
        <v>13883</v>
      </c>
      <c r="B9857" s="1" t="str">
        <f ca="1">IFERROR(__xludf.DUMMYFUNCTION("GOOGLETRANSLATE(A9857, ""en"", ""fr"")"),"Démarrer # 2")</f>
        <v>Démarrer # 2</v>
      </c>
      <c r="C9857" s="1" t="s">
        <v>185</v>
      </c>
      <c r="BV9857" s="1" t="s">
        <v>70</v>
      </c>
      <c r="FR9857" s="1" t="s">
        <v>170</v>
      </c>
      <c r="GD9857" s="1" t="s">
        <v>193</v>
      </c>
      <c r="GE9857" s="1" t="s">
        <v>13884</v>
      </c>
    </row>
    <row r="9858" spans="1:187" ht="11.25" customHeight="1">
      <c r="A9858" s="1" t="s">
        <v>13885</v>
      </c>
      <c r="B9858" s="1" t="str">
        <f ca="1">IFERROR(__xludf.DUMMYFUNCTION("GOOGLETRANSLATE(A9858, ""en"", ""fr"")"),"Démarrer # 3")</f>
        <v>Démarrer # 3</v>
      </c>
      <c r="C9858" s="1" t="s">
        <v>185</v>
      </c>
      <c r="O9858" s="1" t="s">
        <v>11</v>
      </c>
      <c r="CE9858" s="1" t="s">
        <v>79</v>
      </c>
      <c r="DN9858" s="1" t="s">
        <v>114</v>
      </c>
      <c r="EY9858" s="1" t="s">
        <v>151</v>
      </c>
      <c r="FC9858" s="1" t="s">
        <v>155</v>
      </c>
      <c r="GD9858" s="1" t="s">
        <v>189</v>
      </c>
      <c r="GE9858" s="1" t="s">
        <v>13886</v>
      </c>
    </row>
    <row r="9859" spans="1:187" ht="11.25" customHeight="1">
      <c r="A9859" s="1" t="s">
        <v>13887</v>
      </c>
      <c r="B9859" s="1" t="str">
        <f ca="1">IFERROR(__xludf.DUMMYFUNCTION("GOOGLETRANSLATE(A9859, ""en"", ""fr"")"),"Démarrer # 4")</f>
        <v>Démarrer # 4</v>
      </c>
      <c r="C9859" s="1" t="s">
        <v>185</v>
      </c>
      <c r="U9859" s="1" t="s">
        <v>17</v>
      </c>
      <c r="GD9859" s="1" t="s">
        <v>225</v>
      </c>
      <c r="GE9859" s="1" t="s">
        <v>13888</v>
      </c>
    </row>
    <row r="9860" spans="1:187" ht="11.25" customHeight="1">
      <c r="A9860" s="1" t="s">
        <v>13889</v>
      </c>
      <c r="B9860" s="1" t="str">
        <f ca="1">IFERROR(__xludf.DUMMYFUNCTION("GOOGLETRANSLATE(A9860, ""en"", ""fr"")"),"Démarrer # 5")</f>
        <v>Démarrer # 5</v>
      </c>
      <c r="C9860" s="1" t="s">
        <v>185</v>
      </c>
      <c r="O9860" s="1" t="s">
        <v>11</v>
      </c>
      <c r="CC9860" s="1" t="s">
        <v>77</v>
      </c>
      <c r="GD9860" s="1" t="s">
        <v>193</v>
      </c>
      <c r="GE9860" s="1" t="s">
        <v>13890</v>
      </c>
    </row>
    <row r="9861" spans="1:187" ht="11.25" customHeight="1">
      <c r="A9861" s="1" t="s">
        <v>13891</v>
      </c>
      <c r="B9861" s="1" t="str">
        <f ca="1">IFERROR(__xludf.DUMMYFUNCTION("GOOGLETRANSLATE(A9861, ""en"", ""fr"")"),"ENTRÉE")</f>
        <v>ENTRÉE</v>
      </c>
      <c r="C9861" s="1" t="s">
        <v>185</v>
      </c>
      <c r="BC9861" s="1" t="s">
        <v>51</v>
      </c>
      <c r="BD9861" s="1" t="s">
        <v>52</v>
      </c>
      <c r="GD9861" s="1" t="s">
        <v>193</v>
      </c>
      <c r="GE9861" s="1" t="s">
        <v>190</v>
      </c>
    </row>
    <row r="9862" spans="1:187" ht="11.25" customHeight="1">
      <c r="A9862" s="1" t="s">
        <v>13892</v>
      </c>
      <c r="B9862" s="1" t="str">
        <f ca="1">IFERROR(__xludf.DUMMYFUNCTION("GOOGLETRANSLATE(A9862, ""en"", ""fr"")"),"SURPRENDRE")</f>
        <v>SURPRENDRE</v>
      </c>
      <c r="C9862" s="1" t="s">
        <v>185</v>
      </c>
      <c r="E9862" s="1" t="s">
        <v>16613</v>
      </c>
      <c r="H9862" s="1" t="s">
        <v>4</v>
      </c>
      <c r="I9862" s="1" t="s">
        <v>5</v>
      </c>
      <c r="O9862" s="1" t="s">
        <v>11</v>
      </c>
      <c r="AN9862" s="1" t="s">
        <v>36</v>
      </c>
      <c r="DN9862" s="1" t="s">
        <v>114</v>
      </c>
      <c r="EY9862" s="1" t="s">
        <v>151</v>
      </c>
      <c r="FC9862" s="1" t="s">
        <v>155</v>
      </c>
      <c r="GD9862" s="1" t="s">
        <v>189</v>
      </c>
      <c r="GE9862" s="1" t="s">
        <v>190</v>
      </c>
    </row>
    <row r="9863" spans="1:187" ht="11.25" customHeight="1">
      <c r="A9863" s="1" t="s">
        <v>13893</v>
      </c>
      <c r="B9863" s="1" t="str">
        <f ca="1">IFERROR(__xludf.DUMMYFUNCTION("GOOGLETRANSLATE(A9863, ""en"", ""fr"")"),"FAMINE")</f>
        <v>FAMINE</v>
      </c>
      <c r="C9863" s="1" t="s">
        <v>185</v>
      </c>
      <c r="E9863" s="1" t="s">
        <v>16613</v>
      </c>
      <c r="L9863" s="1" t="s">
        <v>8</v>
      </c>
      <c r="BN9863" s="1" t="s">
        <v>62</v>
      </c>
      <c r="BU9863" s="1" t="s">
        <v>69</v>
      </c>
      <c r="EZ9863" s="1" t="s">
        <v>152</v>
      </c>
      <c r="FC9863" s="1" t="s">
        <v>155</v>
      </c>
      <c r="GD9863" s="1" t="s">
        <v>193</v>
      </c>
      <c r="GE9863" s="1" t="s">
        <v>190</v>
      </c>
    </row>
    <row r="9864" spans="1:187" ht="11.25" customHeight="1">
      <c r="A9864" s="1" t="s">
        <v>13894</v>
      </c>
      <c r="B9864" s="1" t="str">
        <f ca="1">IFERROR(__xludf.DUMMYFUNCTION("GOOGLETRANSLATE(A9864, ""en"", ""fr"")"),"AFFAMER")</f>
        <v>AFFAMER</v>
      </c>
      <c r="C9864" s="1" t="s">
        <v>185</v>
      </c>
      <c r="E9864" s="1" t="s">
        <v>16613</v>
      </c>
      <c r="L9864" s="1" t="s">
        <v>8</v>
      </c>
      <c r="O9864" s="1" t="s">
        <v>11</v>
      </c>
      <c r="BN9864" s="1" t="s">
        <v>62</v>
      </c>
      <c r="BU9864" s="1" t="s">
        <v>69</v>
      </c>
      <c r="DN9864" s="1" t="s">
        <v>114</v>
      </c>
      <c r="EZ9864" s="1" t="s">
        <v>152</v>
      </c>
      <c r="FC9864" s="1" t="s">
        <v>155</v>
      </c>
      <c r="GD9864" s="1" t="s">
        <v>189</v>
      </c>
      <c r="GE9864" s="1" t="s">
        <v>190</v>
      </c>
    </row>
    <row r="9865" spans="1:187" ht="11.25" customHeight="1">
      <c r="A9865" s="1" t="s">
        <v>13895</v>
      </c>
      <c r="B9865" s="1" t="str">
        <f ca="1">IFERROR(__xludf.DUMMYFUNCTION("GOOGLETRANSLATE(A9865, ""en"", ""fr"")"),"État n ° 1")</f>
        <v>État n ° 1</v>
      </c>
      <c r="C9865" s="1" t="s">
        <v>185</v>
      </c>
      <c r="J9865" s="1" t="s">
        <v>6</v>
      </c>
      <c r="K9865" s="1" t="s">
        <v>7</v>
      </c>
      <c r="AG9865" s="1" t="s">
        <v>29</v>
      </c>
      <c r="AH9865" s="1" t="s">
        <v>30</v>
      </c>
      <c r="AK9865" s="1" t="s">
        <v>33</v>
      </c>
      <c r="AT9865" s="1" t="s">
        <v>42</v>
      </c>
      <c r="DV9865" s="1" t="s">
        <v>122</v>
      </c>
      <c r="ED9865" s="1" t="s">
        <v>130</v>
      </c>
      <c r="GD9865" s="1" t="s">
        <v>193</v>
      </c>
      <c r="GE9865" s="1" t="s">
        <v>13896</v>
      </c>
    </row>
    <row r="9866" spans="1:187" ht="11.25" customHeight="1">
      <c r="A9866" s="1" t="s">
        <v>13897</v>
      </c>
      <c r="B9866" s="1" t="str">
        <f ca="1">IFERROR(__xludf.DUMMYFUNCTION("GOOGLETRANSLATE(A9866, ""en"", ""fr"")"),"État n ° 2")</f>
        <v>État n ° 2</v>
      </c>
      <c r="C9866" s="1" t="s">
        <v>185</v>
      </c>
      <c r="CH9866" s="1" t="s">
        <v>82</v>
      </c>
      <c r="GD9866" s="1" t="s">
        <v>193</v>
      </c>
      <c r="GE9866" s="1" t="s">
        <v>13898</v>
      </c>
    </row>
    <row r="9867" spans="1:187" ht="11.25" customHeight="1">
      <c r="A9867" s="1" t="s">
        <v>13899</v>
      </c>
      <c r="B9867" s="1" t="str">
        <f ca="1">IFERROR(__xludf.DUMMYFUNCTION("GOOGLETRANSLATE(A9867, ""en"", ""fr"")"),"État n ° 3")</f>
        <v>État n ° 3</v>
      </c>
      <c r="C9867" s="1" t="s">
        <v>185</v>
      </c>
      <c r="N9867" s="1" t="s">
        <v>10</v>
      </c>
      <c r="BK9867" s="1" t="s">
        <v>59</v>
      </c>
      <c r="DO9867" s="1" t="s">
        <v>115</v>
      </c>
      <c r="FD9867" s="1" t="s">
        <v>156</v>
      </c>
      <c r="FI9867" s="1" t="s">
        <v>161</v>
      </c>
      <c r="GD9867" s="1" t="s">
        <v>189</v>
      </c>
      <c r="GE9867" s="1" t="s">
        <v>13900</v>
      </c>
    </row>
    <row r="9868" spans="1:187" ht="11.25" customHeight="1">
      <c r="A9868" s="1" t="s">
        <v>13901</v>
      </c>
      <c r="B9868" s="1" t="str">
        <f ca="1">IFERROR(__xludf.DUMMYFUNCTION("GOOGLETRANSLATE(A9868, ""en"", ""fr"")"),"État n ° 4")</f>
        <v>État n ° 4</v>
      </c>
      <c r="C9868" s="1" t="s">
        <v>185</v>
      </c>
      <c r="AC9868" s="1" t="s">
        <v>25</v>
      </c>
      <c r="AH9868" s="1" t="s">
        <v>30</v>
      </c>
      <c r="DI9868" s="1" t="s">
        <v>109</v>
      </c>
      <c r="GD9868" s="1" t="s">
        <v>5405</v>
      </c>
      <c r="GE9868" s="1" t="s">
        <v>13902</v>
      </c>
    </row>
    <row r="9869" spans="1:187" ht="11.25" customHeight="1">
      <c r="A9869" s="1" t="s">
        <v>13903</v>
      </c>
      <c r="B9869" s="1" t="str">
        <f ca="1">IFERROR(__xludf.DUMMYFUNCTION("GOOGLETRANSLATE(A9869, ""en"", ""fr"")"),"État n ° 5")</f>
        <v>État n ° 5</v>
      </c>
      <c r="C9869" s="1" t="s">
        <v>185</v>
      </c>
      <c r="CH9869" s="1" t="s">
        <v>82</v>
      </c>
      <c r="CP9869" s="1" t="s">
        <v>90</v>
      </c>
      <c r="CQ9869" s="1" t="s">
        <v>91</v>
      </c>
      <c r="FS9869" s="1" t="s">
        <v>171</v>
      </c>
      <c r="GD9869" s="1" t="s">
        <v>193</v>
      </c>
      <c r="GE9869" s="1" t="s">
        <v>13904</v>
      </c>
    </row>
    <row r="9870" spans="1:187" ht="11.25" customHeight="1">
      <c r="A9870" s="1" t="s">
        <v>13905</v>
      </c>
      <c r="B9870" s="1" t="str">
        <f ca="1">IFERROR(__xludf.DUMMYFUNCTION("GOOGLETRANSLATE(A9870, ""en"", ""fr"")"),"État n ° 6")</f>
        <v>État n ° 6</v>
      </c>
      <c r="C9870" s="1" t="s">
        <v>185</v>
      </c>
      <c r="GD9870" s="1" t="s">
        <v>225</v>
      </c>
      <c r="GE9870" s="1" t="s">
        <v>13906</v>
      </c>
    </row>
    <row r="9871" spans="1:187" ht="11.25" customHeight="1">
      <c r="A9871" s="1" t="s">
        <v>13907</v>
      </c>
      <c r="B9871" s="1" t="str">
        <f ca="1">IFERROR(__xludf.DUMMYFUNCTION("GOOGLETRANSLATE(A9871, ""en"", ""fr"")"),"MAJESTUEUX")</f>
        <v>MAJESTUEUX</v>
      </c>
      <c r="C9871" s="1" t="s">
        <v>185</v>
      </c>
      <c r="D9871" s="1" t="s">
        <v>16612</v>
      </c>
      <c r="F9871" s="1" t="s">
        <v>2</v>
      </c>
      <c r="K9871" s="1" t="s">
        <v>7</v>
      </c>
      <c r="U9871" s="1" t="s">
        <v>17</v>
      </c>
      <c r="EM9871" s="1" t="s">
        <v>139</v>
      </c>
      <c r="EN9871" s="1" t="s">
        <v>140</v>
      </c>
      <c r="GD9871" s="1" t="s">
        <v>236</v>
      </c>
      <c r="GE9871" s="1" t="s">
        <v>190</v>
      </c>
    </row>
    <row r="9872" spans="1:187" ht="11.25" customHeight="1">
      <c r="A9872" s="1" t="s">
        <v>13908</v>
      </c>
      <c r="B9872" s="1" t="str">
        <f ca="1">IFERROR(__xludf.DUMMYFUNCTION("GOOGLETRANSLATE(A9872, ""en"", ""fr"")"),"DÉCLARATION")</f>
        <v>DÉCLARATION</v>
      </c>
      <c r="C9872" s="1" t="s">
        <v>185</v>
      </c>
      <c r="BK9872" s="1" t="s">
        <v>59</v>
      </c>
      <c r="BL9872" s="1" t="s">
        <v>60</v>
      </c>
      <c r="FH9872" s="1" t="s">
        <v>160</v>
      </c>
      <c r="FI9872" s="1" t="s">
        <v>161</v>
      </c>
      <c r="GC9872" s="1" t="s">
        <v>181</v>
      </c>
      <c r="GD9872" s="1" t="s">
        <v>193</v>
      </c>
      <c r="GE9872" s="1" t="s">
        <v>13909</v>
      </c>
    </row>
    <row r="9873" spans="1:187" ht="11.25" customHeight="1">
      <c r="A9873" s="1" t="s">
        <v>13910</v>
      </c>
      <c r="B9873" s="1" t="str">
        <f ca="1">IFERROR(__xludf.DUMMYFUNCTION("GOOGLETRANSLATE(A9873, ""en"", ""fr"")"),"Homme d'État")</f>
        <v>Homme d'État</v>
      </c>
      <c r="C9873" s="1" t="s">
        <v>185</v>
      </c>
      <c r="J9873" s="1" t="s">
        <v>6</v>
      </c>
      <c r="K9873" s="1" t="s">
        <v>7</v>
      </c>
      <c r="AG9873" s="1" t="s">
        <v>29</v>
      </c>
      <c r="AH9873" s="1" t="s">
        <v>30</v>
      </c>
      <c r="AJ9873" s="1" t="s">
        <v>32</v>
      </c>
      <c r="AQ9873" s="1" t="s">
        <v>39</v>
      </c>
      <c r="AT9873" s="1" t="s">
        <v>42</v>
      </c>
      <c r="EM9873" s="1" t="s">
        <v>139</v>
      </c>
      <c r="EN9873" s="1" t="s">
        <v>140</v>
      </c>
      <c r="GD9873" s="1" t="s">
        <v>193</v>
      </c>
      <c r="GE9873" s="1" t="s">
        <v>190</v>
      </c>
    </row>
    <row r="9874" spans="1:187" ht="11.25" customHeight="1">
      <c r="A9874" s="1" t="s">
        <v>13911</v>
      </c>
      <c r="B9874" s="1" t="str">
        <f ca="1">IFERROR(__xludf.DUMMYFUNCTION("GOOGLETRANSLATE(A9874, ""en"", ""fr"")"),"Hommes d'État")</f>
        <v>Hommes d'État</v>
      </c>
      <c r="C9874" s="1" t="s">
        <v>185</v>
      </c>
      <c r="J9874" s="1" t="s">
        <v>6</v>
      </c>
      <c r="K9874" s="1" t="s">
        <v>7</v>
      </c>
      <c r="AG9874" s="1" t="s">
        <v>29</v>
      </c>
      <c r="AH9874" s="1" t="s">
        <v>30</v>
      </c>
      <c r="AJ9874" s="1" t="s">
        <v>32</v>
      </c>
      <c r="AQ9874" s="1" t="s">
        <v>39</v>
      </c>
      <c r="AT9874" s="1" t="s">
        <v>42</v>
      </c>
      <c r="EM9874" s="1" t="s">
        <v>139</v>
      </c>
      <c r="EN9874" s="1" t="s">
        <v>140</v>
      </c>
      <c r="GD9874" s="1" t="s">
        <v>576</v>
      </c>
      <c r="GE9874" s="1" t="s">
        <v>190</v>
      </c>
    </row>
    <row r="9875" spans="1:187" ht="11.25" customHeight="1">
      <c r="A9875" s="1" t="s">
        <v>13912</v>
      </c>
      <c r="B9875" s="1" t="str">
        <f ca="1">IFERROR(__xludf.DUMMYFUNCTION("GOOGLETRANSLATE(A9875, ""en"", ""fr"")"),"STATIQUE")</f>
        <v>STATIQUE</v>
      </c>
      <c r="C9875" s="1" t="s">
        <v>192</v>
      </c>
      <c r="E9875" s="1" t="s">
        <v>16613</v>
      </c>
      <c r="V9875" s="1" t="s">
        <v>18</v>
      </c>
      <c r="CA9875" s="1" t="s">
        <v>75</v>
      </c>
      <c r="DR9875" s="1" t="s">
        <v>118</v>
      </c>
      <c r="GD9875" s="1" t="s">
        <v>202</v>
      </c>
      <c r="GE9875" s="1" t="s">
        <v>190</v>
      </c>
    </row>
    <row r="9876" spans="1:187" ht="11.25" customHeight="1">
      <c r="A9876" s="1" t="s">
        <v>13913</v>
      </c>
      <c r="B9876" s="1" t="str">
        <f ca="1">IFERROR(__xludf.DUMMYFUNCTION("GOOGLETRANSLATE(A9876, ""en"", ""fr"")"),"Station n ° 1")</f>
        <v>Station n ° 1</v>
      </c>
      <c r="C9876" s="1" t="s">
        <v>185</v>
      </c>
      <c r="AV9876" s="1" t="s">
        <v>44</v>
      </c>
      <c r="AW9876" s="1" t="s">
        <v>45</v>
      </c>
      <c r="GD9876" s="1" t="s">
        <v>193</v>
      </c>
      <c r="GE9876" s="1" t="s">
        <v>13914</v>
      </c>
    </row>
    <row r="9877" spans="1:187" ht="11.25" customHeight="1">
      <c r="A9877" s="1" t="s">
        <v>13915</v>
      </c>
      <c r="B9877" s="1" t="str">
        <f ca="1">IFERROR(__xludf.DUMMYFUNCTION("GOOGLETRANSLATE(A9877, ""en"", ""fr"")"),"Station n ° 2")</f>
        <v>Station n ° 2</v>
      </c>
      <c r="C9877" s="1" t="s">
        <v>185</v>
      </c>
      <c r="N9877" s="1" t="s">
        <v>10</v>
      </c>
      <c r="CA9877" s="1" t="s">
        <v>75</v>
      </c>
      <c r="DN9877" s="1" t="s">
        <v>114</v>
      </c>
      <c r="EC9877" s="1" t="s">
        <v>129</v>
      </c>
      <c r="ED9877" s="1" t="s">
        <v>130</v>
      </c>
      <c r="GD9877" s="1" t="s">
        <v>189</v>
      </c>
      <c r="GE9877" s="1" t="s">
        <v>13916</v>
      </c>
    </row>
    <row r="9878" spans="1:187" ht="11.25" customHeight="1">
      <c r="A9878" s="1" t="s">
        <v>13917</v>
      </c>
      <c r="B9878" s="1" t="str">
        <f ca="1">IFERROR(__xludf.DUMMYFUNCTION("GOOGLETRANSLATE(A9878, ""en"", ""fr"")"),"Station n ° 3")</f>
        <v>Station n ° 3</v>
      </c>
      <c r="C9878" s="1" t="s">
        <v>185</v>
      </c>
      <c r="BC9878" s="1" t="s">
        <v>51</v>
      </c>
      <c r="BF9878" s="1" t="s">
        <v>54</v>
      </c>
      <c r="GD9878" s="1" t="s">
        <v>193</v>
      </c>
      <c r="GE9878" s="1" t="s">
        <v>13918</v>
      </c>
    </row>
    <row r="9879" spans="1:187" ht="11.25" customHeight="1">
      <c r="A9879" s="1" t="s">
        <v>13919</v>
      </c>
      <c r="B9879" s="1" t="str">
        <f ca="1">IFERROR(__xludf.DUMMYFUNCTION("GOOGLETRANSLATE(A9879, ""en"", ""fr"")"),"Station n ° 4")</f>
        <v>Station n ° 4</v>
      </c>
      <c r="C9879" s="1" t="s">
        <v>185</v>
      </c>
      <c r="GD9879" s="1" t="s">
        <v>225</v>
      </c>
      <c r="GE9879" s="1" t="s">
        <v>13920</v>
      </c>
    </row>
    <row r="9880" spans="1:187" ht="11.25" customHeight="1">
      <c r="A9880" s="1" t="s">
        <v>13921</v>
      </c>
      <c r="B9880" s="1" t="str">
        <f ca="1">IFERROR(__xludf.DUMMYFUNCTION("GOOGLETRANSLATE(A9880, ""en"", ""fr"")"),"STATIONNAIRE")</f>
        <v>STATIONNAIRE</v>
      </c>
      <c r="C9880" s="1" t="s">
        <v>185</v>
      </c>
      <c r="O9880" s="1" t="s">
        <v>11</v>
      </c>
      <c r="CA9880" s="1" t="s">
        <v>75</v>
      </c>
      <c r="GD9880" s="1" t="s">
        <v>202</v>
      </c>
      <c r="GE9880" s="1" t="s">
        <v>190</v>
      </c>
    </row>
    <row r="9881" spans="1:187" ht="11.25" customHeight="1">
      <c r="A9881" s="1" t="s">
        <v>13922</v>
      </c>
      <c r="B9881" s="1" t="str">
        <f ca="1">IFERROR(__xludf.DUMMYFUNCTION("GOOGLETRANSLATE(A9881, ""en"", ""fr"")"),"STATISTIQUE")</f>
        <v>STATISTIQUE</v>
      </c>
      <c r="C9881" s="1" t="s">
        <v>185</v>
      </c>
      <c r="Y9881" s="1" t="s">
        <v>21</v>
      </c>
      <c r="Z9881" s="1" t="s">
        <v>22</v>
      </c>
      <c r="GD9881" s="1" t="s">
        <v>202</v>
      </c>
      <c r="GE9881" s="1" t="s">
        <v>190</v>
      </c>
    </row>
    <row r="9882" spans="1:187" ht="11.25" customHeight="1">
      <c r="A9882" s="1" t="s">
        <v>13923</v>
      </c>
      <c r="B9882" s="1" t="str">
        <f ca="1">IFERROR(__xludf.DUMMYFUNCTION("GOOGLETRANSLATE(A9882, ""en"", ""fr"")"),"STATISTIQUES")</f>
        <v>STATISTIQUES</v>
      </c>
      <c r="C9882" s="1" t="s">
        <v>185</v>
      </c>
      <c r="Y9882" s="1" t="s">
        <v>21</v>
      </c>
      <c r="Z9882" s="1" t="s">
        <v>22</v>
      </c>
      <c r="FH9882" s="1" t="s">
        <v>160</v>
      </c>
      <c r="FI9882" s="1" t="s">
        <v>161</v>
      </c>
      <c r="GD9882" s="1" t="s">
        <v>193</v>
      </c>
      <c r="GE9882" s="1" t="s">
        <v>190</v>
      </c>
    </row>
    <row r="9883" spans="1:187" ht="11.25" customHeight="1">
      <c r="A9883" s="1" t="s">
        <v>13924</v>
      </c>
      <c r="B9883" s="1" t="str">
        <f ca="1">IFERROR(__xludf.DUMMYFUNCTION("GOOGLETRANSLATE(A9883, ""en"", ""fr"")"),"SCULPTURAL")</f>
        <v>SCULPTURAL</v>
      </c>
      <c r="C9883" s="1" t="s">
        <v>192</v>
      </c>
      <c r="D9883" s="1" t="s">
        <v>16612</v>
      </c>
      <c r="J9883" s="1" t="s">
        <v>6</v>
      </c>
      <c r="K9883" s="1" t="s">
        <v>7</v>
      </c>
      <c r="DR9883" s="1" t="s">
        <v>118</v>
      </c>
      <c r="GD9883" s="1" t="s">
        <v>202</v>
      </c>
      <c r="GE9883" s="1" t="s">
        <v>190</v>
      </c>
    </row>
    <row r="9884" spans="1:187" ht="11.25" customHeight="1">
      <c r="A9884" s="1" t="s">
        <v>13925</v>
      </c>
      <c r="B9884" s="1" t="str">
        <f ca="1">IFERROR(__xludf.DUMMYFUNCTION("GOOGLETRANSLATE(A9884, ""en"", ""fr"")"),"Statut n ° 1")</f>
        <v>Statut n ° 1</v>
      </c>
      <c r="C9884" s="1" t="s">
        <v>185</v>
      </c>
      <c r="K9884" s="1" t="s">
        <v>7</v>
      </c>
      <c r="AC9884" s="1" t="s">
        <v>25</v>
      </c>
      <c r="AH9884" s="1" t="s">
        <v>30</v>
      </c>
      <c r="BQ9884" s="1" t="s">
        <v>65</v>
      </c>
      <c r="EM9884" s="1" t="s">
        <v>139</v>
      </c>
      <c r="EN9884" s="1" t="s">
        <v>140</v>
      </c>
      <c r="GD9884" s="1" t="s">
        <v>193</v>
      </c>
      <c r="GE9884" s="1" t="s">
        <v>13926</v>
      </c>
    </row>
    <row r="9885" spans="1:187" ht="11.25" customHeight="1">
      <c r="A9885" s="1" t="s">
        <v>13927</v>
      </c>
      <c r="B9885" s="1" t="str">
        <f ca="1">IFERROR(__xludf.DUMMYFUNCTION("GOOGLETRANSLATE(A9885, ""en"", ""fr"")"),"Statut n ° 2")</f>
        <v>Statut n ° 2</v>
      </c>
      <c r="C9885" s="1" t="s">
        <v>185</v>
      </c>
      <c r="BR9885" s="1" t="s">
        <v>66</v>
      </c>
      <c r="EC9885" s="1" t="s">
        <v>129</v>
      </c>
      <c r="ED9885" s="1" t="s">
        <v>130</v>
      </c>
      <c r="GD9885" s="1" t="s">
        <v>193</v>
      </c>
      <c r="GE9885" s="1" t="s">
        <v>13928</v>
      </c>
    </row>
    <row r="9886" spans="1:187" ht="11.25" customHeight="1">
      <c r="A9886" s="1" t="s">
        <v>13929</v>
      </c>
      <c r="B9886" s="1" t="str">
        <f ca="1">IFERROR(__xludf.DUMMYFUNCTION("GOOGLETRANSLATE(A9886, ""en"", ""fr"")"),"LOI")</f>
        <v>LOI</v>
      </c>
      <c r="C9886" s="1" t="s">
        <v>185</v>
      </c>
      <c r="K9886" s="1" t="s">
        <v>7</v>
      </c>
      <c r="AE9886" s="1" t="s">
        <v>27</v>
      </c>
      <c r="AH9886" s="1" t="s">
        <v>30</v>
      </c>
      <c r="BK9886" s="1" t="s">
        <v>59</v>
      </c>
      <c r="BL9886" s="1" t="s">
        <v>60</v>
      </c>
      <c r="EB9886" s="1" t="s">
        <v>128</v>
      </c>
      <c r="ED9886" s="1" t="s">
        <v>130</v>
      </c>
      <c r="GC9886" s="1" t="s">
        <v>181</v>
      </c>
      <c r="GD9886" s="1" t="s">
        <v>193</v>
      </c>
      <c r="GE9886" s="1" t="s">
        <v>190</v>
      </c>
    </row>
    <row r="9887" spans="1:187" ht="11.25" customHeight="1">
      <c r="A9887" s="1" t="s">
        <v>13930</v>
      </c>
      <c r="B9887" s="1" t="str">
        <f ca="1">IFERROR(__xludf.DUMMYFUNCTION("GOOGLETRANSLATE(A9887, ""en"", ""fr"")"),"STATUTAIRE")</f>
        <v>STATUTAIRE</v>
      </c>
      <c r="C9887" s="1" t="s">
        <v>185</v>
      </c>
      <c r="K9887" s="1" t="s">
        <v>7</v>
      </c>
      <c r="Z9887" s="1" t="s">
        <v>22</v>
      </c>
      <c r="AE9887" s="1" t="s">
        <v>27</v>
      </c>
      <c r="AH9887" s="1" t="s">
        <v>30</v>
      </c>
      <c r="EB9887" s="1" t="s">
        <v>128</v>
      </c>
      <c r="ED9887" s="1" t="s">
        <v>130</v>
      </c>
      <c r="GD9887" s="1" t="s">
        <v>202</v>
      </c>
      <c r="GE9887" s="1" t="s">
        <v>190</v>
      </c>
    </row>
    <row r="9888" spans="1:187" ht="11.25" customHeight="1">
      <c r="A9888" s="1" t="s">
        <v>13931</v>
      </c>
      <c r="B9888" s="1" t="str">
        <f ca="1">IFERROR(__xludf.DUMMYFUNCTION("GOOGLETRANSLATE(A9888, ""en"", ""fr"")"),"ÉTANCHER")</f>
        <v>ÉTANCHER</v>
      </c>
      <c r="C9888" s="1" t="s">
        <v>185</v>
      </c>
      <c r="D9888" s="1" t="s">
        <v>16612</v>
      </c>
      <c r="F9888" s="1" t="s">
        <v>2</v>
      </c>
      <c r="J9888" s="1" t="s">
        <v>6</v>
      </c>
      <c r="BR9888" s="1" t="s">
        <v>66</v>
      </c>
      <c r="DR9888" s="1" t="s">
        <v>118</v>
      </c>
      <c r="EM9888" s="1" t="s">
        <v>139</v>
      </c>
      <c r="EN9888" s="1" t="s">
        <v>140</v>
      </c>
      <c r="GD9888" s="1" t="s">
        <v>202</v>
      </c>
      <c r="GE9888" s="1" t="s">
        <v>190</v>
      </c>
    </row>
    <row r="9889" spans="1:187" ht="11.25" customHeight="1">
      <c r="A9889" s="1" t="s">
        <v>13932</v>
      </c>
      <c r="B9889" s="1" t="str">
        <f ca="1">IFERROR(__xludf.DUMMYFUNCTION("GOOGLETRANSLATE(A9889, ""en"", ""fr"")"),"Solide")</f>
        <v>Solide</v>
      </c>
      <c r="C9889" s="1" t="s">
        <v>185</v>
      </c>
      <c r="D9889" s="1" t="s">
        <v>16612</v>
      </c>
      <c r="F9889" s="1" t="s">
        <v>2</v>
      </c>
      <c r="J9889" s="1" t="s">
        <v>6</v>
      </c>
      <c r="BR9889" s="1" t="s">
        <v>66</v>
      </c>
      <c r="GD9889" s="1" t="s">
        <v>193</v>
      </c>
      <c r="GE9889" s="1" t="s">
        <v>190</v>
      </c>
    </row>
    <row r="9890" spans="1:187" ht="11.25" customHeight="1">
      <c r="A9890" s="1" t="s">
        <v>13933</v>
      </c>
      <c r="B9890" s="1" t="str">
        <f ca="1">IFERROR(__xludf.DUMMYFUNCTION("GOOGLETRANSLATE(A9890, ""en"", ""fr"")"),"Restez # 1")</f>
        <v>Restez # 1</v>
      </c>
      <c r="C9890" s="1" t="s">
        <v>185</v>
      </c>
      <c r="CA9890" s="1" t="s">
        <v>75</v>
      </c>
      <c r="DO9890" s="1" t="s">
        <v>115</v>
      </c>
      <c r="GD9890" s="1" t="s">
        <v>13934</v>
      </c>
      <c r="GE9890" s="1" t="s">
        <v>13935</v>
      </c>
    </row>
    <row r="9891" spans="1:187" ht="11.25" customHeight="1">
      <c r="A9891" s="1" t="s">
        <v>13936</v>
      </c>
      <c r="B9891" s="1" t="str">
        <f ca="1">IFERROR(__xludf.DUMMYFUNCTION("GOOGLETRANSLATE(A9891, ""en"", ""fr"")"),"Séjour # 2")</f>
        <v>Séjour # 2</v>
      </c>
      <c r="C9891" s="1" t="s">
        <v>185</v>
      </c>
      <c r="CY9891" s="1" t="s">
        <v>99</v>
      </c>
      <c r="GD9891" s="1" t="s">
        <v>193</v>
      </c>
      <c r="GE9891" s="1" t="s">
        <v>13937</v>
      </c>
    </row>
    <row r="9892" spans="1:187" ht="11.25" customHeight="1">
      <c r="A9892" s="1" t="s">
        <v>13938</v>
      </c>
      <c r="B9892" s="1" t="str">
        <f ca="1">IFERROR(__xludf.DUMMYFUNCTION("GOOGLETRANSLATE(A9892, ""en"", ""fr"")"),"FERME")</f>
        <v>FERME</v>
      </c>
      <c r="C9892" s="1" t="s">
        <v>185</v>
      </c>
      <c r="D9892" s="1" t="s">
        <v>16612</v>
      </c>
      <c r="F9892" s="1" t="s">
        <v>2</v>
      </c>
      <c r="J9892" s="1" t="s">
        <v>6</v>
      </c>
      <c r="W9892" s="1" t="s">
        <v>19</v>
      </c>
      <c r="BR9892" s="1" t="s">
        <v>66</v>
      </c>
      <c r="GD9892" s="1" t="s">
        <v>202</v>
      </c>
      <c r="GE9892" s="1" t="s">
        <v>190</v>
      </c>
    </row>
    <row r="9893" spans="1:187" ht="11.25" customHeight="1">
      <c r="A9893" s="1" t="s">
        <v>13939</v>
      </c>
      <c r="B9893" s="1" t="str">
        <f ca="1">IFERROR(__xludf.DUMMYFUNCTION("GOOGLETRANSLATE(A9893, ""en"", ""fr"")"),"Ruine")</f>
        <v>Ruine</v>
      </c>
      <c r="C9893" s="1" t="s">
        <v>185</v>
      </c>
      <c r="D9893" s="1" t="s">
        <v>16612</v>
      </c>
      <c r="F9893" s="1" t="s">
        <v>2</v>
      </c>
      <c r="J9893" s="1" t="s">
        <v>6</v>
      </c>
      <c r="W9893" s="1" t="s">
        <v>19</v>
      </c>
      <c r="BR9893" s="1" t="s">
        <v>66</v>
      </c>
      <c r="GD9893" s="1" t="s">
        <v>193</v>
      </c>
      <c r="GE9893" s="1" t="s">
        <v>190</v>
      </c>
    </row>
    <row r="9894" spans="1:187" ht="11.25" customHeight="1">
      <c r="A9894" s="1" t="s">
        <v>13940</v>
      </c>
      <c r="B9894" s="1" t="str">
        <f ca="1">IFERROR(__xludf.DUMMYFUNCTION("GOOGLETRANSLATE(A9894, ""en"", ""fr"")"),"RÉGULIÈREMENT")</f>
        <v>RÉGULIÈREMENT</v>
      </c>
      <c r="C9894" s="1" t="s">
        <v>185</v>
      </c>
      <c r="J9894" s="1" t="s">
        <v>6</v>
      </c>
      <c r="BR9894" s="1" t="s">
        <v>66</v>
      </c>
      <c r="GD9894" s="1" t="s">
        <v>236</v>
      </c>
      <c r="GE9894" s="1" t="s">
        <v>190</v>
      </c>
    </row>
    <row r="9895" spans="1:187" ht="11.25" customHeight="1">
      <c r="A9895" s="1" t="s">
        <v>13941</v>
      </c>
      <c r="B9895" s="1" t="str">
        <f ca="1">IFERROR(__xludf.DUMMYFUNCTION("GOOGLETRANSLATE(A9895, ""en"", ""fr"")"),"STABILITÉ")</f>
        <v>STABILITÉ</v>
      </c>
      <c r="C9895" s="1" t="s">
        <v>185</v>
      </c>
      <c r="D9895" s="1" t="s">
        <v>16612</v>
      </c>
      <c r="F9895" s="1" t="s">
        <v>2</v>
      </c>
      <c r="J9895" s="1" t="s">
        <v>6</v>
      </c>
      <c r="BR9895" s="1" t="s">
        <v>66</v>
      </c>
      <c r="GD9895" s="1" t="s">
        <v>193</v>
      </c>
      <c r="GE9895" s="1" t="s">
        <v>190</v>
      </c>
    </row>
    <row r="9896" spans="1:187" ht="11.25" customHeight="1">
      <c r="A9896" s="1" t="s">
        <v>13942</v>
      </c>
      <c r="B9896" s="1" t="str">
        <f ca="1">IFERROR(__xludf.DUMMYFUNCTION("GOOGLETRANSLATE(A9896, ""en"", ""fr"")"),"CONSTANT")</f>
        <v>CONSTANT</v>
      </c>
      <c r="C9896" s="1" t="s">
        <v>185</v>
      </c>
      <c r="D9896" s="1" t="s">
        <v>16612</v>
      </c>
      <c r="F9896" s="1" t="s">
        <v>2</v>
      </c>
      <c r="J9896" s="1" t="s">
        <v>6</v>
      </c>
      <c r="CR9896" s="1" t="s">
        <v>92</v>
      </c>
      <c r="FQ9896" s="1" t="s">
        <v>169</v>
      </c>
      <c r="GD9896" s="1" t="s">
        <v>202</v>
      </c>
      <c r="GE9896" s="1" t="s">
        <v>190</v>
      </c>
    </row>
    <row r="9897" spans="1:187" ht="11.25" customHeight="1">
      <c r="A9897" s="1" t="s">
        <v>13943</v>
      </c>
      <c r="B9897" s="1" t="str">
        <f ca="1">IFERROR(__xludf.DUMMYFUNCTION("GOOGLETRANSLATE(A9897, ""en"", ""fr"")"),"STEAK")</f>
        <v>STEAK</v>
      </c>
      <c r="C9897" s="1" t="s">
        <v>185</v>
      </c>
      <c r="BC9897" s="1" t="s">
        <v>51</v>
      </c>
      <c r="BE9897" s="1" t="s">
        <v>53</v>
      </c>
      <c r="GD9897" s="1" t="s">
        <v>193</v>
      </c>
      <c r="GE9897" s="1" t="s">
        <v>190</v>
      </c>
    </row>
    <row r="9898" spans="1:187" ht="11.25" customHeight="1">
      <c r="A9898" s="1" t="s">
        <v>13944</v>
      </c>
      <c r="B9898" s="1" t="str">
        <f ca="1">IFERROR(__xludf.DUMMYFUNCTION("GOOGLETRANSLATE(A9898, ""en"", ""fr"")"),"Voler # 1")</f>
        <v>Voler # 1</v>
      </c>
      <c r="C9898" s="1" t="s">
        <v>185</v>
      </c>
      <c r="E9898" s="1" t="s">
        <v>16613</v>
      </c>
      <c r="H9898" s="1" t="s">
        <v>4</v>
      </c>
      <c r="I9898" s="1" t="s">
        <v>5</v>
      </c>
      <c r="N9898" s="1" t="s">
        <v>10</v>
      </c>
      <c r="AE9898" s="1" t="s">
        <v>27</v>
      </c>
      <c r="AN9898" s="1" t="s">
        <v>36</v>
      </c>
      <c r="DO9898" s="1" t="s">
        <v>115</v>
      </c>
      <c r="EE9898" s="1" t="s">
        <v>131</v>
      </c>
      <c r="EJ9898" s="1" t="s">
        <v>136</v>
      </c>
      <c r="GD9898" s="1" t="s">
        <v>189</v>
      </c>
      <c r="GE9898" s="1" t="s">
        <v>13945</v>
      </c>
    </row>
    <row r="9899" spans="1:187" ht="11.25" customHeight="1">
      <c r="A9899" s="1" t="s">
        <v>13946</v>
      </c>
      <c r="B9899" s="1" t="str">
        <f ca="1">IFERROR(__xludf.DUMMYFUNCTION("GOOGLETRANSLATE(A9899, ""en"", ""fr"")"),"Voler # 2")</f>
        <v>Voler # 2</v>
      </c>
      <c r="C9899" s="1" t="s">
        <v>185</v>
      </c>
      <c r="E9899" s="1" t="s">
        <v>16613</v>
      </c>
      <c r="H9899" s="1" t="s">
        <v>4</v>
      </c>
      <c r="I9899" s="1" t="s">
        <v>5</v>
      </c>
      <c r="N9899" s="1" t="s">
        <v>10</v>
      </c>
      <c r="V9899" s="1" t="s">
        <v>18</v>
      </c>
      <c r="AC9899" s="1" t="s">
        <v>25</v>
      </c>
      <c r="EE9899" s="1" t="s">
        <v>131</v>
      </c>
      <c r="EJ9899" s="1" t="s">
        <v>136</v>
      </c>
      <c r="GD9899" s="1" t="s">
        <v>193</v>
      </c>
      <c r="GE9899" s="1" t="s">
        <v>13947</v>
      </c>
    </row>
    <row r="9900" spans="1:187" ht="11.25" customHeight="1">
      <c r="A9900" s="1" t="s">
        <v>13948</v>
      </c>
      <c r="B9900" s="1" t="str">
        <f ca="1">IFERROR(__xludf.DUMMYFUNCTION("GOOGLETRANSLATE(A9900, ""en"", ""fr"")"),"Vapeur n ° 1")</f>
        <v>Vapeur n ° 1</v>
      </c>
      <c r="C9900" s="1" t="s">
        <v>185</v>
      </c>
      <c r="BU9900" s="1" t="s">
        <v>69</v>
      </c>
      <c r="GD9900" s="1" t="s">
        <v>193</v>
      </c>
      <c r="GE9900" s="1" t="s">
        <v>190</v>
      </c>
    </row>
    <row r="9901" spans="1:187" ht="11.25" customHeight="1">
      <c r="A9901" s="1" t="s">
        <v>13949</v>
      </c>
      <c r="B9901" s="1" t="str">
        <f ca="1">IFERROR(__xludf.DUMMYFUNCTION("GOOGLETRANSLATE(A9901, ""en"", ""fr"")"),"Vapeur n ° 2")</f>
        <v>Vapeur n ° 2</v>
      </c>
      <c r="C9901" s="1" t="s">
        <v>185</v>
      </c>
      <c r="BU9901" s="1" t="s">
        <v>69</v>
      </c>
      <c r="DO9901" s="1" t="s">
        <v>115</v>
      </c>
      <c r="FP9901" s="1" t="s">
        <v>168</v>
      </c>
      <c r="GD9901" s="1" t="s">
        <v>189</v>
      </c>
      <c r="GE9901" s="1" t="s">
        <v>190</v>
      </c>
    </row>
    <row r="9902" spans="1:187" ht="11.25" customHeight="1">
      <c r="A9902" s="1" t="s">
        <v>13950</v>
      </c>
      <c r="B9902" s="1" t="str">
        <f ca="1">IFERROR(__xludf.DUMMYFUNCTION("GOOGLETRANSLATE(A9902, ""en"", ""fr"")"),"BATEAU À VAPEUR")</f>
        <v>BATEAU À VAPEUR</v>
      </c>
      <c r="C9902" s="1" t="s">
        <v>185</v>
      </c>
      <c r="BC9902" s="1" t="s">
        <v>51</v>
      </c>
      <c r="BF9902" s="1" t="s">
        <v>54</v>
      </c>
      <c r="GD9902" s="1" t="s">
        <v>193</v>
      </c>
      <c r="GE9902" s="1" t="s">
        <v>190</v>
      </c>
    </row>
    <row r="9903" spans="1:187" ht="11.25" customHeight="1">
      <c r="A9903" s="1" t="s">
        <v>13951</v>
      </c>
      <c r="B9903" s="1" t="str">
        <f ca="1">IFERROR(__xludf.DUMMYFUNCTION("GOOGLETRANSLATE(A9903, ""en"", ""fr"")"),"ACIER")</f>
        <v>ACIER</v>
      </c>
      <c r="C9903" s="1" t="s">
        <v>185</v>
      </c>
      <c r="J9903" s="1" t="s">
        <v>6</v>
      </c>
      <c r="AC9903" s="1" t="s">
        <v>25</v>
      </c>
      <c r="BC9903" s="1" t="s">
        <v>51</v>
      </c>
      <c r="BD9903" s="1" t="s">
        <v>52</v>
      </c>
      <c r="EV9903" s="1" t="s">
        <v>148</v>
      </c>
      <c r="EW9903" s="1" t="s">
        <v>149</v>
      </c>
      <c r="GD9903" s="1" t="s">
        <v>193</v>
      </c>
      <c r="GE9903" s="1" t="s">
        <v>190</v>
      </c>
    </row>
    <row r="9904" spans="1:187" ht="11.25" customHeight="1">
      <c r="A9904" s="1" t="s">
        <v>13952</v>
      </c>
      <c r="B9904" s="1" t="str">
        <f ca="1">IFERROR(__xludf.DUMMYFUNCTION("GOOGLETRANSLATE(A9904, ""en"", ""fr"")"),"RAIDE")</f>
        <v>RAIDE</v>
      </c>
      <c r="C9904" s="1" t="s">
        <v>185</v>
      </c>
      <c r="CR9904" s="1" t="s">
        <v>92</v>
      </c>
      <c r="GD9904" s="1" t="s">
        <v>202</v>
      </c>
      <c r="GE9904" s="1" t="s">
        <v>190</v>
      </c>
    </row>
    <row r="9905" spans="1:187" ht="11.25" customHeight="1">
      <c r="A9905" s="1" t="s">
        <v>13953</v>
      </c>
      <c r="B9905" s="1" t="str">
        <f ca="1">IFERROR(__xludf.DUMMYFUNCTION("GOOGLETRANSLATE(A9905, ""en"", ""fr"")"),"Direction n ° 1")</f>
        <v>Direction n ° 1</v>
      </c>
      <c r="C9905" s="1" t="s">
        <v>185</v>
      </c>
      <c r="AU9905" s="1" t="s">
        <v>43</v>
      </c>
      <c r="GD9905" s="1" t="s">
        <v>193</v>
      </c>
      <c r="GE9905" s="1" t="s">
        <v>190</v>
      </c>
    </row>
    <row r="9906" spans="1:187" ht="11.25" customHeight="1">
      <c r="A9906" s="1" t="s">
        <v>13954</v>
      </c>
      <c r="B9906" s="1" t="str">
        <f ca="1">IFERROR(__xludf.DUMMYFUNCTION("GOOGLETRANSLATE(A9906, ""en"", ""fr"")"),"Steer # 2")</f>
        <v>Steer # 2</v>
      </c>
      <c r="C9906" s="1" t="s">
        <v>185</v>
      </c>
      <c r="K9906" s="1" t="s">
        <v>7</v>
      </c>
      <c r="N9906" s="1" t="s">
        <v>10</v>
      </c>
      <c r="CE9906" s="1" t="s">
        <v>79</v>
      </c>
      <c r="DO9906" s="1" t="s">
        <v>115</v>
      </c>
      <c r="EC9906" s="1" t="s">
        <v>129</v>
      </c>
      <c r="ED9906" s="1" t="s">
        <v>130</v>
      </c>
      <c r="GD9906" s="1" t="s">
        <v>189</v>
      </c>
      <c r="GE9906" s="1" t="s">
        <v>190</v>
      </c>
    </row>
    <row r="9907" spans="1:187" ht="11.25" customHeight="1">
      <c r="A9907" s="1" t="s">
        <v>13955</v>
      </c>
      <c r="B9907" s="1" t="str">
        <f ca="1">IFERROR(__xludf.DUMMYFUNCTION("GOOGLETRANSLATE(A9907, ""en"", ""fr"")"),"Tige n ° 1")</f>
        <v>Tige n ° 1</v>
      </c>
      <c r="C9907" s="1" t="s">
        <v>185</v>
      </c>
      <c r="BC9907" s="1" t="s">
        <v>51</v>
      </c>
      <c r="BI9907" s="1" t="s">
        <v>57</v>
      </c>
      <c r="GD9907" s="1" t="s">
        <v>193</v>
      </c>
      <c r="GE9907" s="1" t="s">
        <v>190</v>
      </c>
    </row>
    <row r="9908" spans="1:187" ht="11.25" customHeight="1">
      <c r="A9908" s="1" t="s">
        <v>13956</v>
      </c>
      <c r="B9908" s="1" t="str">
        <f ca="1">IFERROR(__xludf.DUMMYFUNCTION("GOOGLETRANSLATE(A9908, ""en"", ""fr"")"),"Tige n ° 2")</f>
        <v>Tige n ° 2</v>
      </c>
      <c r="C9908" s="1" t="s">
        <v>185</v>
      </c>
      <c r="O9908" s="1" t="s">
        <v>11</v>
      </c>
      <c r="CI9908" s="1" t="s">
        <v>83</v>
      </c>
      <c r="DN9908" s="1" t="s">
        <v>114</v>
      </c>
      <c r="GD9908" s="1" t="s">
        <v>189</v>
      </c>
      <c r="GE9908" s="1" t="s">
        <v>190</v>
      </c>
    </row>
    <row r="9909" spans="1:187" ht="11.25" customHeight="1">
      <c r="A9909" s="1" t="s">
        <v>13957</v>
      </c>
      <c r="B9909" s="1" t="str">
        <f ca="1">IFERROR(__xludf.DUMMYFUNCTION("GOOGLETRANSLATE(A9909, ""en"", ""fr"")"),"ÉTAPE 1")</f>
        <v>ÉTAPE 1</v>
      </c>
      <c r="C9909" s="1" t="s">
        <v>185</v>
      </c>
      <c r="BQ9909" s="1" t="s">
        <v>65</v>
      </c>
      <c r="CQ9909" s="1" t="s">
        <v>91</v>
      </c>
      <c r="CX9909" s="1" t="s">
        <v>98</v>
      </c>
      <c r="GD9909" s="1" t="s">
        <v>193</v>
      </c>
      <c r="GE9909" s="1" t="s">
        <v>13958</v>
      </c>
    </row>
    <row r="9910" spans="1:187" ht="11.25" customHeight="1">
      <c r="A9910" s="1" t="s">
        <v>13959</v>
      </c>
      <c r="B9910" s="1" t="str">
        <f ca="1">IFERROR(__xludf.DUMMYFUNCTION("GOOGLETRANSLATE(A9910, ""en"", ""fr"")"),"ÉTAPE 2")</f>
        <v>ÉTAPE 2</v>
      </c>
      <c r="C9910" s="1" t="s">
        <v>185</v>
      </c>
      <c r="N9910" s="1" t="s">
        <v>10</v>
      </c>
      <c r="CE9910" s="1" t="s">
        <v>79</v>
      </c>
      <c r="DO9910" s="1" t="s">
        <v>115</v>
      </c>
      <c r="GD9910" s="1" t="s">
        <v>189</v>
      </c>
      <c r="GE9910" s="1" t="s">
        <v>13960</v>
      </c>
    </row>
    <row r="9911" spans="1:187" ht="11.25" customHeight="1">
      <c r="A9911" s="1" t="s">
        <v>13961</v>
      </c>
      <c r="B9911" s="1" t="str">
        <f ca="1">IFERROR(__xludf.DUMMYFUNCTION("GOOGLETRANSLATE(A9911, ""en"", ""fr"")"),"ÉTAPE 3")</f>
        <v>ÉTAPE 3</v>
      </c>
      <c r="C9911" s="1" t="s">
        <v>185</v>
      </c>
      <c r="J9911" s="1" t="s">
        <v>6</v>
      </c>
      <c r="K9911" s="1" t="s">
        <v>7</v>
      </c>
      <c r="N9911" s="1" t="s">
        <v>10</v>
      </c>
      <c r="AN9911" s="1" t="s">
        <v>36</v>
      </c>
      <c r="DN9911" s="1" t="s">
        <v>114</v>
      </c>
      <c r="DW9911" s="1" t="s">
        <v>123</v>
      </c>
      <c r="ED9911" s="1" t="s">
        <v>130</v>
      </c>
      <c r="GD9911" s="1" t="s">
        <v>189</v>
      </c>
      <c r="GE9911" s="1" t="s">
        <v>13962</v>
      </c>
    </row>
    <row r="9912" spans="1:187" ht="11.25" customHeight="1">
      <c r="A9912" s="1" t="s">
        <v>13963</v>
      </c>
      <c r="B9912" s="1" t="str">
        <f ca="1">IFERROR(__xludf.DUMMYFUNCTION("GOOGLETRANSLATE(A9912, ""en"", ""fr"")"),"ÉTAPE 4")</f>
        <v>ÉTAPE 4</v>
      </c>
      <c r="C9912" s="1" t="s">
        <v>185</v>
      </c>
      <c r="GD9912" s="1" t="s">
        <v>225</v>
      </c>
      <c r="GE9912" s="1" t="s">
        <v>13964</v>
      </c>
    </row>
    <row r="9913" spans="1:187" ht="11.25" customHeight="1">
      <c r="A9913" s="1" t="s">
        <v>13965</v>
      </c>
      <c r="B9913" s="1" t="str">
        <f ca="1">IFERROR(__xludf.DUMMYFUNCTION("GOOGLETRANSLATE(A9913, ""en"", ""fr"")"),"Steppes")</f>
        <v>Steppes</v>
      </c>
      <c r="C9913" s="1" t="s">
        <v>185</v>
      </c>
      <c r="AV9913" s="1" t="s">
        <v>44</v>
      </c>
      <c r="AX9913" s="1" t="s">
        <v>46</v>
      </c>
      <c r="GD9913" s="1" t="s">
        <v>193</v>
      </c>
      <c r="GE9913" s="1" t="s">
        <v>190</v>
      </c>
    </row>
    <row r="9914" spans="1:187" ht="11.25" customHeight="1">
      <c r="A9914" s="1" t="s">
        <v>13966</v>
      </c>
      <c r="B9914" s="1" t="str">
        <f ca="1">IFERROR(__xludf.DUMMYFUNCTION("GOOGLETRANSLATE(A9914, ""en"", ""fr"")"),"STÉRÉO")</f>
        <v>STÉRÉO</v>
      </c>
      <c r="C9914" s="1" t="s">
        <v>185</v>
      </c>
      <c r="AD9914" s="1" t="s">
        <v>26</v>
      </c>
      <c r="BC9914" s="1" t="s">
        <v>51</v>
      </c>
      <c r="BD9914" s="1" t="s">
        <v>52</v>
      </c>
      <c r="GD9914" s="1" t="s">
        <v>193</v>
      </c>
      <c r="GE9914" s="1" t="s">
        <v>190</v>
      </c>
    </row>
    <row r="9915" spans="1:187" ht="11.25" customHeight="1">
      <c r="A9915" s="1" t="s">
        <v>13967</v>
      </c>
      <c r="B9915" s="1" t="str">
        <f ca="1">IFERROR(__xludf.DUMMYFUNCTION("GOOGLETRANSLATE(A9915, ""en"", ""fr"")"),"STÉRÉOTYPE")</f>
        <v>STÉRÉOTYPE</v>
      </c>
      <c r="C9915" s="1" t="s">
        <v>185</v>
      </c>
      <c r="CH9915" s="1" t="s">
        <v>82</v>
      </c>
      <c r="GD9915" s="1" t="s">
        <v>193</v>
      </c>
      <c r="GE9915" s="1" t="s">
        <v>190</v>
      </c>
    </row>
    <row r="9916" spans="1:187" ht="11.25" customHeight="1">
      <c r="A9916" s="1" t="s">
        <v>13968</v>
      </c>
      <c r="B9916" s="1" t="str">
        <f ca="1">IFERROR(__xludf.DUMMYFUNCTION("GOOGLETRANSLATE(A9916, ""en"", ""fr"")"),"STERLING")</f>
        <v>STERLING</v>
      </c>
      <c r="C9916" s="1" t="s">
        <v>196</v>
      </c>
      <c r="EV9916" s="1" t="s">
        <v>148</v>
      </c>
      <c r="EW9916" s="1" t="s">
        <v>149</v>
      </c>
      <c r="GD9916" s="1" t="s">
        <v>875</v>
      </c>
    </row>
    <row r="9917" spans="1:187" ht="11.25" customHeight="1">
      <c r="A9917" s="1" t="s">
        <v>13969</v>
      </c>
      <c r="B9917" s="1" t="str">
        <f ca="1">IFERROR(__xludf.DUMMYFUNCTION("GOOGLETRANSLATE(A9917, ""en"", ""fr"")"),"ARRIÈRE")</f>
        <v>ARRIÈRE</v>
      </c>
      <c r="C9917" s="1" t="s">
        <v>185</v>
      </c>
      <c r="E9917" s="1" t="s">
        <v>16613</v>
      </c>
      <c r="I9917" s="1" t="s">
        <v>5</v>
      </c>
      <c r="J9917" s="1" t="s">
        <v>6</v>
      </c>
      <c r="DR9917" s="1" t="s">
        <v>118</v>
      </c>
      <c r="FW9917" s="1" t="s">
        <v>175</v>
      </c>
      <c r="GD9917" s="1" t="s">
        <v>202</v>
      </c>
      <c r="GE9917" s="1" t="s">
        <v>190</v>
      </c>
    </row>
    <row r="9918" spans="1:187" ht="11.25" customHeight="1">
      <c r="A9918" s="1" t="s">
        <v>13970</v>
      </c>
      <c r="B9918" s="1" t="str">
        <f ca="1">IFERROR(__xludf.DUMMYFUNCTION("GOOGLETRANSLATE(A9918, ""en"", ""fr"")"),"Bâton # 1")</f>
        <v>Bâton # 1</v>
      </c>
      <c r="C9918" s="1" t="s">
        <v>185</v>
      </c>
      <c r="BC9918" s="1" t="s">
        <v>51</v>
      </c>
      <c r="BI9918" s="1" t="s">
        <v>57</v>
      </c>
      <c r="GD9918" s="1" t="s">
        <v>193</v>
      </c>
      <c r="GE9918" s="1" t="s">
        <v>13971</v>
      </c>
    </row>
    <row r="9919" spans="1:187" ht="11.25" customHeight="1">
      <c r="A9919" s="1" t="s">
        <v>13972</v>
      </c>
      <c r="B9919" s="1" t="str">
        <f ca="1">IFERROR(__xludf.DUMMYFUNCTION("GOOGLETRANSLATE(A9919, ""en"", ""fr"")"),"Bâton # 2")</f>
        <v>Bâton # 2</v>
      </c>
      <c r="C9919" s="1" t="s">
        <v>185</v>
      </c>
      <c r="J9919" s="1" t="s">
        <v>6</v>
      </c>
      <c r="N9919" s="1" t="s">
        <v>10</v>
      </c>
      <c r="CC9919" s="1" t="s">
        <v>77</v>
      </c>
      <c r="DO9919" s="1" t="s">
        <v>115</v>
      </c>
      <c r="FP9919" s="1" t="s">
        <v>168</v>
      </c>
      <c r="GD9919" s="1" t="s">
        <v>189</v>
      </c>
      <c r="GE9919" s="1" t="s">
        <v>13973</v>
      </c>
    </row>
    <row r="9920" spans="1:187" ht="11.25" customHeight="1">
      <c r="A9920" s="1" t="s">
        <v>13974</v>
      </c>
      <c r="B9920" s="1" t="str">
        <f ca="1">IFERROR(__xludf.DUMMYFUNCTION("GOOGLETRANSLATE(A9920, ""en"", ""fr"")"),"Bâton # 3")</f>
        <v>Bâton # 3</v>
      </c>
      <c r="C9920" s="1" t="s">
        <v>185</v>
      </c>
      <c r="J9920" s="1" t="s">
        <v>6</v>
      </c>
      <c r="N9920" s="1" t="s">
        <v>10</v>
      </c>
      <c r="AN9920" s="1" t="s">
        <v>36</v>
      </c>
      <c r="DO9920" s="1" t="s">
        <v>115</v>
      </c>
      <c r="FP9920" s="1" t="s">
        <v>168</v>
      </c>
      <c r="GD9920" s="1" t="s">
        <v>189</v>
      </c>
      <c r="GE9920" s="1" t="s">
        <v>13975</v>
      </c>
    </row>
    <row r="9921" spans="1:187" ht="11.25" customHeight="1">
      <c r="A9921" s="1" t="s">
        <v>13976</v>
      </c>
      <c r="B9921" s="1" t="str">
        <f ca="1">IFERROR(__xludf.DUMMYFUNCTION("GOOGLETRANSLATE(A9921, ""en"", ""fr"")"),"Bâton # 4")</f>
        <v>Bâton # 4</v>
      </c>
      <c r="C9921" s="1" t="s">
        <v>185</v>
      </c>
      <c r="L9921" s="1" t="s">
        <v>8</v>
      </c>
      <c r="O9921" s="1" t="s">
        <v>11</v>
      </c>
      <c r="CA9921" s="1" t="s">
        <v>75</v>
      </c>
      <c r="GD9921" s="1" t="s">
        <v>202</v>
      </c>
      <c r="GE9921" s="1" t="s">
        <v>13977</v>
      </c>
    </row>
    <row r="9922" spans="1:187" ht="11.25" customHeight="1">
      <c r="A9922" s="1" t="s">
        <v>13978</v>
      </c>
      <c r="B9922" s="1" t="str">
        <f ca="1">IFERROR(__xludf.DUMMYFUNCTION("GOOGLETRANSLATE(A9922, ""en"", ""fr"")"),"Bâton # 5")</f>
        <v>Bâton # 5</v>
      </c>
      <c r="C9922" s="1" t="s">
        <v>185</v>
      </c>
      <c r="J9922" s="1" t="s">
        <v>6</v>
      </c>
      <c r="N9922" s="1" t="s">
        <v>10</v>
      </c>
      <c r="BP9922" s="1" t="s">
        <v>64</v>
      </c>
      <c r="DN9922" s="1" t="s">
        <v>114</v>
      </c>
      <c r="FP9922" s="1" t="s">
        <v>168</v>
      </c>
      <c r="GD9922" s="1" t="s">
        <v>189</v>
      </c>
      <c r="GE9922" s="1" t="s">
        <v>13979</v>
      </c>
    </row>
    <row r="9923" spans="1:187" ht="11.25" customHeight="1">
      <c r="A9923" s="1" t="s">
        <v>13980</v>
      </c>
      <c r="B9923" s="1" t="str">
        <f ca="1">IFERROR(__xludf.DUMMYFUNCTION("GOOGLETRANSLATE(A9923, ""en"", ""fr"")"),"Bâton # 6")</f>
        <v>Bâton # 6</v>
      </c>
      <c r="C9923" s="1" t="s">
        <v>185</v>
      </c>
      <c r="E9923" s="1" t="s">
        <v>16613</v>
      </c>
      <c r="H9923" s="1" t="s">
        <v>4</v>
      </c>
      <c r="V9923" s="1" t="s">
        <v>18</v>
      </c>
      <c r="FW9923" s="1" t="s">
        <v>175</v>
      </c>
      <c r="GD9923" s="1" t="s">
        <v>202</v>
      </c>
      <c r="GE9923" s="1" t="s">
        <v>13981</v>
      </c>
    </row>
    <row r="9924" spans="1:187" ht="11.25" customHeight="1">
      <c r="A9924" s="1" t="s">
        <v>13982</v>
      </c>
      <c r="B9924" s="1" t="str">
        <f ca="1">IFERROR(__xludf.DUMMYFUNCTION("GOOGLETRANSLATE(A9924, ""en"", ""fr"")"),"RIGIDE")</f>
        <v>RIGIDE</v>
      </c>
      <c r="C9924" s="1" t="s">
        <v>185</v>
      </c>
      <c r="J9924" s="1" t="s">
        <v>6</v>
      </c>
      <c r="CR9924" s="1" t="s">
        <v>92</v>
      </c>
      <c r="GD9924" s="1" t="s">
        <v>202</v>
      </c>
      <c r="GE9924" s="1" t="s">
        <v>190</v>
      </c>
    </row>
    <row r="9925" spans="1:187" ht="11.25" customHeight="1">
      <c r="A9925" s="1" t="s">
        <v>13983</v>
      </c>
      <c r="B9925" s="1" t="str">
        <f ca="1">IFERROR(__xludf.DUMMYFUNCTION("GOOGLETRANSLATE(A9925, ""en"", ""fr"")"),"Rigidement")</f>
        <v>Rigidement</v>
      </c>
      <c r="C9925" s="1" t="s">
        <v>185</v>
      </c>
      <c r="J9925" s="1" t="s">
        <v>6</v>
      </c>
      <c r="CR9925" s="1" t="s">
        <v>92</v>
      </c>
      <c r="GD9925" s="1" t="s">
        <v>202</v>
      </c>
      <c r="GE9925" s="1" t="s">
        <v>190</v>
      </c>
    </row>
    <row r="9926" spans="1:187" ht="11.25" customHeight="1">
      <c r="A9926" s="1" t="s">
        <v>13984</v>
      </c>
      <c r="B9926" s="1" t="str">
        <f ca="1">IFERROR(__xludf.DUMMYFUNCTION("GOOGLETRANSLATE(A9926, ""en"", ""fr"")"),"ÉTOUFFER")</f>
        <v>ÉTOUFFER</v>
      </c>
      <c r="C9926" s="1" t="s">
        <v>185</v>
      </c>
      <c r="E9926" s="1" t="s">
        <v>16613</v>
      </c>
      <c r="H9926" s="1" t="s">
        <v>4</v>
      </c>
      <c r="I9926" s="1" t="s">
        <v>5</v>
      </c>
      <c r="J9926" s="1" t="s">
        <v>6</v>
      </c>
      <c r="K9926" s="1" t="s">
        <v>7</v>
      </c>
      <c r="N9926" s="1" t="s">
        <v>10</v>
      </c>
      <c r="AN9926" s="1" t="s">
        <v>36</v>
      </c>
      <c r="DN9926" s="1" t="s">
        <v>114</v>
      </c>
      <c r="FO9926" s="1" t="s">
        <v>167</v>
      </c>
      <c r="GD9926" s="1" t="s">
        <v>189</v>
      </c>
      <c r="GE9926" s="1" t="s">
        <v>190</v>
      </c>
    </row>
    <row r="9927" spans="1:187" ht="11.25" customHeight="1">
      <c r="A9927" s="1" t="s">
        <v>13985</v>
      </c>
      <c r="B9927" s="1" t="str">
        <f ca="1">IFERROR(__xludf.DUMMYFUNCTION("GOOGLETRANSLATE(A9927, ""en"", ""fr"")"),"STIGMATE")</f>
        <v>STIGMATE</v>
      </c>
      <c r="C9927" s="1" t="s">
        <v>185</v>
      </c>
      <c r="E9927" s="1" t="s">
        <v>16613</v>
      </c>
      <c r="V9927" s="1" t="s">
        <v>18</v>
      </c>
      <c r="CK9927" s="1" t="s">
        <v>85</v>
      </c>
      <c r="EM9927" s="1" t="s">
        <v>139</v>
      </c>
      <c r="EN9927" s="1" t="s">
        <v>140</v>
      </c>
      <c r="GD9927" s="1" t="s">
        <v>193</v>
      </c>
      <c r="GE9927" s="1" t="s">
        <v>190</v>
      </c>
    </row>
    <row r="9928" spans="1:187" ht="11.25" customHeight="1">
      <c r="A9928" s="1" t="s">
        <v>13986</v>
      </c>
      <c r="B9928" s="1" t="str">
        <f ca="1">IFERROR(__xludf.DUMMYFUNCTION("GOOGLETRANSLATE(A9928, ""en"", ""fr"")"),"Toujours n ° 1")</f>
        <v>Toujours n ° 1</v>
      </c>
      <c r="C9928" s="1" t="s">
        <v>185</v>
      </c>
      <c r="CY9928" s="1" t="s">
        <v>99</v>
      </c>
      <c r="GB9928" s="1" t="s">
        <v>180</v>
      </c>
      <c r="GD9928" s="1" t="s">
        <v>1357</v>
      </c>
      <c r="GE9928" s="1" t="s">
        <v>13987</v>
      </c>
    </row>
    <row r="9929" spans="1:187" ht="11.25" customHeight="1">
      <c r="A9929" s="1" t="s">
        <v>13988</v>
      </c>
      <c r="B9929" s="1" t="str">
        <f ca="1">IFERROR(__xludf.DUMMYFUNCTION("GOOGLETRANSLATE(A9929, ""en"", ""fr"")"),"Toujours # 2")</f>
        <v>Toujours # 2</v>
      </c>
      <c r="C9929" s="1" t="s">
        <v>185</v>
      </c>
      <c r="CH9929" s="1" t="s">
        <v>82</v>
      </c>
      <c r="GD9929" s="1" t="s">
        <v>763</v>
      </c>
      <c r="GE9929" s="1" t="s">
        <v>13989</v>
      </c>
    </row>
    <row r="9930" spans="1:187" ht="11.25" customHeight="1">
      <c r="A9930" s="1" t="s">
        <v>13990</v>
      </c>
      <c r="B9930" s="1" t="str">
        <f ca="1">IFERROR(__xludf.DUMMYFUNCTION("GOOGLETRANSLATE(A9930, ""en"", ""fr"")"),"Toujours # 3")</f>
        <v>Toujours # 3</v>
      </c>
      <c r="C9930" s="1" t="s">
        <v>185</v>
      </c>
      <c r="W9930" s="1" t="s">
        <v>19</v>
      </c>
      <c r="GD9930" s="1" t="s">
        <v>236</v>
      </c>
      <c r="GE9930" s="1" t="s">
        <v>13991</v>
      </c>
    </row>
    <row r="9931" spans="1:187" ht="11.25" customHeight="1">
      <c r="A9931" s="1" t="s">
        <v>13992</v>
      </c>
      <c r="B9931" s="1" t="str">
        <f ca="1">IFERROR(__xludf.DUMMYFUNCTION("GOOGLETRANSLATE(A9931, ""en"", ""fr"")"),"Toujours # 4")</f>
        <v>Toujours # 4</v>
      </c>
      <c r="C9931" s="1" t="s">
        <v>185</v>
      </c>
      <c r="CR9931" s="1" t="s">
        <v>92</v>
      </c>
      <c r="GD9931" s="1" t="s">
        <v>202</v>
      </c>
      <c r="GE9931" s="1" t="s">
        <v>13993</v>
      </c>
    </row>
    <row r="9932" spans="1:187" ht="11.25" customHeight="1">
      <c r="A9932" s="1" t="s">
        <v>13994</v>
      </c>
      <c r="B9932" s="1" t="str">
        <f ca="1">IFERROR(__xludf.DUMMYFUNCTION("GOOGLETRANSLATE(A9932, ""en"", ""fr"")"),"Toujours # 5")</f>
        <v>Toujours # 5</v>
      </c>
      <c r="C9932" s="1" t="s">
        <v>185</v>
      </c>
      <c r="J9932" s="1" t="s">
        <v>6</v>
      </c>
      <c r="K9932" s="1" t="s">
        <v>7</v>
      </c>
      <c r="N9932" s="1" t="s">
        <v>10</v>
      </c>
      <c r="AN9932" s="1" t="s">
        <v>36</v>
      </c>
      <c r="DN9932" s="1" t="s">
        <v>114</v>
      </c>
      <c r="GD9932" s="1" t="s">
        <v>189</v>
      </c>
      <c r="GE9932" s="1" t="s">
        <v>13995</v>
      </c>
    </row>
    <row r="9933" spans="1:187" ht="11.25" customHeight="1">
      <c r="A9933" s="1" t="s">
        <v>13996</v>
      </c>
      <c r="B9933" s="1" t="str">
        <f ca="1">IFERROR(__xludf.DUMMYFUNCTION("GOOGLETRANSLATE(A9933, ""en"", ""fr"")"),"STIMULER")</f>
        <v>STIMULER</v>
      </c>
      <c r="C9933" s="1" t="s">
        <v>192</v>
      </c>
      <c r="D9933" s="1" t="s">
        <v>16612</v>
      </c>
      <c r="K9933" s="1" t="s">
        <v>7</v>
      </c>
      <c r="N9933" s="1" t="s">
        <v>10</v>
      </c>
      <c r="CI9933" s="1" t="s">
        <v>83</v>
      </c>
      <c r="DN9933" s="1" t="s">
        <v>114</v>
      </c>
      <c r="GD9933" s="1" t="s">
        <v>670</v>
      </c>
      <c r="GE9933" s="1" t="s">
        <v>190</v>
      </c>
    </row>
    <row r="9934" spans="1:187" ht="11.25" customHeight="1">
      <c r="A9934" s="1" t="s">
        <v>13997</v>
      </c>
      <c r="B9934" s="1" t="str">
        <f ca="1">IFERROR(__xludf.DUMMYFUNCTION("GOOGLETRANSLATE(A9934, ""en"", ""fr"")"),"STIMULATION")</f>
        <v>STIMULATION</v>
      </c>
      <c r="C9934" s="1" t="s">
        <v>192</v>
      </c>
      <c r="D9934" s="1" t="s">
        <v>16612</v>
      </c>
      <c r="N9934" s="1" t="s">
        <v>10</v>
      </c>
      <c r="CI9934" s="1" t="s">
        <v>83</v>
      </c>
      <c r="CK9934" s="1" t="s">
        <v>85</v>
      </c>
      <c r="GD9934" s="1" t="s">
        <v>193</v>
      </c>
      <c r="GE9934" s="1" t="s">
        <v>190</v>
      </c>
    </row>
    <row r="9935" spans="1:187" ht="11.25" customHeight="1">
      <c r="A9935" s="1" t="s">
        <v>13998</v>
      </c>
      <c r="B9935" s="1" t="str">
        <f ca="1">IFERROR(__xludf.DUMMYFUNCTION("GOOGLETRANSLATE(A9935, ""en"", ""fr"")"),"STIMULUS")</f>
        <v>STIMULUS</v>
      </c>
      <c r="C9935" s="1" t="s">
        <v>185</v>
      </c>
      <c r="BK9935" s="1" t="s">
        <v>59</v>
      </c>
      <c r="BL9935" s="1" t="s">
        <v>60</v>
      </c>
      <c r="FR9935" s="1" t="s">
        <v>170</v>
      </c>
      <c r="GC9935" s="1" t="s">
        <v>181</v>
      </c>
      <c r="GD9935" s="1" t="s">
        <v>193</v>
      </c>
      <c r="GE9935" s="1" t="s">
        <v>190</v>
      </c>
    </row>
    <row r="9936" spans="1:187" ht="11.25" customHeight="1">
      <c r="A9936" s="1" t="s">
        <v>13999</v>
      </c>
      <c r="B9936" s="1" t="str">
        <f ca="1">IFERROR(__xludf.DUMMYFUNCTION("GOOGLETRANSLATE(A9936, ""en"", ""fr"")"),"PIQUER")</f>
        <v>PIQUER</v>
      </c>
      <c r="C9936" s="1" t="s">
        <v>192</v>
      </c>
      <c r="E9936" s="1" t="s">
        <v>16613</v>
      </c>
      <c r="I9936" s="1" t="s">
        <v>5</v>
      </c>
      <c r="N9936" s="1" t="s">
        <v>10</v>
      </c>
      <c r="Q9936" s="1" t="s">
        <v>13</v>
      </c>
      <c r="CC9936" s="1" t="s">
        <v>77</v>
      </c>
      <c r="DN9936" s="1" t="s">
        <v>114</v>
      </c>
      <c r="GD9936" s="1" t="s">
        <v>189</v>
      </c>
      <c r="GE9936" s="1" t="s">
        <v>190</v>
      </c>
    </row>
    <row r="9937" spans="1:187" ht="11.25" customHeight="1">
      <c r="A9937" s="1" t="s">
        <v>14000</v>
      </c>
      <c r="B9937" s="1" t="str">
        <f ca="1">IFERROR(__xludf.DUMMYFUNCTION("GOOGLETRANSLATE(A9937, ""en"", ""fr"")"),"PUER")</f>
        <v>PUER</v>
      </c>
      <c r="C9937" s="1" t="s">
        <v>192</v>
      </c>
      <c r="E9937" s="1" t="s">
        <v>16613</v>
      </c>
      <c r="Q9937" s="1" t="s">
        <v>13</v>
      </c>
      <c r="CK9937" s="1" t="s">
        <v>85</v>
      </c>
      <c r="DN9937" s="1" t="s">
        <v>114</v>
      </c>
      <c r="GD9937" s="1" t="s">
        <v>189</v>
      </c>
      <c r="GE9937" s="1" t="s">
        <v>190</v>
      </c>
    </row>
    <row r="9938" spans="1:187" ht="11.25" customHeight="1">
      <c r="A9938" s="1" t="s">
        <v>14001</v>
      </c>
      <c r="B9938" s="1" t="str">
        <f ca="1">IFERROR(__xludf.DUMMYFUNCTION("GOOGLETRANSLATE(A9938, ""en"", ""fr"")"),"STIPULER")</f>
        <v>STIPULER</v>
      </c>
      <c r="C9938" s="1" t="s">
        <v>185</v>
      </c>
      <c r="K9938" s="1" t="s">
        <v>7</v>
      </c>
      <c r="AE9938" s="1" t="s">
        <v>27</v>
      </c>
      <c r="BK9938" s="1" t="s">
        <v>59</v>
      </c>
      <c r="DN9938" s="1" t="s">
        <v>114</v>
      </c>
      <c r="FP9938" s="1" t="s">
        <v>168</v>
      </c>
      <c r="GD9938" s="1" t="s">
        <v>189</v>
      </c>
      <c r="GE9938" s="1" t="s">
        <v>190</v>
      </c>
    </row>
    <row r="9939" spans="1:187" ht="11.25" customHeight="1">
      <c r="A9939" s="1" t="s">
        <v>14002</v>
      </c>
      <c r="B9939" s="1" t="str">
        <f ca="1">IFERROR(__xludf.DUMMYFUNCTION("GOOGLETRANSLATE(A9939, ""en"", ""fr"")"),"STIPULATION")</f>
        <v>STIPULATION</v>
      </c>
      <c r="C9939" s="1" t="s">
        <v>185</v>
      </c>
      <c r="K9939" s="1" t="s">
        <v>7</v>
      </c>
      <c r="AE9939" s="1" t="s">
        <v>27</v>
      </c>
      <c r="BK9939" s="1" t="s">
        <v>59</v>
      </c>
      <c r="BL9939" s="1" t="s">
        <v>60</v>
      </c>
      <c r="GC9939" s="1" t="s">
        <v>181</v>
      </c>
      <c r="GD9939" s="1" t="s">
        <v>193</v>
      </c>
      <c r="GE9939" s="1" t="s">
        <v>190</v>
      </c>
    </row>
    <row r="9940" spans="1:187" ht="11.25" customHeight="1">
      <c r="A9940" s="1" t="s">
        <v>14003</v>
      </c>
      <c r="B9940" s="1" t="str">
        <f ca="1">IFERROR(__xludf.DUMMYFUNCTION("GOOGLETRANSLATE(A9940, ""en"", ""fr"")"),"REMUER")</f>
        <v>REMUER</v>
      </c>
      <c r="C9940" s="1" t="s">
        <v>185</v>
      </c>
      <c r="CC9940" s="1" t="s">
        <v>77</v>
      </c>
      <c r="DO9940" s="1" t="s">
        <v>115</v>
      </c>
      <c r="FP9940" s="1" t="s">
        <v>168</v>
      </c>
      <c r="GD9940" s="1" t="s">
        <v>189</v>
      </c>
      <c r="GE9940" s="1" t="s">
        <v>190</v>
      </c>
    </row>
    <row r="9941" spans="1:187" ht="11.25" customHeight="1">
      <c r="A9941" s="1" t="s">
        <v>14004</v>
      </c>
      <c r="B9941" s="1" t="str">
        <f ca="1">IFERROR(__xludf.DUMMYFUNCTION("GOOGLETRANSLATE(A9941, ""en"", ""fr"")"),"ACTION")</f>
        <v>ACTION</v>
      </c>
      <c r="C9941" s="1" t="s">
        <v>185</v>
      </c>
      <c r="AC9941" s="1" t="s">
        <v>25</v>
      </c>
      <c r="BQ9941" s="1" t="s">
        <v>65</v>
      </c>
      <c r="EV9941" s="1" t="s">
        <v>148</v>
      </c>
      <c r="EW9941" s="1" t="s">
        <v>149</v>
      </c>
      <c r="GD9941" s="1" t="s">
        <v>193</v>
      </c>
      <c r="GE9941" s="1" t="s">
        <v>190</v>
      </c>
    </row>
    <row r="9942" spans="1:187" ht="11.25" customHeight="1">
      <c r="A9942" s="1" t="s">
        <v>14005</v>
      </c>
      <c r="B9942" s="1" t="str">
        <f ca="1">IFERROR(__xludf.DUMMYFUNCTION("GOOGLETRANSLATE(A9942, ""en"", ""fr"")"),"STOCKER")</f>
        <v>STOCKER</v>
      </c>
      <c r="C9942" s="1" t="s">
        <v>196</v>
      </c>
      <c r="FQ9942" s="1" t="s">
        <v>169</v>
      </c>
      <c r="GD9942" s="1" t="s">
        <v>193</v>
      </c>
    </row>
    <row r="9943" spans="1:187" ht="11.25" customHeight="1">
      <c r="A9943" s="1" t="s">
        <v>14006</v>
      </c>
      <c r="B9943" s="1" t="str">
        <f ca="1">IFERROR(__xludf.DUMMYFUNCTION("GOOGLETRANSLATE(A9943, ""en"", ""fr"")"),"STOÏCISME")</f>
        <v>STOÏCISME</v>
      </c>
      <c r="C9943" s="1" t="s">
        <v>185</v>
      </c>
      <c r="J9943" s="1" t="s">
        <v>6</v>
      </c>
      <c r="Z9943" s="1" t="s">
        <v>22</v>
      </c>
      <c r="AI9943" s="1" t="s">
        <v>31</v>
      </c>
      <c r="GD9943" s="1" t="s">
        <v>193</v>
      </c>
      <c r="GE9943" s="1" t="s">
        <v>190</v>
      </c>
    </row>
    <row r="9944" spans="1:187" ht="11.25" customHeight="1">
      <c r="A9944" s="1" t="s">
        <v>14007</v>
      </c>
      <c r="B9944" s="1" t="str">
        <f ca="1">IFERROR(__xludf.DUMMYFUNCTION("GOOGLETRANSLATE(A9944, ""en"", ""fr"")"),"A VOLÉ")</f>
        <v>A VOLÉ</v>
      </c>
      <c r="C9944" s="1" t="s">
        <v>185</v>
      </c>
      <c r="E9944" s="1" t="s">
        <v>16613</v>
      </c>
      <c r="H9944" s="1" t="s">
        <v>4</v>
      </c>
      <c r="I9944" s="1" t="s">
        <v>5</v>
      </c>
      <c r="N9944" s="1" t="s">
        <v>10</v>
      </c>
      <c r="AE9944" s="1" t="s">
        <v>27</v>
      </c>
      <c r="AN9944" s="1" t="s">
        <v>36</v>
      </c>
      <c r="DO9944" s="1" t="s">
        <v>115</v>
      </c>
      <c r="EE9944" s="1" t="s">
        <v>131</v>
      </c>
      <c r="EJ9944" s="1" t="s">
        <v>136</v>
      </c>
      <c r="GD9944" s="1" t="s">
        <v>1076</v>
      </c>
      <c r="GE9944" s="1" t="s">
        <v>14008</v>
      </c>
    </row>
    <row r="9945" spans="1:187" ht="11.25" customHeight="1">
      <c r="A9945" s="1" t="s">
        <v>14009</v>
      </c>
      <c r="B9945" s="1" t="str">
        <f ca="1">IFERROR(__xludf.DUMMYFUNCTION("GOOGLETRANSLATE(A9945, ""en"", ""fr"")"),"Volé # 1")</f>
        <v>Volé # 1</v>
      </c>
      <c r="C9945" s="1" t="s">
        <v>185</v>
      </c>
      <c r="E9945" s="1" t="s">
        <v>16613</v>
      </c>
      <c r="H9945" s="1" t="s">
        <v>4</v>
      </c>
      <c r="V9945" s="1" t="s">
        <v>18</v>
      </c>
      <c r="AE9945" s="1" t="s">
        <v>27</v>
      </c>
      <c r="EE9945" s="1" t="s">
        <v>131</v>
      </c>
      <c r="EJ9945" s="1" t="s">
        <v>136</v>
      </c>
      <c r="GD9945" s="1" t="s">
        <v>202</v>
      </c>
      <c r="GE9945" s="1" t="s">
        <v>190</v>
      </c>
    </row>
    <row r="9946" spans="1:187" ht="11.25" customHeight="1">
      <c r="A9946" s="1" t="s">
        <v>14010</v>
      </c>
      <c r="B9946" s="1" t="str">
        <f ca="1">IFERROR(__xludf.DUMMYFUNCTION("GOOGLETRANSLATE(A9946, ""en"", ""fr"")"),"Volé # 2")</f>
        <v>Volé # 2</v>
      </c>
      <c r="C9946" s="1" t="s">
        <v>185</v>
      </c>
      <c r="E9946" s="1" t="s">
        <v>16613</v>
      </c>
      <c r="H9946" s="1" t="s">
        <v>4</v>
      </c>
      <c r="I9946" s="1" t="s">
        <v>5</v>
      </c>
      <c r="AE9946" s="1" t="s">
        <v>27</v>
      </c>
      <c r="AN9946" s="1" t="s">
        <v>36</v>
      </c>
      <c r="DN9946" s="1" t="s">
        <v>114</v>
      </c>
      <c r="EE9946" s="1" t="s">
        <v>131</v>
      </c>
      <c r="EJ9946" s="1" t="s">
        <v>136</v>
      </c>
      <c r="GD9946" s="1" t="s">
        <v>1076</v>
      </c>
      <c r="GE9946" s="1" t="s">
        <v>190</v>
      </c>
    </row>
    <row r="9947" spans="1:187" ht="11.25" customHeight="1">
      <c r="A9947" s="1" t="s">
        <v>14011</v>
      </c>
      <c r="B9947" s="1" t="str">
        <f ca="1">IFERROR(__xludf.DUMMYFUNCTION("GOOGLETRANSLATE(A9947, ""en"", ""fr"")"),"Estomac # 1")</f>
        <v>Estomac # 1</v>
      </c>
      <c r="C9947" s="1" t="s">
        <v>185</v>
      </c>
      <c r="BJ9947" s="1" t="s">
        <v>58</v>
      </c>
      <c r="EZ9947" s="1" t="s">
        <v>152</v>
      </c>
      <c r="FC9947" s="1" t="s">
        <v>155</v>
      </c>
      <c r="GD9947" s="1" t="s">
        <v>849</v>
      </c>
      <c r="GE9947" s="1" t="s">
        <v>14012</v>
      </c>
    </row>
    <row r="9948" spans="1:187" ht="11.25" customHeight="1">
      <c r="A9948" s="1" t="s">
        <v>14013</v>
      </c>
      <c r="B9948" s="1" t="str">
        <f ca="1">IFERROR(__xludf.DUMMYFUNCTION("GOOGLETRANSLATE(A9948, ""en"", ""fr"")"),"Estomac # 2")</f>
        <v>Estomac # 2</v>
      </c>
      <c r="C9948" s="1" t="s">
        <v>185</v>
      </c>
      <c r="J9948" s="1" t="s">
        <v>6</v>
      </c>
      <c r="M9948" s="1" t="s">
        <v>9</v>
      </c>
      <c r="AN9948" s="1" t="s">
        <v>36</v>
      </c>
      <c r="DN9948" s="1" t="s">
        <v>114</v>
      </c>
      <c r="FP9948" s="1" t="s">
        <v>168</v>
      </c>
      <c r="GD9948" s="1" t="s">
        <v>189</v>
      </c>
      <c r="GE9948" s="1" t="s">
        <v>14014</v>
      </c>
    </row>
    <row r="9949" spans="1:187" ht="11.25" customHeight="1">
      <c r="A9949" s="1" t="s">
        <v>14015</v>
      </c>
      <c r="B9949" s="1" t="str">
        <f ca="1">IFERROR(__xludf.DUMMYFUNCTION("GOOGLETRANSLATE(A9949, ""en"", ""fr"")"),"Pierre n ° 1")</f>
        <v>Pierre n ° 1</v>
      </c>
      <c r="C9949" s="1" t="s">
        <v>185</v>
      </c>
      <c r="J9949" s="1" t="s">
        <v>6</v>
      </c>
      <c r="AV9949" s="1" t="s">
        <v>44</v>
      </c>
      <c r="BA9949" s="1" t="s">
        <v>49</v>
      </c>
      <c r="GD9949" s="1" t="s">
        <v>849</v>
      </c>
      <c r="GE9949" s="1" t="s">
        <v>14016</v>
      </c>
    </row>
    <row r="9950" spans="1:187" ht="11.25" customHeight="1">
      <c r="A9950" s="1" t="s">
        <v>14017</v>
      </c>
      <c r="B9950" s="1" t="str">
        <f ca="1">IFERROR(__xludf.DUMMYFUNCTION("GOOGLETRANSLATE(A9950, ""en"", ""fr"")"),"Pierre n ° 2")</f>
        <v>Pierre n ° 2</v>
      </c>
      <c r="C9950" s="1" t="s">
        <v>185</v>
      </c>
      <c r="I9950" s="1" t="s">
        <v>5</v>
      </c>
      <c r="N9950" s="1" t="s">
        <v>10</v>
      </c>
      <c r="CC9950" s="1" t="s">
        <v>77</v>
      </c>
      <c r="DO9950" s="1" t="s">
        <v>115</v>
      </c>
      <c r="FW9950" s="1" t="s">
        <v>175</v>
      </c>
      <c r="GD9950" s="1" t="s">
        <v>189</v>
      </c>
      <c r="GE9950" s="1" t="s">
        <v>14018</v>
      </c>
    </row>
    <row r="9951" spans="1:187" ht="11.25" customHeight="1">
      <c r="A9951" s="1" t="s">
        <v>14019</v>
      </c>
      <c r="B9951" s="1" t="str">
        <f ca="1">IFERROR(__xludf.DUMMYFUNCTION("GOOGLETRANSLATE(A9951, ""en"", ""fr"")"),"Se tenait # 1")</f>
        <v>Se tenait # 1</v>
      </c>
      <c r="C9951" s="1" t="s">
        <v>185</v>
      </c>
      <c r="J9951" s="1" t="s">
        <v>6</v>
      </c>
      <c r="CA9951" s="1" t="s">
        <v>75</v>
      </c>
      <c r="DO9951" s="1" t="s">
        <v>115</v>
      </c>
      <c r="GD9951" s="1" t="s">
        <v>2413</v>
      </c>
      <c r="GE9951" s="1" t="s">
        <v>14020</v>
      </c>
    </row>
    <row r="9952" spans="1:187" ht="11.25" customHeight="1">
      <c r="A9952" s="1" t="s">
        <v>14021</v>
      </c>
      <c r="B9952" s="1" t="str">
        <f ca="1">IFERROR(__xludf.DUMMYFUNCTION("GOOGLETRANSLATE(A9952, ""en"", ""fr"")"),"Se tenait # 2")</f>
        <v>Se tenait # 2</v>
      </c>
      <c r="C9952" s="1" t="s">
        <v>185</v>
      </c>
      <c r="G9952" s="1" t="s">
        <v>3</v>
      </c>
      <c r="J9952" s="1" t="s">
        <v>6</v>
      </c>
      <c r="N9952" s="1" t="s">
        <v>10</v>
      </c>
      <c r="AN9952" s="1" t="s">
        <v>36</v>
      </c>
      <c r="DN9952" s="1" t="s">
        <v>114</v>
      </c>
      <c r="DS9952" s="1" t="s">
        <v>119</v>
      </c>
      <c r="ED9952" s="1" t="s">
        <v>130</v>
      </c>
      <c r="GD9952" s="1" t="s">
        <v>1076</v>
      </c>
      <c r="GE9952" s="1" t="s">
        <v>14022</v>
      </c>
    </row>
    <row r="9953" spans="1:187" ht="11.25" customHeight="1">
      <c r="A9953" s="1" t="s">
        <v>14023</v>
      </c>
      <c r="B9953" s="1" t="str">
        <f ca="1">IFERROR(__xludf.DUMMYFUNCTION("GOOGLETRANSLATE(A9953, ""en"", ""fr"")"),"Se tenait # 3")</f>
        <v>Se tenait # 3</v>
      </c>
      <c r="C9953" s="1" t="s">
        <v>185</v>
      </c>
      <c r="J9953" s="1" t="s">
        <v>6</v>
      </c>
      <c r="M9953" s="1" t="s">
        <v>9</v>
      </c>
      <c r="O9953" s="1" t="s">
        <v>11</v>
      </c>
      <c r="AN9953" s="1" t="s">
        <v>36</v>
      </c>
      <c r="DN9953" s="1" t="s">
        <v>114</v>
      </c>
      <c r="FP9953" s="1" t="s">
        <v>168</v>
      </c>
      <c r="GD9953" s="1" t="s">
        <v>1076</v>
      </c>
      <c r="GE9953" s="1" t="s">
        <v>14024</v>
      </c>
    </row>
    <row r="9954" spans="1:187" ht="11.25" customHeight="1">
      <c r="A9954" s="1" t="s">
        <v>14025</v>
      </c>
      <c r="B9954" s="1" t="str">
        <f ca="1">IFERROR(__xludf.DUMMYFUNCTION("GOOGLETRANSLATE(A9954, ""en"", ""fr"")"),"Se tenait # 4")</f>
        <v>Se tenait # 4</v>
      </c>
      <c r="C9954" s="1" t="s">
        <v>185</v>
      </c>
      <c r="D9954" s="1" t="s">
        <v>16612</v>
      </c>
      <c r="F9954" s="1" t="s">
        <v>2</v>
      </c>
      <c r="J9954" s="1" t="s">
        <v>6</v>
      </c>
      <c r="CK9954" s="1" t="s">
        <v>85</v>
      </c>
      <c r="DN9954" s="1" t="s">
        <v>114</v>
      </c>
      <c r="FP9954" s="1" t="s">
        <v>168</v>
      </c>
      <c r="GD9954" s="1" t="s">
        <v>1076</v>
      </c>
      <c r="GE9954" s="1" t="s">
        <v>14026</v>
      </c>
    </row>
    <row r="9955" spans="1:187" ht="11.25" customHeight="1">
      <c r="A9955" s="1" t="s">
        <v>14027</v>
      </c>
      <c r="B9955" s="1" t="str">
        <f ca="1">IFERROR(__xludf.DUMMYFUNCTION("GOOGLETRANSLATE(A9955, ""en"", ""fr"")"),"Arrêt n ° 1")</f>
        <v>Arrêt n ° 1</v>
      </c>
      <c r="C9955" s="1" t="s">
        <v>185</v>
      </c>
      <c r="CA9955" s="1" t="s">
        <v>75</v>
      </c>
      <c r="DO9955" s="1" t="s">
        <v>115</v>
      </c>
      <c r="FP9955" s="1" t="s">
        <v>168</v>
      </c>
      <c r="GD9955" s="1" t="s">
        <v>189</v>
      </c>
      <c r="GE9955" s="1" t="s">
        <v>14028</v>
      </c>
    </row>
    <row r="9956" spans="1:187" ht="11.25" customHeight="1">
      <c r="A9956" s="1" t="s">
        <v>14029</v>
      </c>
      <c r="B9956" s="1" t="str">
        <f ca="1">IFERROR(__xludf.DUMMYFUNCTION("GOOGLETRANSLATE(A9956, ""en"", ""fr"")"),"Stop # 2")</f>
        <v>Stop # 2</v>
      </c>
      <c r="C9956" s="1" t="s">
        <v>185</v>
      </c>
      <c r="I9956" s="1" t="s">
        <v>5</v>
      </c>
      <c r="J9956" s="1" t="s">
        <v>6</v>
      </c>
      <c r="K9956" s="1" t="s">
        <v>7</v>
      </c>
      <c r="N9956" s="1" t="s">
        <v>10</v>
      </c>
      <c r="AN9956" s="1" t="s">
        <v>36</v>
      </c>
      <c r="DO9956" s="1" t="s">
        <v>115</v>
      </c>
      <c r="DT9956" s="1" t="s">
        <v>120</v>
      </c>
      <c r="ED9956" s="1" t="s">
        <v>130</v>
      </c>
      <c r="GD9956" s="1" t="s">
        <v>189</v>
      </c>
      <c r="GE9956" s="1" t="s">
        <v>14030</v>
      </c>
    </row>
    <row r="9957" spans="1:187" ht="11.25" customHeight="1">
      <c r="A9957" s="1" t="s">
        <v>14031</v>
      </c>
      <c r="B9957" s="1" t="str">
        <f ca="1">IFERROR(__xludf.DUMMYFUNCTION("GOOGLETRANSLATE(A9957, ""en"", ""fr"")"),"Stop # 3")</f>
        <v>Stop # 3</v>
      </c>
      <c r="C9957" s="1" t="s">
        <v>185</v>
      </c>
      <c r="BZ9957" s="1" t="s">
        <v>74</v>
      </c>
      <c r="GD9957" s="1" t="s">
        <v>193</v>
      </c>
      <c r="GE9957" s="1" t="s">
        <v>14032</v>
      </c>
    </row>
    <row r="9958" spans="1:187" ht="11.25" customHeight="1">
      <c r="A9958" s="1" t="s">
        <v>14033</v>
      </c>
      <c r="B9958" s="1" t="str">
        <f ca="1">IFERROR(__xludf.DUMMYFUNCTION("GOOGLETRANSLATE(A9958, ""en"", ""fr"")"),"Stop # 4")</f>
        <v>Stop # 4</v>
      </c>
      <c r="C9958" s="1" t="s">
        <v>185</v>
      </c>
      <c r="J9958" s="1" t="s">
        <v>6</v>
      </c>
      <c r="AL9958" s="1" t="s">
        <v>34</v>
      </c>
      <c r="DN9958" s="1" t="s">
        <v>114</v>
      </c>
      <c r="FP9958" s="1" t="s">
        <v>168</v>
      </c>
      <c r="GD9958" s="1" t="s">
        <v>189</v>
      </c>
      <c r="GE9958" s="1" t="s">
        <v>14034</v>
      </c>
    </row>
    <row r="9959" spans="1:187" ht="11.25" customHeight="1">
      <c r="A9959" s="1" t="s">
        <v>14035</v>
      </c>
      <c r="B9959" s="1" t="str">
        <f ca="1">IFERROR(__xludf.DUMMYFUNCTION("GOOGLETRANSLATE(A9959, ""en"", ""fr"")"),"BOUCHON")</f>
        <v>BOUCHON</v>
      </c>
      <c r="C9959" s="1" t="s">
        <v>185</v>
      </c>
      <c r="BC9959" s="1" t="s">
        <v>51</v>
      </c>
      <c r="BD9959" s="1" t="s">
        <v>52</v>
      </c>
      <c r="GD9959" s="1" t="s">
        <v>193</v>
      </c>
      <c r="GE9959" s="1" t="s">
        <v>190</v>
      </c>
    </row>
    <row r="9960" spans="1:187" ht="11.25" customHeight="1">
      <c r="A9960" s="1" t="s">
        <v>14036</v>
      </c>
      <c r="B9960" s="1" t="str">
        <f ca="1">IFERROR(__xludf.DUMMYFUNCTION("GOOGLETRANSLATE(A9960, ""en"", ""fr"")"),"STOCKAGE")</f>
        <v>STOCKAGE</v>
      </c>
      <c r="C9960" s="1" t="s">
        <v>185</v>
      </c>
      <c r="BQ9960" s="1" t="s">
        <v>65</v>
      </c>
      <c r="FQ9960" s="1" t="s">
        <v>169</v>
      </c>
      <c r="GD9960" s="1" t="s">
        <v>193</v>
      </c>
      <c r="GE9960" s="1" t="s">
        <v>190</v>
      </c>
    </row>
    <row r="9961" spans="1:187" ht="11.25" customHeight="1">
      <c r="A9961" s="1" t="s">
        <v>14037</v>
      </c>
      <c r="B9961" s="1" t="str">
        <f ca="1">IFERROR(__xludf.DUMMYFUNCTION("GOOGLETRANSLATE(A9961, ""en"", ""fr"")"),"Magasin n ° 1")</f>
        <v>Magasin n ° 1</v>
      </c>
      <c r="C9961" s="1" t="s">
        <v>185</v>
      </c>
      <c r="AA9961" s="1" t="s">
        <v>23</v>
      </c>
      <c r="AC9961" s="1" t="s">
        <v>25</v>
      </c>
      <c r="AV9961" s="1" t="s">
        <v>44</v>
      </c>
      <c r="AW9961" s="1" t="s">
        <v>45</v>
      </c>
      <c r="EV9961" s="1" t="s">
        <v>148</v>
      </c>
      <c r="EW9961" s="1" t="s">
        <v>149</v>
      </c>
      <c r="GD9961" s="1" t="s">
        <v>849</v>
      </c>
      <c r="GE9961" s="1" t="s">
        <v>14038</v>
      </c>
    </row>
    <row r="9962" spans="1:187" ht="11.25" customHeight="1">
      <c r="A9962" s="1" t="s">
        <v>14039</v>
      </c>
      <c r="B9962" s="1" t="str">
        <f ca="1">IFERROR(__xludf.DUMMYFUNCTION("GOOGLETRANSLATE(A9962, ""en"", ""fr"")"),"Magasin n ° 2")</f>
        <v>Magasin n ° 2</v>
      </c>
      <c r="C9962" s="1" t="s">
        <v>185</v>
      </c>
      <c r="AL9962" s="1" t="s">
        <v>34</v>
      </c>
      <c r="DN9962" s="1" t="s">
        <v>114</v>
      </c>
      <c r="FQ9962" s="1" t="s">
        <v>169</v>
      </c>
      <c r="GD9962" s="1" t="s">
        <v>189</v>
      </c>
      <c r="GE9962" s="1" t="s">
        <v>14040</v>
      </c>
    </row>
    <row r="9963" spans="1:187" ht="11.25" customHeight="1">
      <c r="A9963" s="1" t="s">
        <v>14041</v>
      </c>
      <c r="B9963" s="1" t="str">
        <f ca="1">IFERROR(__xludf.DUMMYFUNCTION("GOOGLETRANSLATE(A9963, ""en"", ""fr"")"),"Magasin n ° 3")</f>
        <v>Magasin n ° 3</v>
      </c>
      <c r="C9963" s="1" t="s">
        <v>185</v>
      </c>
      <c r="AA9963" s="1" t="s">
        <v>23</v>
      </c>
      <c r="AC9963" s="1" t="s">
        <v>25</v>
      </c>
      <c r="BQ9963" s="1" t="s">
        <v>65</v>
      </c>
      <c r="EV9963" s="1" t="s">
        <v>148</v>
      </c>
      <c r="EW9963" s="1" t="s">
        <v>149</v>
      </c>
      <c r="GD9963" s="1" t="s">
        <v>193</v>
      </c>
      <c r="GE9963" s="1" t="s">
        <v>14042</v>
      </c>
    </row>
    <row r="9964" spans="1:187" ht="11.25" customHeight="1">
      <c r="A9964" s="1" t="s">
        <v>14043</v>
      </c>
      <c r="B9964" s="1" t="str">
        <f ca="1">IFERROR(__xludf.DUMMYFUNCTION("GOOGLETRANSLATE(A9964, ""en"", ""fr"")"),"Magasin n ° 4")</f>
        <v>Magasin n ° 4</v>
      </c>
      <c r="C9964" s="1" t="s">
        <v>185</v>
      </c>
      <c r="CY9964" s="1" t="s">
        <v>99</v>
      </c>
      <c r="GB9964" s="1" t="s">
        <v>180</v>
      </c>
      <c r="GD9964" s="1" t="s">
        <v>202</v>
      </c>
      <c r="GE9964" s="1" t="s">
        <v>14044</v>
      </c>
    </row>
    <row r="9965" spans="1:187" ht="11.25" customHeight="1">
      <c r="A9965" s="1" t="s">
        <v>14045</v>
      </c>
      <c r="B9965" s="1" t="str">
        <f ca="1">IFERROR(__xludf.DUMMYFUNCTION("GOOGLETRANSLATE(A9965, ""en"", ""fr"")"),"Magasin n ° 5")</f>
        <v>Magasin n ° 5</v>
      </c>
      <c r="C9965" s="1" t="s">
        <v>185</v>
      </c>
      <c r="GD9965" s="1" t="s">
        <v>225</v>
      </c>
      <c r="GE9965" s="1" t="s">
        <v>14046</v>
      </c>
    </row>
    <row r="9966" spans="1:187" ht="11.25" customHeight="1">
      <c r="A9966" s="1" t="s">
        <v>14047</v>
      </c>
      <c r="B9966" s="1" t="str">
        <f ca="1">IFERROR(__xludf.DUMMYFUNCTION("GOOGLETRANSLATE(A9966, ""en"", ""fr"")"),"Tempête n ° 1")</f>
        <v>Tempête n ° 1</v>
      </c>
      <c r="C9966" s="1" t="s">
        <v>185</v>
      </c>
      <c r="J9966" s="1" t="s">
        <v>6</v>
      </c>
      <c r="AV9966" s="1" t="s">
        <v>44</v>
      </c>
      <c r="BB9966" s="1" t="s">
        <v>50</v>
      </c>
      <c r="GD9966" s="1" t="s">
        <v>849</v>
      </c>
      <c r="GE9966" s="1" t="s">
        <v>14048</v>
      </c>
    </row>
    <row r="9967" spans="1:187" ht="11.25" customHeight="1">
      <c r="A9967" s="1" t="s">
        <v>14049</v>
      </c>
      <c r="B9967" s="1" t="str">
        <f ca="1">IFERROR(__xludf.DUMMYFUNCTION("GOOGLETRANSLATE(A9967, ""en"", ""fr"")"),"Tempête n ° 2")</f>
        <v>Tempête n ° 2</v>
      </c>
      <c r="C9967" s="1" t="s">
        <v>185</v>
      </c>
      <c r="E9967" s="1" t="s">
        <v>16613</v>
      </c>
      <c r="H9967" s="1" t="s">
        <v>4</v>
      </c>
      <c r="I9967" s="1" t="s">
        <v>5</v>
      </c>
      <c r="J9967" s="1" t="s">
        <v>6</v>
      </c>
      <c r="N9967" s="1" t="s">
        <v>10</v>
      </c>
      <c r="CC9967" s="1" t="s">
        <v>77</v>
      </c>
      <c r="DN9967" s="1" t="s">
        <v>114</v>
      </c>
      <c r="DT9967" s="1" t="s">
        <v>120</v>
      </c>
      <c r="ED9967" s="1" t="s">
        <v>130</v>
      </c>
      <c r="GD9967" s="1" t="s">
        <v>189</v>
      </c>
      <c r="GE9967" s="1" t="s">
        <v>14050</v>
      </c>
    </row>
    <row r="9968" spans="1:187" ht="11.25" customHeight="1">
      <c r="A9968" s="1" t="s">
        <v>14051</v>
      </c>
      <c r="B9968" s="1" t="str">
        <f ca="1">IFERROR(__xludf.DUMMYFUNCTION("GOOGLETRANSLATE(A9968, ""en"", ""fr"")"),"ORAGEUX")</f>
        <v>ORAGEUX</v>
      </c>
      <c r="C9968" s="1" t="s">
        <v>192</v>
      </c>
      <c r="E9968" s="1" t="s">
        <v>16613</v>
      </c>
      <c r="I9968" s="1" t="s">
        <v>5</v>
      </c>
      <c r="BW9968" s="1" t="s">
        <v>71</v>
      </c>
      <c r="DR9968" s="1" t="s">
        <v>118</v>
      </c>
      <c r="GD9968" s="1" t="s">
        <v>202</v>
      </c>
      <c r="GE9968" s="1" t="s">
        <v>190</v>
      </c>
    </row>
    <row r="9969" spans="1:187" ht="11.25" customHeight="1">
      <c r="A9969" s="1" t="s">
        <v>14052</v>
      </c>
      <c r="B9969" s="1" t="str">
        <f ca="1">IFERROR(__xludf.DUMMYFUNCTION("GOOGLETRANSLATE(A9969, ""en"", ""fr"")"),"Histoire n ° 1")</f>
        <v>Histoire n ° 1</v>
      </c>
      <c r="C9969" s="1" t="s">
        <v>185</v>
      </c>
      <c r="AD9969" s="1" t="s">
        <v>26</v>
      </c>
      <c r="BK9969" s="1" t="s">
        <v>59</v>
      </c>
      <c r="BL9969" s="1" t="s">
        <v>60</v>
      </c>
      <c r="FH9969" s="1" t="s">
        <v>160</v>
      </c>
      <c r="FI9969" s="1" t="s">
        <v>161</v>
      </c>
      <c r="GC9969" s="1" t="s">
        <v>181</v>
      </c>
      <c r="GD9969" s="1" t="s">
        <v>849</v>
      </c>
      <c r="GE9969" s="1" t="s">
        <v>14053</v>
      </c>
    </row>
    <row r="9970" spans="1:187" ht="11.25" customHeight="1">
      <c r="A9970" s="1" t="s">
        <v>14054</v>
      </c>
      <c r="B9970" s="1" t="str">
        <f ca="1">IFERROR(__xludf.DUMMYFUNCTION("GOOGLETRANSLATE(A9970, ""en"", ""fr"")"),"Histoire n ° 2")</f>
        <v>Histoire n ° 2</v>
      </c>
      <c r="C9970" s="1" t="s">
        <v>185</v>
      </c>
      <c r="BC9970" s="1" t="s">
        <v>51</v>
      </c>
      <c r="BG9970" s="1" t="s">
        <v>55</v>
      </c>
      <c r="GD9970" s="1" t="s">
        <v>193</v>
      </c>
      <c r="GE9970" s="1" t="s">
        <v>14055</v>
      </c>
    </row>
    <row r="9971" spans="1:187" ht="11.25" customHeight="1">
      <c r="A9971" s="1" t="s">
        <v>14056</v>
      </c>
      <c r="B9971" s="1" t="str">
        <f ca="1">IFERROR(__xludf.DUMMYFUNCTION("GOOGLETRANSLATE(A9971, ""en"", ""fr"")"),"POÊLE")</f>
        <v>POÊLE</v>
      </c>
      <c r="C9971" s="1" t="s">
        <v>185</v>
      </c>
      <c r="BC9971" s="1" t="s">
        <v>51</v>
      </c>
      <c r="BD9971" s="1" t="s">
        <v>52</v>
      </c>
      <c r="GD9971" s="1" t="s">
        <v>193</v>
      </c>
      <c r="GE9971" s="1" t="s">
        <v>190</v>
      </c>
    </row>
    <row r="9972" spans="1:187" ht="11.25" customHeight="1">
      <c r="A9972" s="1" t="s">
        <v>14057</v>
      </c>
      <c r="B9972" s="1" t="str">
        <f ca="1">IFERROR(__xludf.DUMMYFUNCTION("GOOGLETRANSLATE(A9972, ""en"", ""fr"")"),"Se briser")</f>
        <v>Se briser</v>
      </c>
      <c r="C9972" s="1" t="s">
        <v>192</v>
      </c>
      <c r="E9972" s="1" t="s">
        <v>16613</v>
      </c>
      <c r="L9972" s="1" t="s">
        <v>8</v>
      </c>
      <c r="N9972" s="1" t="s">
        <v>10</v>
      </c>
      <c r="DN9972" s="1" t="s">
        <v>114</v>
      </c>
      <c r="GD9972" s="1" t="s">
        <v>189</v>
      </c>
      <c r="GE9972" s="1" t="s">
        <v>190</v>
      </c>
    </row>
    <row r="9973" spans="1:187" ht="11.25" customHeight="1">
      <c r="A9973" s="1" t="s">
        <v>14058</v>
      </c>
      <c r="B9973" s="1" t="str">
        <f ca="1">IFERROR(__xludf.DUMMYFUNCTION("GOOGLETRANSLATE(A9973, ""en"", ""fr"")"),"TRAÎNARD")</f>
        <v>TRAÎNARD</v>
      </c>
      <c r="C9973" s="1" t="s">
        <v>192</v>
      </c>
      <c r="E9973" s="1" t="s">
        <v>16613</v>
      </c>
      <c r="L9973" s="1" t="s">
        <v>8</v>
      </c>
      <c r="GD9973" s="1" t="s">
        <v>193</v>
      </c>
      <c r="GE9973" s="1" t="s">
        <v>190</v>
      </c>
    </row>
    <row r="9974" spans="1:187" ht="11.25" customHeight="1">
      <c r="A9974" s="1" t="s">
        <v>14059</v>
      </c>
      <c r="B9974" s="1" t="str">
        <f ca="1">IFERROR(__xludf.DUMMYFUNCTION("GOOGLETRANSLATE(A9974, ""en"", ""fr"")"),"Droit # 1")</f>
        <v>Droit # 1</v>
      </c>
      <c r="C9974" s="1" t="s">
        <v>185</v>
      </c>
      <c r="DA9974" s="1" t="s">
        <v>101</v>
      </c>
      <c r="GD9974" s="1" t="s">
        <v>202</v>
      </c>
      <c r="GE9974" s="1" t="s">
        <v>14060</v>
      </c>
    </row>
    <row r="9975" spans="1:187" ht="11.25" customHeight="1">
      <c r="A9975" s="1" t="s">
        <v>14061</v>
      </c>
      <c r="B9975" s="1" t="str">
        <f ca="1">IFERROR(__xludf.DUMMYFUNCTION("GOOGLETRANSLATE(A9975, ""en"", ""fr"")"),"Droit # 2")</f>
        <v>Droit # 2</v>
      </c>
      <c r="C9975" s="1" t="s">
        <v>185</v>
      </c>
      <c r="CR9975" s="1" t="s">
        <v>92</v>
      </c>
      <c r="GD9975" s="1" t="s">
        <v>202</v>
      </c>
      <c r="GE9975" s="1" t="s">
        <v>14062</v>
      </c>
    </row>
    <row r="9976" spans="1:187" ht="11.25" customHeight="1">
      <c r="A9976" s="1" t="s">
        <v>14063</v>
      </c>
      <c r="B9976" s="1" t="str">
        <f ca="1">IFERROR(__xludf.DUMMYFUNCTION("GOOGLETRANSLATE(A9976, ""en"", ""fr"")"),"Droit # 3")</f>
        <v>Droit # 3</v>
      </c>
      <c r="C9976" s="1" t="s">
        <v>185</v>
      </c>
      <c r="D9976" s="1" t="s">
        <v>16612</v>
      </c>
      <c r="F9976" s="1" t="s">
        <v>2</v>
      </c>
      <c r="U9976" s="1" t="s">
        <v>17</v>
      </c>
      <c r="GD9976" s="1" t="s">
        <v>202</v>
      </c>
      <c r="GE9976" s="1" t="s">
        <v>14064</v>
      </c>
    </row>
    <row r="9977" spans="1:187" ht="11.25" customHeight="1">
      <c r="A9977" s="1" t="s">
        <v>14065</v>
      </c>
      <c r="B9977" s="1" t="str">
        <f ca="1">IFERROR(__xludf.DUMMYFUNCTION("GOOGLETRANSLATE(A9977, ""en"", ""fr"")"),"Droit # 4")</f>
        <v>Droit # 4</v>
      </c>
      <c r="C9977" s="1" t="s">
        <v>185</v>
      </c>
      <c r="W9977" s="1" t="s">
        <v>19</v>
      </c>
      <c r="DA9977" s="1" t="s">
        <v>101</v>
      </c>
      <c r="GD9977" s="1" t="s">
        <v>236</v>
      </c>
      <c r="GE9977" s="1" t="s">
        <v>14066</v>
      </c>
    </row>
    <row r="9978" spans="1:187" ht="11.25" customHeight="1">
      <c r="A9978" s="1" t="s">
        <v>14067</v>
      </c>
      <c r="B9978" s="1" t="str">
        <f ca="1">IFERROR(__xludf.DUMMYFUNCTION("GOOGLETRANSLATE(A9978, ""en"", ""fr"")"),"DIRECT")</f>
        <v>DIRECT</v>
      </c>
      <c r="C9978" s="1" t="s">
        <v>192</v>
      </c>
      <c r="D9978" s="1" t="s">
        <v>16612</v>
      </c>
      <c r="J9978" s="1" t="s">
        <v>6</v>
      </c>
      <c r="BK9978" s="1" t="s">
        <v>59</v>
      </c>
      <c r="DR9978" s="1" t="s">
        <v>118</v>
      </c>
      <c r="GD9978" s="1" t="s">
        <v>202</v>
      </c>
      <c r="GE9978" s="1" t="s">
        <v>190</v>
      </c>
    </row>
    <row r="9979" spans="1:187" ht="11.25" customHeight="1">
      <c r="A9979" s="1" t="s">
        <v>14068</v>
      </c>
      <c r="B9979" s="1" t="str">
        <f ca="1">IFERROR(__xludf.DUMMYFUNCTION("GOOGLETRANSLATE(A9979, ""en"", ""fr"")"),"Souche n ° 1")</f>
        <v>Souche n ° 1</v>
      </c>
      <c r="C9979" s="1" t="s">
        <v>185</v>
      </c>
      <c r="E9979" s="1" t="s">
        <v>16613</v>
      </c>
      <c r="H9979" s="1" t="s">
        <v>4</v>
      </c>
      <c r="Q9979" s="1" t="s">
        <v>13</v>
      </c>
      <c r="GD9979" s="1" t="s">
        <v>193</v>
      </c>
      <c r="GE9979" s="1" t="s">
        <v>190</v>
      </c>
    </row>
    <row r="9980" spans="1:187" ht="11.25" customHeight="1">
      <c r="A9980" s="1" t="s">
        <v>14069</v>
      </c>
      <c r="B9980" s="1" t="str">
        <f ca="1">IFERROR(__xludf.DUMMYFUNCTION("GOOGLETRANSLATE(A9980, ""en"", ""fr"")"),"Souche n ° 2")</f>
        <v>Souche n ° 2</v>
      </c>
      <c r="C9980" s="1" t="s">
        <v>185</v>
      </c>
      <c r="E9980" s="1" t="s">
        <v>16613</v>
      </c>
      <c r="H9980" s="1" t="s">
        <v>4</v>
      </c>
      <c r="N9980" s="1" t="s">
        <v>10</v>
      </c>
      <c r="CC9980" s="1" t="s">
        <v>77</v>
      </c>
      <c r="DN9980" s="1" t="s">
        <v>114</v>
      </c>
      <c r="FP9980" s="1" t="s">
        <v>168</v>
      </c>
      <c r="GD9980" s="1" t="s">
        <v>189</v>
      </c>
      <c r="GE9980" s="1" t="s">
        <v>190</v>
      </c>
    </row>
    <row r="9981" spans="1:187" ht="11.25" customHeight="1">
      <c r="A9981" s="1" t="s">
        <v>14070</v>
      </c>
      <c r="B9981" s="1" t="str">
        <f ca="1">IFERROR(__xludf.DUMMYFUNCTION("GOOGLETRANSLATE(A9981, ""en"", ""fr"")"),"ÉTRANGE")</f>
        <v>ÉTRANGE</v>
      </c>
      <c r="C9981" s="1" t="s">
        <v>185</v>
      </c>
      <c r="CN9981" s="1" t="s">
        <v>88</v>
      </c>
      <c r="CR9981" s="1" t="s">
        <v>92</v>
      </c>
      <c r="GD9981" s="1" t="s">
        <v>202</v>
      </c>
      <c r="GE9981" s="1" t="s">
        <v>14071</v>
      </c>
    </row>
    <row r="9982" spans="1:187" ht="11.25" customHeight="1">
      <c r="A9982" s="1" t="s">
        <v>14072</v>
      </c>
      <c r="B9982" s="1" t="str">
        <f ca="1">IFERROR(__xludf.DUMMYFUNCTION("GOOGLETRANSLATE(A9982, ""en"", ""fr"")"),"ÉTRANGER")</f>
        <v>ÉTRANGER</v>
      </c>
      <c r="C9982" s="1" t="s">
        <v>185</v>
      </c>
      <c r="AJ9982" s="1" t="s">
        <v>32</v>
      </c>
      <c r="AT9982" s="1" t="s">
        <v>42</v>
      </c>
      <c r="ER9982" s="1" t="s">
        <v>144</v>
      </c>
      <c r="ES9982" s="1" t="s">
        <v>145</v>
      </c>
      <c r="GD9982" s="1" t="s">
        <v>193</v>
      </c>
      <c r="GE9982" s="1" t="s">
        <v>190</v>
      </c>
    </row>
    <row r="9983" spans="1:187" ht="11.25" customHeight="1">
      <c r="A9983" s="1" t="s">
        <v>14073</v>
      </c>
      <c r="B9983" s="1" t="str">
        <f ca="1">IFERROR(__xludf.DUMMYFUNCTION("GOOGLETRANSLATE(A9983, ""en"", ""fr"")"),"ÉTRANGLER")</f>
        <v>ÉTRANGLER</v>
      </c>
      <c r="C9983" s="1" t="s">
        <v>192</v>
      </c>
      <c r="E9983" s="1" t="s">
        <v>16613</v>
      </c>
      <c r="I9983" s="1" t="s">
        <v>5</v>
      </c>
      <c r="N9983" s="1" t="s">
        <v>10</v>
      </c>
      <c r="CC9983" s="1" t="s">
        <v>77</v>
      </c>
      <c r="DO9983" s="1" t="s">
        <v>115</v>
      </c>
      <c r="GD9983" s="1" t="s">
        <v>670</v>
      </c>
      <c r="GE9983" s="1" t="s">
        <v>190</v>
      </c>
    </row>
    <row r="9984" spans="1:187" ht="11.25" customHeight="1">
      <c r="A9984" s="1" t="s">
        <v>14074</v>
      </c>
      <c r="B9984" s="1" t="str">
        <f ca="1">IFERROR(__xludf.DUMMYFUNCTION("GOOGLETRANSLATE(A9984, ""en"", ""fr"")"),"STRATÉGIQUE")</f>
        <v>STRATÉGIQUE</v>
      </c>
      <c r="C9984" s="1" t="s">
        <v>185</v>
      </c>
      <c r="J9984" s="1" t="s">
        <v>6</v>
      </c>
      <c r="AH9984" s="1" t="s">
        <v>30</v>
      </c>
      <c r="BQ9984" s="1" t="s">
        <v>65</v>
      </c>
      <c r="FR9984" s="1" t="s">
        <v>170</v>
      </c>
      <c r="GD9984" s="1" t="s">
        <v>202</v>
      </c>
      <c r="GE9984" s="1" t="s">
        <v>190</v>
      </c>
    </row>
    <row r="9985" spans="1:187" ht="11.25" customHeight="1">
      <c r="A9985" s="1" t="s">
        <v>14075</v>
      </c>
      <c r="B9985" s="1" t="str">
        <f ca="1">IFERROR(__xludf.DUMMYFUNCTION("GOOGLETRANSLATE(A9985, ""en"", ""fr"")"),"STRATÉGIE")</f>
        <v>STRATÉGIE</v>
      </c>
      <c r="C9985" s="1" t="s">
        <v>185</v>
      </c>
      <c r="AH9985" s="1" t="s">
        <v>30</v>
      </c>
      <c r="BQ9985" s="1" t="s">
        <v>65</v>
      </c>
      <c r="FR9985" s="1" t="s">
        <v>170</v>
      </c>
      <c r="GD9985" s="1" t="s">
        <v>193</v>
      </c>
      <c r="GE9985" s="1" t="s">
        <v>190</v>
      </c>
    </row>
    <row r="9986" spans="1:187" ht="11.25" customHeight="1">
      <c r="A9986" s="1" t="s">
        <v>14076</v>
      </c>
      <c r="B9986" s="1" t="str">
        <f ca="1">IFERROR(__xludf.DUMMYFUNCTION("GOOGLETRANSLATE(A9986, ""en"", ""fr"")"),"STRATE")</f>
        <v>STRATE</v>
      </c>
      <c r="C9986" s="1" t="s">
        <v>185</v>
      </c>
      <c r="DA9986" s="1" t="s">
        <v>101</v>
      </c>
      <c r="GD9986" s="1" t="s">
        <v>193</v>
      </c>
      <c r="GE9986" s="1" t="s">
        <v>190</v>
      </c>
    </row>
    <row r="9987" spans="1:187" ht="11.25" customHeight="1">
      <c r="A9987" s="1" t="s">
        <v>14077</v>
      </c>
      <c r="B9987" s="1" t="str">
        <f ca="1">IFERROR(__xludf.DUMMYFUNCTION("GOOGLETRANSLATE(A9987, ""en"", ""fr"")"),"PAILLE")</f>
        <v>PAILLE</v>
      </c>
      <c r="C9987" s="1" t="s">
        <v>185</v>
      </c>
      <c r="BC9987" s="1" t="s">
        <v>51</v>
      </c>
      <c r="BI9987" s="1" t="s">
        <v>57</v>
      </c>
      <c r="GD9987" s="1" t="s">
        <v>193</v>
      </c>
      <c r="GE9987" s="1" t="s">
        <v>190</v>
      </c>
    </row>
    <row r="9988" spans="1:187" ht="11.25" customHeight="1">
      <c r="A9988" s="1" t="s">
        <v>14078</v>
      </c>
      <c r="B9988" s="1" t="str">
        <f ca="1">IFERROR(__xludf.DUMMYFUNCTION("GOOGLETRANSLATE(A9988, ""en"", ""fr"")"),"ERRER")</f>
        <v>ERRER</v>
      </c>
      <c r="C9988" s="1" t="s">
        <v>192</v>
      </c>
      <c r="E9988" s="1" t="s">
        <v>16613</v>
      </c>
      <c r="DN9988" s="1" t="s">
        <v>114</v>
      </c>
      <c r="GD9988" s="1" t="s">
        <v>189</v>
      </c>
      <c r="GE9988" s="1" t="s">
        <v>190</v>
      </c>
    </row>
    <row r="9989" spans="1:187" ht="11.25" customHeight="1">
      <c r="A9989" s="1" t="s">
        <v>14079</v>
      </c>
      <c r="B9989" s="1" t="str">
        <f ca="1">IFERROR(__xludf.DUMMYFUNCTION("GOOGLETRANSLATE(A9989, ""en"", ""fr"")"),"TRAÎNÉE")</f>
        <v>TRAÎNÉE</v>
      </c>
      <c r="C9989" s="1" t="s">
        <v>185</v>
      </c>
      <c r="CR9989" s="1" t="s">
        <v>92</v>
      </c>
      <c r="GD9989" s="1" t="s">
        <v>202</v>
      </c>
      <c r="GE9989" s="1" t="s">
        <v>190</v>
      </c>
    </row>
    <row r="9990" spans="1:187" ht="11.25" customHeight="1">
      <c r="A9990" s="1" t="s">
        <v>14080</v>
      </c>
      <c r="B9990" s="1" t="str">
        <f ca="1">IFERROR(__xludf.DUMMYFUNCTION("GOOGLETRANSLATE(A9990, ""en"", ""fr"")"),"Flux n ° 1")</f>
        <v>Flux n ° 1</v>
      </c>
      <c r="C9990" s="1" t="s">
        <v>185</v>
      </c>
      <c r="AV9990" s="1" t="s">
        <v>44</v>
      </c>
      <c r="AZ9990" s="1" t="s">
        <v>48</v>
      </c>
      <c r="GD9990" s="1" t="s">
        <v>193</v>
      </c>
      <c r="GE9990" s="1" t="s">
        <v>14081</v>
      </c>
    </row>
    <row r="9991" spans="1:187" ht="11.25" customHeight="1">
      <c r="A9991" s="1" t="s">
        <v>14082</v>
      </c>
      <c r="B9991" s="1" t="str">
        <f ca="1">IFERROR(__xludf.DUMMYFUNCTION("GOOGLETRANSLATE(A9991, ""en"", ""fr"")"),"Stream # 2")</f>
        <v>Stream # 2</v>
      </c>
      <c r="C9991" s="1" t="s">
        <v>185</v>
      </c>
      <c r="CE9991" s="1" t="s">
        <v>79</v>
      </c>
      <c r="GD9991" s="1" t="s">
        <v>193</v>
      </c>
      <c r="GE9991" s="1" t="s">
        <v>14083</v>
      </c>
    </row>
    <row r="9992" spans="1:187" ht="11.25" customHeight="1">
      <c r="A9992" s="1" t="s">
        <v>14084</v>
      </c>
      <c r="B9992" s="1" t="str">
        <f ca="1">IFERROR(__xludf.DUMMYFUNCTION("GOOGLETRANSLATE(A9992, ""en"", ""fr"")"),"Stream # 3")</f>
        <v>Stream # 3</v>
      </c>
      <c r="C9992" s="1" t="s">
        <v>185</v>
      </c>
      <c r="CE9992" s="1" t="s">
        <v>79</v>
      </c>
      <c r="DN9992" s="1" t="s">
        <v>114</v>
      </c>
      <c r="FP9992" s="1" t="s">
        <v>168</v>
      </c>
      <c r="GD9992" s="1" t="s">
        <v>189</v>
      </c>
      <c r="GE9992" s="1" t="s">
        <v>14085</v>
      </c>
    </row>
    <row r="9993" spans="1:187" ht="11.25" customHeight="1">
      <c r="A9993" s="1" t="s">
        <v>14086</v>
      </c>
      <c r="B9993" s="1" t="str">
        <f ca="1">IFERROR(__xludf.DUMMYFUNCTION("GOOGLETRANSLATE(A9993, ""en"", ""fr"")"),"Stream # 4")</f>
        <v>Stream # 4</v>
      </c>
      <c r="C9993" s="1" t="s">
        <v>185</v>
      </c>
      <c r="CE9993" s="1" t="s">
        <v>79</v>
      </c>
      <c r="GD9993" s="1" t="s">
        <v>202</v>
      </c>
      <c r="GE9993" s="1" t="s">
        <v>14087</v>
      </c>
    </row>
    <row r="9994" spans="1:187" ht="11.25" customHeight="1">
      <c r="A9994" s="1" t="s">
        <v>14088</v>
      </c>
      <c r="B9994" s="1" t="str">
        <f ca="1">IFERROR(__xludf.DUMMYFUNCTION("GOOGLETRANSLATE(A9994, ""en"", ""fr"")"),"BANDEROLE")</f>
        <v>BANDEROLE</v>
      </c>
      <c r="C9994" s="1" t="s">
        <v>185</v>
      </c>
      <c r="AD9994" s="1" t="s">
        <v>26</v>
      </c>
      <c r="BC9994" s="1" t="s">
        <v>51</v>
      </c>
      <c r="BD9994" s="1" t="s">
        <v>52</v>
      </c>
      <c r="GD9994" s="1" t="s">
        <v>193</v>
      </c>
      <c r="GE9994" s="1" t="s">
        <v>190</v>
      </c>
    </row>
    <row r="9995" spans="1:187" ht="11.25" customHeight="1">
      <c r="A9995" s="1" t="s">
        <v>14089</v>
      </c>
      <c r="B9995" s="1" t="str">
        <f ca="1">IFERROR(__xludf.DUMMYFUNCTION("GOOGLETRANSLATE(A9995, ""en"", ""fr"")"),"RUE")</f>
        <v>RUE</v>
      </c>
      <c r="C9995" s="1" t="s">
        <v>185</v>
      </c>
      <c r="AV9995" s="1" t="s">
        <v>44</v>
      </c>
      <c r="AY9995" s="1" t="s">
        <v>47</v>
      </c>
      <c r="GD9995" s="1" t="s">
        <v>193</v>
      </c>
      <c r="GE9995" s="1" t="s">
        <v>14090</v>
      </c>
    </row>
    <row r="9996" spans="1:187" ht="11.25" customHeight="1">
      <c r="A9996" s="1" t="s">
        <v>14091</v>
      </c>
      <c r="B9996" s="1" t="str">
        <f ca="1">IFERROR(__xludf.DUMMYFUNCTION("GOOGLETRANSLATE(A9996, ""en"", ""fr"")"),"FORCE")</f>
        <v>FORCE</v>
      </c>
      <c r="C9996" s="1" t="s">
        <v>185</v>
      </c>
      <c r="J9996" s="1" t="s">
        <v>6</v>
      </c>
      <c r="K9996" s="1" t="s">
        <v>7</v>
      </c>
      <c r="U9996" s="1" t="s">
        <v>17</v>
      </c>
      <c r="EC9996" s="1" t="s">
        <v>129</v>
      </c>
      <c r="ED9996" s="1" t="s">
        <v>130</v>
      </c>
      <c r="GD9996" s="1" t="s">
        <v>193</v>
      </c>
      <c r="GE9996" s="1" t="s">
        <v>14092</v>
      </c>
    </row>
    <row r="9997" spans="1:187" ht="11.25" customHeight="1">
      <c r="A9997" s="1" t="s">
        <v>14093</v>
      </c>
      <c r="B9997" s="1" t="str">
        <f ca="1">IFERROR(__xludf.DUMMYFUNCTION("GOOGLETRANSLATE(A9997, ""en"", ""fr"")"),"Renforcez le n ° 1")</f>
        <v>Renforcez le n ° 1</v>
      </c>
      <c r="C9997" s="1" t="s">
        <v>185</v>
      </c>
      <c r="J9997" s="1" t="s">
        <v>6</v>
      </c>
      <c r="K9997" s="1" t="s">
        <v>7</v>
      </c>
      <c r="N9997" s="1" t="s">
        <v>10</v>
      </c>
      <c r="BX9997" s="1" t="s">
        <v>72</v>
      </c>
      <c r="DN9997" s="1" t="s">
        <v>114</v>
      </c>
      <c r="DS9997" s="1" t="s">
        <v>119</v>
      </c>
      <c r="ED9997" s="1" t="s">
        <v>130</v>
      </c>
      <c r="GD9997" s="1" t="s">
        <v>400</v>
      </c>
      <c r="GE9997" s="1" t="s">
        <v>14094</v>
      </c>
    </row>
    <row r="9998" spans="1:187" ht="11.25" customHeight="1">
      <c r="A9998" s="1" t="s">
        <v>14095</v>
      </c>
      <c r="B9998" s="1" t="str">
        <f ca="1">IFERROR(__xludf.DUMMYFUNCTION("GOOGLETRANSLATE(A9998, ""en"", ""fr"")"),"Renforcer # 2")</f>
        <v>Renforcer # 2</v>
      </c>
      <c r="C9998" s="1" t="s">
        <v>185</v>
      </c>
      <c r="J9998" s="1" t="s">
        <v>6</v>
      </c>
      <c r="K9998" s="1" t="s">
        <v>7</v>
      </c>
      <c r="N9998" s="1" t="s">
        <v>10</v>
      </c>
      <c r="BX9998" s="1" t="s">
        <v>72</v>
      </c>
      <c r="DS9998" s="1" t="s">
        <v>119</v>
      </c>
      <c r="ED9998" s="1" t="s">
        <v>130</v>
      </c>
      <c r="GD9998" s="1" t="s">
        <v>193</v>
      </c>
      <c r="GE9998" s="1" t="s">
        <v>14096</v>
      </c>
    </row>
    <row r="9999" spans="1:187" ht="11.25" customHeight="1">
      <c r="A9999" s="1" t="s">
        <v>14097</v>
      </c>
      <c r="B9999" s="1" t="str">
        <f ca="1">IFERROR(__xludf.DUMMYFUNCTION("GOOGLETRANSLATE(A9999, ""en"", ""fr"")"),"ARDU")</f>
        <v>ARDU</v>
      </c>
      <c r="C9999" s="1" t="s">
        <v>185</v>
      </c>
      <c r="J9999" s="1" t="s">
        <v>6</v>
      </c>
      <c r="U9999" s="1" t="s">
        <v>17</v>
      </c>
      <c r="EC9999" s="1" t="s">
        <v>129</v>
      </c>
      <c r="ED9999" s="1" t="s">
        <v>130</v>
      </c>
      <c r="GD9999" s="1" t="s">
        <v>202</v>
      </c>
      <c r="GE9999" s="1" t="s">
        <v>190</v>
      </c>
    </row>
    <row r="10000" spans="1:187" ht="11.25" customHeight="1">
      <c r="A10000" s="1" t="s">
        <v>14098</v>
      </c>
      <c r="B10000" s="1" t="str">
        <f ca="1">IFERROR(__xludf.DUMMYFUNCTION("GOOGLETRANSLATE(A10000, ""en"", ""fr"")"),"Stress n ° 1")</f>
        <v>Stress n ° 1</v>
      </c>
      <c r="C10000" s="1" t="s">
        <v>185</v>
      </c>
      <c r="E10000" s="1" t="s">
        <v>16613</v>
      </c>
      <c r="H10000" s="1" t="s">
        <v>4</v>
      </c>
      <c r="Q10000" s="1" t="s">
        <v>13</v>
      </c>
      <c r="GD10000" s="1" t="s">
        <v>193</v>
      </c>
      <c r="GE10000" s="1" t="s">
        <v>190</v>
      </c>
    </row>
    <row r="10001" spans="1:187" ht="11.25" customHeight="1">
      <c r="A10001" s="1" t="s">
        <v>14099</v>
      </c>
      <c r="B10001" s="1" t="str">
        <f ca="1">IFERROR(__xludf.DUMMYFUNCTION("GOOGLETRANSLATE(A10001, ""en"", ""fr"")"),"Stress n ° 2")</f>
        <v>Stress n ° 2</v>
      </c>
      <c r="C10001" s="1" t="s">
        <v>185</v>
      </c>
      <c r="E10001" s="1" t="s">
        <v>16613</v>
      </c>
      <c r="H10001" s="1" t="s">
        <v>4</v>
      </c>
      <c r="N10001" s="1" t="s">
        <v>10</v>
      </c>
      <c r="CO10001" s="1" t="s">
        <v>89</v>
      </c>
      <c r="DN10001" s="1" t="s">
        <v>114</v>
      </c>
      <c r="GD10001" s="1" t="s">
        <v>189</v>
      </c>
      <c r="GE10001" s="1" t="s">
        <v>190</v>
      </c>
    </row>
    <row r="10002" spans="1:187" ht="11.25" customHeight="1">
      <c r="A10002" s="1" t="s">
        <v>14100</v>
      </c>
      <c r="B10002" s="1" t="str">
        <f ca="1">IFERROR(__xludf.DUMMYFUNCTION("GOOGLETRANSLATE(A10002, ""en"", ""fr"")"),"Étirement n ° 1")</f>
        <v>Étirement n ° 1</v>
      </c>
      <c r="C10002" s="1" t="s">
        <v>185</v>
      </c>
      <c r="CQ10002" s="1" t="s">
        <v>91</v>
      </c>
      <c r="CX10002" s="1" t="s">
        <v>98</v>
      </c>
      <c r="DA10002" s="1" t="s">
        <v>101</v>
      </c>
      <c r="GB10002" s="1" t="s">
        <v>180</v>
      </c>
      <c r="GD10002" s="1" t="s">
        <v>193</v>
      </c>
      <c r="GE10002" s="1" t="s">
        <v>190</v>
      </c>
    </row>
    <row r="10003" spans="1:187" ht="11.25" customHeight="1">
      <c r="A10003" s="1" t="s">
        <v>14101</v>
      </c>
      <c r="B10003" s="1" t="str">
        <f ca="1">IFERROR(__xludf.DUMMYFUNCTION("GOOGLETRANSLATE(A10003, ""en"", ""fr"")"),"Étirement n ° 2")</f>
        <v>Étirement n ° 2</v>
      </c>
      <c r="C10003" s="1" t="s">
        <v>185</v>
      </c>
      <c r="N10003" s="1" t="s">
        <v>10</v>
      </c>
      <c r="CB10003" s="1" t="s">
        <v>76</v>
      </c>
      <c r="DO10003" s="1" t="s">
        <v>115</v>
      </c>
      <c r="FP10003" s="1" t="s">
        <v>168</v>
      </c>
      <c r="GD10003" s="1" t="s">
        <v>189</v>
      </c>
      <c r="GE10003" s="1" t="s">
        <v>190</v>
      </c>
    </row>
    <row r="10004" spans="1:187" ht="11.25" customHeight="1">
      <c r="A10004" s="1" t="s">
        <v>14102</v>
      </c>
      <c r="B10004" s="1" t="str">
        <f ca="1">IFERROR(__xludf.DUMMYFUNCTION("GOOGLETRANSLATE(A10004, ""en"", ""fr"")"),"SINISTRÉ")</f>
        <v>SINISTRÉ</v>
      </c>
      <c r="C10004" s="1" t="s">
        <v>192</v>
      </c>
      <c r="E10004" s="1" t="s">
        <v>16613</v>
      </c>
      <c r="L10004" s="1" t="s">
        <v>8</v>
      </c>
      <c r="Q10004" s="1" t="s">
        <v>13</v>
      </c>
      <c r="DR10004" s="1" t="s">
        <v>118</v>
      </c>
      <c r="GD10004" s="1" t="s">
        <v>202</v>
      </c>
      <c r="GE10004" s="1" t="s">
        <v>190</v>
      </c>
    </row>
    <row r="10005" spans="1:187" ht="11.25" customHeight="1">
      <c r="A10005" s="1" t="s">
        <v>14103</v>
      </c>
      <c r="B10005" s="1" t="str">
        <f ca="1">IFERROR(__xludf.DUMMYFUNCTION("GOOGLETRANSLATE(A10005, ""en"", ""fr"")"),"Strict # 1")</f>
        <v>Strict # 1</v>
      </c>
      <c r="C10005" s="1" t="s">
        <v>185</v>
      </c>
      <c r="E10005" s="1" t="s">
        <v>16613</v>
      </c>
      <c r="H10005" s="1" t="s">
        <v>4</v>
      </c>
      <c r="J10005" s="1" t="s">
        <v>6</v>
      </c>
      <c r="K10005" s="1" t="s">
        <v>7</v>
      </c>
      <c r="V10005" s="1" t="s">
        <v>18</v>
      </c>
      <c r="GD10005" s="1" t="s">
        <v>202</v>
      </c>
      <c r="GE10005" s="1" t="s">
        <v>14104</v>
      </c>
    </row>
    <row r="10006" spans="1:187" ht="11.25" customHeight="1">
      <c r="A10006" s="1" t="s">
        <v>14105</v>
      </c>
      <c r="B10006" s="1" t="str">
        <f ca="1">IFERROR(__xludf.DUMMYFUNCTION("GOOGLETRANSLATE(A10006, ""en"", ""fr"")"),"Strict # 2")</f>
        <v>Strict # 2</v>
      </c>
      <c r="C10006" s="1" t="s">
        <v>185</v>
      </c>
      <c r="E10006" s="1" t="s">
        <v>16613</v>
      </c>
      <c r="H10006" s="1" t="s">
        <v>4</v>
      </c>
      <c r="J10006" s="1" t="s">
        <v>6</v>
      </c>
      <c r="V10006" s="1" t="s">
        <v>18</v>
      </c>
      <c r="W10006" s="1" t="s">
        <v>19</v>
      </c>
      <c r="GD10006" s="1" t="s">
        <v>236</v>
      </c>
      <c r="GE10006" s="1" t="s">
        <v>14106</v>
      </c>
    </row>
    <row r="10007" spans="1:187" ht="11.25" customHeight="1">
      <c r="A10007" s="1" t="s">
        <v>14107</v>
      </c>
      <c r="B10007" s="1" t="str">
        <f ca="1">IFERROR(__xludf.DUMMYFUNCTION("GOOGLETRANSLATE(A10007, ""en"", ""fr"")"),"Strict # 3")</f>
        <v>Strict # 3</v>
      </c>
      <c r="C10007" s="1" t="s">
        <v>185</v>
      </c>
      <c r="E10007" s="1" t="s">
        <v>16613</v>
      </c>
      <c r="H10007" s="1" t="s">
        <v>4</v>
      </c>
      <c r="J10007" s="1" t="s">
        <v>6</v>
      </c>
      <c r="K10007" s="1" t="s">
        <v>7</v>
      </c>
      <c r="V10007" s="1" t="s">
        <v>18</v>
      </c>
      <c r="GD10007" s="1" t="s">
        <v>202</v>
      </c>
      <c r="GE10007" s="1" t="s">
        <v>14108</v>
      </c>
    </row>
    <row r="10008" spans="1:187" ht="11.25" customHeight="1">
      <c r="A10008" s="1" t="s">
        <v>14109</v>
      </c>
      <c r="B10008" s="1" t="str">
        <f ca="1">IFERROR(__xludf.DUMMYFUNCTION("GOOGLETRANSLATE(A10008, ""en"", ""fr"")"),"Foulée # 1")</f>
        <v>Foulée # 1</v>
      </c>
      <c r="C10008" s="1" t="s">
        <v>185</v>
      </c>
      <c r="CE10008" s="1" t="s">
        <v>79</v>
      </c>
      <c r="CQ10008" s="1" t="s">
        <v>91</v>
      </c>
      <c r="CX10008" s="1" t="s">
        <v>98</v>
      </c>
      <c r="GD10008" s="1" t="s">
        <v>193</v>
      </c>
      <c r="GE10008" s="1" t="s">
        <v>190</v>
      </c>
    </row>
    <row r="10009" spans="1:187" ht="11.25" customHeight="1">
      <c r="A10009" s="1" t="s">
        <v>14110</v>
      </c>
      <c r="B10009" s="1" t="str">
        <f ca="1">IFERROR(__xludf.DUMMYFUNCTION("GOOGLETRANSLATE(A10009, ""en"", ""fr"")"),"Stride # 2")</f>
        <v>Stride # 2</v>
      </c>
      <c r="C10009" s="1" t="s">
        <v>185</v>
      </c>
      <c r="CE10009" s="1" t="s">
        <v>79</v>
      </c>
      <c r="DN10009" s="1" t="s">
        <v>114</v>
      </c>
      <c r="FP10009" s="1" t="s">
        <v>168</v>
      </c>
      <c r="GD10009" s="1" t="s">
        <v>189</v>
      </c>
      <c r="GE10009" s="1" t="s">
        <v>190</v>
      </c>
    </row>
    <row r="10010" spans="1:187" ht="11.25" customHeight="1">
      <c r="A10010" s="1" t="s">
        <v>14111</v>
      </c>
      <c r="B10010" s="1" t="str">
        <f ca="1">IFERROR(__xludf.DUMMYFUNCTION("GOOGLETRANSLATE(A10010, ""en"", ""fr"")"),"CONFLIT")</f>
        <v>CONFLIT</v>
      </c>
      <c r="C10010" s="1" t="s">
        <v>185</v>
      </c>
      <c r="E10010" s="1" t="s">
        <v>16613</v>
      </c>
      <c r="H10010" s="1" t="s">
        <v>4</v>
      </c>
      <c r="I10010" s="1" t="s">
        <v>5</v>
      </c>
      <c r="L10010" s="1" t="s">
        <v>8</v>
      </c>
      <c r="N10010" s="1" t="s">
        <v>10</v>
      </c>
      <c r="V10010" s="1" t="s">
        <v>18</v>
      </c>
      <c r="DW10010" s="1" t="s">
        <v>123</v>
      </c>
      <c r="ED10010" s="1" t="s">
        <v>130</v>
      </c>
      <c r="GD10010" s="1" t="s">
        <v>193</v>
      </c>
      <c r="GE10010" s="1" t="s">
        <v>190</v>
      </c>
    </row>
    <row r="10011" spans="1:187" ht="11.25" customHeight="1">
      <c r="A10011" s="1" t="s">
        <v>14112</v>
      </c>
      <c r="B10011" s="1" t="str">
        <f ca="1">IFERROR(__xludf.DUMMYFUNCTION("GOOGLETRANSLATE(A10011, ""en"", ""fr"")"),"Frappe n ° 1")</f>
        <v>Frappe n ° 1</v>
      </c>
      <c r="C10011" s="1" t="s">
        <v>185</v>
      </c>
      <c r="E10011" s="1" t="s">
        <v>16613</v>
      </c>
      <c r="H10011" s="1" t="s">
        <v>4</v>
      </c>
      <c r="I10011" s="1" t="s">
        <v>5</v>
      </c>
      <c r="J10011" s="1" t="s">
        <v>6</v>
      </c>
      <c r="N10011" s="1" t="s">
        <v>10</v>
      </c>
      <c r="CC10011" s="1" t="s">
        <v>77</v>
      </c>
      <c r="DO10011" s="1" t="s">
        <v>115</v>
      </c>
      <c r="FO10011" s="1" t="s">
        <v>167</v>
      </c>
      <c r="GD10011" s="1" t="s">
        <v>189</v>
      </c>
      <c r="GE10011" s="1" t="s">
        <v>14113</v>
      </c>
    </row>
    <row r="10012" spans="1:187" ht="11.25" customHeight="1">
      <c r="A10012" s="1" t="s">
        <v>14114</v>
      </c>
      <c r="B10012" s="1" t="str">
        <f ca="1">IFERROR(__xludf.DUMMYFUNCTION("GOOGLETRANSLATE(A10012, ""en"", ""fr"")"),"Grève n ° 2")</f>
        <v>Grève n ° 2</v>
      </c>
      <c r="C10012" s="1" t="s">
        <v>185</v>
      </c>
      <c r="CO10012" s="1" t="s">
        <v>89</v>
      </c>
      <c r="DN10012" s="1" t="s">
        <v>114</v>
      </c>
      <c r="GD10012" s="1" t="s">
        <v>189</v>
      </c>
      <c r="GE10012" s="1" t="s">
        <v>14115</v>
      </c>
    </row>
    <row r="10013" spans="1:187" ht="11.25" customHeight="1">
      <c r="A10013" s="1" t="s">
        <v>14116</v>
      </c>
      <c r="B10013" s="1" t="str">
        <f ca="1">IFERROR(__xludf.DUMMYFUNCTION("GOOGLETRANSLATE(A10013, ""en"", ""fr"")"),"Grève n ° 3")</f>
        <v>Grève n ° 3</v>
      </c>
      <c r="C10013" s="1" t="s">
        <v>185</v>
      </c>
      <c r="I10013" s="1" t="s">
        <v>5</v>
      </c>
      <c r="J10013" s="1" t="s">
        <v>6</v>
      </c>
      <c r="N10013" s="1" t="s">
        <v>10</v>
      </c>
      <c r="AA10013" s="1" t="s">
        <v>23</v>
      </c>
      <c r="AC10013" s="1" t="s">
        <v>25</v>
      </c>
      <c r="AM10013" s="1" t="s">
        <v>35</v>
      </c>
      <c r="DW10013" s="1" t="s">
        <v>123</v>
      </c>
      <c r="ED10013" s="1" t="s">
        <v>130</v>
      </c>
      <c r="GD10013" s="1" t="s">
        <v>193</v>
      </c>
      <c r="GE10013" s="1" t="s">
        <v>14117</v>
      </c>
    </row>
    <row r="10014" spans="1:187" ht="11.25" customHeight="1">
      <c r="A10014" s="1" t="s">
        <v>14118</v>
      </c>
      <c r="B10014" s="1" t="str">
        <f ca="1">IFERROR(__xludf.DUMMYFUNCTION("GOOGLETRANSLATE(A10014, ""en"", ""fr"")"),"Grève n ° 4")</f>
        <v>Grève n ° 4</v>
      </c>
      <c r="C10014" s="1" t="s">
        <v>185</v>
      </c>
      <c r="W10014" s="1" t="s">
        <v>19</v>
      </c>
      <c r="CK10014" s="1" t="s">
        <v>85</v>
      </c>
      <c r="GD10014" s="1" t="s">
        <v>202</v>
      </c>
      <c r="GE10014" s="1" t="s">
        <v>14119</v>
      </c>
    </row>
    <row r="10015" spans="1:187" ht="11.25" customHeight="1">
      <c r="A10015" s="1" t="s">
        <v>14120</v>
      </c>
      <c r="B10015" s="1" t="str">
        <f ca="1">IFERROR(__xludf.DUMMYFUNCTION("GOOGLETRANSLATE(A10015, ""en"", ""fr"")"),"Grève n ° 5")</f>
        <v>Grève n ° 5</v>
      </c>
      <c r="C10015" s="1" t="s">
        <v>185</v>
      </c>
      <c r="E10015" s="1" t="s">
        <v>16613</v>
      </c>
      <c r="H10015" s="1" t="s">
        <v>4</v>
      </c>
      <c r="V10015" s="1" t="s">
        <v>18</v>
      </c>
      <c r="FW10015" s="1" t="s">
        <v>175</v>
      </c>
      <c r="GD10015" s="1" t="s">
        <v>193</v>
      </c>
      <c r="GE10015" s="1" t="s">
        <v>14121</v>
      </c>
    </row>
    <row r="10016" spans="1:187" ht="11.25" customHeight="1">
      <c r="A10016" s="1" t="s">
        <v>14122</v>
      </c>
      <c r="B10016" s="1" t="str">
        <f ca="1">IFERROR(__xludf.DUMMYFUNCTION("GOOGLETRANSLATE(A10016, ""en"", ""fr"")"),"Grève n ° 6")</f>
        <v>Grève n ° 6</v>
      </c>
      <c r="C10016" s="1" t="s">
        <v>185</v>
      </c>
      <c r="J10016" s="1" t="s">
        <v>6</v>
      </c>
      <c r="W10016" s="1" t="s">
        <v>19</v>
      </c>
      <c r="CR10016" s="1" t="s">
        <v>92</v>
      </c>
      <c r="GD10016" s="1" t="s">
        <v>236</v>
      </c>
      <c r="GE10016" s="1" t="s">
        <v>14123</v>
      </c>
    </row>
    <row r="10017" spans="1:187" ht="11.25" customHeight="1">
      <c r="A10017" s="1" t="s">
        <v>14124</v>
      </c>
      <c r="B10017" s="1" t="str">
        <f ca="1">IFERROR(__xludf.DUMMYFUNCTION("GOOGLETRANSLATE(A10017, ""en"", ""fr"")"),"CHAÎNE")</f>
        <v>CHAÎNE</v>
      </c>
      <c r="C10017" s="1" t="s">
        <v>185</v>
      </c>
      <c r="BC10017" s="1" t="s">
        <v>51</v>
      </c>
      <c r="BD10017" s="1" t="s">
        <v>52</v>
      </c>
      <c r="GD10017" s="1" t="s">
        <v>193</v>
      </c>
      <c r="GE10017" s="1" t="s">
        <v>190</v>
      </c>
    </row>
    <row r="10018" spans="1:187" ht="11.25" customHeight="1">
      <c r="A10018" s="1" t="s">
        <v>14125</v>
      </c>
      <c r="B10018" s="1" t="str">
        <f ca="1">IFERROR(__xludf.DUMMYFUNCTION("GOOGLETRANSLATE(A10018, ""en"", ""fr"")"),"STRICT")</f>
        <v>STRICT</v>
      </c>
      <c r="C10018" s="1" t="s">
        <v>192</v>
      </c>
      <c r="E10018" s="1" t="s">
        <v>16613</v>
      </c>
      <c r="I10018" s="1" t="s">
        <v>5</v>
      </c>
      <c r="J10018" s="1" t="s">
        <v>6</v>
      </c>
      <c r="DR10018" s="1" t="s">
        <v>118</v>
      </c>
      <c r="GD10018" s="1" t="s">
        <v>202</v>
      </c>
      <c r="GE10018" s="1" t="s">
        <v>190</v>
      </c>
    </row>
    <row r="10019" spans="1:187" ht="11.25" customHeight="1">
      <c r="A10019" s="1" t="s">
        <v>14126</v>
      </c>
      <c r="B10019" s="1" t="str">
        <f ca="1">IFERROR(__xludf.DUMMYFUNCTION("GOOGLETRANSLATE(A10019, ""en"", ""fr"")"),"Bande n ° 1")</f>
        <v>Bande n ° 1</v>
      </c>
      <c r="C10019" s="1" t="s">
        <v>185</v>
      </c>
      <c r="BC10019" s="1" t="s">
        <v>51</v>
      </c>
      <c r="BD10019" s="1" t="s">
        <v>52</v>
      </c>
      <c r="GD10019" s="1" t="s">
        <v>193</v>
      </c>
      <c r="GE10019" s="1" t="s">
        <v>190</v>
      </c>
    </row>
    <row r="10020" spans="1:187" ht="11.25" customHeight="1">
      <c r="A10020" s="1" t="s">
        <v>14127</v>
      </c>
      <c r="B10020" s="1" t="str">
        <f ca="1">IFERROR(__xludf.DUMMYFUNCTION("GOOGLETRANSLATE(A10020, ""en"", ""fr"")"),"Strip n ° 2")</f>
        <v>Strip n ° 2</v>
      </c>
      <c r="C10020" s="1" t="s">
        <v>185</v>
      </c>
      <c r="I10020" s="1" t="s">
        <v>5</v>
      </c>
      <c r="J10020" s="1" t="s">
        <v>6</v>
      </c>
      <c r="N10020" s="1" t="s">
        <v>10</v>
      </c>
      <c r="AL10020" s="1" t="s">
        <v>34</v>
      </c>
      <c r="DN10020" s="1" t="s">
        <v>114</v>
      </c>
      <c r="FO10020" s="1" t="s">
        <v>167</v>
      </c>
      <c r="GD10020" s="1" t="s">
        <v>189</v>
      </c>
      <c r="GE10020" s="1" t="s">
        <v>190</v>
      </c>
    </row>
    <row r="10021" spans="1:187" ht="11.25" customHeight="1">
      <c r="A10021" s="1" t="s">
        <v>14128</v>
      </c>
      <c r="B10021" s="1" t="str">
        <f ca="1">IFERROR(__xludf.DUMMYFUNCTION("GOOGLETRANSLATE(A10021, ""en"", ""fr"")"),"ASPIRER")</f>
        <v>ASPIRER</v>
      </c>
      <c r="C10021" s="1" t="s">
        <v>185</v>
      </c>
      <c r="N10021" s="1" t="s">
        <v>10</v>
      </c>
      <c r="BP10021" s="1" t="s">
        <v>64</v>
      </c>
      <c r="DN10021" s="1" t="s">
        <v>114</v>
      </c>
      <c r="FR10021" s="1" t="s">
        <v>170</v>
      </c>
      <c r="GD10021" s="1" t="s">
        <v>189</v>
      </c>
      <c r="GE10021" s="1" t="s">
        <v>190</v>
      </c>
    </row>
    <row r="10022" spans="1:187" ht="11.25" customHeight="1">
      <c r="A10022" s="1" t="s">
        <v>14129</v>
      </c>
      <c r="B10022" s="1" t="str">
        <f ca="1">IFERROR(__xludf.DUMMYFUNCTION("GOOGLETRANSLATE(A10022, ""en"", ""fr"")"),"Effrayant")</f>
        <v>Effrayant</v>
      </c>
      <c r="C10022" s="1" t="s">
        <v>185</v>
      </c>
      <c r="N10022" s="1" t="s">
        <v>10</v>
      </c>
      <c r="BP10022" s="1" t="s">
        <v>64</v>
      </c>
      <c r="DN10022" s="1" t="s">
        <v>114</v>
      </c>
      <c r="FR10022" s="1" t="s">
        <v>170</v>
      </c>
      <c r="GD10022" s="1" t="s">
        <v>1076</v>
      </c>
      <c r="GE10022" s="1" t="s">
        <v>190</v>
      </c>
    </row>
    <row r="10023" spans="1:187" ht="11.25" customHeight="1">
      <c r="A10023" s="1" t="s">
        <v>14130</v>
      </c>
      <c r="B10023" s="1" t="str">
        <f ca="1">IFERROR(__xludf.DUMMYFUNCTION("GOOGLETRANSLATE(A10023, ""en"", ""fr"")"),"AVC # 1")</f>
        <v>AVC # 1</v>
      </c>
      <c r="C10023" s="1" t="s">
        <v>185</v>
      </c>
      <c r="AL10023" s="1" t="s">
        <v>34</v>
      </c>
      <c r="GD10023" s="1" t="s">
        <v>193</v>
      </c>
      <c r="GE10023" s="1" t="s">
        <v>190</v>
      </c>
    </row>
    <row r="10024" spans="1:187" ht="11.25" customHeight="1">
      <c r="A10024" s="1" t="s">
        <v>14131</v>
      </c>
      <c r="B10024" s="1" t="str">
        <f ca="1">IFERROR(__xludf.DUMMYFUNCTION("GOOGLETRANSLATE(A10024, ""en"", ""fr"")"),"AVC # 2")</f>
        <v>AVC # 2</v>
      </c>
      <c r="C10024" s="1" t="s">
        <v>185</v>
      </c>
      <c r="N10024" s="1" t="s">
        <v>10</v>
      </c>
      <c r="CC10024" s="1" t="s">
        <v>77</v>
      </c>
      <c r="DN10024" s="1" t="s">
        <v>114</v>
      </c>
      <c r="GD10024" s="1" t="s">
        <v>189</v>
      </c>
      <c r="GE10024" s="1" t="s">
        <v>190</v>
      </c>
    </row>
    <row r="10025" spans="1:187" ht="11.25" customHeight="1">
      <c r="A10025" s="1" t="s">
        <v>14132</v>
      </c>
      <c r="B10025" s="1" t="str">
        <f ca="1">IFERROR(__xludf.DUMMYFUNCTION("GOOGLETRANSLATE(A10025, ""en"", ""fr"")"),"Strong # 1")</f>
        <v>Strong # 1</v>
      </c>
      <c r="C10025" s="1" t="s">
        <v>185</v>
      </c>
      <c r="J10025" s="1" t="s">
        <v>6</v>
      </c>
      <c r="K10025" s="1" t="s">
        <v>7</v>
      </c>
      <c r="CR10025" s="1" t="s">
        <v>92</v>
      </c>
      <c r="EC10025" s="1" t="s">
        <v>129</v>
      </c>
      <c r="ED10025" s="1" t="s">
        <v>130</v>
      </c>
      <c r="GD10025" s="1" t="s">
        <v>202</v>
      </c>
      <c r="GE10025" s="1" t="s">
        <v>14133</v>
      </c>
    </row>
    <row r="10026" spans="1:187" ht="11.25" customHeight="1">
      <c r="A10026" s="1" t="s">
        <v>14134</v>
      </c>
      <c r="B10026" s="1" t="str">
        <f ca="1">IFERROR(__xludf.DUMMYFUNCTION("GOOGLETRANSLATE(A10026, ""en"", ""fr"")"),"Strong # 2")</f>
        <v>Strong # 2</v>
      </c>
      <c r="C10026" s="1" t="s">
        <v>185</v>
      </c>
      <c r="J10026" s="1" t="s">
        <v>6</v>
      </c>
      <c r="K10026" s="1" t="s">
        <v>7</v>
      </c>
      <c r="CR10026" s="1" t="s">
        <v>92</v>
      </c>
      <c r="EC10026" s="1" t="s">
        <v>129</v>
      </c>
      <c r="ED10026" s="1" t="s">
        <v>130</v>
      </c>
      <c r="GD10026" s="1" t="s">
        <v>202</v>
      </c>
      <c r="GE10026" s="1" t="s">
        <v>14135</v>
      </c>
    </row>
    <row r="10027" spans="1:187" ht="11.25" customHeight="1">
      <c r="A10027" s="1" t="s">
        <v>14136</v>
      </c>
      <c r="B10027" s="1" t="str">
        <f ca="1">IFERROR(__xludf.DUMMYFUNCTION("GOOGLETRANSLATE(A10027, ""en"", ""fr"")"),"Strong # 3")</f>
        <v>Strong # 3</v>
      </c>
      <c r="C10027" s="1" t="s">
        <v>185</v>
      </c>
      <c r="J10027" s="1" t="s">
        <v>6</v>
      </c>
      <c r="K10027" s="1" t="s">
        <v>7</v>
      </c>
      <c r="CR10027" s="1" t="s">
        <v>92</v>
      </c>
      <c r="EC10027" s="1" t="s">
        <v>129</v>
      </c>
      <c r="ED10027" s="1" t="s">
        <v>130</v>
      </c>
      <c r="GD10027" s="1" t="s">
        <v>202</v>
      </c>
      <c r="GE10027" s="1" t="s">
        <v>14137</v>
      </c>
    </row>
    <row r="10028" spans="1:187" ht="11.25" customHeight="1">
      <c r="A10028" s="1" t="s">
        <v>14138</v>
      </c>
      <c r="B10028" s="1" t="str">
        <f ca="1">IFERROR(__xludf.DUMMYFUNCTION("GOOGLETRANSLATE(A10028, ""en"", ""fr"")"),"Strong # 4")</f>
        <v>Strong # 4</v>
      </c>
      <c r="C10028" s="1" t="s">
        <v>185</v>
      </c>
      <c r="J10028" s="1" t="s">
        <v>6</v>
      </c>
      <c r="W10028" s="1" t="s">
        <v>19</v>
      </c>
      <c r="CR10028" s="1" t="s">
        <v>92</v>
      </c>
      <c r="EC10028" s="1" t="s">
        <v>129</v>
      </c>
      <c r="ED10028" s="1" t="s">
        <v>130</v>
      </c>
      <c r="GD10028" s="1" t="s">
        <v>236</v>
      </c>
      <c r="GE10028" s="1" t="s">
        <v>14139</v>
      </c>
    </row>
    <row r="10029" spans="1:187" ht="11.25" customHeight="1">
      <c r="A10029" s="1" t="s">
        <v>14140</v>
      </c>
      <c r="B10029" s="1" t="str">
        <f ca="1">IFERROR(__xludf.DUMMYFUNCTION("GOOGLETRANSLATE(A10029, ""en"", ""fr"")"),"BASTION")</f>
        <v>BASTION</v>
      </c>
      <c r="C10029" s="1" t="s">
        <v>185</v>
      </c>
      <c r="J10029" s="1" t="s">
        <v>6</v>
      </c>
      <c r="AF10029" s="1" t="s">
        <v>28</v>
      </c>
      <c r="AV10029" s="1" t="s">
        <v>44</v>
      </c>
      <c r="AW10029" s="1" t="s">
        <v>45</v>
      </c>
      <c r="EC10029" s="1" t="s">
        <v>129</v>
      </c>
      <c r="ED10029" s="1" t="s">
        <v>130</v>
      </c>
      <c r="GD10029" s="1" t="s">
        <v>193</v>
      </c>
      <c r="GE10029" s="1" t="s">
        <v>190</v>
      </c>
    </row>
    <row r="10030" spans="1:187" ht="11.25" customHeight="1">
      <c r="A10030" s="1" t="s">
        <v>14141</v>
      </c>
      <c r="B10030" s="1" t="str">
        <f ca="1">IFERROR(__xludf.DUMMYFUNCTION("GOOGLETRANSLATE(A10030, ""en"", ""fr"")"),"Se battre")</f>
        <v>Se battre</v>
      </c>
      <c r="C10030" s="1" t="s">
        <v>185</v>
      </c>
      <c r="N10030" s="1" t="s">
        <v>10</v>
      </c>
      <c r="BP10030" s="1" t="s">
        <v>64</v>
      </c>
      <c r="DN10030" s="1" t="s">
        <v>114</v>
      </c>
      <c r="FP10030" s="1" t="s">
        <v>168</v>
      </c>
      <c r="GD10030" s="1" t="s">
        <v>189</v>
      </c>
      <c r="GE10030" s="1" t="s">
        <v>190</v>
      </c>
    </row>
    <row r="10031" spans="1:187" ht="11.25" customHeight="1">
      <c r="A10031" s="1" t="s">
        <v>14142</v>
      </c>
      <c r="B10031" s="1" t="str">
        <f ca="1">IFERROR(__xludf.DUMMYFUNCTION("GOOGLETRANSLATE(A10031, ""en"", ""fr"")"),"Frappé # 1")</f>
        <v>Frappé # 1</v>
      </c>
      <c r="C10031" s="1" t="s">
        <v>185</v>
      </c>
      <c r="E10031" s="1" t="s">
        <v>16613</v>
      </c>
      <c r="H10031" s="1" t="s">
        <v>4</v>
      </c>
      <c r="I10031" s="1" t="s">
        <v>5</v>
      </c>
      <c r="J10031" s="1" t="s">
        <v>6</v>
      </c>
      <c r="N10031" s="1" t="s">
        <v>10</v>
      </c>
      <c r="CC10031" s="1" t="s">
        <v>77</v>
      </c>
      <c r="DO10031" s="1" t="s">
        <v>115</v>
      </c>
      <c r="FO10031" s="1" t="s">
        <v>167</v>
      </c>
      <c r="GD10031" s="1" t="s">
        <v>1076</v>
      </c>
      <c r="GE10031" s="1" t="s">
        <v>14143</v>
      </c>
    </row>
    <row r="10032" spans="1:187" ht="11.25" customHeight="1">
      <c r="A10032" s="1" t="s">
        <v>14144</v>
      </c>
      <c r="B10032" s="1" t="str">
        <f ca="1">IFERROR(__xludf.DUMMYFUNCTION("GOOGLETRANSLATE(A10032, ""en"", ""fr"")"),"Frappé # 2")</f>
        <v>Frappé # 2</v>
      </c>
      <c r="C10032" s="1" t="s">
        <v>185</v>
      </c>
      <c r="CO10032" s="1" t="s">
        <v>89</v>
      </c>
      <c r="DN10032" s="1" t="s">
        <v>114</v>
      </c>
      <c r="GD10032" s="1" t="s">
        <v>1076</v>
      </c>
      <c r="GE10032" s="1" t="s">
        <v>14145</v>
      </c>
    </row>
    <row r="10033" spans="1:187" ht="11.25" customHeight="1">
      <c r="A10033" s="1" t="s">
        <v>14146</v>
      </c>
      <c r="B10033" s="1" t="str">
        <f ca="1">IFERROR(__xludf.DUMMYFUNCTION("GOOGLETRANSLATE(A10033, ""en"", ""fr"")"),"DE CONSTRUCTION")</f>
        <v>DE CONSTRUCTION</v>
      </c>
      <c r="C10033" s="1" t="s">
        <v>196</v>
      </c>
      <c r="GD10033" s="1" t="s">
        <v>202</v>
      </c>
    </row>
    <row r="10034" spans="1:187" ht="11.25" customHeight="1">
      <c r="A10034" s="1" t="s">
        <v>14147</v>
      </c>
      <c r="B10034" s="1" t="str">
        <f ca="1">IFERROR(__xludf.DUMMYFUNCTION("GOOGLETRANSLATE(A10034, ""en"", ""fr"")"),"Structure n ° 1")</f>
        <v>Structure n ° 1</v>
      </c>
      <c r="C10034" s="1" t="s">
        <v>185</v>
      </c>
      <c r="BC10034" s="1" t="s">
        <v>51</v>
      </c>
      <c r="BG10034" s="1" t="s">
        <v>55</v>
      </c>
      <c r="GD10034" s="1" t="s">
        <v>849</v>
      </c>
      <c r="GE10034" s="1" t="s">
        <v>14148</v>
      </c>
    </row>
    <row r="10035" spans="1:187" ht="11.25" customHeight="1">
      <c r="A10035" s="1" t="s">
        <v>14149</v>
      </c>
      <c r="B10035" s="1" t="str">
        <f ca="1">IFERROR(__xludf.DUMMYFUNCTION("GOOGLETRANSLATE(A10035, ""en"", ""fr"")"),"Structure n ° 2")</f>
        <v>Structure n ° 2</v>
      </c>
      <c r="C10035" s="1" t="s">
        <v>185</v>
      </c>
      <c r="N10035" s="1" t="s">
        <v>10</v>
      </c>
      <c r="CO10035" s="1" t="s">
        <v>89</v>
      </c>
      <c r="DN10035" s="1" t="s">
        <v>114</v>
      </c>
      <c r="FP10035" s="1" t="s">
        <v>168</v>
      </c>
      <c r="GD10035" s="1" t="s">
        <v>189</v>
      </c>
      <c r="GE10035" s="1" t="s">
        <v>14150</v>
      </c>
    </row>
    <row r="10036" spans="1:187" ht="11.25" customHeight="1">
      <c r="A10036" s="1" t="s">
        <v>14151</v>
      </c>
      <c r="B10036" s="1" t="str">
        <f ca="1">IFERROR(__xludf.DUMMYFUNCTION("GOOGLETRANSLATE(A10036, ""en"", ""fr"")"),"Lutte n ° 1")</f>
        <v>Lutte n ° 1</v>
      </c>
      <c r="C10036" s="1" t="s">
        <v>185</v>
      </c>
      <c r="E10036" s="1" t="s">
        <v>16613</v>
      </c>
      <c r="H10036" s="1" t="s">
        <v>4</v>
      </c>
      <c r="I10036" s="1" t="s">
        <v>5</v>
      </c>
      <c r="N10036" s="1" t="s">
        <v>10</v>
      </c>
      <c r="AN10036" s="1" t="s">
        <v>36</v>
      </c>
      <c r="DW10036" s="1" t="s">
        <v>123</v>
      </c>
      <c r="ED10036" s="1" t="s">
        <v>130</v>
      </c>
      <c r="GD10036" s="1" t="s">
        <v>193</v>
      </c>
      <c r="GE10036" s="1" t="s">
        <v>14152</v>
      </c>
    </row>
    <row r="10037" spans="1:187" ht="11.25" customHeight="1">
      <c r="A10037" s="1" t="s">
        <v>14153</v>
      </c>
      <c r="B10037" s="1" t="str">
        <f ca="1">IFERROR(__xludf.DUMMYFUNCTION("GOOGLETRANSLATE(A10037, ""en"", ""fr"")"),"Lutte # 2")</f>
        <v>Lutte # 2</v>
      </c>
      <c r="C10037" s="1" t="s">
        <v>185</v>
      </c>
      <c r="E10037" s="1" t="s">
        <v>16613</v>
      </c>
      <c r="H10037" s="1" t="s">
        <v>4</v>
      </c>
      <c r="I10037" s="1" t="s">
        <v>5</v>
      </c>
      <c r="N10037" s="1" t="s">
        <v>10</v>
      </c>
      <c r="AN10037" s="1" t="s">
        <v>36</v>
      </c>
      <c r="DN10037" s="1" t="s">
        <v>114</v>
      </c>
      <c r="DW10037" s="1" t="s">
        <v>123</v>
      </c>
      <c r="ED10037" s="1" t="s">
        <v>130</v>
      </c>
      <c r="GD10037" s="1" t="s">
        <v>189</v>
      </c>
      <c r="GE10037" s="1" t="s">
        <v>14154</v>
      </c>
    </row>
    <row r="10038" spans="1:187" ht="11.25" customHeight="1">
      <c r="A10038" s="1" t="s">
        <v>14155</v>
      </c>
      <c r="B10038" s="1" t="str">
        <f ca="1">IFERROR(__xludf.DUMMYFUNCTION("GOOGLETRANSLATE(A10038, ""en"", ""fr"")"),"Lutte # 3")</f>
        <v>Lutte # 3</v>
      </c>
      <c r="C10038" s="1" t="s">
        <v>185</v>
      </c>
      <c r="E10038" s="1" t="s">
        <v>16613</v>
      </c>
      <c r="H10038" s="1" t="s">
        <v>4</v>
      </c>
      <c r="I10038" s="1" t="s">
        <v>5</v>
      </c>
      <c r="N10038" s="1" t="s">
        <v>10</v>
      </c>
      <c r="AN10038" s="1" t="s">
        <v>36</v>
      </c>
      <c r="DW10038" s="1" t="s">
        <v>123</v>
      </c>
      <c r="ED10038" s="1" t="s">
        <v>130</v>
      </c>
      <c r="GD10038" s="1" t="s">
        <v>193</v>
      </c>
      <c r="GE10038" s="1" t="s">
        <v>14156</v>
      </c>
    </row>
    <row r="10039" spans="1:187" ht="11.25" customHeight="1">
      <c r="A10039" s="1" t="s">
        <v>14157</v>
      </c>
      <c r="B10039" s="1" t="str">
        <f ca="1">IFERROR(__xludf.DUMMYFUNCTION("GOOGLETRANSLATE(A10039, ""en"", ""fr"")"),"SE PAVANER")</f>
        <v>SE PAVANER</v>
      </c>
      <c r="C10039" s="1" t="s">
        <v>192</v>
      </c>
      <c r="D10039" s="1" t="s">
        <v>16612</v>
      </c>
      <c r="K10039" s="1" t="s">
        <v>7</v>
      </c>
      <c r="N10039" s="1" t="s">
        <v>10</v>
      </c>
      <c r="CE10039" s="1" t="s">
        <v>79</v>
      </c>
      <c r="DN10039" s="1" t="s">
        <v>114</v>
      </c>
      <c r="GD10039" s="1" t="s">
        <v>189</v>
      </c>
      <c r="GE10039" s="1" t="s">
        <v>190</v>
      </c>
    </row>
    <row r="10040" spans="1:187" ht="11.25" customHeight="1">
      <c r="A10040" s="1" t="s">
        <v>14158</v>
      </c>
      <c r="B10040" s="1" t="str">
        <f ca="1">IFERROR(__xludf.DUMMYFUNCTION("GOOGLETRANSLATE(A10040, ""en"", ""fr"")"),"TÊTU")</f>
        <v>TÊTU</v>
      </c>
      <c r="C10040" s="1" t="s">
        <v>185</v>
      </c>
      <c r="E10040" s="1" t="s">
        <v>16613</v>
      </c>
      <c r="H10040" s="1" t="s">
        <v>4</v>
      </c>
      <c r="I10040" s="1" t="s">
        <v>5</v>
      </c>
      <c r="J10040" s="1" t="s">
        <v>6</v>
      </c>
      <c r="V10040" s="1" t="s">
        <v>18</v>
      </c>
      <c r="CN10040" s="1" t="s">
        <v>88</v>
      </c>
      <c r="GD10040" s="1" t="s">
        <v>202</v>
      </c>
      <c r="GE10040" s="1" t="s">
        <v>190</v>
      </c>
    </row>
    <row r="10041" spans="1:187" ht="11.25" customHeight="1">
      <c r="A10041" s="1" t="s">
        <v>14159</v>
      </c>
      <c r="B10041" s="1" t="str">
        <f ca="1">IFERROR(__xludf.DUMMYFUNCTION("GOOGLETRANSLATE(A10041, ""en"", ""fr"")"),"Obstinément")</f>
        <v>Obstinément</v>
      </c>
      <c r="C10041" s="1" t="s">
        <v>192</v>
      </c>
      <c r="E10041" s="1" t="s">
        <v>16613</v>
      </c>
      <c r="I10041" s="1" t="s">
        <v>5</v>
      </c>
      <c r="J10041" s="1" t="s">
        <v>6</v>
      </c>
      <c r="CA10041" s="1" t="s">
        <v>75</v>
      </c>
      <c r="DR10041" s="1" t="s">
        <v>118</v>
      </c>
      <c r="GD10041" s="1" t="s">
        <v>202</v>
      </c>
      <c r="GE10041" s="1" t="s">
        <v>190</v>
      </c>
    </row>
    <row r="10042" spans="1:187" ht="11.25" customHeight="1">
      <c r="A10042" s="1" t="s">
        <v>14160</v>
      </c>
      <c r="B10042" s="1" t="str">
        <f ca="1">IFERROR(__xludf.DUMMYFUNCTION("GOOGLETRANSLATE(A10042, ""en"", ""fr"")"),"ENTÊTEMENT")</f>
        <v>ENTÊTEMENT</v>
      </c>
      <c r="C10042" s="1" t="s">
        <v>192</v>
      </c>
      <c r="E10042" s="1" t="s">
        <v>16613</v>
      </c>
      <c r="I10042" s="1" t="s">
        <v>5</v>
      </c>
      <c r="J10042" s="1" t="s">
        <v>6</v>
      </c>
      <c r="CA10042" s="1" t="s">
        <v>75</v>
      </c>
      <c r="GD10042" s="1" t="s">
        <v>193</v>
      </c>
      <c r="GE10042" s="1" t="s">
        <v>190</v>
      </c>
    </row>
    <row r="10043" spans="1:187" ht="11.25" customHeight="1">
      <c r="A10043" s="1" t="s">
        <v>14161</v>
      </c>
      <c r="B10043" s="1" t="str">
        <f ca="1">IFERROR(__xludf.DUMMYFUNCTION("GOOGLETRANSLATE(A10043, ""en"", ""fr"")"),"Coincé # 1")</f>
        <v>Coincé # 1</v>
      </c>
      <c r="C10043" s="1" t="s">
        <v>192</v>
      </c>
      <c r="GD10043" s="1" t="s">
        <v>1085</v>
      </c>
      <c r="GE10043" s="1" t="s">
        <v>190</v>
      </c>
    </row>
    <row r="10044" spans="1:187" ht="11.25" customHeight="1">
      <c r="A10044" s="1" t="s">
        <v>14162</v>
      </c>
      <c r="B10044" s="1" t="str">
        <f ca="1">IFERROR(__xludf.DUMMYFUNCTION("GOOGLETRANSLATE(A10044, ""en"", ""fr"")"),"GOUJON")</f>
        <v>GOUJON</v>
      </c>
      <c r="C10044" s="1" t="s">
        <v>192</v>
      </c>
      <c r="D10044" s="1" t="s">
        <v>16612</v>
      </c>
      <c r="K10044" s="1" t="s">
        <v>7</v>
      </c>
      <c r="AJ10044" s="1" t="s">
        <v>32</v>
      </c>
      <c r="AQ10044" s="1" t="s">
        <v>39</v>
      </c>
      <c r="AT10044" s="1" t="s">
        <v>42</v>
      </c>
      <c r="GD10044" s="1" t="s">
        <v>193</v>
      </c>
      <c r="GE10044" s="1" t="s">
        <v>190</v>
      </c>
    </row>
    <row r="10045" spans="1:187" ht="11.25" customHeight="1">
      <c r="A10045" s="1" t="s">
        <v>14163</v>
      </c>
      <c r="B10045" s="1" t="str">
        <f ca="1">IFERROR(__xludf.DUMMYFUNCTION("GOOGLETRANSLATE(A10045, ""en"", ""fr"")"),"ÉTUDIANT")</f>
        <v>ÉTUDIANT</v>
      </c>
      <c r="C10045" s="1" t="s">
        <v>185</v>
      </c>
      <c r="M10045" s="1" t="s">
        <v>9</v>
      </c>
      <c r="Y10045" s="1" t="s">
        <v>21</v>
      </c>
      <c r="AJ10045" s="1" t="s">
        <v>32</v>
      </c>
      <c r="AT10045" s="1" t="s">
        <v>42</v>
      </c>
      <c r="FG10045" s="1" t="s">
        <v>159</v>
      </c>
      <c r="FI10045" s="1" t="s">
        <v>161</v>
      </c>
      <c r="GD10045" s="1" t="s">
        <v>193</v>
      </c>
      <c r="GE10045" s="1" t="s">
        <v>14164</v>
      </c>
    </row>
    <row r="10046" spans="1:187" ht="11.25" customHeight="1">
      <c r="A10046" s="1" t="s">
        <v>14165</v>
      </c>
      <c r="B10046" s="1" t="str">
        <f ca="1">IFERROR(__xludf.DUMMYFUNCTION("GOOGLETRANSLATE(A10046, ""en"", ""fr"")"),"STUDIO")</f>
        <v>STUDIO</v>
      </c>
      <c r="C10046" s="1" t="s">
        <v>185</v>
      </c>
      <c r="AD10046" s="1" t="s">
        <v>26</v>
      </c>
      <c r="AV10046" s="1" t="s">
        <v>44</v>
      </c>
      <c r="AW10046" s="1" t="s">
        <v>45</v>
      </c>
      <c r="GD10046" s="1" t="s">
        <v>193</v>
      </c>
      <c r="GE10046" s="1" t="s">
        <v>190</v>
      </c>
    </row>
    <row r="10047" spans="1:187" ht="11.25" customHeight="1">
      <c r="A10047" s="1" t="s">
        <v>14166</v>
      </c>
      <c r="B10047" s="1" t="str">
        <f ca="1">IFERROR(__xludf.DUMMYFUNCTION("GOOGLETRANSLATE(A10047, ""en"", ""fr"")"),"STUDIEUX")</f>
        <v>STUDIEUX</v>
      </c>
      <c r="C10047" s="1" t="s">
        <v>192</v>
      </c>
      <c r="D10047" s="1" t="s">
        <v>16612</v>
      </c>
      <c r="CG10047" s="1" t="s">
        <v>81</v>
      </c>
      <c r="DR10047" s="1" t="s">
        <v>118</v>
      </c>
      <c r="GD10047" s="1" t="s">
        <v>202</v>
      </c>
      <c r="GE10047" s="1" t="s">
        <v>190</v>
      </c>
    </row>
    <row r="10048" spans="1:187" ht="11.25" customHeight="1">
      <c r="A10048" s="1" t="s">
        <v>14167</v>
      </c>
      <c r="B10048" s="1" t="str">
        <f ca="1">IFERROR(__xludf.DUMMYFUNCTION("GOOGLETRANSLATE(A10048, ""en"", ""fr"")"),"Étude n ° 1")</f>
        <v>Étude n ° 1</v>
      </c>
      <c r="C10048" s="1" t="s">
        <v>185</v>
      </c>
      <c r="N10048" s="1" t="s">
        <v>10</v>
      </c>
      <c r="Y10048" s="1" t="s">
        <v>21</v>
      </c>
      <c r="CO10048" s="1" t="s">
        <v>89</v>
      </c>
      <c r="DN10048" s="1" t="s">
        <v>114</v>
      </c>
      <c r="FD10048" s="1" t="s">
        <v>156</v>
      </c>
      <c r="FI10048" s="1" t="s">
        <v>161</v>
      </c>
      <c r="GD10048" s="1" t="s">
        <v>189</v>
      </c>
      <c r="GE10048" s="1" t="s">
        <v>14168</v>
      </c>
    </row>
    <row r="10049" spans="1:187" ht="11.25" customHeight="1">
      <c r="A10049" s="1" t="s">
        <v>14169</v>
      </c>
      <c r="B10049" s="1" t="str">
        <f ca="1">IFERROR(__xludf.DUMMYFUNCTION("GOOGLETRANSLATE(A10049, ""en"", ""fr"")"),"Étude n ° 2")</f>
        <v>Étude n ° 2</v>
      </c>
      <c r="C10049" s="1" t="s">
        <v>185</v>
      </c>
      <c r="N10049" s="1" t="s">
        <v>10</v>
      </c>
      <c r="Y10049" s="1" t="s">
        <v>21</v>
      </c>
      <c r="BQ10049" s="1" t="s">
        <v>65</v>
      </c>
      <c r="FH10049" s="1" t="s">
        <v>160</v>
      </c>
      <c r="FI10049" s="1" t="s">
        <v>161</v>
      </c>
      <c r="GD10049" s="1" t="s">
        <v>193</v>
      </c>
      <c r="GE10049" s="1" t="s">
        <v>14170</v>
      </c>
    </row>
    <row r="10050" spans="1:187" ht="11.25" customHeight="1">
      <c r="A10050" s="1" t="s">
        <v>14171</v>
      </c>
      <c r="B10050" s="1" t="str">
        <f ca="1">IFERROR(__xludf.DUMMYFUNCTION("GOOGLETRANSLATE(A10050, ""en"", ""fr"")"),"Étude n ° 3")</f>
        <v>Étude n ° 3</v>
      </c>
      <c r="C10050" s="1" t="s">
        <v>185</v>
      </c>
      <c r="E10050" s="1" t="s">
        <v>16613</v>
      </c>
      <c r="H10050" s="1" t="s">
        <v>4</v>
      </c>
      <c r="N10050" s="1" t="s">
        <v>10</v>
      </c>
      <c r="V10050" s="1" t="s">
        <v>18</v>
      </c>
      <c r="GD10050" s="1" t="s">
        <v>202</v>
      </c>
      <c r="GE10050" s="1" t="s">
        <v>14172</v>
      </c>
    </row>
    <row r="10051" spans="1:187" ht="11.25" customHeight="1">
      <c r="A10051" s="1" t="s">
        <v>14173</v>
      </c>
      <c r="B10051" s="1" t="str">
        <f ca="1">IFERROR(__xludf.DUMMYFUNCTION("GOOGLETRANSLATE(A10051, ""en"", ""fr"")"),"Étude n ° 4")</f>
        <v>Étude n ° 4</v>
      </c>
      <c r="C10051" s="1" t="s">
        <v>185</v>
      </c>
      <c r="N10051" s="1" t="s">
        <v>10</v>
      </c>
      <c r="Y10051" s="1" t="s">
        <v>21</v>
      </c>
      <c r="BQ10051" s="1" t="s">
        <v>65</v>
      </c>
      <c r="FH10051" s="1" t="s">
        <v>160</v>
      </c>
      <c r="FI10051" s="1" t="s">
        <v>161</v>
      </c>
      <c r="GD10051" s="1" t="s">
        <v>193</v>
      </c>
      <c r="GE10051" s="1" t="s">
        <v>14174</v>
      </c>
    </row>
    <row r="10052" spans="1:187" ht="11.25" customHeight="1">
      <c r="A10052" s="1" t="s">
        <v>14175</v>
      </c>
      <c r="B10052" s="1" t="str">
        <f ca="1">IFERROR(__xludf.DUMMYFUNCTION("GOOGLETRANSLATE(A10052, ""en"", ""fr"")"),"Trucs # 1")</f>
        <v>Trucs # 1</v>
      </c>
      <c r="C10052" s="1" t="s">
        <v>185</v>
      </c>
      <c r="BC10052" s="1" t="s">
        <v>51</v>
      </c>
      <c r="BI10052" s="1" t="s">
        <v>57</v>
      </c>
      <c r="GD10052" s="1" t="s">
        <v>193</v>
      </c>
      <c r="GE10052" s="1" t="s">
        <v>14176</v>
      </c>
    </row>
    <row r="10053" spans="1:187" ht="11.25" customHeight="1">
      <c r="A10053" s="1" t="s">
        <v>14177</v>
      </c>
      <c r="B10053" s="1" t="str">
        <f ca="1">IFERROR(__xludf.DUMMYFUNCTION("GOOGLETRANSLATE(A10053, ""en"", ""fr"")"),"Trucs # 2")</f>
        <v>Trucs # 2</v>
      </c>
      <c r="C10053" s="1" t="s">
        <v>185</v>
      </c>
      <c r="J10053" s="1" t="s">
        <v>6</v>
      </c>
      <c r="N10053" s="1" t="s">
        <v>10</v>
      </c>
      <c r="DA10053" s="1" t="s">
        <v>101</v>
      </c>
      <c r="DN10053" s="1" t="s">
        <v>114</v>
      </c>
      <c r="GD10053" s="1" t="s">
        <v>189</v>
      </c>
      <c r="GE10053" s="1" t="s">
        <v>14178</v>
      </c>
    </row>
    <row r="10054" spans="1:187" ht="11.25" customHeight="1">
      <c r="A10054" s="1" t="s">
        <v>14179</v>
      </c>
      <c r="B10054" s="1" t="str">
        <f ca="1">IFERROR(__xludf.DUMMYFUNCTION("GOOGLETRANSLATE(A10054, ""en"", ""fr"")"),"Trucs # 3")</f>
        <v>Trucs # 3</v>
      </c>
      <c r="C10054" s="1" t="s">
        <v>185</v>
      </c>
      <c r="CH10054" s="1" t="s">
        <v>82</v>
      </c>
      <c r="GD10054" s="1" t="s">
        <v>236</v>
      </c>
      <c r="GE10054" s="1" t="s">
        <v>14180</v>
      </c>
    </row>
    <row r="10055" spans="1:187" ht="11.25" customHeight="1">
      <c r="A10055" s="1" t="s">
        <v>14181</v>
      </c>
      <c r="B10055" s="1" t="str">
        <f ca="1">IFERROR(__xludf.DUMMYFUNCTION("GOOGLETRANSLATE(A10055, ""en"", ""fr"")"),"Trucs # 4")</f>
        <v>Trucs # 4</v>
      </c>
      <c r="C10055" s="1" t="s">
        <v>185</v>
      </c>
      <c r="O10055" s="1" t="s">
        <v>11</v>
      </c>
      <c r="CR10055" s="1" t="s">
        <v>92</v>
      </c>
      <c r="GD10055" s="1" t="s">
        <v>202</v>
      </c>
      <c r="GE10055" s="1" t="s">
        <v>14182</v>
      </c>
    </row>
    <row r="10056" spans="1:187" ht="11.25" customHeight="1">
      <c r="A10056" s="1" t="s">
        <v>14183</v>
      </c>
      <c r="B10056" s="1" t="str">
        <f ca="1">IFERROR(__xludf.DUMMYFUNCTION("GOOGLETRANSLATE(A10056, ""en"", ""fr"")"),"Trucs # 5")</f>
        <v>Trucs # 5</v>
      </c>
      <c r="C10056" s="1" t="s">
        <v>185</v>
      </c>
      <c r="BC10056" s="1" t="s">
        <v>51</v>
      </c>
      <c r="BD10056" s="1" t="s">
        <v>52</v>
      </c>
      <c r="GD10056" s="1" t="s">
        <v>193</v>
      </c>
      <c r="GE10056" s="1" t="s">
        <v>14184</v>
      </c>
    </row>
    <row r="10057" spans="1:187" ht="11.25" customHeight="1">
      <c r="A10057" s="1" t="s">
        <v>14185</v>
      </c>
      <c r="B10057" s="1" t="str">
        <f ca="1">IFERROR(__xludf.DUMMYFUNCTION("GOOGLETRANSLATE(A10057, ""en"", ""fr"")"),"BOUCHÉ")</f>
        <v>BOUCHÉ</v>
      </c>
      <c r="C10057" s="1" t="s">
        <v>185</v>
      </c>
      <c r="E10057" s="1" t="s">
        <v>16613</v>
      </c>
      <c r="H10057" s="1" t="s">
        <v>4</v>
      </c>
      <c r="V10057" s="1" t="s">
        <v>18</v>
      </c>
      <c r="GD10057" s="1" t="s">
        <v>202</v>
      </c>
      <c r="GE10057" s="1" t="s">
        <v>190</v>
      </c>
    </row>
    <row r="10058" spans="1:187" ht="11.25" customHeight="1">
      <c r="A10058" s="1" t="s">
        <v>14186</v>
      </c>
      <c r="B10058" s="1" t="str">
        <f ca="1">IFERROR(__xludf.DUMMYFUNCTION("GOOGLETRANSLATE(A10058, ""en"", ""fr"")"),"TRÉBUCHER")</f>
        <v>TRÉBUCHER</v>
      </c>
      <c r="C10058" s="1" t="s">
        <v>185</v>
      </c>
      <c r="L10058" s="1" t="s">
        <v>8</v>
      </c>
      <c r="O10058" s="1" t="s">
        <v>11</v>
      </c>
      <c r="CF10058" s="1" t="s">
        <v>80</v>
      </c>
      <c r="DN10058" s="1" t="s">
        <v>114</v>
      </c>
      <c r="FO10058" s="1" t="s">
        <v>167</v>
      </c>
      <c r="GD10058" s="1" t="s">
        <v>189</v>
      </c>
      <c r="GE10058" s="1" t="s">
        <v>190</v>
      </c>
    </row>
    <row r="10059" spans="1:187" ht="11.25" customHeight="1">
      <c r="A10059" s="1" t="s">
        <v>14187</v>
      </c>
      <c r="B10059" s="1" t="str">
        <f ca="1">IFERROR(__xludf.DUMMYFUNCTION("GOOGLETRANSLATE(A10059, ""en"", ""fr"")"),"ÉTOURDIR")</f>
        <v>ÉTOURDIR</v>
      </c>
      <c r="C10059" s="1" t="s">
        <v>185</v>
      </c>
      <c r="I10059" s="1" t="s">
        <v>5</v>
      </c>
      <c r="J10059" s="1" t="s">
        <v>6</v>
      </c>
      <c r="AN10059" s="1" t="s">
        <v>36</v>
      </c>
      <c r="DN10059" s="1" t="s">
        <v>114</v>
      </c>
      <c r="GD10059" s="1" t="s">
        <v>189</v>
      </c>
      <c r="GE10059" s="1" t="s">
        <v>190</v>
      </c>
    </row>
    <row r="10060" spans="1:187" ht="11.25" customHeight="1">
      <c r="A10060" s="1" t="s">
        <v>14188</v>
      </c>
      <c r="B10060" s="1" t="str">
        <f ca="1">IFERROR(__xludf.DUMMYFUNCTION("GOOGLETRANSLATE(A10060, ""en"", ""fr"")"),"CASCADE")</f>
        <v>CASCADE</v>
      </c>
      <c r="C10060" s="1" t="s">
        <v>192</v>
      </c>
      <c r="E10060" s="1" t="s">
        <v>16613</v>
      </c>
      <c r="V10060" s="1" t="s">
        <v>18</v>
      </c>
      <c r="GD10060" s="1" t="s">
        <v>193</v>
      </c>
      <c r="GE10060" s="1" t="s">
        <v>190</v>
      </c>
    </row>
    <row r="10061" spans="1:187" ht="11.25" customHeight="1">
      <c r="A10061" s="1" t="s">
        <v>14189</v>
      </c>
      <c r="B10061" s="1" t="str">
        <f ca="1">IFERROR(__xludf.DUMMYFUNCTION("GOOGLETRANSLATE(A10061, ""en"", ""fr"")"),"PRODIGIEUX")</f>
        <v>PRODIGIEUX</v>
      </c>
      <c r="C10061" s="1" t="s">
        <v>192</v>
      </c>
      <c r="D10061" s="1" t="s">
        <v>16612</v>
      </c>
      <c r="U10061" s="1" t="s">
        <v>17</v>
      </c>
      <c r="DR10061" s="1" t="s">
        <v>118</v>
      </c>
      <c r="GD10061" s="1" t="s">
        <v>202</v>
      </c>
      <c r="GE10061" s="1" t="s">
        <v>190</v>
      </c>
    </row>
    <row r="10062" spans="1:187" ht="11.25" customHeight="1">
      <c r="A10062" s="1" t="s">
        <v>14190</v>
      </c>
      <c r="B10062" s="1" t="str">
        <f ca="1">IFERROR(__xludf.DUMMYFUNCTION("GOOGLETRANSLATE(A10062, ""en"", ""fr"")"),"Stupide # 1")</f>
        <v>Stupide # 1</v>
      </c>
      <c r="C10062" s="1" t="s">
        <v>185</v>
      </c>
      <c r="E10062" s="1" t="s">
        <v>16613</v>
      </c>
      <c r="H10062" s="1" t="s">
        <v>4</v>
      </c>
      <c r="V10062" s="1" t="s">
        <v>18</v>
      </c>
      <c r="CN10062" s="1" t="s">
        <v>88</v>
      </c>
      <c r="FL10062" s="1" t="s">
        <v>164</v>
      </c>
      <c r="FM10062" s="1" t="s">
        <v>418</v>
      </c>
      <c r="GD10062" s="1" t="s">
        <v>421</v>
      </c>
      <c r="GE10062" s="1" t="s">
        <v>14191</v>
      </c>
    </row>
    <row r="10063" spans="1:187" ht="11.25" customHeight="1">
      <c r="A10063" s="1" t="s">
        <v>14192</v>
      </c>
      <c r="B10063" s="1" t="str">
        <f ca="1">IFERROR(__xludf.DUMMYFUNCTION("GOOGLETRANSLATE(A10063, ""en"", ""fr"")"),"Stupide # 2")</f>
        <v>Stupide # 2</v>
      </c>
      <c r="C10063" s="1" t="s">
        <v>185</v>
      </c>
      <c r="E10063" s="1" t="s">
        <v>16613</v>
      </c>
      <c r="H10063" s="1" t="s">
        <v>4</v>
      </c>
      <c r="V10063" s="1" t="s">
        <v>18</v>
      </c>
      <c r="CN10063" s="1" t="s">
        <v>88</v>
      </c>
      <c r="FL10063" s="1" t="s">
        <v>164</v>
      </c>
      <c r="FM10063" s="1" t="s">
        <v>418</v>
      </c>
      <c r="GD10063" s="1" t="s">
        <v>202</v>
      </c>
      <c r="GE10063" s="1" t="s">
        <v>14193</v>
      </c>
    </row>
    <row r="10064" spans="1:187" ht="11.25" customHeight="1">
      <c r="A10064" s="1" t="s">
        <v>14194</v>
      </c>
      <c r="B10064" s="1" t="str">
        <f ca="1">IFERROR(__xludf.DUMMYFUNCTION("GOOGLETRANSLATE(A10064, ""en"", ""fr"")"),"Stupide # 3")</f>
        <v>Stupide # 3</v>
      </c>
      <c r="C10064" s="1" t="s">
        <v>185</v>
      </c>
      <c r="E10064" s="1" t="s">
        <v>16613</v>
      </c>
      <c r="H10064" s="1" t="s">
        <v>4</v>
      </c>
      <c r="V10064" s="1" t="s">
        <v>18</v>
      </c>
      <c r="FL10064" s="1" t="s">
        <v>164</v>
      </c>
      <c r="FM10064" s="1" t="s">
        <v>418</v>
      </c>
      <c r="GD10064" s="1" t="s">
        <v>236</v>
      </c>
      <c r="GE10064" s="1" t="s">
        <v>14195</v>
      </c>
    </row>
    <row r="10065" spans="1:187" ht="11.25" customHeight="1">
      <c r="A10065" s="1" t="s">
        <v>14196</v>
      </c>
      <c r="B10065" s="1" t="str">
        <f ca="1">IFERROR(__xludf.DUMMYFUNCTION("GOOGLETRANSLATE(A10065, ""en"", ""fr"")"),"STUPIDITÉ")</f>
        <v>STUPIDITÉ</v>
      </c>
      <c r="C10065" s="1" t="s">
        <v>185</v>
      </c>
      <c r="E10065" s="1" t="s">
        <v>16613</v>
      </c>
      <c r="H10065" s="1" t="s">
        <v>4</v>
      </c>
      <c r="V10065" s="1" t="s">
        <v>18</v>
      </c>
      <c r="GD10065" s="1" t="s">
        <v>193</v>
      </c>
      <c r="GE10065" s="1" t="s">
        <v>190</v>
      </c>
    </row>
    <row r="10066" spans="1:187" ht="11.25" customHeight="1">
      <c r="A10066" s="1" t="s">
        <v>14197</v>
      </c>
      <c r="B10066" s="1" t="str">
        <f ca="1">IFERROR(__xludf.DUMMYFUNCTION("GOOGLETRANSLATE(A10066, ""en"", ""fr"")"),"STUPEUR")</f>
        <v>STUPEUR</v>
      </c>
      <c r="C10066" s="1" t="s">
        <v>192</v>
      </c>
      <c r="E10066" s="1" t="s">
        <v>16613</v>
      </c>
      <c r="BT10066" s="1" t="s">
        <v>68</v>
      </c>
      <c r="CG10066" s="1" t="s">
        <v>81</v>
      </c>
      <c r="GD10066" s="1" t="s">
        <v>193</v>
      </c>
      <c r="GE10066" s="1" t="s">
        <v>190</v>
      </c>
    </row>
    <row r="10067" spans="1:187" ht="11.25" customHeight="1">
      <c r="A10067" s="1" t="s">
        <v>14198</v>
      </c>
      <c r="B10067" s="1" t="str">
        <f ca="1">IFERROR(__xludf.DUMMYFUNCTION("GOOGLETRANSLATE(A10067, ""en"", ""fr"")"),"ROBUSTE")</f>
        <v>ROBUSTE</v>
      </c>
      <c r="C10067" s="1" t="s">
        <v>185</v>
      </c>
      <c r="D10067" s="1" t="s">
        <v>16612</v>
      </c>
      <c r="F10067" s="1" t="s">
        <v>2</v>
      </c>
      <c r="J10067" s="1" t="s">
        <v>6</v>
      </c>
      <c r="K10067" s="1" t="s">
        <v>7</v>
      </c>
      <c r="CR10067" s="1" t="s">
        <v>92</v>
      </c>
      <c r="GD10067" s="1" t="s">
        <v>202</v>
      </c>
      <c r="GE10067" s="1" t="s">
        <v>190</v>
      </c>
    </row>
    <row r="10068" spans="1:187" ht="11.25" customHeight="1">
      <c r="A10068" s="1" t="s">
        <v>14199</v>
      </c>
      <c r="B10068" s="1" t="str">
        <f ca="1">IFERROR(__xludf.DUMMYFUNCTION("GOOGLETRANSLATE(A10068, ""en"", ""fr"")"),"STYLE")</f>
        <v>STYLE</v>
      </c>
      <c r="C10068" s="1" t="s">
        <v>185</v>
      </c>
      <c r="CR10068" s="1" t="s">
        <v>92</v>
      </c>
      <c r="GD10068" s="1" t="s">
        <v>193</v>
      </c>
      <c r="GE10068" s="1" t="s">
        <v>190</v>
      </c>
    </row>
    <row r="10069" spans="1:187" ht="11.25" customHeight="1">
      <c r="A10069" s="1" t="s">
        <v>14200</v>
      </c>
      <c r="B10069" s="1" t="str">
        <f ca="1">IFERROR(__xludf.DUMMYFUNCTION("GOOGLETRANSLATE(A10069, ""en"", ""fr"")"),"ÉLÉGANT")</f>
        <v>ÉLÉGANT</v>
      </c>
      <c r="C10069" s="1" t="s">
        <v>192</v>
      </c>
      <c r="D10069" s="1" t="s">
        <v>16612</v>
      </c>
      <c r="U10069" s="1" t="s">
        <v>17</v>
      </c>
      <c r="DR10069" s="1" t="s">
        <v>118</v>
      </c>
      <c r="GD10069" s="1" t="s">
        <v>202</v>
      </c>
      <c r="GE10069" s="1" t="s">
        <v>190</v>
      </c>
    </row>
    <row r="10070" spans="1:187" ht="11.25" customHeight="1">
      <c r="A10070" s="1" t="s">
        <v>14201</v>
      </c>
      <c r="B10070" s="1" t="str">
        <f ca="1">IFERROR(__xludf.DUMMYFUNCTION("GOOGLETRANSLATE(A10070, ""en"", ""fr"")"),"Suave")</f>
        <v>Suave</v>
      </c>
      <c r="C10070" s="1" t="s">
        <v>192</v>
      </c>
      <c r="D10070" s="1" t="s">
        <v>16612</v>
      </c>
      <c r="J10070" s="1" t="s">
        <v>6</v>
      </c>
      <c r="U10070" s="1" t="s">
        <v>17</v>
      </c>
      <c r="DQ10070" s="1" t="s">
        <v>117</v>
      </c>
      <c r="GD10070" s="1" t="s">
        <v>202</v>
      </c>
      <c r="GE10070" s="1" t="s">
        <v>190</v>
      </c>
    </row>
    <row r="10071" spans="1:187" ht="11.25" customHeight="1">
      <c r="A10071" s="1" t="s">
        <v>14202</v>
      </c>
      <c r="B10071" s="1" t="str">
        <f ca="1">IFERROR(__xludf.DUMMYFUNCTION("GOOGLETRANSLATE(A10071, ""en"", ""fr"")"),"MAÎTRISER")</f>
        <v>MAÎTRISER</v>
      </c>
      <c r="C10071" s="1" t="s">
        <v>185</v>
      </c>
      <c r="I10071" s="1" t="s">
        <v>5</v>
      </c>
      <c r="J10071" s="1" t="s">
        <v>6</v>
      </c>
      <c r="K10071" s="1" t="s">
        <v>7</v>
      </c>
      <c r="N10071" s="1" t="s">
        <v>10</v>
      </c>
      <c r="AN10071" s="1" t="s">
        <v>36</v>
      </c>
      <c r="DN10071" s="1" t="s">
        <v>114</v>
      </c>
      <c r="DT10071" s="1" t="s">
        <v>120</v>
      </c>
      <c r="ED10071" s="1" t="s">
        <v>130</v>
      </c>
      <c r="GD10071" s="1" t="s">
        <v>189</v>
      </c>
      <c r="GE10071" s="1" t="s">
        <v>190</v>
      </c>
    </row>
    <row r="10072" spans="1:187" ht="11.25" customHeight="1">
      <c r="A10072" s="1" t="s">
        <v>14203</v>
      </c>
      <c r="B10072" s="1" t="str">
        <f ca="1">IFERROR(__xludf.DUMMYFUNCTION("GOOGLETRANSLATE(A10072, ""en"", ""fr"")"),"Sujet n ° 1")</f>
        <v>Sujet n ° 1</v>
      </c>
      <c r="C10072" s="1" t="s">
        <v>196</v>
      </c>
      <c r="FG10072" s="1" t="s">
        <v>159</v>
      </c>
      <c r="FI10072" s="1" t="s">
        <v>161</v>
      </c>
      <c r="GD10072" s="1" t="s">
        <v>3376</v>
      </c>
    </row>
    <row r="10073" spans="1:187" ht="11.25" customHeight="1">
      <c r="A10073" s="1" t="s">
        <v>14204</v>
      </c>
      <c r="B10073" s="1" t="str">
        <f ca="1">IFERROR(__xludf.DUMMYFUNCTION("GOOGLETRANSLATE(A10073, ""en"", ""fr"")"),"Sujet n ° 2")</f>
        <v>Sujet n ° 2</v>
      </c>
      <c r="C10073" s="1" t="s">
        <v>196</v>
      </c>
      <c r="GD10073" s="1" t="s">
        <v>202</v>
      </c>
    </row>
    <row r="10074" spans="1:187" ht="11.25" customHeight="1">
      <c r="A10074" s="1" t="s">
        <v>14205</v>
      </c>
      <c r="B10074" s="1" t="str">
        <f ca="1">IFERROR(__xludf.DUMMYFUNCTION("GOOGLETRANSLATE(A10074, ""en"", ""fr"")"),"Sujet n ° 3")</f>
        <v>Sujet n ° 3</v>
      </c>
      <c r="C10074" s="1" t="s">
        <v>196</v>
      </c>
      <c r="FP10074" s="1" t="s">
        <v>168</v>
      </c>
      <c r="GD10074" s="1" t="s">
        <v>189</v>
      </c>
    </row>
    <row r="10075" spans="1:187" ht="11.25" customHeight="1">
      <c r="A10075" s="1" t="s">
        <v>14206</v>
      </c>
      <c r="B10075" s="1" t="str">
        <f ca="1">IFERROR(__xludf.DUMMYFUNCTION("GOOGLETRANSLATE(A10075, ""en"", ""fr"")"),"SUJÉTION")</f>
        <v>SUJÉTION</v>
      </c>
      <c r="C10075" s="1" t="s">
        <v>192</v>
      </c>
      <c r="E10075" s="1" t="s">
        <v>16613</v>
      </c>
      <c r="L10075" s="1" t="s">
        <v>8</v>
      </c>
      <c r="M10075" s="1" t="s">
        <v>9</v>
      </c>
      <c r="GD10075" s="1" t="s">
        <v>193</v>
      </c>
      <c r="GE10075" s="1" t="s">
        <v>190</v>
      </c>
    </row>
    <row r="10076" spans="1:187" ht="11.25" customHeight="1">
      <c r="A10076" s="1" t="s">
        <v>14207</v>
      </c>
      <c r="B10076" s="1" t="str">
        <f ca="1">IFERROR(__xludf.DUMMYFUNCTION("GOOGLETRANSLATE(A10076, ""en"", ""fr"")"),"SUBJECTIF")</f>
        <v>SUBJECTIF</v>
      </c>
      <c r="C10076" s="1" t="s">
        <v>185</v>
      </c>
      <c r="CH10076" s="1" t="s">
        <v>82</v>
      </c>
      <c r="GD10076" s="1" t="s">
        <v>202</v>
      </c>
      <c r="GE10076" s="1" t="s">
        <v>190</v>
      </c>
    </row>
    <row r="10077" spans="1:187" ht="11.25" customHeight="1">
      <c r="A10077" s="1" t="s">
        <v>14208</v>
      </c>
      <c r="B10077" s="1" t="str">
        <f ca="1">IFERROR(__xludf.DUMMYFUNCTION("GOOGLETRANSLATE(A10077, ""en"", ""fr"")"),"SOUMETTRE")</f>
        <v>SOUMETTRE</v>
      </c>
      <c r="C10077" s="1" t="s">
        <v>192</v>
      </c>
      <c r="E10077" s="1" t="s">
        <v>16613</v>
      </c>
      <c r="L10077" s="1" t="s">
        <v>8</v>
      </c>
      <c r="M10077" s="1" t="s">
        <v>9</v>
      </c>
      <c r="O10077" s="1" t="s">
        <v>11</v>
      </c>
      <c r="AN10077" s="1" t="s">
        <v>36</v>
      </c>
      <c r="DN10077" s="1" t="s">
        <v>114</v>
      </c>
      <c r="GD10077" s="1" t="s">
        <v>189</v>
      </c>
      <c r="GE10077" s="1" t="s">
        <v>190</v>
      </c>
    </row>
    <row r="10078" spans="1:187" ht="11.25" customHeight="1">
      <c r="A10078" s="1" t="s">
        <v>14209</v>
      </c>
      <c r="B10078" s="1" t="str">
        <f ca="1">IFERROR(__xludf.DUMMYFUNCTION("GOOGLETRANSLATE(A10078, ""en"", ""fr"")"),"ASSUJETTISSEMENT")</f>
        <v>ASSUJETTISSEMENT</v>
      </c>
      <c r="C10078" s="1" t="s">
        <v>185</v>
      </c>
      <c r="E10078" s="1" t="s">
        <v>16613</v>
      </c>
      <c r="L10078" s="1" t="s">
        <v>8</v>
      </c>
      <c r="M10078" s="1" t="s">
        <v>9</v>
      </c>
      <c r="AN10078" s="1" t="s">
        <v>36</v>
      </c>
      <c r="DT10078" s="1" t="s">
        <v>120</v>
      </c>
      <c r="ED10078" s="1" t="s">
        <v>130</v>
      </c>
      <c r="GD10078" s="1" t="s">
        <v>193</v>
      </c>
      <c r="GE10078" s="1" t="s">
        <v>190</v>
      </c>
    </row>
    <row r="10079" spans="1:187" ht="11.25" customHeight="1">
      <c r="A10079" s="1" t="s">
        <v>14210</v>
      </c>
      <c r="B10079" s="1" t="str">
        <f ca="1">IFERROR(__xludf.DUMMYFUNCTION("GOOGLETRANSLATE(A10079, ""en"", ""fr"")"),"SUBLIME")</f>
        <v>SUBLIME</v>
      </c>
      <c r="C10079" s="1" t="s">
        <v>185</v>
      </c>
      <c r="D10079" s="1" t="s">
        <v>16612</v>
      </c>
      <c r="P10079" s="1" t="s">
        <v>12</v>
      </c>
      <c r="DR10079" s="1" t="s">
        <v>118</v>
      </c>
      <c r="EM10079" s="1" t="s">
        <v>139</v>
      </c>
      <c r="EN10079" s="1" t="s">
        <v>140</v>
      </c>
      <c r="GD10079" s="1" t="s">
        <v>202</v>
      </c>
      <c r="GE10079" s="1" t="s">
        <v>190</v>
      </c>
    </row>
    <row r="10080" spans="1:187" ht="11.25" customHeight="1">
      <c r="A10080" s="1" t="s">
        <v>14211</v>
      </c>
      <c r="B10080" s="1" t="str">
        <f ca="1">IFERROR(__xludf.DUMMYFUNCTION("GOOGLETRANSLATE(A10080, ""en"", ""fr"")"),"Sous-marin")</f>
        <v>Sous-marin</v>
      </c>
      <c r="C10080" s="1" t="s">
        <v>185</v>
      </c>
      <c r="AF10080" s="1" t="s">
        <v>28</v>
      </c>
      <c r="AH10080" s="1" t="s">
        <v>30</v>
      </c>
      <c r="BC10080" s="1" t="s">
        <v>51</v>
      </c>
      <c r="BF10080" s="1" t="s">
        <v>54</v>
      </c>
      <c r="DW10080" s="1" t="s">
        <v>123</v>
      </c>
      <c r="ED10080" s="1" t="s">
        <v>130</v>
      </c>
      <c r="GD10080" s="1" t="s">
        <v>193</v>
      </c>
      <c r="GE10080" s="1" t="s">
        <v>190</v>
      </c>
    </row>
    <row r="10081" spans="1:187" ht="11.25" customHeight="1">
      <c r="A10081" s="1" t="s">
        <v>14212</v>
      </c>
      <c r="B10081" s="1" t="str">
        <f ca="1">IFERROR(__xludf.DUMMYFUNCTION("GOOGLETRANSLATE(A10081, ""en"", ""fr"")"),"SUBMERGER")</f>
        <v>SUBMERGER</v>
      </c>
      <c r="C10081" s="1" t="s">
        <v>185</v>
      </c>
      <c r="CF10081" s="1" t="s">
        <v>80</v>
      </c>
      <c r="DN10081" s="1" t="s">
        <v>114</v>
      </c>
      <c r="GD10081" s="1" t="s">
        <v>189</v>
      </c>
      <c r="GE10081" s="1" t="s">
        <v>190</v>
      </c>
    </row>
    <row r="10082" spans="1:187" ht="11.25" customHeight="1">
      <c r="A10082" s="1" t="s">
        <v>14213</v>
      </c>
      <c r="B10082" s="1" t="str">
        <f ca="1">IFERROR(__xludf.DUMMYFUNCTION("GOOGLETRANSLATE(A10082, ""en"", ""fr"")"),"SOUMISSION")</f>
        <v>SOUMISSION</v>
      </c>
      <c r="C10082" s="1" t="s">
        <v>196</v>
      </c>
      <c r="EC10082" s="1" t="s">
        <v>129</v>
      </c>
      <c r="ED10082" s="1" t="s">
        <v>130</v>
      </c>
      <c r="GD10082" s="1" t="s">
        <v>470</v>
      </c>
    </row>
    <row r="10083" spans="1:187" ht="11.25" customHeight="1">
      <c r="A10083" s="1" t="s">
        <v>14214</v>
      </c>
      <c r="B10083" s="1" t="str">
        <f ca="1">IFERROR(__xludf.DUMMYFUNCTION("GOOGLETRANSLATE(A10083, ""en"", ""fr"")"),"SOUMIS")</f>
        <v>SOUMIS</v>
      </c>
      <c r="C10083" s="1" t="s">
        <v>192</v>
      </c>
      <c r="E10083" s="1" t="s">
        <v>16613</v>
      </c>
      <c r="L10083" s="1" t="s">
        <v>8</v>
      </c>
      <c r="M10083" s="1" t="s">
        <v>9</v>
      </c>
      <c r="AN10083" s="1" t="s">
        <v>36</v>
      </c>
      <c r="DQ10083" s="1" t="s">
        <v>117</v>
      </c>
      <c r="GD10083" s="1" t="s">
        <v>202</v>
      </c>
      <c r="GE10083" s="1" t="s">
        <v>190</v>
      </c>
    </row>
    <row r="10084" spans="1:187" ht="11.25" customHeight="1">
      <c r="A10084" s="1" t="s">
        <v>14215</v>
      </c>
      <c r="B10084" s="1" t="str">
        <f ca="1">IFERROR(__xludf.DUMMYFUNCTION("GOOGLETRANSLATE(A10084, ""en"", ""fr"")"),"SOUMETTRE")</f>
        <v>SOUMETTRE</v>
      </c>
      <c r="C10084" s="1" t="s">
        <v>185</v>
      </c>
      <c r="L10084" s="1" t="s">
        <v>8</v>
      </c>
      <c r="M10084" s="1" t="s">
        <v>9</v>
      </c>
      <c r="O10084" s="1" t="s">
        <v>11</v>
      </c>
      <c r="AN10084" s="1" t="s">
        <v>36</v>
      </c>
      <c r="DN10084" s="1" t="s">
        <v>114</v>
      </c>
      <c r="FP10084" s="1" t="s">
        <v>168</v>
      </c>
      <c r="GD10084" s="1" t="s">
        <v>189</v>
      </c>
      <c r="GE10084" s="1" t="s">
        <v>190</v>
      </c>
    </row>
    <row r="10085" spans="1:187" ht="11.25" customHeight="1">
      <c r="A10085" s="1" t="s">
        <v>14216</v>
      </c>
      <c r="B10085" s="1" t="str">
        <f ca="1">IFERROR(__xludf.DUMMYFUNCTION("GOOGLETRANSLATE(A10085, ""en"", ""fr"")"),"SUBALTERNE")</f>
        <v>SUBALTERNE</v>
      </c>
      <c r="C10085" s="1" t="s">
        <v>185</v>
      </c>
      <c r="L10085" s="1" t="s">
        <v>8</v>
      </c>
      <c r="M10085" s="1" t="s">
        <v>9</v>
      </c>
      <c r="O10085" s="1" t="s">
        <v>11</v>
      </c>
      <c r="AJ10085" s="1" t="s">
        <v>32</v>
      </c>
      <c r="AT10085" s="1" t="s">
        <v>42</v>
      </c>
      <c r="EC10085" s="1" t="s">
        <v>129</v>
      </c>
      <c r="ED10085" s="1" t="s">
        <v>130</v>
      </c>
      <c r="GD10085" s="1" t="s">
        <v>193</v>
      </c>
      <c r="GE10085" s="1" t="s">
        <v>190</v>
      </c>
    </row>
    <row r="10086" spans="1:187" ht="11.25" customHeight="1">
      <c r="A10086" s="1" t="s">
        <v>14217</v>
      </c>
      <c r="B10086" s="1" t="str">
        <f ca="1">IFERROR(__xludf.DUMMYFUNCTION("GOOGLETRANSLATE(A10086, ""en"", ""fr"")"),"SUBORDINATION")</f>
        <v>SUBORDINATION</v>
      </c>
      <c r="C10086" s="1" t="s">
        <v>196</v>
      </c>
      <c r="EC10086" s="1" t="s">
        <v>129</v>
      </c>
      <c r="ED10086" s="1" t="s">
        <v>130</v>
      </c>
      <c r="GD10086" s="1" t="s">
        <v>470</v>
      </c>
    </row>
    <row r="10087" spans="1:187" ht="11.25" customHeight="1">
      <c r="A10087" s="1" t="s">
        <v>14218</v>
      </c>
      <c r="B10087" s="1" t="str">
        <f ca="1">IFERROR(__xludf.DUMMYFUNCTION("GOOGLETRANSLATE(A10087, ""en"", ""fr"")"),"S'ABONNER")</f>
        <v>S'ABONNER</v>
      </c>
      <c r="C10087" s="1" t="s">
        <v>192</v>
      </c>
      <c r="D10087" s="1" t="s">
        <v>16612</v>
      </c>
      <c r="G10087" s="1" t="s">
        <v>3</v>
      </c>
      <c r="N10087" s="1" t="s">
        <v>10</v>
      </c>
      <c r="AK10087" s="1" t="s">
        <v>33</v>
      </c>
      <c r="DN10087" s="1" t="s">
        <v>114</v>
      </c>
      <c r="GD10087" s="1" t="s">
        <v>189</v>
      </c>
      <c r="GE10087" s="1" t="s">
        <v>190</v>
      </c>
    </row>
    <row r="10088" spans="1:187" ht="11.25" customHeight="1">
      <c r="A10088" s="1" t="s">
        <v>14219</v>
      </c>
      <c r="B10088" s="1" t="str">
        <f ca="1">IFERROR(__xludf.DUMMYFUNCTION("GOOGLETRANSLATE(A10088, ""en"", ""fr"")"),"ABONNÉ")</f>
        <v>ABONNÉ</v>
      </c>
      <c r="C10088" s="1" t="s">
        <v>185</v>
      </c>
      <c r="AA10088" s="1" t="s">
        <v>23</v>
      </c>
      <c r="AJ10088" s="1" t="s">
        <v>32</v>
      </c>
      <c r="AT10088" s="1" t="s">
        <v>42</v>
      </c>
      <c r="FG10088" s="1" t="s">
        <v>159</v>
      </c>
      <c r="FI10088" s="1" t="s">
        <v>161</v>
      </c>
      <c r="GD10088" s="1" t="s">
        <v>193</v>
      </c>
      <c r="GE10088" s="1" t="s">
        <v>190</v>
      </c>
    </row>
    <row r="10089" spans="1:187" ht="11.25" customHeight="1">
      <c r="A10089" s="1" t="s">
        <v>14220</v>
      </c>
      <c r="B10089" s="1" t="str">
        <f ca="1">IFERROR(__xludf.DUMMYFUNCTION("GOOGLETRANSLATE(A10089, ""en"", ""fr"")"),"ABONNEMENT")</f>
        <v>ABONNEMENT</v>
      </c>
      <c r="C10089" s="1" t="s">
        <v>192</v>
      </c>
      <c r="D10089" s="1" t="s">
        <v>16612</v>
      </c>
      <c r="G10089" s="1" t="s">
        <v>3</v>
      </c>
      <c r="AK10089" s="1" t="s">
        <v>33</v>
      </c>
      <c r="GD10089" s="1" t="s">
        <v>193</v>
      </c>
      <c r="GE10089" s="1" t="s">
        <v>190</v>
      </c>
    </row>
    <row r="10090" spans="1:187" ht="11.25" customHeight="1">
      <c r="A10090" s="1" t="s">
        <v>14221</v>
      </c>
      <c r="B10090" s="1" t="str">
        <f ca="1">IFERROR(__xludf.DUMMYFUNCTION("GOOGLETRANSLATE(A10090, ""en"", ""fr"")"),"SUBSÉQUENT")</f>
        <v>SUBSÉQUENT</v>
      </c>
      <c r="C10090" s="1" t="s">
        <v>185</v>
      </c>
      <c r="CT10090" s="1" t="s">
        <v>94</v>
      </c>
      <c r="CU10090" s="1" t="s">
        <v>95</v>
      </c>
      <c r="CY10090" s="1" t="s">
        <v>99</v>
      </c>
      <c r="GD10090" s="1" t="s">
        <v>5766</v>
      </c>
      <c r="GE10090" s="1" t="s">
        <v>190</v>
      </c>
    </row>
    <row r="10091" spans="1:187" ht="11.25" customHeight="1">
      <c r="A10091" s="1" t="s">
        <v>14222</v>
      </c>
      <c r="B10091" s="1" t="str">
        <f ca="1">IFERROR(__xludf.DUMMYFUNCTION("GOOGLETRANSLATE(A10091, ""en"", ""fr"")"),"ASSERVISSEMENT")</f>
        <v>ASSERVISSEMENT</v>
      </c>
      <c r="C10091" s="1" t="s">
        <v>192</v>
      </c>
      <c r="E10091" s="1" t="s">
        <v>16613</v>
      </c>
      <c r="L10091" s="1" t="s">
        <v>8</v>
      </c>
      <c r="M10091" s="1" t="s">
        <v>9</v>
      </c>
      <c r="AN10091" s="1" t="s">
        <v>36</v>
      </c>
      <c r="GD10091" s="1" t="s">
        <v>193</v>
      </c>
      <c r="GE10091" s="1" t="s">
        <v>190</v>
      </c>
    </row>
    <row r="10092" spans="1:187" ht="11.25" customHeight="1">
      <c r="A10092" s="1" t="s">
        <v>14223</v>
      </c>
      <c r="B10092" s="1" t="str">
        <f ca="1">IFERROR(__xludf.DUMMYFUNCTION("GOOGLETRANSLATE(A10092, ""en"", ""fr"")"),"Substance")</f>
        <v>Substance</v>
      </c>
      <c r="C10092" s="1" t="s">
        <v>196</v>
      </c>
      <c r="EC10092" s="1" t="s">
        <v>129</v>
      </c>
      <c r="ED10092" s="1" t="s">
        <v>130</v>
      </c>
      <c r="GD10092" s="1" t="s">
        <v>193</v>
      </c>
    </row>
    <row r="10093" spans="1:187" ht="11.25" customHeight="1">
      <c r="A10093" s="1" t="s">
        <v>14224</v>
      </c>
      <c r="B10093" s="1" t="str">
        <f ca="1">IFERROR(__xludf.DUMMYFUNCTION("GOOGLETRANSLATE(A10093, ""en"", ""fr"")"),"SE CALMER")</f>
        <v>SE CALMER</v>
      </c>
      <c r="C10093" s="1" t="s">
        <v>192</v>
      </c>
      <c r="E10093" s="1" t="s">
        <v>16613</v>
      </c>
      <c r="N10093" s="1" t="s">
        <v>10</v>
      </c>
      <c r="BS10093" s="1" t="s">
        <v>67</v>
      </c>
      <c r="BY10093" s="1" t="s">
        <v>73</v>
      </c>
      <c r="DN10093" s="1" t="s">
        <v>114</v>
      </c>
      <c r="GD10093" s="1" t="s">
        <v>189</v>
      </c>
      <c r="GE10093" s="1" t="s">
        <v>190</v>
      </c>
    </row>
    <row r="10094" spans="1:187" ht="11.25" customHeight="1">
      <c r="A10094" s="1" t="s">
        <v>14225</v>
      </c>
      <c r="B10094" s="1" t="str">
        <f ca="1">IFERROR(__xludf.DUMMYFUNCTION("GOOGLETRANSLATE(A10094, ""en"", ""fr"")"),"SUBVENTIONNER")</f>
        <v>SUBVENTIONNER</v>
      </c>
      <c r="C10094" s="1" t="s">
        <v>192</v>
      </c>
      <c r="D10094" s="1" t="s">
        <v>16612</v>
      </c>
      <c r="G10094" s="1" t="s">
        <v>3</v>
      </c>
      <c r="N10094" s="1" t="s">
        <v>10</v>
      </c>
      <c r="AA10094" s="1" t="s">
        <v>23</v>
      </c>
      <c r="DN10094" s="1" t="s">
        <v>114</v>
      </c>
      <c r="GD10094" s="1" t="s">
        <v>670</v>
      </c>
      <c r="GE10094" s="1" t="s">
        <v>190</v>
      </c>
    </row>
    <row r="10095" spans="1:187" ht="11.25" customHeight="1">
      <c r="A10095" s="1" t="s">
        <v>14226</v>
      </c>
      <c r="B10095" s="1" t="str">
        <f ca="1">IFERROR(__xludf.DUMMYFUNCTION("GOOGLETRANSLATE(A10095, ""en"", ""fr"")"),"SUBVENTION")</f>
        <v>SUBVENTION</v>
      </c>
      <c r="C10095" s="1" t="s">
        <v>185</v>
      </c>
      <c r="D10095" s="1" t="s">
        <v>16612</v>
      </c>
      <c r="G10095" s="1" t="s">
        <v>3</v>
      </c>
      <c r="AA10095" s="1" t="s">
        <v>23</v>
      </c>
      <c r="EU10095" s="1" t="s">
        <v>147</v>
      </c>
      <c r="EW10095" s="1" t="s">
        <v>149</v>
      </c>
      <c r="GD10095" s="1" t="s">
        <v>193</v>
      </c>
      <c r="GE10095" s="1" t="s">
        <v>190</v>
      </c>
    </row>
    <row r="10096" spans="1:187" ht="11.25" customHeight="1">
      <c r="A10096" s="1" t="s">
        <v>14227</v>
      </c>
      <c r="B10096" s="1" t="str">
        <f ca="1">IFERROR(__xludf.DUMMYFUNCTION("GOOGLETRANSLATE(A10096, ""en"", ""fr"")"),"SUBSISTER")</f>
        <v>SUBSISTER</v>
      </c>
      <c r="C10096" s="1" t="s">
        <v>185</v>
      </c>
      <c r="D10096" s="1" t="s">
        <v>16612</v>
      </c>
      <c r="N10096" s="1" t="s">
        <v>10</v>
      </c>
      <c r="BU10096" s="1" t="s">
        <v>69</v>
      </c>
      <c r="DN10096" s="1" t="s">
        <v>114</v>
      </c>
      <c r="EY10096" s="1" t="s">
        <v>151</v>
      </c>
      <c r="FC10096" s="1" t="s">
        <v>155</v>
      </c>
      <c r="GD10096" s="1" t="s">
        <v>189</v>
      </c>
      <c r="GE10096" s="1" t="s">
        <v>190</v>
      </c>
    </row>
    <row r="10097" spans="1:187" ht="11.25" customHeight="1">
      <c r="A10097" s="1" t="s">
        <v>14228</v>
      </c>
      <c r="B10097" s="1" t="str">
        <f ca="1">IFERROR(__xludf.DUMMYFUNCTION("GOOGLETRANSLATE(A10097, ""en"", ""fr"")"),"SUBSISTANCE")</f>
        <v>SUBSISTANCE</v>
      </c>
      <c r="C10097" s="1" t="s">
        <v>192</v>
      </c>
      <c r="D10097" s="1" t="s">
        <v>16612</v>
      </c>
      <c r="BU10097" s="1" t="s">
        <v>69</v>
      </c>
      <c r="GD10097" s="1" t="s">
        <v>193</v>
      </c>
      <c r="GE10097" s="1" t="s">
        <v>190</v>
      </c>
    </row>
    <row r="10098" spans="1:187" ht="11.25" customHeight="1">
      <c r="A10098" s="1" t="s">
        <v>14229</v>
      </c>
      <c r="B10098" s="1" t="str">
        <f ca="1">IFERROR(__xludf.DUMMYFUNCTION("GOOGLETRANSLATE(A10098, ""en"", ""fr"")"),"SUBSTANCE")</f>
        <v>SUBSTANCE</v>
      </c>
      <c r="C10098" s="1" t="s">
        <v>196</v>
      </c>
      <c r="FQ10098" s="1" t="s">
        <v>169</v>
      </c>
      <c r="GD10098" s="1" t="s">
        <v>193</v>
      </c>
    </row>
    <row r="10099" spans="1:187" ht="11.25" customHeight="1">
      <c r="A10099" s="1" t="s">
        <v>14230</v>
      </c>
      <c r="B10099" s="1" t="str">
        <f ca="1">IFERROR(__xludf.DUMMYFUNCTION("GOOGLETRANSLATE(A10099, ""en"", ""fr"")"),"SUBSTANTIEL")</f>
        <v>SUBSTANTIEL</v>
      </c>
      <c r="C10099" s="1" t="s">
        <v>185</v>
      </c>
      <c r="J10099" s="1" t="s">
        <v>6</v>
      </c>
      <c r="W10099" s="1" t="s">
        <v>19</v>
      </c>
      <c r="CN10099" s="1" t="s">
        <v>88</v>
      </c>
      <c r="CS10099" s="1" t="s">
        <v>93</v>
      </c>
      <c r="GD10099" s="1" t="s">
        <v>202</v>
      </c>
      <c r="GE10099" s="1" t="s">
        <v>190</v>
      </c>
    </row>
    <row r="10100" spans="1:187" ht="11.25" customHeight="1">
      <c r="A10100" s="1" t="s">
        <v>14231</v>
      </c>
      <c r="B10100" s="1" t="str">
        <f ca="1">IFERROR(__xludf.DUMMYFUNCTION("GOOGLETRANSLATE(A10100, ""en"", ""fr"")"),"JUSTIFIER")</f>
        <v>JUSTIFIER</v>
      </c>
      <c r="C10100" s="1" t="s">
        <v>192</v>
      </c>
      <c r="D10100" s="1" t="s">
        <v>16612</v>
      </c>
      <c r="G10100" s="1" t="s">
        <v>3</v>
      </c>
      <c r="N10100" s="1" t="s">
        <v>10</v>
      </c>
      <c r="CI10100" s="1" t="s">
        <v>83</v>
      </c>
      <c r="DN10100" s="1" t="s">
        <v>114</v>
      </c>
      <c r="GD10100" s="1" t="s">
        <v>189</v>
      </c>
      <c r="GE10100" s="1" t="s">
        <v>190</v>
      </c>
    </row>
    <row r="10101" spans="1:187" ht="11.25" customHeight="1">
      <c r="A10101" s="1" t="s">
        <v>14232</v>
      </c>
      <c r="B10101" s="1" t="str">
        <f ca="1">IFERROR(__xludf.DUMMYFUNCTION("GOOGLETRANSLATE(A10101, ""en"", ""fr"")"),"Substitut n ° 1")</f>
        <v>Substitut n ° 1</v>
      </c>
      <c r="C10101" s="1" t="s">
        <v>185</v>
      </c>
      <c r="BQ10101" s="1" t="s">
        <v>65</v>
      </c>
      <c r="GD10101" s="1" t="s">
        <v>193</v>
      </c>
      <c r="GE10101" s="1" t="s">
        <v>190</v>
      </c>
    </row>
    <row r="10102" spans="1:187" ht="11.25" customHeight="1">
      <c r="A10102" s="1" t="s">
        <v>14233</v>
      </c>
      <c r="B10102" s="1" t="str">
        <f ca="1">IFERROR(__xludf.DUMMYFUNCTION("GOOGLETRANSLATE(A10102, ""en"", ""fr"")"),"Substitut n ° 2")</f>
        <v>Substitut n ° 2</v>
      </c>
      <c r="C10102" s="1" t="s">
        <v>185</v>
      </c>
      <c r="BW10102" s="1" t="s">
        <v>71</v>
      </c>
      <c r="DN10102" s="1" t="s">
        <v>114</v>
      </c>
      <c r="FP10102" s="1" t="s">
        <v>168</v>
      </c>
      <c r="GD10102" s="1" t="s">
        <v>189</v>
      </c>
      <c r="GE10102" s="1" t="s">
        <v>190</v>
      </c>
    </row>
    <row r="10103" spans="1:187" ht="11.25" customHeight="1">
      <c r="A10103" s="1" t="s">
        <v>14234</v>
      </c>
      <c r="B10103" s="1" t="str">
        <f ca="1">IFERROR(__xludf.DUMMYFUNCTION("GOOGLETRANSLATE(A10103, ""en"", ""fr"")"),"SUBSTITUTION")</f>
        <v>SUBSTITUTION</v>
      </c>
      <c r="C10103" s="1" t="s">
        <v>192</v>
      </c>
      <c r="E10103" s="1" t="s">
        <v>16613</v>
      </c>
      <c r="GD10103" s="1" t="s">
        <v>193</v>
      </c>
      <c r="GE10103" s="1" t="s">
        <v>190</v>
      </c>
    </row>
    <row r="10104" spans="1:187" ht="11.25" customHeight="1">
      <c r="A10104" s="1" t="s">
        <v>14235</v>
      </c>
      <c r="B10104" s="1" t="str">
        <f ca="1">IFERROR(__xludf.DUMMYFUNCTION("GOOGLETRANSLATE(A10104, ""en"", ""fr"")"),"SUBTIL")</f>
        <v>SUBTIL</v>
      </c>
      <c r="C10104" s="1" t="s">
        <v>185</v>
      </c>
      <c r="D10104" s="1" t="s">
        <v>16612</v>
      </c>
      <c r="F10104" s="1" t="s">
        <v>2</v>
      </c>
      <c r="L10104" s="1" t="s">
        <v>8</v>
      </c>
      <c r="U10104" s="1" t="s">
        <v>17</v>
      </c>
      <c r="CN10104" s="1" t="s">
        <v>88</v>
      </c>
      <c r="GD10104" s="1" t="s">
        <v>202</v>
      </c>
      <c r="GE10104" s="1" t="s">
        <v>190</v>
      </c>
    </row>
    <row r="10105" spans="1:187" ht="11.25" customHeight="1">
      <c r="A10105" s="1" t="s">
        <v>14236</v>
      </c>
      <c r="B10105" s="1" t="str">
        <f ca="1">IFERROR(__xludf.DUMMYFUNCTION("GOOGLETRANSLATE(A10105, ""en"", ""fr"")"),"SOUSTRAIRE")</f>
        <v>SOUSTRAIRE</v>
      </c>
      <c r="C10105" s="1" t="s">
        <v>192</v>
      </c>
      <c r="E10105" s="1" t="s">
        <v>16613</v>
      </c>
      <c r="N10105" s="1" t="s">
        <v>10</v>
      </c>
      <c r="BY10105" s="1" t="s">
        <v>73</v>
      </c>
      <c r="DN10105" s="1" t="s">
        <v>114</v>
      </c>
      <c r="GD10105" s="1" t="s">
        <v>189</v>
      </c>
      <c r="GE10105" s="1" t="s">
        <v>190</v>
      </c>
    </row>
    <row r="10106" spans="1:187" ht="11.25" customHeight="1">
      <c r="A10106" s="1" t="s">
        <v>14237</v>
      </c>
      <c r="B10106" s="1" t="str">
        <f ca="1">IFERROR(__xludf.DUMMYFUNCTION("GOOGLETRANSLATE(A10106, ""en"", ""fr"")"),"SOUSTRACTION")</f>
        <v>SOUSTRACTION</v>
      </c>
      <c r="C10106" s="1" t="s">
        <v>185</v>
      </c>
      <c r="CH10106" s="1" t="s">
        <v>82</v>
      </c>
      <c r="GD10106" s="1" t="s">
        <v>193</v>
      </c>
      <c r="GE10106" s="1" t="s">
        <v>190</v>
      </c>
    </row>
    <row r="10107" spans="1:187" ht="11.25" customHeight="1">
      <c r="A10107" s="1" t="s">
        <v>14238</v>
      </c>
      <c r="B10107" s="1" t="str">
        <f ca="1">IFERROR(__xludf.DUMMYFUNCTION("GOOGLETRANSLATE(A10107, ""en"", ""fr"")"),"BANLIEUE")</f>
        <v>BANLIEUE</v>
      </c>
      <c r="C10107" s="1" t="s">
        <v>185</v>
      </c>
      <c r="AH10107" s="1" t="s">
        <v>30</v>
      </c>
      <c r="AV10107" s="1" t="s">
        <v>44</v>
      </c>
      <c r="AX10107" s="1" t="s">
        <v>46</v>
      </c>
      <c r="GD10107" s="1" t="s">
        <v>193</v>
      </c>
      <c r="GE10107" s="1" t="s">
        <v>190</v>
      </c>
    </row>
    <row r="10108" spans="1:187" ht="11.25" customHeight="1">
      <c r="A10108" s="1" t="s">
        <v>14239</v>
      </c>
      <c r="B10108" s="1" t="str">
        <f ca="1">IFERROR(__xludf.DUMMYFUNCTION("GOOGLETRANSLATE(A10108, ""en"", ""fr"")"),"DE BANLIEUE")</f>
        <v>DE BANLIEUE</v>
      </c>
      <c r="C10108" s="1" t="s">
        <v>185</v>
      </c>
      <c r="AH10108" s="1" t="s">
        <v>30</v>
      </c>
      <c r="AV10108" s="1" t="s">
        <v>44</v>
      </c>
      <c r="AX10108" s="1" t="s">
        <v>46</v>
      </c>
      <c r="GD10108" s="1" t="s">
        <v>202</v>
      </c>
      <c r="GE10108" s="1" t="s">
        <v>190</v>
      </c>
    </row>
    <row r="10109" spans="1:187" ht="11.25" customHeight="1">
      <c r="A10109" s="1" t="s">
        <v>14240</v>
      </c>
      <c r="B10109" s="1" t="str">
        <f ca="1">IFERROR(__xludf.DUMMYFUNCTION("GOOGLETRANSLATE(A10109, ""en"", ""fr"")"),"SUBVERSION")</f>
        <v>SUBVERSION</v>
      </c>
      <c r="C10109" s="1" t="s">
        <v>185</v>
      </c>
      <c r="E10109" s="1" t="s">
        <v>16613</v>
      </c>
      <c r="I10109" s="1" t="s">
        <v>5</v>
      </c>
      <c r="K10109" s="1" t="s">
        <v>7</v>
      </c>
      <c r="AN10109" s="1" t="s">
        <v>36</v>
      </c>
      <c r="CC10109" s="1" t="s">
        <v>77</v>
      </c>
      <c r="DW10109" s="1" t="s">
        <v>123</v>
      </c>
      <c r="ED10109" s="1" t="s">
        <v>130</v>
      </c>
      <c r="GD10109" s="1" t="s">
        <v>193</v>
      </c>
      <c r="GE10109" s="1" t="s">
        <v>190</v>
      </c>
    </row>
    <row r="10110" spans="1:187" ht="11.25" customHeight="1">
      <c r="A10110" s="1" t="s">
        <v>14241</v>
      </c>
      <c r="B10110" s="1" t="str">
        <f ca="1">IFERROR(__xludf.DUMMYFUNCTION("GOOGLETRANSLATE(A10110, ""en"", ""fr"")"),"SUBVERTIR")</f>
        <v>SUBVERTIR</v>
      </c>
      <c r="C10110" s="1" t="s">
        <v>185</v>
      </c>
      <c r="E10110" s="1" t="s">
        <v>16613</v>
      </c>
      <c r="I10110" s="1" t="s">
        <v>5</v>
      </c>
      <c r="K10110" s="1" t="s">
        <v>7</v>
      </c>
      <c r="N10110" s="1" t="s">
        <v>10</v>
      </c>
      <c r="AN10110" s="1" t="s">
        <v>36</v>
      </c>
      <c r="CC10110" s="1" t="s">
        <v>77</v>
      </c>
      <c r="DN10110" s="1" t="s">
        <v>114</v>
      </c>
      <c r="DW10110" s="1" t="s">
        <v>123</v>
      </c>
      <c r="ED10110" s="1" t="s">
        <v>130</v>
      </c>
      <c r="GD10110" s="1" t="s">
        <v>189</v>
      </c>
      <c r="GE10110" s="1" t="s">
        <v>190</v>
      </c>
    </row>
    <row r="10111" spans="1:187" ht="11.25" customHeight="1">
      <c r="A10111" s="1" t="s">
        <v>14242</v>
      </c>
      <c r="B10111" s="1" t="str">
        <f ca="1">IFERROR(__xludf.DUMMYFUNCTION("GOOGLETRANSLATE(A10111, ""en"", ""fr"")"),"Succéder n ° 1")</f>
        <v>Succéder n ° 1</v>
      </c>
      <c r="C10111" s="1" t="s">
        <v>185</v>
      </c>
      <c r="D10111" s="1" t="s">
        <v>16612</v>
      </c>
      <c r="F10111" s="1" t="s">
        <v>2</v>
      </c>
      <c r="BS10111" s="1" t="s">
        <v>67</v>
      </c>
      <c r="DN10111" s="1" t="s">
        <v>114</v>
      </c>
      <c r="FR10111" s="1" t="s">
        <v>170</v>
      </c>
      <c r="GD10111" s="1" t="s">
        <v>400</v>
      </c>
      <c r="GE10111" s="1" t="s">
        <v>14243</v>
      </c>
    </row>
    <row r="10112" spans="1:187" ht="11.25" customHeight="1">
      <c r="A10112" s="1" t="s">
        <v>14244</v>
      </c>
      <c r="B10112" s="1" t="str">
        <f ca="1">IFERROR(__xludf.DUMMYFUNCTION("GOOGLETRANSLATE(A10112, ""en"", ""fr"")"),"Succéder # 2")</f>
        <v>Succéder # 2</v>
      </c>
      <c r="C10112" s="1" t="s">
        <v>185</v>
      </c>
      <c r="CT10112" s="1" t="s">
        <v>94</v>
      </c>
      <c r="CU10112" s="1" t="s">
        <v>95</v>
      </c>
      <c r="CY10112" s="1" t="s">
        <v>99</v>
      </c>
      <c r="GB10112" s="1" t="s">
        <v>180</v>
      </c>
      <c r="GD10112" s="1" t="s">
        <v>5766</v>
      </c>
      <c r="GE10112" s="1" t="s">
        <v>14245</v>
      </c>
    </row>
    <row r="10113" spans="1:187" ht="11.25" customHeight="1">
      <c r="A10113" s="1" t="s">
        <v>14246</v>
      </c>
      <c r="B10113" s="1" t="str">
        <f ca="1">IFERROR(__xludf.DUMMYFUNCTION("GOOGLETRANSLATE(A10113, ""en"", ""fr"")"),"Succéder # 3")</f>
        <v>Succéder # 3</v>
      </c>
      <c r="C10113" s="1" t="s">
        <v>185</v>
      </c>
      <c r="CE10113" s="1" t="s">
        <v>79</v>
      </c>
      <c r="DN10113" s="1" t="s">
        <v>114</v>
      </c>
      <c r="FR10113" s="1" t="s">
        <v>170</v>
      </c>
      <c r="GD10113" s="1" t="s">
        <v>189</v>
      </c>
      <c r="GE10113" s="1" t="s">
        <v>14247</v>
      </c>
    </row>
    <row r="10114" spans="1:187" ht="11.25" customHeight="1">
      <c r="A10114" s="1" t="s">
        <v>14248</v>
      </c>
      <c r="B10114" s="1" t="str">
        <f ca="1">IFERROR(__xludf.DUMMYFUNCTION("GOOGLETRANSLATE(A10114, ""en"", ""fr"")"),"SUCCÈS")</f>
        <v>SUCCÈS</v>
      </c>
      <c r="C10114" s="1" t="s">
        <v>185</v>
      </c>
      <c r="D10114" s="1" t="s">
        <v>16612</v>
      </c>
      <c r="F10114" s="1" t="s">
        <v>2</v>
      </c>
      <c r="AC10114" s="1" t="s">
        <v>25</v>
      </c>
      <c r="BS10114" s="1" t="s">
        <v>67</v>
      </c>
      <c r="CP10114" s="1" t="s">
        <v>90</v>
      </c>
      <c r="CQ10114" s="1" t="s">
        <v>91</v>
      </c>
      <c r="FR10114" s="1" t="s">
        <v>170</v>
      </c>
      <c r="GD10114" s="1" t="s">
        <v>193</v>
      </c>
      <c r="GE10114" s="1" t="s">
        <v>14249</v>
      </c>
    </row>
    <row r="10115" spans="1:187" ht="11.25" customHeight="1">
      <c r="A10115" s="1" t="s">
        <v>14250</v>
      </c>
      <c r="B10115" s="1" t="str">
        <f ca="1">IFERROR(__xludf.DUMMYFUNCTION("GOOGLETRANSLATE(A10115, ""en"", ""fr"")"),"RÉUSSI")</f>
        <v>RÉUSSI</v>
      </c>
      <c r="C10115" s="1" t="s">
        <v>185</v>
      </c>
      <c r="D10115" s="1" t="s">
        <v>16612</v>
      </c>
      <c r="F10115" s="1" t="s">
        <v>2</v>
      </c>
      <c r="AC10115" s="1" t="s">
        <v>25</v>
      </c>
      <c r="BS10115" s="1" t="s">
        <v>67</v>
      </c>
      <c r="CN10115" s="1" t="s">
        <v>88</v>
      </c>
      <c r="FR10115" s="1" t="s">
        <v>170</v>
      </c>
      <c r="GD10115" s="1" t="s">
        <v>202</v>
      </c>
      <c r="GE10115" s="1" t="s">
        <v>14251</v>
      </c>
    </row>
    <row r="10116" spans="1:187" ht="11.25" customHeight="1">
      <c r="A10116" s="1" t="s">
        <v>14252</v>
      </c>
      <c r="B10116" s="1" t="str">
        <f ca="1">IFERROR(__xludf.DUMMYFUNCTION("GOOGLETRANSLATE(A10116, ""en"", ""fr"")"),"SUCCESSION")</f>
        <v>SUCCESSION</v>
      </c>
      <c r="C10116" s="1" t="s">
        <v>185</v>
      </c>
      <c r="BR10116" s="1" t="s">
        <v>66</v>
      </c>
      <c r="CP10116" s="1" t="s">
        <v>90</v>
      </c>
      <c r="CQ10116" s="1" t="s">
        <v>91</v>
      </c>
      <c r="DS10116" s="1" t="s">
        <v>119</v>
      </c>
      <c r="ED10116" s="1" t="s">
        <v>130</v>
      </c>
      <c r="GB10116" s="1" t="s">
        <v>180</v>
      </c>
      <c r="GD10116" s="1" t="s">
        <v>193</v>
      </c>
      <c r="GE10116" s="1" t="s">
        <v>190</v>
      </c>
    </row>
    <row r="10117" spans="1:187" ht="11.25" customHeight="1">
      <c r="A10117" s="1" t="s">
        <v>14253</v>
      </c>
      <c r="B10117" s="1" t="str">
        <f ca="1">IFERROR(__xludf.DUMMYFUNCTION("GOOGLETRANSLATE(A10117, ""en"", ""fr"")"),"SUCCESSIF")</f>
        <v>SUCCESSIF</v>
      </c>
      <c r="C10117" s="1" t="s">
        <v>185</v>
      </c>
      <c r="BR10117" s="1" t="s">
        <v>66</v>
      </c>
      <c r="GD10117" s="1" t="s">
        <v>202</v>
      </c>
      <c r="GE10117" s="1" t="s">
        <v>190</v>
      </c>
    </row>
    <row r="10118" spans="1:187" ht="11.25" customHeight="1">
      <c r="A10118" s="1" t="s">
        <v>14254</v>
      </c>
      <c r="B10118" s="1" t="str">
        <f ca="1">IFERROR(__xludf.DUMMYFUNCTION("GOOGLETRANSLATE(A10118, ""en"", ""fr"")"),"SUCCESSEUR")</f>
        <v>SUCCESSEUR</v>
      </c>
      <c r="C10118" s="1" t="s">
        <v>185</v>
      </c>
      <c r="J10118" s="1" t="s">
        <v>6</v>
      </c>
      <c r="AH10118" s="1" t="s">
        <v>30</v>
      </c>
      <c r="AJ10118" s="1" t="s">
        <v>32</v>
      </c>
      <c r="AT10118" s="1" t="s">
        <v>42</v>
      </c>
      <c r="DZ10118" s="1" t="s">
        <v>126</v>
      </c>
      <c r="ED10118" s="1" t="s">
        <v>130</v>
      </c>
      <c r="GD10118" s="1" t="s">
        <v>193</v>
      </c>
      <c r="GE10118" s="1" t="s">
        <v>190</v>
      </c>
    </row>
    <row r="10119" spans="1:187" ht="11.25" customHeight="1">
      <c r="A10119" s="1" t="s">
        <v>14255</v>
      </c>
      <c r="B10119" s="1" t="str">
        <f ca="1">IFERROR(__xludf.DUMMYFUNCTION("GOOGLETRANSLATE(A10119, ""en"", ""fr"")"),"SUCCOMBER")</f>
        <v>SUCCOMBER</v>
      </c>
      <c r="C10119" s="1" t="s">
        <v>192</v>
      </c>
      <c r="E10119" s="1" t="s">
        <v>16613</v>
      </c>
      <c r="L10119" s="1" t="s">
        <v>8</v>
      </c>
      <c r="M10119" s="1" t="s">
        <v>9</v>
      </c>
      <c r="O10119" s="1" t="s">
        <v>11</v>
      </c>
      <c r="DN10119" s="1" t="s">
        <v>114</v>
      </c>
      <c r="GD10119" s="1" t="s">
        <v>189</v>
      </c>
      <c r="GE10119" s="1" t="s">
        <v>190</v>
      </c>
    </row>
    <row r="10120" spans="1:187" ht="11.25" customHeight="1">
      <c r="A10120" s="1" t="s">
        <v>14256</v>
      </c>
      <c r="B10120" s="1" t="str">
        <f ca="1">IFERROR(__xludf.DUMMYFUNCTION("GOOGLETRANSLATE(A10120, ""en"", ""fr"")"),"Tel # 1")</f>
        <v>Tel # 1</v>
      </c>
      <c r="C10120" s="1" t="s">
        <v>185</v>
      </c>
      <c r="W10120" s="1" t="s">
        <v>19</v>
      </c>
      <c r="GD10120" s="1" t="s">
        <v>6809</v>
      </c>
      <c r="GE10120" s="1" t="s">
        <v>14257</v>
      </c>
    </row>
    <row r="10121" spans="1:187" ht="11.25" customHeight="1">
      <c r="A10121" s="1" t="s">
        <v>14258</v>
      </c>
      <c r="B10121" s="1" t="str">
        <f ca="1">IFERROR(__xludf.DUMMYFUNCTION("GOOGLETRANSLATE(A10121, ""en"", ""fr"")"),"Tel # 2")</f>
        <v>Tel # 2</v>
      </c>
      <c r="C10121" s="1" t="s">
        <v>185</v>
      </c>
      <c r="GD10121" s="1" t="s">
        <v>1628</v>
      </c>
      <c r="GE10121" s="1" t="s">
        <v>14259</v>
      </c>
    </row>
    <row r="10122" spans="1:187" ht="11.25" customHeight="1">
      <c r="A10122" s="1" t="s">
        <v>14260</v>
      </c>
      <c r="B10122" s="1" t="str">
        <f ca="1">IFERROR(__xludf.DUMMYFUNCTION("GOOGLETRANSLATE(A10122, ""en"", ""fr"")"),"Tel # 3")</f>
        <v>Tel # 3</v>
      </c>
      <c r="C10122" s="1" t="s">
        <v>185</v>
      </c>
      <c r="GD10122" s="1" t="s">
        <v>1957</v>
      </c>
      <c r="GE10122" s="1" t="s">
        <v>14261</v>
      </c>
    </row>
    <row r="10123" spans="1:187" ht="11.25" customHeight="1">
      <c r="A10123" s="1" t="s">
        <v>14262</v>
      </c>
      <c r="B10123" s="1" t="str">
        <f ca="1">IFERROR(__xludf.DUMMYFUNCTION("GOOGLETRANSLATE(A10123, ""en"", ""fr"")"),"Tel # 4")</f>
        <v>Tel # 4</v>
      </c>
      <c r="C10123" s="1" t="s">
        <v>185</v>
      </c>
      <c r="CH10123" s="1" t="s">
        <v>82</v>
      </c>
      <c r="GD10123" s="1" t="s">
        <v>202</v>
      </c>
      <c r="GE10123" s="1" t="s">
        <v>14263</v>
      </c>
    </row>
    <row r="10124" spans="1:187" ht="11.25" customHeight="1">
      <c r="A10124" s="1" t="s">
        <v>14264</v>
      </c>
      <c r="B10124" s="1" t="str">
        <f ca="1">IFERROR(__xludf.DUMMYFUNCTION("GOOGLETRANSLATE(A10124, ""en"", ""fr"")"),"Tel # 5")</f>
        <v>Tel # 5</v>
      </c>
      <c r="C10124" s="1" t="s">
        <v>185</v>
      </c>
      <c r="CS10124" s="1" t="s">
        <v>93</v>
      </c>
      <c r="GD10124" s="1" t="s">
        <v>679</v>
      </c>
      <c r="GE10124" s="1" t="s">
        <v>14265</v>
      </c>
    </row>
    <row r="10125" spans="1:187" ht="11.25" customHeight="1">
      <c r="A10125" s="1" t="s">
        <v>14266</v>
      </c>
      <c r="B10125" s="1" t="str">
        <f ca="1">IFERROR(__xludf.DUMMYFUNCTION("GOOGLETRANSLATE(A10125, ""en"", ""fr"")"),"VENTOUSE")</f>
        <v>VENTOUSE</v>
      </c>
      <c r="C10125" s="1" t="s">
        <v>192</v>
      </c>
      <c r="E10125" s="1" t="s">
        <v>16613</v>
      </c>
      <c r="L10125" s="1" t="s">
        <v>8</v>
      </c>
      <c r="M10125" s="1" t="s">
        <v>9</v>
      </c>
      <c r="AT10125" s="1" t="s">
        <v>42</v>
      </c>
      <c r="GD10125" s="1" t="s">
        <v>193</v>
      </c>
      <c r="GE10125" s="1" t="s">
        <v>190</v>
      </c>
    </row>
    <row r="10126" spans="1:187" ht="11.25" customHeight="1">
      <c r="A10126" s="1" t="s">
        <v>14267</v>
      </c>
      <c r="B10126" s="1" t="str">
        <f ca="1">IFERROR(__xludf.DUMMYFUNCTION("GOOGLETRANSLATE(A10126, ""en"", ""fr"")"),"SOUDAN")</f>
        <v>SOUDAN</v>
      </c>
      <c r="C10126" s="1" t="s">
        <v>196</v>
      </c>
      <c r="FU10126" s="1" t="s">
        <v>173</v>
      </c>
      <c r="GD10126" s="1" t="s">
        <v>269</v>
      </c>
    </row>
    <row r="10127" spans="1:187" ht="11.25" customHeight="1">
      <c r="A10127" s="1" t="s">
        <v>14268</v>
      </c>
      <c r="B10127" s="1" t="str">
        <f ca="1">IFERROR(__xludf.DUMMYFUNCTION("GOOGLETRANSLATE(A10127, ""en"", ""fr"")"),"Soudain # 1")</f>
        <v>Soudain # 1</v>
      </c>
      <c r="C10127" s="1" t="s">
        <v>185</v>
      </c>
      <c r="W10127" s="1" t="s">
        <v>19</v>
      </c>
      <c r="CY10127" s="1" t="s">
        <v>99</v>
      </c>
      <c r="GB10127" s="1" t="s">
        <v>180</v>
      </c>
      <c r="GD10127" s="1" t="s">
        <v>202</v>
      </c>
      <c r="GE10127" s="1" t="s">
        <v>14269</v>
      </c>
    </row>
    <row r="10128" spans="1:187" ht="11.25" customHeight="1">
      <c r="A10128" s="1" t="s">
        <v>14270</v>
      </c>
      <c r="B10128" s="1" t="str">
        <f ca="1">IFERROR(__xludf.DUMMYFUNCTION("GOOGLETRANSLATE(A10128, ""en"", ""fr"")"),"Soudain # 2")</f>
        <v>Soudain # 2</v>
      </c>
      <c r="C10128" s="1" t="s">
        <v>185</v>
      </c>
      <c r="W10128" s="1" t="s">
        <v>19</v>
      </c>
      <c r="CY10128" s="1" t="s">
        <v>99</v>
      </c>
      <c r="FW10128" s="1" t="s">
        <v>175</v>
      </c>
      <c r="GD10128" s="1" t="s">
        <v>236</v>
      </c>
      <c r="GE10128" s="1" t="s">
        <v>14271</v>
      </c>
    </row>
    <row r="10129" spans="1:187" ht="11.25" customHeight="1">
      <c r="A10129" s="1" t="s">
        <v>14272</v>
      </c>
      <c r="B10129" s="1" t="str">
        <f ca="1">IFERROR(__xludf.DUMMYFUNCTION("GOOGLETRANSLATE(A10129, ""en"", ""fr"")"),"Souffrir # 1")</f>
        <v>Souffrir # 1</v>
      </c>
      <c r="C10129" s="1" t="s">
        <v>185</v>
      </c>
      <c r="E10129" s="1" t="s">
        <v>16613</v>
      </c>
      <c r="H10129" s="1" t="s">
        <v>4</v>
      </c>
      <c r="L10129" s="1" t="s">
        <v>8</v>
      </c>
      <c r="M10129" s="1" t="s">
        <v>9</v>
      </c>
      <c r="O10129" s="1" t="s">
        <v>11</v>
      </c>
      <c r="Q10129" s="1" t="s">
        <v>13</v>
      </c>
      <c r="DN10129" s="1" t="s">
        <v>114</v>
      </c>
      <c r="EY10129" s="1" t="s">
        <v>151</v>
      </c>
      <c r="FC10129" s="1" t="s">
        <v>155</v>
      </c>
      <c r="GD10129" s="1" t="s">
        <v>189</v>
      </c>
      <c r="GE10129" s="1" t="s">
        <v>14273</v>
      </c>
    </row>
    <row r="10130" spans="1:187" ht="11.25" customHeight="1">
      <c r="A10130" s="1" t="s">
        <v>14274</v>
      </c>
      <c r="B10130" s="1" t="str">
        <f ca="1">IFERROR(__xludf.DUMMYFUNCTION("GOOGLETRANSLATE(A10130, ""en"", ""fr"")"),"Souffrir # 2")</f>
        <v>Souffrir # 2</v>
      </c>
      <c r="C10130" s="1" t="s">
        <v>185</v>
      </c>
      <c r="L10130" s="1" t="s">
        <v>8</v>
      </c>
      <c r="M10130" s="1" t="s">
        <v>9</v>
      </c>
      <c r="O10130" s="1" t="s">
        <v>11</v>
      </c>
      <c r="AN10130" s="1" t="s">
        <v>36</v>
      </c>
      <c r="DN10130" s="1" t="s">
        <v>114</v>
      </c>
      <c r="FP10130" s="1" t="s">
        <v>168</v>
      </c>
      <c r="GD10130" s="1" t="s">
        <v>189</v>
      </c>
      <c r="GE10130" s="1" t="s">
        <v>14275</v>
      </c>
    </row>
    <row r="10131" spans="1:187" ht="11.25" customHeight="1">
      <c r="A10131" s="1" t="s">
        <v>14276</v>
      </c>
      <c r="B10131" s="1" t="str">
        <f ca="1">IFERROR(__xludf.DUMMYFUNCTION("GOOGLETRANSLATE(A10131, ""en"", ""fr"")"),"Souffrir # 3")</f>
        <v>Souffrir # 3</v>
      </c>
      <c r="C10131" s="1" t="s">
        <v>185</v>
      </c>
      <c r="E10131" s="1" t="s">
        <v>16613</v>
      </c>
      <c r="H10131" s="1" t="s">
        <v>4</v>
      </c>
      <c r="L10131" s="1" t="s">
        <v>8</v>
      </c>
      <c r="O10131" s="1" t="s">
        <v>11</v>
      </c>
      <c r="Q10131" s="1" t="s">
        <v>13</v>
      </c>
      <c r="T10131" s="1" t="s">
        <v>16</v>
      </c>
      <c r="EZ10131" s="1" t="s">
        <v>152</v>
      </c>
      <c r="FC10131" s="1" t="s">
        <v>155</v>
      </c>
      <c r="GD10131" s="1" t="s">
        <v>202</v>
      </c>
      <c r="GE10131" s="1" t="s">
        <v>14277</v>
      </c>
    </row>
    <row r="10132" spans="1:187" ht="11.25" customHeight="1">
      <c r="A10132" s="1" t="s">
        <v>14278</v>
      </c>
      <c r="B10132" s="1" t="str">
        <f ca="1">IFERROR(__xludf.DUMMYFUNCTION("GOOGLETRANSLATE(A10132, ""en"", ""fr"")"),"VICTIME")</f>
        <v>VICTIME</v>
      </c>
      <c r="C10132" s="1" t="s">
        <v>185</v>
      </c>
      <c r="E10132" s="1" t="s">
        <v>16613</v>
      </c>
      <c r="H10132" s="1" t="s">
        <v>4</v>
      </c>
      <c r="L10132" s="1" t="s">
        <v>8</v>
      </c>
      <c r="M10132" s="1" t="s">
        <v>9</v>
      </c>
      <c r="O10132" s="1" t="s">
        <v>11</v>
      </c>
      <c r="AJ10132" s="1" t="s">
        <v>32</v>
      </c>
      <c r="AT10132" s="1" t="s">
        <v>42</v>
      </c>
      <c r="FB10132" s="1" t="s">
        <v>154</v>
      </c>
      <c r="FC10132" s="1" t="s">
        <v>155</v>
      </c>
      <c r="GD10132" s="1" t="s">
        <v>193</v>
      </c>
      <c r="GE10132" s="1" t="s">
        <v>190</v>
      </c>
    </row>
    <row r="10133" spans="1:187" ht="11.25" customHeight="1">
      <c r="A10133" s="1" t="s">
        <v>14279</v>
      </c>
      <c r="B10133" s="1" t="str">
        <f ca="1">IFERROR(__xludf.DUMMYFUNCTION("GOOGLETRANSLATE(A10133, ""en"", ""fr"")"),"SUFFIRE")</f>
        <v>SUFFIRE</v>
      </c>
      <c r="C10133" s="1" t="s">
        <v>185</v>
      </c>
      <c r="D10133" s="1" t="s">
        <v>16612</v>
      </c>
      <c r="F10133" s="1" t="s">
        <v>2</v>
      </c>
      <c r="J10133" s="1" t="s">
        <v>6</v>
      </c>
      <c r="BZ10133" s="1" t="s">
        <v>74</v>
      </c>
      <c r="DN10133" s="1" t="s">
        <v>114</v>
      </c>
      <c r="FP10133" s="1" t="s">
        <v>168</v>
      </c>
      <c r="GD10133" s="1" t="s">
        <v>189</v>
      </c>
      <c r="GE10133" s="1" t="s">
        <v>190</v>
      </c>
    </row>
    <row r="10134" spans="1:187" ht="11.25" customHeight="1">
      <c r="A10134" s="1" t="s">
        <v>14280</v>
      </c>
      <c r="B10134" s="1" t="str">
        <f ca="1">IFERROR(__xludf.DUMMYFUNCTION("GOOGLETRANSLATE(A10134, ""en"", ""fr"")"),"SUFFISANT")</f>
        <v>SUFFISANT</v>
      </c>
      <c r="C10134" s="1" t="s">
        <v>185</v>
      </c>
      <c r="D10134" s="1" t="s">
        <v>16612</v>
      </c>
      <c r="F10134" s="1" t="s">
        <v>2</v>
      </c>
      <c r="J10134" s="1" t="s">
        <v>6</v>
      </c>
      <c r="U10134" s="1" t="s">
        <v>17</v>
      </c>
      <c r="GD10134" s="1" t="s">
        <v>202</v>
      </c>
      <c r="GE10134" s="1" t="s">
        <v>14281</v>
      </c>
    </row>
    <row r="10135" spans="1:187" ht="11.25" customHeight="1">
      <c r="A10135" s="1" t="s">
        <v>14282</v>
      </c>
      <c r="B10135" s="1" t="str">
        <f ca="1">IFERROR(__xludf.DUMMYFUNCTION("GOOGLETRANSLATE(A10135, ""en"", ""fr"")"),"ÉTOUFFER")</f>
        <v>ÉTOUFFER</v>
      </c>
      <c r="C10135" s="1" t="s">
        <v>192</v>
      </c>
      <c r="E10135" s="1" t="s">
        <v>16613</v>
      </c>
      <c r="L10135" s="1" t="s">
        <v>8</v>
      </c>
      <c r="O10135" s="1" t="s">
        <v>11</v>
      </c>
      <c r="BN10135" s="1" t="s">
        <v>62</v>
      </c>
      <c r="DN10135" s="1" t="s">
        <v>114</v>
      </c>
      <c r="GD10135" s="1" t="s">
        <v>189</v>
      </c>
      <c r="GE10135" s="1" t="s">
        <v>190</v>
      </c>
    </row>
    <row r="10136" spans="1:187" ht="11.25" customHeight="1">
      <c r="A10136" s="1" t="s">
        <v>14283</v>
      </c>
      <c r="B10136" s="1" t="str">
        <f ca="1">IFERROR(__xludf.DUMMYFUNCTION("GOOGLETRANSLATE(A10136, ""en"", ""fr"")"),"Suffrage")</f>
        <v>Suffrage</v>
      </c>
      <c r="C10136" s="1" t="s">
        <v>185</v>
      </c>
      <c r="K10136" s="1" t="s">
        <v>7</v>
      </c>
      <c r="U10136" s="1" t="s">
        <v>17</v>
      </c>
      <c r="AG10136" s="1" t="s">
        <v>29</v>
      </c>
      <c r="AH10136" s="1" t="s">
        <v>30</v>
      </c>
      <c r="EC10136" s="1" t="s">
        <v>129</v>
      </c>
      <c r="ED10136" s="1" t="s">
        <v>130</v>
      </c>
      <c r="GD10136" s="1" t="s">
        <v>193</v>
      </c>
      <c r="GE10136" s="1" t="s">
        <v>190</v>
      </c>
    </row>
    <row r="10137" spans="1:187" ht="11.25" customHeight="1">
      <c r="A10137" s="1" t="s">
        <v>14284</v>
      </c>
      <c r="B10137" s="1" t="str">
        <f ca="1">IFERROR(__xludf.DUMMYFUNCTION("GOOGLETRANSLATE(A10137, ""en"", ""fr"")"),"SUCRE")</f>
        <v>SUCRE</v>
      </c>
      <c r="C10137" s="1" t="s">
        <v>185</v>
      </c>
      <c r="BC10137" s="1" t="s">
        <v>51</v>
      </c>
      <c r="BE10137" s="1" t="s">
        <v>53</v>
      </c>
      <c r="GD10137" s="1" t="s">
        <v>193</v>
      </c>
      <c r="GE10137" s="1" t="s">
        <v>14285</v>
      </c>
    </row>
    <row r="10138" spans="1:187" ht="11.25" customHeight="1">
      <c r="A10138" s="1" t="s">
        <v>14286</v>
      </c>
      <c r="B10138" s="1" t="str">
        <f ca="1">IFERROR(__xludf.DUMMYFUNCTION("GOOGLETRANSLATE(A10138, ""en"", ""fr"")"),"Suggérer n ° 1")</f>
        <v>Suggérer n ° 1</v>
      </c>
      <c r="C10138" s="1" t="s">
        <v>185</v>
      </c>
      <c r="O10138" s="1" t="s">
        <v>11</v>
      </c>
      <c r="BK10138" s="1" t="s">
        <v>59</v>
      </c>
      <c r="DN10138" s="1" t="s">
        <v>114</v>
      </c>
      <c r="FP10138" s="1" t="s">
        <v>168</v>
      </c>
      <c r="GD10138" s="1" t="s">
        <v>400</v>
      </c>
      <c r="GE10138" s="1" t="s">
        <v>14287</v>
      </c>
    </row>
    <row r="10139" spans="1:187" ht="11.25" customHeight="1">
      <c r="A10139" s="1" t="s">
        <v>14288</v>
      </c>
      <c r="B10139" s="1" t="str">
        <f ca="1">IFERROR(__xludf.DUMMYFUNCTION("GOOGLETRANSLATE(A10139, ""en"", ""fr"")"),"Suggérer # 2")</f>
        <v>Suggérer # 2</v>
      </c>
      <c r="C10139" s="1" t="s">
        <v>185</v>
      </c>
      <c r="X10139" s="1" t="s">
        <v>20</v>
      </c>
      <c r="BK10139" s="1" t="s">
        <v>59</v>
      </c>
      <c r="GC10139" s="1" t="s">
        <v>181</v>
      </c>
      <c r="GD10139" s="1" t="s">
        <v>202</v>
      </c>
      <c r="GE10139" s="1" t="s">
        <v>14289</v>
      </c>
    </row>
    <row r="10140" spans="1:187" ht="11.25" customHeight="1">
      <c r="A10140" s="1" t="s">
        <v>14290</v>
      </c>
      <c r="B10140" s="1" t="str">
        <f ca="1">IFERROR(__xludf.DUMMYFUNCTION("GOOGLETRANSLATE(A10140, ""en"", ""fr"")"),"SUGGESTION")</f>
        <v>SUGGESTION</v>
      </c>
      <c r="C10140" s="1" t="s">
        <v>185</v>
      </c>
      <c r="X10140" s="1" t="s">
        <v>20</v>
      </c>
      <c r="BK10140" s="1" t="s">
        <v>59</v>
      </c>
      <c r="BL10140" s="1" t="s">
        <v>60</v>
      </c>
      <c r="GC10140" s="1" t="s">
        <v>181</v>
      </c>
      <c r="GD10140" s="1" t="s">
        <v>193</v>
      </c>
      <c r="GE10140" s="1" t="s">
        <v>14291</v>
      </c>
    </row>
    <row r="10141" spans="1:187" ht="11.25" customHeight="1">
      <c r="A10141" s="1" t="s">
        <v>14292</v>
      </c>
      <c r="B10141" s="1" t="str">
        <f ca="1">IFERROR(__xludf.DUMMYFUNCTION("GOOGLETRANSLATE(A10141, ""en"", ""fr"")"),"SUGGESTIF")</f>
        <v>SUGGESTIF</v>
      </c>
      <c r="C10141" s="1" t="s">
        <v>185</v>
      </c>
      <c r="CK10141" s="1" t="s">
        <v>85</v>
      </c>
      <c r="GD10141" s="1" t="s">
        <v>202</v>
      </c>
      <c r="GE10141" s="1" t="s">
        <v>190</v>
      </c>
    </row>
    <row r="10142" spans="1:187" ht="11.25" customHeight="1">
      <c r="A10142" s="1" t="s">
        <v>14293</v>
      </c>
      <c r="B10142" s="1" t="str">
        <f ca="1">IFERROR(__xludf.DUMMYFUNCTION("GOOGLETRANSLATE(A10142, ""en"", ""fr"")"),"SUICIDAIRE")</f>
        <v>SUICIDAIRE</v>
      </c>
      <c r="C10142" s="1" t="s">
        <v>196</v>
      </c>
      <c r="FA10142" s="1" t="s">
        <v>153</v>
      </c>
      <c r="FC10142" s="1" t="s">
        <v>155</v>
      </c>
      <c r="GD10142" s="1" t="s">
        <v>202</v>
      </c>
    </row>
    <row r="10143" spans="1:187" ht="11.25" customHeight="1">
      <c r="A10143" s="1" t="s">
        <v>14294</v>
      </c>
      <c r="B10143" s="1" t="str">
        <f ca="1">IFERROR(__xludf.DUMMYFUNCTION("GOOGLETRANSLATE(A10143, ""en"", ""fr"")"),"SUICIDE")</f>
        <v>SUICIDE</v>
      </c>
      <c r="C10143" s="1" t="s">
        <v>185</v>
      </c>
      <c r="M10143" s="1" t="s">
        <v>9</v>
      </c>
      <c r="V10143" s="1" t="s">
        <v>18</v>
      </c>
      <c r="EZ10143" s="1" t="s">
        <v>152</v>
      </c>
      <c r="FC10143" s="1" t="s">
        <v>155</v>
      </c>
      <c r="GD10143" s="1" t="s">
        <v>193</v>
      </c>
      <c r="GE10143" s="1" t="s">
        <v>190</v>
      </c>
    </row>
    <row r="10144" spans="1:187" ht="11.25" customHeight="1">
      <c r="A10144" s="1" t="s">
        <v>14295</v>
      </c>
      <c r="B10144" s="1" t="str">
        <f ca="1">IFERROR(__xludf.DUMMYFUNCTION("GOOGLETRANSLATE(A10144, ""en"", ""fr"")"),"Costume n ° 1")</f>
        <v>Costume n ° 1</v>
      </c>
      <c r="C10144" s="1" t="s">
        <v>185</v>
      </c>
      <c r="BC10144" s="1" t="s">
        <v>51</v>
      </c>
      <c r="BD10144" s="1" t="s">
        <v>52</v>
      </c>
      <c r="GD10144" s="1" t="s">
        <v>193</v>
      </c>
      <c r="GE10144" s="1" t="s">
        <v>14296</v>
      </c>
    </row>
    <row r="10145" spans="1:187" ht="11.25" customHeight="1">
      <c r="A10145" s="1" t="s">
        <v>14297</v>
      </c>
      <c r="B10145" s="1" t="str">
        <f ca="1">IFERROR(__xludf.DUMMYFUNCTION("GOOGLETRANSLATE(A10145, ""en"", ""fr"")"),"Costume n ° 2")</f>
        <v>Costume n ° 2</v>
      </c>
      <c r="C10145" s="1" t="s">
        <v>185</v>
      </c>
      <c r="AC10145" s="1" t="s">
        <v>25</v>
      </c>
      <c r="AE10145" s="1" t="s">
        <v>27</v>
      </c>
      <c r="AH10145" s="1" t="s">
        <v>30</v>
      </c>
      <c r="BK10145" s="1" t="s">
        <v>59</v>
      </c>
      <c r="BL10145" s="1" t="s">
        <v>60</v>
      </c>
      <c r="EC10145" s="1" t="s">
        <v>129</v>
      </c>
      <c r="ED10145" s="1" t="s">
        <v>130</v>
      </c>
      <c r="GC10145" s="1" t="s">
        <v>181</v>
      </c>
      <c r="GD10145" s="1" t="s">
        <v>193</v>
      </c>
      <c r="GE10145" s="1" t="s">
        <v>14298</v>
      </c>
    </row>
    <row r="10146" spans="1:187" ht="11.25" customHeight="1">
      <c r="A10146" s="1" t="s">
        <v>14299</v>
      </c>
      <c r="B10146" s="1" t="str">
        <f ca="1">IFERROR(__xludf.DUMMYFUNCTION("GOOGLETRANSLATE(A10146, ""en"", ""fr"")"),"Costume n ° 3")</f>
        <v>Costume n ° 3</v>
      </c>
      <c r="C10146" s="1" t="s">
        <v>185</v>
      </c>
      <c r="D10146" s="1" t="s">
        <v>16612</v>
      </c>
      <c r="F10146" s="1" t="s">
        <v>2</v>
      </c>
      <c r="G10146" s="1" t="s">
        <v>3</v>
      </c>
      <c r="S10146" s="1" t="s">
        <v>15</v>
      </c>
      <c r="DN10146" s="1" t="s">
        <v>114</v>
      </c>
      <c r="GD10146" s="1" t="s">
        <v>189</v>
      </c>
      <c r="GE10146" s="1" t="s">
        <v>14300</v>
      </c>
    </row>
    <row r="10147" spans="1:187" ht="11.25" customHeight="1">
      <c r="A10147" s="1" t="s">
        <v>14301</v>
      </c>
      <c r="B10147" s="1" t="str">
        <f ca="1">IFERROR(__xludf.DUMMYFUNCTION("GOOGLETRANSLATE(A10147, ""en"", ""fr"")"),"Costume n ° 4")</f>
        <v>Costume n ° 4</v>
      </c>
      <c r="C10147" s="1" t="s">
        <v>185</v>
      </c>
      <c r="D10147" s="1" t="s">
        <v>16612</v>
      </c>
      <c r="F10147" s="1" t="s">
        <v>2</v>
      </c>
      <c r="U10147" s="1" t="s">
        <v>17</v>
      </c>
      <c r="CN10147" s="1" t="s">
        <v>88</v>
      </c>
      <c r="FX10147" s="1" t="s">
        <v>176</v>
      </c>
      <c r="GD10147" s="1" t="s">
        <v>202</v>
      </c>
      <c r="GE10147" s="1" t="s">
        <v>14302</v>
      </c>
    </row>
    <row r="10148" spans="1:187" ht="11.25" customHeight="1">
      <c r="A10148" s="1" t="s">
        <v>14303</v>
      </c>
      <c r="B10148" s="1" t="str">
        <f ca="1">IFERROR(__xludf.DUMMYFUNCTION("GOOGLETRANSLATE(A10148, ""en"", ""fr"")"),"APPROPRIÉ")</f>
        <v>APPROPRIÉ</v>
      </c>
      <c r="C10148" s="1" t="s">
        <v>185</v>
      </c>
      <c r="D10148" s="1" t="s">
        <v>16612</v>
      </c>
      <c r="F10148" s="1" t="s">
        <v>2</v>
      </c>
      <c r="U10148" s="1" t="s">
        <v>17</v>
      </c>
      <c r="CN10148" s="1" t="s">
        <v>88</v>
      </c>
      <c r="GD10148" s="1" t="s">
        <v>202</v>
      </c>
      <c r="GE10148" s="1" t="s">
        <v>190</v>
      </c>
    </row>
    <row r="10149" spans="1:187" ht="11.25" customHeight="1">
      <c r="A10149" s="1" t="s">
        <v>14304</v>
      </c>
      <c r="B10149" s="1" t="str">
        <f ca="1">IFERROR(__xludf.DUMMYFUNCTION("GOOGLETRANSLATE(A10149, ""en"", ""fr"")"),"VALISE")</f>
        <v>VALISE</v>
      </c>
      <c r="C10149" s="1" t="s">
        <v>185</v>
      </c>
      <c r="BC10149" s="1" t="s">
        <v>51</v>
      </c>
      <c r="BD10149" s="1" t="s">
        <v>52</v>
      </c>
      <c r="GD10149" s="1" t="s">
        <v>193</v>
      </c>
      <c r="GE10149" s="1" t="s">
        <v>190</v>
      </c>
    </row>
    <row r="10150" spans="1:187" ht="11.25" customHeight="1">
      <c r="A10150" s="1" t="s">
        <v>14305</v>
      </c>
      <c r="B10150" s="1" t="str">
        <f ca="1">IFERROR(__xludf.DUMMYFUNCTION("GOOGLETRANSLATE(A10150, ""en"", ""fr"")"),"SUITE")</f>
        <v>SUITE</v>
      </c>
      <c r="C10150" s="1" t="s">
        <v>185</v>
      </c>
      <c r="AV10150" s="1" t="s">
        <v>44</v>
      </c>
      <c r="AW10150" s="1" t="s">
        <v>45</v>
      </c>
      <c r="GD10150" s="1" t="s">
        <v>193</v>
      </c>
      <c r="GE10150" s="1" t="s">
        <v>190</v>
      </c>
    </row>
    <row r="10151" spans="1:187" ht="11.25" customHeight="1">
      <c r="A10151" s="1" t="s">
        <v>14306</v>
      </c>
      <c r="B10151" s="1" t="str">
        <f ca="1">IFERROR(__xludf.DUMMYFUNCTION("GOOGLETRANSLATE(A10151, ""en"", ""fr"")"),"RENFROGNÉ")</f>
        <v>RENFROGNÉ</v>
      </c>
      <c r="C10151" s="1" t="s">
        <v>192</v>
      </c>
      <c r="E10151" s="1" t="s">
        <v>16613</v>
      </c>
      <c r="Q10151" s="1" t="s">
        <v>13</v>
      </c>
      <c r="DR10151" s="1" t="s">
        <v>118</v>
      </c>
      <c r="GD10151" s="1" t="s">
        <v>202</v>
      </c>
      <c r="GE10151" s="1" t="s">
        <v>190</v>
      </c>
    </row>
    <row r="10152" spans="1:187" ht="11.25" customHeight="1">
      <c r="A10152" s="1" t="s">
        <v>14307</v>
      </c>
      <c r="B10152" s="1" t="str">
        <f ca="1">IFERROR(__xludf.DUMMYFUNCTION("GOOGLETRANSLATE(A10152, ""en"", ""fr"")"),"SULTAN")</f>
        <v>SULTAN</v>
      </c>
      <c r="C10152" s="1" t="s">
        <v>196</v>
      </c>
      <c r="DY10152" s="1" t="s">
        <v>125</v>
      </c>
      <c r="ED10152" s="1" t="s">
        <v>130</v>
      </c>
      <c r="GD10152" s="1" t="s">
        <v>4912</v>
      </c>
    </row>
    <row r="10153" spans="1:187" ht="11.25" customHeight="1">
      <c r="A10153" s="1" t="s">
        <v>14308</v>
      </c>
      <c r="B10153" s="1" t="str">
        <f ca="1">IFERROR(__xludf.DUMMYFUNCTION("GOOGLETRANSLATE(A10153, ""en"", ""fr"")"),"Somme n ° 1")</f>
        <v>Somme n ° 1</v>
      </c>
      <c r="C10153" s="1" t="s">
        <v>185</v>
      </c>
      <c r="AC10153" s="1" t="s">
        <v>25</v>
      </c>
      <c r="CH10153" s="1" t="s">
        <v>82</v>
      </c>
      <c r="GD10153" s="1" t="s">
        <v>193</v>
      </c>
      <c r="GE10153" s="1" t="s">
        <v>190</v>
      </c>
    </row>
    <row r="10154" spans="1:187" ht="11.25" customHeight="1">
      <c r="A10154" s="1" t="s">
        <v>14309</v>
      </c>
      <c r="B10154" s="1" t="str">
        <f ca="1">IFERROR(__xludf.DUMMYFUNCTION("GOOGLETRANSLATE(A10154, ""en"", ""fr"")"),"Somme n ° 2")</f>
        <v>Somme n ° 2</v>
      </c>
      <c r="C10154" s="1" t="s">
        <v>185</v>
      </c>
      <c r="N10154" s="1" t="s">
        <v>10</v>
      </c>
      <c r="CO10154" s="1" t="s">
        <v>89</v>
      </c>
      <c r="DN10154" s="1" t="s">
        <v>114</v>
      </c>
      <c r="FP10154" s="1" t="s">
        <v>168</v>
      </c>
      <c r="GD10154" s="1" t="s">
        <v>189</v>
      </c>
      <c r="GE10154" s="1" t="s">
        <v>190</v>
      </c>
    </row>
    <row r="10155" spans="1:187" ht="11.25" customHeight="1">
      <c r="A10155" s="1" t="s">
        <v>14310</v>
      </c>
      <c r="B10155" s="1" t="str">
        <f ca="1">IFERROR(__xludf.DUMMYFUNCTION("GOOGLETRANSLATE(A10155, ""en"", ""fr"")"),"RÉSUMER")</f>
        <v>RÉSUMER</v>
      </c>
      <c r="C10155" s="1" t="s">
        <v>185</v>
      </c>
      <c r="N10155" s="1" t="s">
        <v>10</v>
      </c>
      <c r="BK10155" s="1" t="s">
        <v>59</v>
      </c>
      <c r="DN10155" s="1" t="s">
        <v>114</v>
      </c>
      <c r="FD10155" s="1" t="s">
        <v>156</v>
      </c>
      <c r="FI10155" s="1" t="s">
        <v>161</v>
      </c>
      <c r="GD10155" s="1" t="s">
        <v>189</v>
      </c>
      <c r="GE10155" s="1" t="s">
        <v>190</v>
      </c>
    </row>
    <row r="10156" spans="1:187" ht="11.25" customHeight="1">
      <c r="A10156" s="1" t="s">
        <v>14311</v>
      </c>
      <c r="B10156" s="1" t="str">
        <f ca="1">IFERROR(__xludf.DUMMYFUNCTION("GOOGLETRANSLATE(A10156, ""en"", ""fr"")"),"RÉSUMÉ")</f>
        <v>RÉSUMÉ</v>
      </c>
      <c r="C10156" s="1" t="s">
        <v>185</v>
      </c>
      <c r="BK10156" s="1" t="s">
        <v>59</v>
      </c>
      <c r="BL10156" s="1" t="s">
        <v>60</v>
      </c>
      <c r="GC10156" s="1" t="s">
        <v>181</v>
      </c>
      <c r="GD10156" s="1" t="s">
        <v>193</v>
      </c>
      <c r="GE10156" s="1" t="s">
        <v>190</v>
      </c>
    </row>
    <row r="10157" spans="1:187" ht="11.25" customHeight="1">
      <c r="A10157" s="1" t="s">
        <v>14312</v>
      </c>
      <c r="B10157" s="1" t="str">
        <f ca="1">IFERROR(__xludf.DUMMYFUNCTION("GOOGLETRANSLATE(A10157, ""en"", ""fr"")"),"ÉTÉ")</f>
        <v>ÉTÉ</v>
      </c>
      <c r="C10157" s="1" t="s">
        <v>185</v>
      </c>
      <c r="CQ10157" s="1" t="s">
        <v>91</v>
      </c>
      <c r="CY10157" s="1" t="s">
        <v>99</v>
      </c>
      <c r="CZ10157" s="1" t="s">
        <v>100</v>
      </c>
      <c r="GB10157" s="1" t="s">
        <v>180</v>
      </c>
      <c r="GD10157" s="1" t="s">
        <v>193</v>
      </c>
      <c r="GE10157" s="1" t="s">
        <v>14313</v>
      </c>
    </row>
    <row r="10158" spans="1:187" ht="11.25" customHeight="1">
      <c r="A10158" s="1" t="s">
        <v>14314</v>
      </c>
      <c r="B10158" s="1" t="str">
        <f ca="1">IFERROR(__xludf.DUMMYFUNCTION("GOOGLETRANSLATE(A10158, ""en"", ""fr"")"),"SOMMET")</f>
        <v>SOMMET</v>
      </c>
      <c r="C10158" s="1" t="s">
        <v>192</v>
      </c>
      <c r="D10158" s="1" t="s">
        <v>16612</v>
      </c>
      <c r="AV10158" s="1" t="s">
        <v>44</v>
      </c>
      <c r="GD10158" s="1" t="s">
        <v>193</v>
      </c>
      <c r="GE10158" s="1" t="s">
        <v>190</v>
      </c>
    </row>
    <row r="10159" spans="1:187" ht="11.25" customHeight="1">
      <c r="A10159" s="1" t="s">
        <v>14315</v>
      </c>
      <c r="B10159" s="1" t="str">
        <f ca="1">IFERROR(__xludf.DUMMYFUNCTION("GOOGLETRANSLATE(A10159, ""en"", ""fr"")"),"Invocation n ° 1")</f>
        <v>Invocation n ° 1</v>
      </c>
      <c r="C10159" s="1" t="s">
        <v>185</v>
      </c>
      <c r="J10159" s="1" t="s">
        <v>6</v>
      </c>
      <c r="K10159" s="1" t="s">
        <v>7</v>
      </c>
      <c r="N10159" s="1" t="s">
        <v>10</v>
      </c>
      <c r="AE10159" s="1" t="s">
        <v>27</v>
      </c>
      <c r="BC10159" s="1" t="s">
        <v>51</v>
      </c>
      <c r="BH10159" s="1" t="s">
        <v>56</v>
      </c>
      <c r="BL10159" s="1" t="s">
        <v>60</v>
      </c>
      <c r="DU10159" s="1" t="s">
        <v>121</v>
      </c>
      <c r="ED10159" s="1" t="s">
        <v>130</v>
      </c>
      <c r="GD10159" s="1" t="s">
        <v>193</v>
      </c>
      <c r="GE10159" s="1" t="s">
        <v>190</v>
      </c>
    </row>
    <row r="10160" spans="1:187" ht="11.25" customHeight="1">
      <c r="A10160" s="1" t="s">
        <v>14316</v>
      </c>
      <c r="B10160" s="1" t="str">
        <f ca="1">IFERROR(__xludf.DUMMYFUNCTION("GOOGLETRANSLATE(A10160, ""en"", ""fr"")"),"Invocation # 2")</f>
        <v>Invocation # 2</v>
      </c>
      <c r="C10160" s="1" t="s">
        <v>185</v>
      </c>
      <c r="J10160" s="1" t="s">
        <v>6</v>
      </c>
      <c r="K10160" s="1" t="s">
        <v>7</v>
      </c>
      <c r="N10160" s="1" t="s">
        <v>10</v>
      </c>
      <c r="AE10160" s="1" t="s">
        <v>27</v>
      </c>
      <c r="BK10160" s="1" t="s">
        <v>59</v>
      </c>
      <c r="DN10160" s="1" t="s">
        <v>114</v>
      </c>
      <c r="DU10160" s="1" t="s">
        <v>121</v>
      </c>
      <c r="ED10160" s="1" t="s">
        <v>130</v>
      </c>
      <c r="GD10160" s="1" t="s">
        <v>189</v>
      </c>
      <c r="GE10160" s="1" t="s">
        <v>190</v>
      </c>
    </row>
    <row r="10161" spans="1:187" ht="11.25" customHeight="1">
      <c r="A10161" s="1" t="s">
        <v>14317</v>
      </c>
      <c r="B10161" s="1" t="str">
        <f ca="1">IFERROR(__xludf.DUMMYFUNCTION("GOOGLETRANSLATE(A10161, ""en"", ""fr"")"),"SOMPTUEUX")</f>
        <v>SOMPTUEUX</v>
      </c>
      <c r="C10161" s="1" t="s">
        <v>192</v>
      </c>
      <c r="D10161" s="1" t="s">
        <v>16612</v>
      </c>
      <c r="U10161" s="1" t="s">
        <v>17</v>
      </c>
      <c r="CM10161" s="1" t="s">
        <v>87</v>
      </c>
      <c r="DR10161" s="1" t="s">
        <v>118</v>
      </c>
      <c r="GD10161" s="1" t="s">
        <v>202</v>
      </c>
      <c r="GE10161" s="1" t="s">
        <v>190</v>
      </c>
    </row>
    <row r="10162" spans="1:187" ht="11.25" customHeight="1">
      <c r="A10162" s="1" t="s">
        <v>14318</v>
      </c>
      <c r="B10162" s="1" t="str">
        <f ca="1">IFERROR(__xludf.DUMMYFUNCTION("GOOGLETRANSLATE(A10162, ""en"", ""fr"")"),"SOLEIL")</f>
        <v>SOLEIL</v>
      </c>
      <c r="C10162" s="1" t="s">
        <v>185</v>
      </c>
      <c r="AV10162" s="1" t="s">
        <v>44</v>
      </c>
      <c r="BB10162" s="1" t="s">
        <v>50</v>
      </c>
      <c r="GD10162" s="1" t="s">
        <v>193</v>
      </c>
      <c r="GE10162" s="1" t="s">
        <v>14319</v>
      </c>
    </row>
    <row r="10163" spans="1:187" ht="11.25" customHeight="1">
      <c r="A10163" s="1" t="s">
        <v>14320</v>
      </c>
      <c r="B10163" s="1" t="str">
        <f ca="1">IFERROR(__xludf.DUMMYFUNCTION("GOOGLETRANSLATE(A10163, ""en"", ""fr"")"),"COUP DE SOLEIL")</f>
        <v>COUP DE SOLEIL</v>
      </c>
      <c r="C10163" s="1" t="s">
        <v>185</v>
      </c>
      <c r="V10163" s="1" t="s">
        <v>18</v>
      </c>
      <c r="EZ10163" s="1" t="s">
        <v>152</v>
      </c>
      <c r="FC10163" s="1" t="s">
        <v>155</v>
      </c>
      <c r="GD10163" s="1" t="s">
        <v>193</v>
      </c>
      <c r="GE10163" s="1" t="s">
        <v>190</v>
      </c>
    </row>
    <row r="10164" spans="1:187" ht="11.25" customHeight="1">
      <c r="A10164" s="1" t="s">
        <v>14321</v>
      </c>
      <c r="B10164" s="1" t="str">
        <f ca="1">IFERROR(__xludf.DUMMYFUNCTION("GOOGLETRANSLATE(A10164, ""en"", ""fr"")"),"DIMANCHE")</f>
        <v>DIMANCHE</v>
      </c>
      <c r="C10164" s="1" t="s">
        <v>185</v>
      </c>
      <c r="CQ10164" s="1" t="s">
        <v>91</v>
      </c>
      <c r="CY10164" s="1" t="s">
        <v>99</v>
      </c>
      <c r="CZ10164" s="1" t="s">
        <v>100</v>
      </c>
      <c r="GB10164" s="1" t="s">
        <v>180</v>
      </c>
      <c r="GD10164" s="1" t="s">
        <v>193</v>
      </c>
      <c r="GE10164" s="1" t="s">
        <v>190</v>
      </c>
    </row>
    <row r="10165" spans="1:187" ht="11.25" customHeight="1">
      <c r="A10165" s="1" t="s">
        <v>14322</v>
      </c>
      <c r="B10165" s="1" t="str">
        <f ca="1">IFERROR(__xludf.DUMMYFUNCTION("GOOGLETRANSLATE(A10165, ""en"", ""fr"")"),"SÉPARER")</f>
        <v>SÉPARER</v>
      </c>
      <c r="C10165" s="1" t="s">
        <v>192</v>
      </c>
      <c r="E10165" s="1" t="s">
        <v>16613</v>
      </c>
      <c r="I10165" s="1" t="s">
        <v>5</v>
      </c>
      <c r="N10165" s="1" t="s">
        <v>10</v>
      </c>
      <c r="BY10165" s="1" t="s">
        <v>73</v>
      </c>
      <c r="DN10165" s="1" t="s">
        <v>114</v>
      </c>
      <c r="GD10165" s="1" t="s">
        <v>189</v>
      </c>
      <c r="GE10165" s="1" t="s">
        <v>190</v>
      </c>
    </row>
    <row r="10166" spans="1:187" ht="11.25" customHeight="1">
      <c r="A10166" s="1" t="s">
        <v>14323</v>
      </c>
      <c r="B10166" s="1" t="str">
        <f ca="1">IFERROR(__xludf.DUMMYFUNCTION("GOOGLETRANSLATE(A10166, ""en"", ""fr"")"),"COUCHER")</f>
        <v>COUCHER</v>
      </c>
      <c r="C10166" s="1" t="s">
        <v>185</v>
      </c>
      <c r="CQ10166" s="1" t="s">
        <v>91</v>
      </c>
      <c r="CY10166" s="1" t="s">
        <v>99</v>
      </c>
      <c r="CZ10166" s="1" t="s">
        <v>100</v>
      </c>
      <c r="GB10166" s="1" t="s">
        <v>180</v>
      </c>
      <c r="GD10166" s="1" t="s">
        <v>193</v>
      </c>
      <c r="GE10166" s="1" t="s">
        <v>190</v>
      </c>
    </row>
    <row r="10167" spans="1:187" ht="11.25" customHeight="1">
      <c r="A10167" s="1" t="s">
        <v>14324</v>
      </c>
      <c r="B10167" s="1" t="str">
        <f ca="1">IFERROR(__xludf.DUMMYFUNCTION("GOOGLETRANSLATE(A10167, ""en"", ""fr"")"),"CHANTÉ")</f>
        <v>CHANTÉ</v>
      </c>
      <c r="C10167" s="1" t="s">
        <v>185</v>
      </c>
      <c r="N10167" s="1" t="s">
        <v>10</v>
      </c>
      <c r="AD10167" s="1" t="s">
        <v>26</v>
      </c>
      <c r="BK10167" s="1" t="s">
        <v>59</v>
      </c>
      <c r="DO10167" s="1" t="s">
        <v>115</v>
      </c>
      <c r="GD10167" s="1" t="s">
        <v>1076</v>
      </c>
      <c r="GE10167" s="1" t="s">
        <v>190</v>
      </c>
    </row>
    <row r="10168" spans="1:187" ht="11.25" customHeight="1">
      <c r="A10168" s="1" t="s">
        <v>14325</v>
      </c>
      <c r="B10168" s="1" t="str">
        <f ca="1">IFERROR(__xludf.DUMMYFUNCTION("GOOGLETRANSLATE(A10168, ""en"", ""fr"")"),"Couler")</f>
        <v>Couler</v>
      </c>
      <c r="C10168" s="1" t="s">
        <v>185</v>
      </c>
      <c r="L10168" s="1" t="s">
        <v>8</v>
      </c>
      <c r="O10168" s="1" t="s">
        <v>11</v>
      </c>
      <c r="CF10168" s="1" t="s">
        <v>80</v>
      </c>
      <c r="DO10168" s="1" t="s">
        <v>115</v>
      </c>
      <c r="GD10168" s="1" t="s">
        <v>189</v>
      </c>
      <c r="GE10168" s="1" t="s">
        <v>190</v>
      </c>
    </row>
    <row r="10169" spans="1:187" ht="11.25" customHeight="1">
      <c r="A10169" s="1" t="s">
        <v>14326</v>
      </c>
      <c r="B10169" s="1" t="str">
        <f ca="1">IFERROR(__xludf.DUMMYFUNCTION("GOOGLETRANSLATE(A10169, ""en"", ""fr"")"),"CREUX")</f>
        <v>CREUX</v>
      </c>
      <c r="C10169" s="1" t="s">
        <v>185</v>
      </c>
      <c r="L10169" s="1" t="s">
        <v>8</v>
      </c>
      <c r="O10169" s="1" t="s">
        <v>11</v>
      </c>
      <c r="CF10169" s="1" t="s">
        <v>80</v>
      </c>
      <c r="DP10169" s="1" t="s">
        <v>116</v>
      </c>
      <c r="GD10169" s="1" t="s">
        <v>1076</v>
      </c>
      <c r="GE10169" s="1" t="s">
        <v>190</v>
      </c>
    </row>
    <row r="10170" spans="1:187" ht="11.25" customHeight="1">
      <c r="A10170" s="1" t="s">
        <v>14327</v>
      </c>
      <c r="B10170" s="1" t="str">
        <f ca="1">IFERROR(__xludf.DUMMYFUNCTION("GOOGLETRANSLATE(A10170, ""en"", ""fr"")"),"LUMIÈRE DU SOLEIL")</f>
        <v>LUMIÈRE DU SOLEIL</v>
      </c>
      <c r="C10170" s="1" t="s">
        <v>185</v>
      </c>
      <c r="AV10170" s="1" t="s">
        <v>44</v>
      </c>
      <c r="BB10170" s="1" t="s">
        <v>50</v>
      </c>
      <c r="GD10170" s="1" t="s">
        <v>193</v>
      </c>
      <c r="GE10170" s="1" t="s">
        <v>190</v>
      </c>
    </row>
    <row r="10171" spans="1:187" ht="11.25" customHeight="1">
      <c r="A10171" s="1" t="s">
        <v>14328</v>
      </c>
      <c r="B10171" s="1" t="str">
        <f ca="1">IFERROR(__xludf.DUMMYFUNCTION("GOOGLETRANSLATE(A10171, ""en"", ""fr"")"),"SOLEIL")</f>
        <v>SOLEIL</v>
      </c>
      <c r="C10171" s="1" t="s">
        <v>185</v>
      </c>
      <c r="AV10171" s="1" t="s">
        <v>44</v>
      </c>
      <c r="BB10171" s="1" t="s">
        <v>50</v>
      </c>
      <c r="GD10171" s="1" t="s">
        <v>193</v>
      </c>
      <c r="GE10171" s="1" t="s">
        <v>190</v>
      </c>
    </row>
    <row r="10172" spans="1:187" ht="11.25" customHeight="1">
      <c r="A10172" s="1" t="s">
        <v>14329</v>
      </c>
      <c r="B10172" s="1" t="str">
        <f ca="1">IFERROR(__xludf.DUMMYFUNCTION("GOOGLETRANSLATE(A10172, ""en"", ""fr"")"),"SUPER")</f>
        <v>SUPER</v>
      </c>
      <c r="C10172" s="1" t="s">
        <v>185</v>
      </c>
      <c r="D10172" s="1" t="s">
        <v>16612</v>
      </c>
      <c r="F10172" s="1" t="s">
        <v>2</v>
      </c>
      <c r="U10172" s="1" t="s">
        <v>17</v>
      </c>
      <c r="GD10172" s="1" t="s">
        <v>202</v>
      </c>
      <c r="GE10172" s="1" t="s">
        <v>190</v>
      </c>
    </row>
    <row r="10173" spans="1:187" ht="11.25" customHeight="1">
      <c r="A10173" s="1" t="s">
        <v>14330</v>
      </c>
      <c r="B10173" s="1" t="str">
        <f ca="1">IFERROR(__xludf.DUMMYFUNCTION("GOOGLETRANSLATE(A10173, ""en"", ""fr"")"),"SUPERFICIEL")</f>
        <v>SUPERFICIEL</v>
      </c>
      <c r="C10173" s="1" t="s">
        <v>185</v>
      </c>
      <c r="E10173" s="1" t="s">
        <v>16613</v>
      </c>
      <c r="H10173" s="1" t="s">
        <v>4</v>
      </c>
      <c r="L10173" s="1" t="s">
        <v>8</v>
      </c>
      <c r="V10173" s="1" t="s">
        <v>18</v>
      </c>
      <c r="X10173" s="1" t="s">
        <v>20</v>
      </c>
      <c r="GD10173" s="1" t="s">
        <v>202</v>
      </c>
      <c r="GE10173" s="1" t="s">
        <v>190</v>
      </c>
    </row>
    <row r="10174" spans="1:187" ht="11.25" customHeight="1">
      <c r="A10174" s="1" t="s">
        <v>14331</v>
      </c>
      <c r="B10174" s="1" t="str">
        <f ca="1">IFERROR(__xludf.DUMMYFUNCTION("GOOGLETRANSLATE(A10174, ""en"", ""fr"")"),"CARACTÈRE SUPERFICIEL")</f>
        <v>CARACTÈRE SUPERFICIEL</v>
      </c>
      <c r="C10174" s="1" t="s">
        <v>192</v>
      </c>
      <c r="E10174" s="1" t="s">
        <v>16613</v>
      </c>
      <c r="V10174" s="1" t="s">
        <v>18</v>
      </c>
      <c r="CM10174" s="1" t="s">
        <v>87</v>
      </c>
      <c r="GD10174" s="1" t="s">
        <v>193</v>
      </c>
      <c r="GE10174" s="1" t="s">
        <v>190</v>
      </c>
    </row>
    <row r="10175" spans="1:187" ht="11.25" customHeight="1">
      <c r="A10175" s="1" t="s">
        <v>14332</v>
      </c>
      <c r="B10175" s="1" t="str">
        <f ca="1">IFERROR(__xludf.DUMMYFUNCTION("GOOGLETRANSLATE(A10175, ""en"", ""fr"")"),"SUPERFLU")</f>
        <v>SUPERFLU</v>
      </c>
      <c r="C10175" s="1" t="s">
        <v>192</v>
      </c>
      <c r="E10175" s="1" t="s">
        <v>16613</v>
      </c>
      <c r="W10175" s="1" t="s">
        <v>19</v>
      </c>
      <c r="CM10175" s="1" t="s">
        <v>87</v>
      </c>
      <c r="DR10175" s="1" t="s">
        <v>118</v>
      </c>
      <c r="GD10175" s="1" t="s">
        <v>202</v>
      </c>
      <c r="GE10175" s="1" t="s">
        <v>190</v>
      </c>
    </row>
    <row r="10176" spans="1:187" ht="11.25" customHeight="1">
      <c r="A10176" s="1" t="s">
        <v>14333</v>
      </c>
      <c r="B10176" s="1" t="str">
        <f ca="1">IFERROR(__xludf.DUMMYFUNCTION("GOOGLETRANSLATE(A10176, ""en"", ""fr"")"),"SURVEILLANT GÉNÉRAL")</f>
        <v>SURVEILLANT GÉNÉRAL</v>
      </c>
      <c r="C10176" s="1" t="s">
        <v>185</v>
      </c>
      <c r="J10176" s="1" t="s">
        <v>6</v>
      </c>
      <c r="K10176" s="1" t="s">
        <v>7</v>
      </c>
      <c r="AC10176" s="1" t="s">
        <v>25</v>
      </c>
      <c r="AJ10176" s="1" t="s">
        <v>32</v>
      </c>
      <c r="AT10176" s="1" t="s">
        <v>42</v>
      </c>
      <c r="DY10176" s="1" t="s">
        <v>125</v>
      </c>
      <c r="ED10176" s="1" t="s">
        <v>130</v>
      </c>
      <c r="GD10176" s="1" t="s">
        <v>193</v>
      </c>
      <c r="GE10176" s="1" t="s">
        <v>190</v>
      </c>
    </row>
    <row r="10177" spans="1:187" ht="11.25" customHeight="1">
      <c r="A10177" s="1" t="s">
        <v>14334</v>
      </c>
      <c r="B10177" s="1" t="str">
        <f ca="1">IFERROR(__xludf.DUMMYFUNCTION("GOOGLETRANSLATE(A10177, ""en"", ""fr"")"),"SUPÉRIEUR")</f>
        <v>SUPÉRIEUR</v>
      </c>
      <c r="C10177" s="1" t="s">
        <v>185</v>
      </c>
      <c r="D10177" s="1" t="s">
        <v>16612</v>
      </c>
      <c r="F10177" s="1" t="s">
        <v>2</v>
      </c>
      <c r="J10177" s="1" t="s">
        <v>6</v>
      </c>
      <c r="K10177" s="1" t="s">
        <v>7</v>
      </c>
      <c r="U10177" s="1" t="s">
        <v>17</v>
      </c>
      <c r="CN10177" s="1" t="s">
        <v>88</v>
      </c>
      <c r="EC10177" s="1" t="s">
        <v>129</v>
      </c>
      <c r="ED10177" s="1" t="s">
        <v>130</v>
      </c>
      <c r="GD10177" s="1" t="s">
        <v>202</v>
      </c>
      <c r="GE10177" s="1" t="s">
        <v>190</v>
      </c>
    </row>
    <row r="10178" spans="1:187" ht="11.25" customHeight="1">
      <c r="A10178" s="1" t="s">
        <v>14335</v>
      </c>
      <c r="B10178" s="1" t="str">
        <f ca="1">IFERROR(__xludf.DUMMYFUNCTION("GOOGLETRANSLATE(A10178, ""en"", ""fr"")"),"SUPÉRIORITÉ")</f>
        <v>SUPÉRIORITÉ</v>
      </c>
      <c r="C10178" s="1" t="s">
        <v>185</v>
      </c>
      <c r="D10178" s="1" t="s">
        <v>16612</v>
      </c>
      <c r="F10178" s="1" t="s">
        <v>2</v>
      </c>
      <c r="J10178" s="1" t="s">
        <v>6</v>
      </c>
      <c r="K10178" s="1" t="s">
        <v>7</v>
      </c>
      <c r="U10178" s="1" t="s">
        <v>17</v>
      </c>
      <c r="EC10178" s="1" t="s">
        <v>129</v>
      </c>
      <c r="ED10178" s="1" t="s">
        <v>130</v>
      </c>
      <c r="GD10178" s="1" t="s">
        <v>193</v>
      </c>
      <c r="GE10178" s="1" t="s">
        <v>190</v>
      </c>
    </row>
    <row r="10179" spans="1:187" ht="11.25" customHeight="1">
      <c r="A10179" s="1" t="s">
        <v>14336</v>
      </c>
      <c r="B10179" s="1" t="str">
        <f ca="1">IFERROR(__xludf.DUMMYFUNCTION("GOOGLETRANSLATE(A10179, ""en"", ""fr"")"),"SUPERLATIF")</f>
        <v>SUPERLATIF</v>
      </c>
      <c r="C10179" s="1" t="s">
        <v>185</v>
      </c>
      <c r="D10179" s="1" t="s">
        <v>16612</v>
      </c>
      <c r="F10179" s="1" t="s">
        <v>2</v>
      </c>
      <c r="U10179" s="1" t="s">
        <v>17</v>
      </c>
      <c r="W10179" s="1" t="s">
        <v>19</v>
      </c>
      <c r="CN10179" s="1" t="s">
        <v>88</v>
      </c>
      <c r="GD10179" s="1" t="s">
        <v>202</v>
      </c>
      <c r="GE10179" s="1" t="s">
        <v>190</v>
      </c>
    </row>
    <row r="10180" spans="1:187" ht="11.25" customHeight="1">
      <c r="A10180" s="1" t="s">
        <v>14337</v>
      </c>
      <c r="B10180" s="1" t="str">
        <f ca="1">IFERROR(__xludf.DUMMYFUNCTION("GOOGLETRANSLATE(A10180, ""en"", ""fr"")"),"SURNATUREL")</f>
        <v>SURNATUREL</v>
      </c>
      <c r="C10180" s="1" t="s">
        <v>185</v>
      </c>
      <c r="U10180" s="1" t="s">
        <v>17</v>
      </c>
      <c r="AI10180" s="1" t="s">
        <v>31</v>
      </c>
      <c r="EF10180" s="1" t="s">
        <v>132</v>
      </c>
      <c r="EJ10180" s="1" t="s">
        <v>136</v>
      </c>
      <c r="GD10180" s="1" t="s">
        <v>202</v>
      </c>
      <c r="GE10180" s="1" t="s">
        <v>190</v>
      </c>
    </row>
    <row r="10181" spans="1:187" ht="11.25" customHeight="1">
      <c r="A10181" s="1" t="s">
        <v>14338</v>
      </c>
      <c r="B10181" s="1" t="str">
        <f ca="1">IFERROR(__xludf.DUMMYFUNCTION("GOOGLETRANSLATE(A10181, ""en"", ""fr"")"),"SUPERSTITION")</f>
        <v>SUPERSTITION</v>
      </c>
      <c r="C10181" s="1" t="s">
        <v>192</v>
      </c>
      <c r="E10181" s="1" t="s">
        <v>16613</v>
      </c>
      <c r="R10181" s="1" t="s">
        <v>14</v>
      </c>
      <c r="V10181" s="1" t="s">
        <v>18</v>
      </c>
      <c r="CK10181" s="1" t="s">
        <v>85</v>
      </c>
      <c r="GD10181" s="1" t="s">
        <v>193</v>
      </c>
      <c r="GE10181" s="1" t="s">
        <v>190</v>
      </c>
    </row>
    <row r="10182" spans="1:187" ht="11.25" customHeight="1">
      <c r="A10182" s="1" t="s">
        <v>14339</v>
      </c>
      <c r="B10182" s="1" t="str">
        <f ca="1">IFERROR(__xludf.DUMMYFUNCTION("GOOGLETRANSLATE(A10182, ""en"", ""fr"")"),"SUPERSTITIEUX")</f>
        <v>SUPERSTITIEUX</v>
      </c>
      <c r="C10182" s="1" t="s">
        <v>192</v>
      </c>
      <c r="E10182" s="1" t="s">
        <v>16613</v>
      </c>
      <c r="R10182" s="1" t="s">
        <v>14</v>
      </c>
      <c r="V10182" s="1" t="s">
        <v>18</v>
      </c>
      <c r="CK10182" s="1" t="s">
        <v>85</v>
      </c>
      <c r="DR10182" s="1" t="s">
        <v>118</v>
      </c>
      <c r="GD10182" s="1" t="s">
        <v>202</v>
      </c>
      <c r="GE10182" s="1" t="s">
        <v>190</v>
      </c>
    </row>
    <row r="10183" spans="1:187" ht="11.25" customHeight="1">
      <c r="A10183" s="1" t="s">
        <v>14340</v>
      </c>
      <c r="B10183" s="1" t="str">
        <f ca="1">IFERROR(__xludf.DUMMYFUNCTION("GOOGLETRANSLATE(A10183, ""en"", ""fr"")"),"SUPERVISER")</f>
        <v>SUPERVISER</v>
      </c>
      <c r="C10183" s="1" t="s">
        <v>196</v>
      </c>
      <c r="EC10183" s="1" t="s">
        <v>129</v>
      </c>
      <c r="ED10183" s="1" t="s">
        <v>130</v>
      </c>
      <c r="GD10183" s="1" t="s">
        <v>189</v>
      </c>
    </row>
    <row r="10184" spans="1:187" ht="11.25" customHeight="1">
      <c r="A10184" s="1" t="s">
        <v>14341</v>
      </c>
      <c r="B10184" s="1" t="str">
        <f ca="1">IFERROR(__xludf.DUMMYFUNCTION("GOOGLETRANSLATE(A10184, ""en"", ""fr"")"),"SURVEILLANCE")</f>
        <v>SURVEILLANCE</v>
      </c>
      <c r="C10184" s="1" t="s">
        <v>196</v>
      </c>
      <c r="EC10184" s="1" t="s">
        <v>129</v>
      </c>
      <c r="ED10184" s="1" t="s">
        <v>130</v>
      </c>
      <c r="GD10184" s="1" t="s">
        <v>193</v>
      </c>
    </row>
    <row r="10185" spans="1:187" ht="11.25" customHeight="1">
      <c r="A10185" s="1" t="s">
        <v>14342</v>
      </c>
      <c r="B10185" s="1" t="str">
        <f ca="1">IFERROR(__xludf.DUMMYFUNCTION("GOOGLETRANSLATE(A10185, ""en"", ""fr"")"),"SOUPER")</f>
        <v>SOUPER</v>
      </c>
      <c r="C10185" s="1" t="s">
        <v>185</v>
      </c>
      <c r="BC10185" s="1" t="s">
        <v>51</v>
      </c>
      <c r="BE10185" s="1" t="s">
        <v>53</v>
      </c>
      <c r="GD10185" s="1" t="s">
        <v>193</v>
      </c>
      <c r="GE10185" s="1" t="s">
        <v>190</v>
      </c>
    </row>
    <row r="10186" spans="1:187" ht="11.25" customHeight="1">
      <c r="A10186" s="1" t="s">
        <v>14343</v>
      </c>
      <c r="B10186" s="1" t="str">
        <f ca="1">IFERROR(__xludf.DUMMYFUNCTION("GOOGLETRANSLATE(A10186, ""en"", ""fr"")"),"Supplément n ° 1")</f>
        <v>Supplément n ° 1</v>
      </c>
      <c r="C10186" s="1" t="s">
        <v>185</v>
      </c>
      <c r="AC10186" s="1" t="s">
        <v>25</v>
      </c>
      <c r="BQ10186" s="1" t="s">
        <v>65</v>
      </c>
      <c r="GD10186" s="1" t="s">
        <v>193</v>
      </c>
      <c r="GE10186" s="1" t="s">
        <v>190</v>
      </c>
    </row>
    <row r="10187" spans="1:187" ht="11.25" customHeight="1">
      <c r="A10187" s="1" t="s">
        <v>14344</v>
      </c>
      <c r="B10187" s="1" t="str">
        <f ca="1">IFERROR(__xludf.DUMMYFUNCTION("GOOGLETRANSLATE(A10187, ""en"", ""fr"")"),"Supplément n ° 2")</f>
        <v>Supplément n ° 2</v>
      </c>
      <c r="C10187" s="1" t="s">
        <v>185</v>
      </c>
      <c r="J10187" s="1" t="s">
        <v>6</v>
      </c>
      <c r="BX10187" s="1" t="s">
        <v>72</v>
      </c>
      <c r="DN10187" s="1" t="s">
        <v>114</v>
      </c>
      <c r="GD10187" s="1" t="s">
        <v>189</v>
      </c>
      <c r="GE10187" s="1" t="s">
        <v>190</v>
      </c>
    </row>
    <row r="10188" spans="1:187" ht="11.25" customHeight="1">
      <c r="A10188" s="1" t="s">
        <v>14345</v>
      </c>
      <c r="B10188" s="1" t="str">
        <f ca="1">IFERROR(__xludf.DUMMYFUNCTION("GOOGLETRANSLATE(A10188, ""en"", ""fr"")"),"SUPPLÉMENTAIRE")</f>
        <v>SUPPLÉMENTAIRE</v>
      </c>
      <c r="C10188" s="1" t="s">
        <v>196</v>
      </c>
      <c r="GD10188" s="1" t="s">
        <v>202</v>
      </c>
    </row>
    <row r="10189" spans="1:187" ht="11.25" customHeight="1">
      <c r="A10189" s="1" t="s">
        <v>14346</v>
      </c>
      <c r="B10189" s="1" t="str">
        <f ca="1">IFERROR(__xludf.DUMMYFUNCTION("GOOGLETRANSLATE(A10189, ""en"", ""fr"")"),"FOURNISSEUR")</f>
        <v>FOURNISSEUR</v>
      </c>
      <c r="C10189" s="1" t="s">
        <v>185</v>
      </c>
      <c r="J10189" s="1" t="s">
        <v>6</v>
      </c>
      <c r="AA10189" s="1" t="s">
        <v>23</v>
      </c>
      <c r="AC10189" s="1" t="s">
        <v>25</v>
      </c>
      <c r="AJ10189" s="1" t="s">
        <v>32</v>
      </c>
      <c r="AT10189" s="1" t="s">
        <v>42</v>
      </c>
      <c r="EV10189" s="1" t="s">
        <v>148</v>
      </c>
      <c r="EW10189" s="1" t="s">
        <v>149</v>
      </c>
      <c r="GD10189" s="1" t="s">
        <v>193</v>
      </c>
      <c r="GE10189" s="1" t="s">
        <v>190</v>
      </c>
    </row>
    <row r="10190" spans="1:187" ht="11.25" customHeight="1">
      <c r="A10190" s="1" t="s">
        <v>14347</v>
      </c>
      <c r="B10190" s="1" t="str">
        <f ca="1">IFERROR(__xludf.DUMMYFUNCTION("GOOGLETRANSLATE(A10190, ""en"", ""fr"")"),"Fourniture n ° 1")</f>
        <v>Fourniture n ° 1</v>
      </c>
      <c r="C10190" s="1" t="s">
        <v>185</v>
      </c>
      <c r="J10190" s="1" t="s">
        <v>6</v>
      </c>
      <c r="U10190" s="1" t="s">
        <v>17</v>
      </c>
      <c r="AA10190" s="1" t="s">
        <v>23</v>
      </c>
      <c r="AC10190" s="1" t="s">
        <v>25</v>
      </c>
      <c r="EV10190" s="1" t="s">
        <v>148</v>
      </c>
      <c r="EW10190" s="1" t="s">
        <v>149</v>
      </c>
      <c r="GD10190" s="1" t="s">
        <v>193</v>
      </c>
      <c r="GE10190" s="1" t="s">
        <v>14348</v>
      </c>
    </row>
    <row r="10191" spans="1:187" ht="11.25" customHeight="1">
      <c r="A10191" s="1" t="s">
        <v>14349</v>
      </c>
      <c r="B10191" s="1" t="str">
        <f ca="1">IFERROR(__xludf.DUMMYFUNCTION("GOOGLETRANSLATE(A10191, ""en"", ""fr"")"),"Alimentation n ° 2")</f>
        <v>Alimentation n ° 2</v>
      </c>
      <c r="C10191" s="1" t="s">
        <v>185</v>
      </c>
      <c r="G10191" s="1" t="s">
        <v>3</v>
      </c>
      <c r="J10191" s="1" t="s">
        <v>6</v>
      </c>
      <c r="K10191" s="1" t="s">
        <v>7</v>
      </c>
      <c r="N10191" s="1" t="s">
        <v>10</v>
      </c>
      <c r="AN10191" s="1" t="s">
        <v>36</v>
      </c>
      <c r="DN10191" s="1" t="s">
        <v>114</v>
      </c>
      <c r="FN10191" s="1" t="s">
        <v>166</v>
      </c>
      <c r="GD10191" s="1" t="s">
        <v>189</v>
      </c>
      <c r="GE10191" s="1" t="s">
        <v>14350</v>
      </c>
    </row>
    <row r="10192" spans="1:187" ht="11.25" customHeight="1">
      <c r="A10192" s="1" t="s">
        <v>14351</v>
      </c>
      <c r="B10192" s="1" t="str">
        <f ca="1">IFERROR(__xludf.DUMMYFUNCTION("GOOGLETRANSLATE(A10192, ""en"", ""fr"")"),"Support n ° 1")</f>
        <v>Support n ° 1</v>
      </c>
      <c r="C10192" s="1" t="s">
        <v>185</v>
      </c>
      <c r="D10192" s="1" t="s">
        <v>16612</v>
      </c>
      <c r="F10192" s="1" t="s">
        <v>2</v>
      </c>
      <c r="G10192" s="1" t="s">
        <v>3</v>
      </c>
      <c r="J10192" s="1" t="s">
        <v>6</v>
      </c>
      <c r="K10192" s="1" t="s">
        <v>7</v>
      </c>
      <c r="N10192" s="1" t="s">
        <v>10</v>
      </c>
      <c r="AN10192" s="1" t="s">
        <v>36</v>
      </c>
      <c r="DN10192" s="1" t="s">
        <v>114</v>
      </c>
      <c r="DS10192" s="1" t="s">
        <v>119</v>
      </c>
      <c r="ED10192" s="1" t="s">
        <v>130</v>
      </c>
      <c r="GD10192" s="1" t="s">
        <v>189</v>
      </c>
      <c r="GE10192" s="1" t="s">
        <v>14352</v>
      </c>
    </row>
    <row r="10193" spans="1:187" ht="11.25" customHeight="1">
      <c r="A10193" s="1" t="s">
        <v>14353</v>
      </c>
      <c r="B10193" s="1" t="str">
        <f ca="1">IFERROR(__xludf.DUMMYFUNCTION("GOOGLETRANSLATE(A10193, ""en"", ""fr"")"),"Support n ° 2")</f>
        <v>Support n ° 2</v>
      </c>
      <c r="C10193" s="1" t="s">
        <v>185</v>
      </c>
      <c r="D10193" s="1" t="s">
        <v>16612</v>
      </c>
      <c r="F10193" s="1" t="s">
        <v>2</v>
      </c>
      <c r="G10193" s="1" t="s">
        <v>3</v>
      </c>
      <c r="J10193" s="1" t="s">
        <v>6</v>
      </c>
      <c r="K10193" s="1" t="s">
        <v>7</v>
      </c>
      <c r="N10193" s="1" t="s">
        <v>10</v>
      </c>
      <c r="U10193" s="1" t="s">
        <v>17</v>
      </c>
      <c r="DS10193" s="1" t="s">
        <v>119</v>
      </c>
      <c r="ED10193" s="1" t="s">
        <v>130</v>
      </c>
      <c r="GD10193" s="1" t="s">
        <v>193</v>
      </c>
      <c r="GE10193" s="1" t="s">
        <v>14354</v>
      </c>
    </row>
    <row r="10194" spans="1:187" ht="11.25" customHeight="1">
      <c r="A10194" s="1" t="s">
        <v>14355</v>
      </c>
      <c r="B10194" s="1" t="str">
        <f ca="1">IFERROR(__xludf.DUMMYFUNCTION("GOOGLETRANSLATE(A10194, ""en"", ""fr"")"),"Support n ° 3")</f>
        <v>Support n ° 3</v>
      </c>
      <c r="C10194" s="1" t="s">
        <v>185</v>
      </c>
      <c r="D10194" s="1" t="s">
        <v>16612</v>
      </c>
      <c r="F10194" s="1" t="s">
        <v>2</v>
      </c>
      <c r="G10194" s="1" t="s">
        <v>3</v>
      </c>
      <c r="J10194" s="1" t="s">
        <v>6</v>
      </c>
      <c r="K10194" s="1" t="s">
        <v>7</v>
      </c>
      <c r="N10194" s="1" t="s">
        <v>10</v>
      </c>
      <c r="U10194" s="1" t="s">
        <v>17</v>
      </c>
      <c r="GD10194" s="1" t="s">
        <v>202</v>
      </c>
      <c r="GE10194" s="1" t="s">
        <v>14356</v>
      </c>
    </row>
    <row r="10195" spans="1:187" ht="11.25" customHeight="1">
      <c r="A10195" s="1" t="s">
        <v>14357</v>
      </c>
      <c r="B10195" s="1" t="str">
        <f ca="1">IFERROR(__xludf.DUMMYFUNCTION("GOOGLETRANSLATE(A10195, ""en"", ""fr"")"),"Support n ° 4")</f>
        <v>Support n ° 4</v>
      </c>
      <c r="C10195" s="1" t="s">
        <v>185</v>
      </c>
      <c r="D10195" s="1" t="s">
        <v>16612</v>
      </c>
      <c r="F10195" s="1" t="s">
        <v>2</v>
      </c>
      <c r="G10195" s="1" t="s">
        <v>3</v>
      </c>
      <c r="K10195" s="1" t="s">
        <v>7</v>
      </c>
      <c r="L10195" s="1" t="s">
        <v>8</v>
      </c>
      <c r="O10195" s="1" t="s">
        <v>11</v>
      </c>
      <c r="U10195" s="1" t="s">
        <v>17</v>
      </c>
      <c r="DS10195" s="1" t="s">
        <v>119</v>
      </c>
      <c r="ED10195" s="1" t="s">
        <v>130</v>
      </c>
      <c r="GD10195" s="1" t="s">
        <v>202</v>
      </c>
      <c r="GE10195" s="1" t="s">
        <v>14358</v>
      </c>
    </row>
    <row r="10196" spans="1:187" ht="11.25" customHeight="1">
      <c r="A10196" s="1" t="s">
        <v>14359</v>
      </c>
      <c r="B10196" s="1" t="str">
        <f ca="1">IFERROR(__xludf.DUMMYFUNCTION("GOOGLETRANSLATE(A10196, ""en"", ""fr"")"),"SUPPORTER")</f>
        <v>SUPPORTER</v>
      </c>
      <c r="C10196" s="1" t="s">
        <v>185</v>
      </c>
      <c r="G10196" s="1" t="s">
        <v>3</v>
      </c>
      <c r="M10196" s="1" t="s">
        <v>9</v>
      </c>
      <c r="AH10196" s="1" t="s">
        <v>30</v>
      </c>
      <c r="AJ10196" s="1" t="s">
        <v>32</v>
      </c>
      <c r="AT10196" s="1" t="s">
        <v>42</v>
      </c>
      <c r="DX10196" s="1" t="s">
        <v>124</v>
      </c>
      <c r="ED10196" s="1" t="s">
        <v>130</v>
      </c>
      <c r="GD10196" s="1" t="s">
        <v>193</v>
      </c>
      <c r="GE10196" s="1" t="s">
        <v>190</v>
      </c>
    </row>
    <row r="10197" spans="1:187" ht="11.25" customHeight="1">
      <c r="A10197" s="1" t="s">
        <v>14360</v>
      </c>
      <c r="B10197" s="1" t="str">
        <f ca="1">IFERROR(__xludf.DUMMYFUNCTION("GOOGLETRANSLATE(A10197, ""en"", ""fr"")"),"Solidaire")</f>
        <v>Solidaire</v>
      </c>
      <c r="C10197" s="1" t="s">
        <v>192</v>
      </c>
      <c r="D10197" s="1" t="s">
        <v>16612</v>
      </c>
      <c r="G10197" s="1" t="s">
        <v>3</v>
      </c>
      <c r="DQ10197" s="1" t="s">
        <v>117</v>
      </c>
      <c r="GD10197" s="1" t="s">
        <v>202</v>
      </c>
      <c r="GE10197" s="1" t="s">
        <v>190</v>
      </c>
    </row>
    <row r="10198" spans="1:187" ht="11.25" customHeight="1">
      <c r="A10198" s="1" t="s">
        <v>14361</v>
      </c>
      <c r="B10198" s="1" t="str">
        <f ca="1">IFERROR(__xludf.DUMMYFUNCTION("GOOGLETRANSLATE(A10198, ""en"", ""fr"")"),"Supposons # 1")</f>
        <v>Supposons # 1</v>
      </c>
      <c r="C10198" s="1" t="s">
        <v>185</v>
      </c>
      <c r="CO10198" s="1" t="s">
        <v>89</v>
      </c>
      <c r="DN10198" s="1" t="s">
        <v>114</v>
      </c>
      <c r="FH10198" s="1" t="s">
        <v>160</v>
      </c>
      <c r="FI10198" s="1" t="s">
        <v>161</v>
      </c>
      <c r="GD10198" s="1" t="s">
        <v>189</v>
      </c>
      <c r="GE10198" s="1" t="s">
        <v>14362</v>
      </c>
    </row>
    <row r="10199" spans="1:187" ht="11.25" customHeight="1">
      <c r="A10199" s="1" t="s">
        <v>14363</v>
      </c>
      <c r="B10199" s="1" t="str">
        <f ca="1">IFERROR(__xludf.DUMMYFUNCTION("GOOGLETRANSLATE(A10199, ""en"", ""fr"")"),"Supposons # 2")</f>
        <v>Supposons # 2</v>
      </c>
      <c r="C10199" s="1" t="s">
        <v>185</v>
      </c>
      <c r="K10199" s="1" t="s">
        <v>7</v>
      </c>
      <c r="M10199" s="1" t="s">
        <v>9</v>
      </c>
      <c r="O10199" s="1" t="s">
        <v>11</v>
      </c>
      <c r="AN10199" s="1" t="s">
        <v>36</v>
      </c>
      <c r="DN10199" s="1" t="s">
        <v>114</v>
      </c>
      <c r="EE10199" s="1" t="s">
        <v>131</v>
      </c>
      <c r="EJ10199" s="1" t="s">
        <v>136</v>
      </c>
      <c r="GD10199" s="1" t="s">
        <v>189</v>
      </c>
      <c r="GE10199" s="1" t="s">
        <v>14364</v>
      </c>
    </row>
    <row r="10200" spans="1:187" ht="11.25" customHeight="1">
      <c r="A10200" s="1" t="s">
        <v>14365</v>
      </c>
      <c r="B10200" s="1" t="str">
        <f ca="1">IFERROR(__xludf.DUMMYFUNCTION("GOOGLETRANSLATE(A10200, ""en"", ""fr"")"),"Supposons # 3")</f>
        <v>Supposons # 3</v>
      </c>
      <c r="C10200" s="1" t="s">
        <v>185</v>
      </c>
      <c r="X10200" s="1" t="s">
        <v>20</v>
      </c>
      <c r="CH10200" s="1" t="s">
        <v>82</v>
      </c>
      <c r="FH10200" s="1" t="s">
        <v>160</v>
      </c>
      <c r="FI10200" s="1" t="s">
        <v>161</v>
      </c>
      <c r="GD10200" s="1" t="s">
        <v>202</v>
      </c>
      <c r="GE10200" s="1" t="s">
        <v>14366</v>
      </c>
    </row>
    <row r="10201" spans="1:187" ht="11.25" customHeight="1">
      <c r="A10201" s="1" t="s">
        <v>14367</v>
      </c>
      <c r="B10201" s="1" t="str">
        <f ca="1">IFERROR(__xludf.DUMMYFUNCTION("GOOGLETRANSLATE(A10201, ""en"", ""fr"")"),"Supposons # 4")</f>
        <v>Supposons # 4</v>
      </c>
      <c r="C10201" s="1" t="s">
        <v>185</v>
      </c>
      <c r="X10201" s="1" t="s">
        <v>20</v>
      </c>
      <c r="CH10201" s="1" t="s">
        <v>82</v>
      </c>
      <c r="FH10201" s="1" t="s">
        <v>160</v>
      </c>
      <c r="FI10201" s="1" t="s">
        <v>161</v>
      </c>
      <c r="GD10201" s="1" t="s">
        <v>236</v>
      </c>
      <c r="GE10201" s="1" t="s">
        <v>14368</v>
      </c>
    </row>
    <row r="10202" spans="1:187" ht="11.25" customHeight="1">
      <c r="A10202" s="1" t="s">
        <v>14369</v>
      </c>
      <c r="B10202" s="1" t="str">
        <f ca="1">IFERROR(__xludf.DUMMYFUNCTION("GOOGLETRANSLATE(A10202, ""en"", ""fr"")"),"RÉPRIMER")</f>
        <v>RÉPRIMER</v>
      </c>
      <c r="C10202" s="1" t="s">
        <v>185</v>
      </c>
      <c r="E10202" s="1" t="s">
        <v>16613</v>
      </c>
      <c r="H10202" s="1" t="s">
        <v>4</v>
      </c>
      <c r="I10202" s="1" t="s">
        <v>5</v>
      </c>
      <c r="J10202" s="1" t="s">
        <v>6</v>
      </c>
      <c r="N10202" s="1" t="s">
        <v>10</v>
      </c>
      <c r="AN10202" s="1" t="s">
        <v>36</v>
      </c>
      <c r="DN10202" s="1" t="s">
        <v>114</v>
      </c>
      <c r="DT10202" s="1" t="s">
        <v>120</v>
      </c>
      <c r="ED10202" s="1" t="s">
        <v>130</v>
      </c>
      <c r="GD10202" s="1" t="s">
        <v>189</v>
      </c>
      <c r="GE10202" s="1" t="s">
        <v>190</v>
      </c>
    </row>
    <row r="10203" spans="1:187" ht="11.25" customHeight="1">
      <c r="A10203" s="1" t="s">
        <v>14370</v>
      </c>
      <c r="B10203" s="1" t="str">
        <f ca="1">IFERROR(__xludf.DUMMYFUNCTION("GOOGLETRANSLATE(A10203, ""en"", ""fr"")"),"SUPPRESSION")</f>
        <v>SUPPRESSION</v>
      </c>
      <c r="C10203" s="1" t="s">
        <v>185</v>
      </c>
      <c r="E10203" s="1" t="s">
        <v>16613</v>
      </c>
      <c r="H10203" s="1" t="s">
        <v>4</v>
      </c>
      <c r="I10203" s="1" t="s">
        <v>5</v>
      </c>
      <c r="J10203" s="1" t="s">
        <v>6</v>
      </c>
      <c r="K10203" s="1" t="s">
        <v>7</v>
      </c>
      <c r="N10203" s="1" t="s">
        <v>10</v>
      </c>
      <c r="AN10203" s="1" t="s">
        <v>36</v>
      </c>
      <c r="DT10203" s="1" t="s">
        <v>120</v>
      </c>
      <c r="ED10203" s="1" t="s">
        <v>130</v>
      </c>
      <c r="GD10203" s="1" t="s">
        <v>193</v>
      </c>
      <c r="GE10203" s="1" t="s">
        <v>190</v>
      </c>
    </row>
    <row r="10204" spans="1:187" ht="11.25" customHeight="1">
      <c r="A10204" s="1" t="s">
        <v>14371</v>
      </c>
      <c r="B10204" s="1" t="str">
        <f ca="1">IFERROR(__xludf.DUMMYFUNCTION("GOOGLETRANSLATE(A10204, ""en"", ""fr"")"),"Supra")</f>
        <v>Supra</v>
      </c>
      <c r="C10204" s="1" t="s">
        <v>196</v>
      </c>
      <c r="GD10204" s="1" t="s">
        <v>202</v>
      </c>
    </row>
    <row r="10205" spans="1:187" ht="11.25" customHeight="1">
      <c r="A10205" s="1" t="s">
        <v>14372</v>
      </c>
      <c r="B10205" s="1" t="str">
        <f ca="1">IFERROR(__xludf.DUMMYFUNCTION("GOOGLETRANSLATE(A10205, ""en"", ""fr"")"),"Supranational")</f>
        <v>Supranational</v>
      </c>
      <c r="C10205" s="1" t="s">
        <v>196</v>
      </c>
      <c r="EC10205" s="1" t="s">
        <v>129</v>
      </c>
      <c r="ED10205" s="1" t="s">
        <v>130</v>
      </c>
      <c r="GD10205" s="1" t="s">
        <v>202</v>
      </c>
    </row>
    <row r="10206" spans="1:187" ht="11.25" customHeight="1">
      <c r="A10206" s="1" t="s">
        <v>14373</v>
      </c>
      <c r="B10206" s="1" t="str">
        <f ca="1">IFERROR(__xludf.DUMMYFUNCTION("GOOGLETRANSLATE(A10206, ""en"", ""fr"")"),"SUPRÉMATIE")</f>
        <v>SUPRÉMATIE</v>
      </c>
      <c r="C10206" s="1" t="s">
        <v>185</v>
      </c>
      <c r="J10206" s="1" t="s">
        <v>6</v>
      </c>
      <c r="K10206" s="1" t="s">
        <v>7</v>
      </c>
      <c r="U10206" s="1" t="s">
        <v>17</v>
      </c>
      <c r="EC10206" s="1" t="s">
        <v>129</v>
      </c>
      <c r="ED10206" s="1" t="s">
        <v>130</v>
      </c>
      <c r="GD10206" s="1" t="s">
        <v>193</v>
      </c>
      <c r="GE10206" s="1" t="s">
        <v>190</v>
      </c>
    </row>
    <row r="10207" spans="1:187" ht="11.25" customHeight="1">
      <c r="A10207" s="1" t="s">
        <v>14374</v>
      </c>
      <c r="B10207" s="1" t="str">
        <f ca="1">IFERROR(__xludf.DUMMYFUNCTION("GOOGLETRANSLATE(A10207, ""en"", ""fr"")"),"Suprême # 1")</f>
        <v>Suprême # 1</v>
      </c>
      <c r="C10207" s="1" t="s">
        <v>185</v>
      </c>
      <c r="D10207" s="1" t="s">
        <v>16612</v>
      </c>
      <c r="F10207" s="1" t="s">
        <v>2</v>
      </c>
      <c r="J10207" s="1" t="s">
        <v>6</v>
      </c>
      <c r="K10207" s="1" t="s">
        <v>7</v>
      </c>
      <c r="U10207" s="1" t="s">
        <v>17</v>
      </c>
      <c r="W10207" s="1" t="s">
        <v>19</v>
      </c>
      <c r="CL10207" s="1" t="s">
        <v>86</v>
      </c>
      <c r="CN10207" s="1" t="s">
        <v>88</v>
      </c>
      <c r="EC10207" s="1" t="s">
        <v>129</v>
      </c>
      <c r="ED10207" s="1" t="s">
        <v>130</v>
      </c>
      <c r="GD10207" s="1" t="s">
        <v>8443</v>
      </c>
      <c r="GE10207" s="1" t="s">
        <v>14375</v>
      </c>
    </row>
    <row r="10208" spans="1:187" ht="11.25" customHeight="1">
      <c r="A10208" s="1" t="s">
        <v>14376</v>
      </c>
      <c r="B10208" s="1" t="str">
        <f ca="1">IFERROR(__xludf.DUMMYFUNCTION("GOOGLETRANSLATE(A10208, ""en"", ""fr"")"),"Suprême # 2")</f>
        <v>Suprême # 2</v>
      </c>
      <c r="C10208" s="1" t="s">
        <v>185</v>
      </c>
      <c r="D10208" s="1" t="s">
        <v>16612</v>
      </c>
      <c r="F10208" s="1" t="s">
        <v>2</v>
      </c>
      <c r="J10208" s="1" t="s">
        <v>6</v>
      </c>
      <c r="K10208" s="1" t="s">
        <v>7</v>
      </c>
      <c r="U10208" s="1" t="s">
        <v>17</v>
      </c>
      <c r="W10208" s="1" t="s">
        <v>19</v>
      </c>
      <c r="EC10208" s="1" t="s">
        <v>129</v>
      </c>
      <c r="ED10208" s="1" t="s">
        <v>130</v>
      </c>
      <c r="GD10208" s="1" t="s">
        <v>236</v>
      </c>
      <c r="GE10208" s="1" t="s">
        <v>14377</v>
      </c>
    </row>
    <row r="10209" spans="1:187" ht="11.25" customHeight="1">
      <c r="A10209" s="1" t="s">
        <v>14378</v>
      </c>
      <c r="B10209" s="1" t="str">
        <f ca="1">IFERROR(__xludf.DUMMYFUNCTION("GOOGLETRANSLATE(A10209, ""en"", ""fr"")"),"Suprême # 3")</f>
        <v>Suprême # 3</v>
      </c>
      <c r="C10209" s="1" t="s">
        <v>185</v>
      </c>
      <c r="J10209" s="1" t="s">
        <v>6</v>
      </c>
      <c r="AE10209" s="1" t="s">
        <v>27</v>
      </c>
      <c r="AK10209" s="1" t="s">
        <v>33</v>
      </c>
      <c r="AT10209" s="1" t="s">
        <v>42</v>
      </c>
      <c r="EC10209" s="1" t="s">
        <v>129</v>
      </c>
      <c r="ED10209" s="1" t="s">
        <v>130</v>
      </c>
      <c r="GD10209" s="1" t="s">
        <v>14379</v>
      </c>
      <c r="GE10209" s="1" t="s">
        <v>14380</v>
      </c>
    </row>
    <row r="10210" spans="1:187" ht="11.25" customHeight="1">
      <c r="A10210" s="1" t="s">
        <v>14381</v>
      </c>
      <c r="B10210" s="1" t="str">
        <f ca="1">IFERROR(__xludf.DUMMYFUNCTION("GOOGLETRANSLATE(A10210, ""en"", ""fr"")"),"Sûr # 1")</f>
        <v>Sûr # 1</v>
      </c>
      <c r="C10210" s="1" t="s">
        <v>185</v>
      </c>
      <c r="J10210" s="1" t="s">
        <v>6</v>
      </c>
      <c r="W10210" s="1" t="s">
        <v>19</v>
      </c>
      <c r="CH10210" s="1" t="s">
        <v>82</v>
      </c>
      <c r="FY10210" s="1" t="s">
        <v>177</v>
      </c>
      <c r="GD10210" s="1" t="s">
        <v>202</v>
      </c>
      <c r="GE10210" s="1" t="s">
        <v>14382</v>
      </c>
    </row>
    <row r="10211" spans="1:187" ht="11.25" customHeight="1">
      <c r="A10211" s="1" t="s">
        <v>14383</v>
      </c>
      <c r="B10211" s="1" t="str">
        <f ca="1">IFERROR(__xludf.DUMMYFUNCTION("GOOGLETRANSLATE(A10211, ""en"", ""fr"")"),"Sûr # 2")</f>
        <v>Sûr # 2</v>
      </c>
      <c r="C10211" s="1" t="s">
        <v>185</v>
      </c>
      <c r="W10211" s="1" t="s">
        <v>19</v>
      </c>
      <c r="DJ10211" s="1" t="s">
        <v>110</v>
      </c>
      <c r="DM10211" s="1" t="s">
        <v>113</v>
      </c>
      <c r="FY10211" s="1" t="s">
        <v>177</v>
      </c>
      <c r="GD10211" s="1" t="s">
        <v>14384</v>
      </c>
      <c r="GE10211" s="1" t="s">
        <v>14385</v>
      </c>
    </row>
    <row r="10212" spans="1:187" ht="11.25" customHeight="1">
      <c r="A10212" s="1" t="s">
        <v>14386</v>
      </c>
      <c r="B10212" s="1" t="str">
        <f ca="1">IFERROR(__xludf.DUMMYFUNCTION("GOOGLETRANSLATE(A10212, ""en"", ""fr"")"),"Sûr # 3")</f>
        <v>Sûr # 3</v>
      </c>
      <c r="C10212" s="1" t="s">
        <v>185</v>
      </c>
      <c r="W10212" s="1" t="s">
        <v>19</v>
      </c>
      <c r="DJ10212" s="1" t="s">
        <v>110</v>
      </c>
      <c r="DM10212" s="1" t="s">
        <v>113</v>
      </c>
      <c r="FY10212" s="1" t="s">
        <v>177</v>
      </c>
      <c r="GD10212" s="1" t="s">
        <v>236</v>
      </c>
      <c r="GE10212" s="1" t="s">
        <v>14387</v>
      </c>
    </row>
    <row r="10213" spans="1:187" ht="11.25" customHeight="1">
      <c r="A10213" s="1" t="s">
        <v>14388</v>
      </c>
      <c r="B10213" s="1" t="str">
        <f ca="1">IFERROR(__xludf.DUMMYFUNCTION("GOOGLETRANSLATE(A10213, ""en"", ""fr"")"),"Sûr # 4")</f>
        <v>Sûr # 4</v>
      </c>
      <c r="C10213" s="1" t="s">
        <v>185</v>
      </c>
      <c r="W10213" s="1" t="s">
        <v>19</v>
      </c>
      <c r="DJ10213" s="1" t="s">
        <v>110</v>
      </c>
      <c r="FY10213" s="1" t="s">
        <v>177</v>
      </c>
      <c r="GD10213" s="1" t="s">
        <v>236</v>
      </c>
      <c r="GE10213" s="1" t="s">
        <v>14389</v>
      </c>
    </row>
    <row r="10214" spans="1:187" ht="11.25" customHeight="1">
      <c r="A10214" s="1" t="s">
        <v>14390</v>
      </c>
      <c r="B10214" s="1" t="str">
        <f ca="1">IFERROR(__xludf.DUMMYFUNCTION("GOOGLETRANSLATE(A10214, ""en"", ""fr"")"),"Sûr # 5")</f>
        <v>Sûr # 5</v>
      </c>
      <c r="C10214" s="1" t="s">
        <v>185</v>
      </c>
      <c r="U10214" s="1" t="s">
        <v>17</v>
      </c>
      <c r="GD10214" s="1" t="s">
        <v>225</v>
      </c>
      <c r="GE10214" s="1" t="s">
        <v>14391</v>
      </c>
    </row>
    <row r="10215" spans="1:187" ht="11.25" customHeight="1">
      <c r="A10215" s="1" t="s">
        <v>14392</v>
      </c>
      <c r="B10215" s="1" t="str">
        <f ca="1">IFERROR(__xludf.DUMMYFUNCTION("GOOGLETRANSLATE(A10215, ""en"", ""fr"")"),"Sûr # 6")</f>
        <v>Sûr # 6</v>
      </c>
      <c r="C10215" s="1" t="s">
        <v>185</v>
      </c>
      <c r="J10215" s="1" t="s">
        <v>6</v>
      </c>
      <c r="W10215" s="1" t="s">
        <v>19</v>
      </c>
      <c r="CH10215" s="1" t="s">
        <v>82</v>
      </c>
      <c r="FY10215" s="1" t="s">
        <v>177</v>
      </c>
      <c r="GD10215" s="1" t="s">
        <v>236</v>
      </c>
      <c r="GE10215" s="1" t="s">
        <v>14393</v>
      </c>
    </row>
    <row r="10216" spans="1:187" ht="11.25" customHeight="1">
      <c r="A10216" s="1" t="s">
        <v>14394</v>
      </c>
      <c r="B10216" s="1" t="str">
        <f ca="1">IFERROR(__xludf.DUMMYFUNCTION("GOOGLETRANSLATE(A10216, ""en"", ""fr"")"),"Surface n ° 1")</f>
        <v>Surface n ° 1</v>
      </c>
      <c r="C10216" s="1" t="s">
        <v>185</v>
      </c>
      <c r="CR10216" s="1" t="s">
        <v>92</v>
      </c>
      <c r="GB10216" s="1" t="s">
        <v>180</v>
      </c>
      <c r="GD10216" s="1" t="s">
        <v>849</v>
      </c>
      <c r="GE10216" s="1" t="s">
        <v>14395</v>
      </c>
    </row>
    <row r="10217" spans="1:187" ht="11.25" customHeight="1">
      <c r="A10217" s="1" t="s">
        <v>14396</v>
      </c>
      <c r="B10217" s="1" t="str">
        <f ca="1">IFERROR(__xludf.DUMMYFUNCTION("GOOGLETRANSLATE(A10217, ""en"", ""fr"")"),"Surface n ° 2")</f>
        <v>Surface n ° 2</v>
      </c>
      <c r="C10217" s="1" t="s">
        <v>185</v>
      </c>
      <c r="CB10217" s="1" t="s">
        <v>76</v>
      </c>
      <c r="DN10217" s="1" t="s">
        <v>114</v>
      </c>
      <c r="FP10217" s="1" t="s">
        <v>168</v>
      </c>
      <c r="GD10217" s="1" t="s">
        <v>189</v>
      </c>
      <c r="GE10217" s="1" t="s">
        <v>14397</v>
      </c>
    </row>
    <row r="10218" spans="1:187" ht="11.25" customHeight="1">
      <c r="A10218" s="1" t="s">
        <v>14398</v>
      </c>
      <c r="B10218" s="1" t="str">
        <f ca="1">IFERROR(__xludf.DUMMYFUNCTION("GOOGLETRANSLATE(A10218, ""en"", ""fr"")"),"SURTENSION")</f>
        <v>SURTENSION</v>
      </c>
      <c r="C10218" s="1" t="s">
        <v>192</v>
      </c>
      <c r="D10218" s="1" t="s">
        <v>16612</v>
      </c>
      <c r="BX10218" s="1" t="s">
        <v>72</v>
      </c>
      <c r="GD10218" s="1" t="s">
        <v>193</v>
      </c>
      <c r="GE10218" s="1" t="s">
        <v>190</v>
      </c>
    </row>
    <row r="10219" spans="1:187" ht="11.25" customHeight="1">
      <c r="A10219" s="1" t="s">
        <v>14399</v>
      </c>
      <c r="B10219" s="1" t="str">
        <f ca="1">IFERROR(__xludf.DUMMYFUNCTION("GOOGLETRANSLATE(A10219, ""en"", ""fr"")"),"CHIRURGIEN")</f>
        <v>CHIRURGIEN</v>
      </c>
      <c r="C10219" s="1" t="s">
        <v>185</v>
      </c>
      <c r="AA10219" s="1" t="s">
        <v>23</v>
      </c>
      <c r="AJ10219" s="1" t="s">
        <v>32</v>
      </c>
      <c r="AT10219" s="1" t="s">
        <v>42</v>
      </c>
      <c r="FB10219" s="1" t="s">
        <v>154</v>
      </c>
      <c r="FC10219" s="1" t="s">
        <v>155</v>
      </c>
      <c r="GD10219" s="1" t="s">
        <v>193</v>
      </c>
      <c r="GE10219" s="1" t="s">
        <v>190</v>
      </c>
    </row>
    <row r="10220" spans="1:187" ht="11.25" customHeight="1">
      <c r="A10220" s="1" t="s">
        <v>14400</v>
      </c>
      <c r="B10220" s="1" t="str">
        <f ca="1">IFERROR(__xludf.DUMMYFUNCTION("GOOGLETRANSLATE(A10220, ""en"", ""fr"")"),"Surinam")</f>
        <v>Surinam</v>
      </c>
      <c r="C10220" s="1" t="s">
        <v>196</v>
      </c>
      <c r="FU10220" s="1" t="s">
        <v>173</v>
      </c>
      <c r="GD10220" s="1" t="s">
        <v>545</v>
      </c>
    </row>
    <row r="10221" spans="1:187" ht="11.25" customHeight="1">
      <c r="A10221" s="1" t="s">
        <v>14401</v>
      </c>
      <c r="B10221" s="1" t="str">
        <f ca="1">IFERROR(__xludf.DUMMYFUNCTION("GOOGLETRANSLATE(A10221, ""en"", ""fr"")"),"CONJECTURE")</f>
        <v>CONJECTURE</v>
      </c>
      <c r="C10221" s="1" t="s">
        <v>192</v>
      </c>
      <c r="D10221" s="1" t="s">
        <v>16612</v>
      </c>
      <c r="N10221" s="1" t="s">
        <v>10</v>
      </c>
      <c r="CG10221" s="1" t="s">
        <v>81</v>
      </c>
      <c r="CO10221" s="1" t="s">
        <v>89</v>
      </c>
      <c r="DN10221" s="1" t="s">
        <v>114</v>
      </c>
      <c r="GD10221" s="1" t="s">
        <v>189</v>
      </c>
      <c r="GE10221" s="1" t="s">
        <v>190</v>
      </c>
    </row>
    <row r="10222" spans="1:187" ht="11.25" customHeight="1">
      <c r="A10222" s="1" t="s">
        <v>14402</v>
      </c>
      <c r="B10222" s="1" t="str">
        <f ca="1">IFERROR(__xludf.DUMMYFUNCTION("GOOGLETRANSLATE(A10222, ""en"", ""fr"")"),"SURMONTER")</f>
        <v>SURMONTER</v>
      </c>
      <c r="C10222" s="1" t="s">
        <v>185</v>
      </c>
      <c r="D10222" s="1" t="s">
        <v>16612</v>
      </c>
      <c r="K10222" s="1" t="s">
        <v>7</v>
      </c>
      <c r="N10222" s="1" t="s">
        <v>10</v>
      </c>
      <c r="CE10222" s="1" t="s">
        <v>79</v>
      </c>
      <c r="DN10222" s="1" t="s">
        <v>114</v>
      </c>
      <c r="FN10222" s="1" t="s">
        <v>166</v>
      </c>
      <c r="GD10222" s="1" t="s">
        <v>670</v>
      </c>
      <c r="GE10222" s="1" t="s">
        <v>190</v>
      </c>
    </row>
    <row r="10223" spans="1:187" ht="11.25" customHeight="1">
      <c r="A10223" s="1" t="s">
        <v>14403</v>
      </c>
      <c r="B10223" s="1" t="str">
        <f ca="1">IFERROR(__xludf.DUMMYFUNCTION("GOOGLETRANSLATE(A10223, ""en"", ""fr"")"),"DÉPASSER")</f>
        <v>DÉPASSER</v>
      </c>
      <c r="C10223" s="1" t="s">
        <v>185</v>
      </c>
      <c r="D10223" s="1" t="s">
        <v>16612</v>
      </c>
      <c r="K10223" s="1" t="s">
        <v>7</v>
      </c>
      <c r="N10223" s="1" t="s">
        <v>10</v>
      </c>
      <c r="CE10223" s="1" t="s">
        <v>79</v>
      </c>
      <c r="DN10223" s="1" t="s">
        <v>114</v>
      </c>
      <c r="FN10223" s="1" t="s">
        <v>166</v>
      </c>
      <c r="GD10223" s="1" t="s">
        <v>670</v>
      </c>
      <c r="GE10223" s="1" t="s">
        <v>190</v>
      </c>
    </row>
    <row r="10224" spans="1:187" ht="11.25" customHeight="1">
      <c r="A10224" s="1" t="s">
        <v>14404</v>
      </c>
      <c r="B10224" s="1" t="str">
        <f ca="1">IFERROR(__xludf.DUMMYFUNCTION("GOOGLETRANSLATE(A10224, ""en"", ""fr"")"),"SURPLUS")</f>
        <v>SURPLUS</v>
      </c>
      <c r="C10224" s="1" t="s">
        <v>185</v>
      </c>
      <c r="J10224" s="1" t="s">
        <v>6</v>
      </c>
      <c r="U10224" s="1" t="s">
        <v>17</v>
      </c>
      <c r="AA10224" s="1" t="s">
        <v>23</v>
      </c>
      <c r="AC10224" s="1" t="s">
        <v>25</v>
      </c>
      <c r="EV10224" s="1" t="s">
        <v>148</v>
      </c>
      <c r="EW10224" s="1" t="s">
        <v>149</v>
      </c>
      <c r="GD10224" s="1" t="s">
        <v>193</v>
      </c>
      <c r="GE10224" s="1" t="s">
        <v>190</v>
      </c>
    </row>
    <row r="10225" spans="1:187" ht="11.25" customHeight="1">
      <c r="A10225" s="1" t="s">
        <v>14405</v>
      </c>
      <c r="B10225" s="1" t="str">
        <f ca="1">IFERROR(__xludf.DUMMYFUNCTION("GOOGLETRANSLATE(A10225, ""en"", ""fr"")"),"Surprise # 1")</f>
        <v>Surprise # 1</v>
      </c>
      <c r="C10225" s="1" t="s">
        <v>185</v>
      </c>
      <c r="U10225" s="1" t="s">
        <v>17</v>
      </c>
      <c r="W10225" s="1" t="s">
        <v>19</v>
      </c>
      <c r="GD10225" s="1" t="s">
        <v>193</v>
      </c>
      <c r="GE10225" s="1" t="s">
        <v>14406</v>
      </c>
    </row>
    <row r="10226" spans="1:187" ht="11.25" customHeight="1">
      <c r="A10226" s="1" t="s">
        <v>14407</v>
      </c>
      <c r="B10226" s="1" t="str">
        <f ca="1">IFERROR(__xludf.DUMMYFUNCTION("GOOGLETRANSLATE(A10226, ""en"", ""fr"")"),"Surprise # 2")</f>
        <v>Surprise # 2</v>
      </c>
      <c r="C10226" s="1" t="s">
        <v>185</v>
      </c>
      <c r="N10226" s="1" t="s">
        <v>10</v>
      </c>
      <c r="AN10226" s="1" t="s">
        <v>36</v>
      </c>
      <c r="DN10226" s="1" t="s">
        <v>114</v>
      </c>
      <c r="GD10226" s="1" t="s">
        <v>189</v>
      </c>
      <c r="GE10226" s="1" t="s">
        <v>14408</v>
      </c>
    </row>
    <row r="10227" spans="1:187" ht="11.25" customHeight="1">
      <c r="A10227" s="1" t="s">
        <v>14409</v>
      </c>
      <c r="B10227" s="1" t="str">
        <f ca="1">IFERROR(__xludf.DUMMYFUNCTION("GOOGLETRANSLATE(A10227, ""en"", ""fr"")"),"Surprise # 3")</f>
        <v>Surprise # 3</v>
      </c>
      <c r="C10227" s="1" t="s">
        <v>185</v>
      </c>
      <c r="O10227" s="1" t="s">
        <v>11</v>
      </c>
      <c r="S10227" s="1" t="s">
        <v>15</v>
      </c>
      <c r="T10227" s="1" t="s">
        <v>16</v>
      </c>
      <c r="FA10227" s="1" t="s">
        <v>153</v>
      </c>
      <c r="FC10227" s="1" t="s">
        <v>155</v>
      </c>
      <c r="GD10227" s="1" t="s">
        <v>193</v>
      </c>
      <c r="GE10227" s="1" t="s">
        <v>14410</v>
      </c>
    </row>
    <row r="10228" spans="1:187" ht="11.25" customHeight="1">
      <c r="A10228" s="1" t="s">
        <v>14411</v>
      </c>
      <c r="B10228" s="1" t="str">
        <f ca="1">IFERROR(__xludf.DUMMYFUNCTION("GOOGLETRANSLATE(A10228, ""en"", ""fr"")"),"Surprise # 4")</f>
        <v>Surprise # 4</v>
      </c>
      <c r="C10228" s="1" t="s">
        <v>185</v>
      </c>
      <c r="N10228" s="1" t="s">
        <v>10</v>
      </c>
      <c r="S10228" s="1" t="s">
        <v>15</v>
      </c>
      <c r="W10228" s="1" t="s">
        <v>19</v>
      </c>
      <c r="GD10228" s="1" t="s">
        <v>202</v>
      </c>
      <c r="GE10228" s="1" t="s">
        <v>14412</v>
      </c>
    </row>
    <row r="10229" spans="1:187" ht="11.25" customHeight="1">
      <c r="A10229" s="1" t="s">
        <v>14413</v>
      </c>
      <c r="B10229" s="1" t="str">
        <f ca="1">IFERROR(__xludf.DUMMYFUNCTION("GOOGLETRANSLATE(A10229, ""en"", ""fr"")"),"Surprise # 5")</f>
        <v>Surprise # 5</v>
      </c>
      <c r="C10229" s="1" t="s">
        <v>185</v>
      </c>
      <c r="N10229" s="1" t="s">
        <v>10</v>
      </c>
      <c r="S10229" s="1" t="s">
        <v>15</v>
      </c>
      <c r="W10229" s="1" t="s">
        <v>19</v>
      </c>
      <c r="GD10229" s="1" t="s">
        <v>236</v>
      </c>
      <c r="GE10229" s="1" t="s">
        <v>14414</v>
      </c>
    </row>
    <row r="10230" spans="1:187" ht="11.25" customHeight="1">
      <c r="A10230" s="1" t="s">
        <v>14415</v>
      </c>
      <c r="B10230" s="1" t="str">
        <f ca="1">IFERROR(__xludf.DUMMYFUNCTION("GOOGLETRANSLATE(A10230, ""en"", ""fr"")"),"Addition # 1")</f>
        <v>Addition # 1</v>
      </c>
      <c r="C10230" s="1" t="s">
        <v>185</v>
      </c>
      <c r="L10230" s="1" t="s">
        <v>8</v>
      </c>
      <c r="M10230" s="1" t="s">
        <v>9</v>
      </c>
      <c r="O10230" s="1" t="s">
        <v>11</v>
      </c>
      <c r="AF10230" s="1" t="s">
        <v>28</v>
      </c>
      <c r="AG10230" s="1" t="s">
        <v>29</v>
      </c>
      <c r="AH10230" s="1" t="s">
        <v>30</v>
      </c>
      <c r="AM10230" s="1" t="s">
        <v>35</v>
      </c>
      <c r="EC10230" s="1" t="s">
        <v>129</v>
      </c>
      <c r="ED10230" s="1" t="s">
        <v>130</v>
      </c>
      <c r="GD10230" s="1" t="s">
        <v>193</v>
      </c>
      <c r="GE10230" s="1" t="s">
        <v>190</v>
      </c>
    </row>
    <row r="10231" spans="1:187" ht="11.25" customHeight="1">
      <c r="A10231" s="1" t="s">
        <v>14416</v>
      </c>
      <c r="B10231" s="1" t="str">
        <f ca="1">IFERROR(__xludf.DUMMYFUNCTION("GOOGLETRANSLATE(A10231, ""en"", ""fr"")"),"Addition # 2")</f>
        <v>Addition # 2</v>
      </c>
      <c r="C10231" s="1" t="s">
        <v>185</v>
      </c>
      <c r="L10231" s="1" t="s">
        <v>8</v>
      </c>
      <c r="M10231" s="1" t="s">
        <v>9</v>
      </c>
      <c r="O10231" s="1" t="s">
        <v>11</v>
      </c>
      <c r="AF10231" s="1" t="s">
        <v>28</v>
      </c>
      <c r="AG10231" s="1" t="s">
        <v>29</v>
      </c>
      <c r="AN10231" s="1" t="s">
        <v>36</v>
      </c>
      <c r="DO10231" s="1" t="s">
        <v>115</v>
      </c>
      <c r="EC10231" s="1" t="s">
        <v>129</v>
      </c>
      <c r="ED10231" s="1" t="s">
        <v>130</v>
      </c>
      <c r="GD10231" s="1" t="s">
        <v>189</v>
      </c>
      <c r="GE10231" s="1" t="s">
        <v>190</v>
      </c>
    </row>
    <row r="10232" spans="1:187" ht="11.25" customHeight="1">
      <c r="A10232" s="1" t="s">
        <v>14417</v>
      </c>
      <c r="B10232" s="1" t="str">
        <f ca="1">IFERROR(__xludf.DUMMYFUNCTION("GOOGLETRANSLATE(A10232, ""en"", ""fr"")"),"Entourer n ° 1")</f>
        <v>Entourer n ° 1</v>
      </c>
      <c r="C10232" s="1" t="s">
        <v>185</v>
      </c>
      <c r="J10232" s="1" t="s">
        <v>6</v>
      </c>
      <c r="N10232" s="1" t="s">
        <v>10</v>
      </c>
      <c r="CA10232" s="1" t="s">
        <v>75</v>
      </c>
      <c r="DO10232" s="1" t="s">
        <v>115</v>
      </c>
      <c r="FP10232" s="1" t="s">
        <v>168</v>
      </c>
      <c r="GD10232" s="1" t="s">
        <v>189</v>
      </c>
      <c r="GE10232" s="1" t="s">
        <v>14418</v>
      </c>
    </row>
    <row r="10233" spans="1:187" ht="11.25" customHeight="1">
      <c r="A10233" s="1" t="s">
        <v>14419</v>
      </c>
      <c r="B10233" s="1" t="str">
        <f ca="1">IFERROR(__xludf.DUMMYFUNCTION("GOOGLETRANSLATE(A10233, ""en"", ""fr"")"),"Entour n ° 2")</f>
        <v>Entour n ° 2</v>
      </c>
      <c r="C10233" s="1" t="s">
        <v>185</v>
      </c>
      <c r="L10233" s="1" t="s">
        <v>8</v>
      </c>
      <c r="O10233" s="1" t="s">
        <v>11</v>
      </c>
      <c r="DA10233" s="1" t="s">
        <v>101</v>
      </c>
      <c r="GB10233" s="1" t="s">
        <v>180</v>
      </c>
      <c r="GD10233" s="1" t="s">
        <v>202</v>
      </c>
      <c r="GE10233" s="1" t="s">
        <v>14420</v>
      </c>
    </row>
    <row r="10234" spans="1:187" ht="11.25" customHeight="1">
      <c r="A10234" s="1" t="s">
        <v>14421</v>
      </c>
      <c r="B10234" s="1" t="str">
        <f ca="1">IFERROR(__xludf.DUMMYFUNCTION("GOOGLETRANSLATE(A10234, ""en"", ""fr"")"),"Entour n ° 3")</f>
        <v>Entour n ° 3</v>
      </c>
      <c r="C10234" s="1" t="s">
        <v>185</v>
      </c>
      <c r="AV10234" s="1" t="s">
        <v>44</v>
      </c>
      <c r="AX10234" s="1" t="s">
        <v>46</v>
      </c>
      <c r="GB10234" s="1" t="s">
        <v>180</v>
      </c>
      <c r="GD10234" s="1" t="s">
        <v>193</v>
      </c>
      <c r="GE10234" s="1" t="s">
        <v>14422</v>
      </c>
    </row>
    <row r="10235" spans="1:187" ht="11.25" customHeight="1">
      <c r="A10235" s="1" t="s">
        <v>14423</v>
      </c>
      <c r="B10235" s="1" t="str">
        <f ca="1">IFERROR(__xludf.DUMMYFUNCTION("GOOGLETRANSLATE(A10235, ""en"", ""fr"")"),"Entour n ° 4")</f>
        <v>Entour n ° 4</v>
      </c>
      <c r="C10235" s="1" t="s">
        <v>185</v>
      </c>
      <c r="AV10235" s="1" t="s">
        <v>44</v>
      </c>
      <c r="AX10235" s="1" t="s">
        <v>46</v>
      </c>
      <c r="GB10235" s="1" t="s">
        <v>180</v>
      </c>
      <c r="GD10235" s="1" t="s">
        <v>193</v>
      </c>
      <c r="GE10235" s="1" t="s">
        <v>14424</v>
      </c>
    </row>
    <row r="10236" spans="1:187" ht="11.25" customHeight="1">
      <c r="A10236" s="1" t="s">
        <v>14425</v>
      </c>
      <c r="B10236" s="1" t="str">
        <f ca="1">IFERROR(__xludf.DUMMYFUNCTION("GOOGLETRANSLATE(A10236, ""en"", ""fr"")"),"SURVEILLANCE")</f>
        <v>SURVEILLANCE</v>
      </c>
      <c r="C10236" s="1" t="s">
        <v>185</v>
      </c>
      <c r="J10236" s="1" t="s">
        <v>6</v>
      </c>
      <c r="K10236" s="1" t="s">
        <v>7</v>
      </c>
      <c r="N10236" s="1" t="s">
        <v>10</v>
      </c>
      <c r="AH10236" s="1" t="s">
        <v>30</v>
      </c>
      <c r="CK10236" s="1" t="s">
        <v>85</v>
      </c>
      <c r="FH10236" s="1" t="s">
        <v>160</v>
      </c>
      <c r="FI10236" s="1" t="s">
        <v>161</v>
      </c>
      <c r="GD10236" s="1" t="s">
        <v>193</v>
      </c>
      <c r="GE10236" s="1" t="s">
        <v>190</v>
      </c>
    </row>
    <row r="10237" spans="1:187" ht="11.25" customHeight="1">
      <c r="A10237" s="1" t="s">
        <v>14426</v>
      </c>
      <c r="B10237" s="1" t="str">
        <f ca="1">IFERROR(__xludf.DUMMYFUNCTION("GOOGLETRANSLATE(A10237, ""en"", ""fr"")"),"Enquête n ° 1")</f>
        <v>Enquête n ° 1</v>
      </c>
      <c r="C10237" s="1" t="s">
        <v>185</v>
      </c>
      <c r="AH10237" s="1" t="s">
        <v>30</v>
      </c>
      <c r="BQ10237" s="1" t="s">
        <v>65</v>
      </c>
      <c r="FH10237" s="1" t="s">
        <v>160</v>
      </c>
      <c r="FI10237" s="1" t="s">
        <v>161</v>
      </c>
      <c r="GD10237" s="1" t="s">
        <v>193</v>
      </c>
      <c r="GE10237" s="1" t="s">
        <v>190</v>
      </c>
    </row>
    <row r="10238" spans="1:187" ht="11.25" customHeight="1">
      <c r="A10238" s="1" t="s">
        <v>14427</v>
      </c>
      <c r="B10238" s="1" t="str">
        <f ca="1">IFERROR(__xludf.DUMMYFUNCTION("GOOGLETRANSLATE(A10238, ""en"", ""fr"")"),"Enquête n ° 2")</f>
        <v>Enquête n ° 2</v>
      </c>
      <c r="C10238" s="1" t="s">
        <v>185</v>
      </c>
      <c r="N10238" s="1" t="s">
        <v>10</v>
      </c>
      <c r="CK10238" s="1" t="s">
        <v>85</v>
      </c>
      <c r="DN10238" s="1" t="s">
        <v>114</v>
      </c>
      <c r="FH10238" s="1" t="s">
        <v>160</v>
      </c>
      <c r="FI10238" s="1" t="s">
        <v>161</v>
      </c>
      <c r="GD10238" s="1" t="s">
        <v>189</v>
      </c>
      <c r="GE10238" s="1" t="s">
        <v>190</v>
      </c>
    </row>
    <row r="10239" spans="1:187" ht="11.25" customHeight="1">
      <c r="A10239" s="1" t="s">
        <v>14428</v>
      </c>
      <c r="B10239" s="1" t="str">
        <f ca="1">IFERROR(__xludf.DUMMYFUNCTION("GOOGLETRANSLATE(A10239, ""en"", ""fr"")"),"SURVIE")</f>
        <v>SURVIE</v>
      </c>
      <c r="C10239" s="1" t="s">
        <v>185</v>
      </c>
      <c r="D10239" s="1" t="s">
        <v>16612</v>
      </c>
      <c r="F10239" s="1" t="s">
        <v>2</v>
      </c>
      <c r="J10239" s="1" t="s">
        <v>6</v>
      </c>
      <c r="BO10239" s="1" t="s">
        <v>63</v>
      </c>
      <c r="CP10239" s="1" t="s">
        <v>90</v>
      </c>
      <c r="CQ10239" s="1" t="s">
        <v>91</v>
      </c>
      <c r="EZ10239" s="1" t="s">
        <v>152</v>
      </c>
      <c r="FC10239" s="1" t="s">
        <v>155</v>
      </c>
      <c r="GD10239" s="1" t="s">
        <v>193</v>
      </c>
      <c r="GE10239" s="1" t="s">
        <v>190</v>
      </c>
    </row>
    <row r="10240" spans="1:187" ht="11.25" customHeight="1">
      <c r="A10240" s="1" t="s">
        <v>14429</v>
      </c>
      <c r="B10240" s="1" t="str">
        <f ca="1">IFERROR(__xludf.DUMMYFUNCTION("GOOGLETRANSLATE(A10240, ""en"", ""fr"")"),"SURVIVRE")</f>
        <v>SURVIVRE</v>
      </c>
      <c r="C10240" s="1" t="s">
        <v>185</v>
      </c>
      <c r="D10240" s="1" t="s">
        <v>16612</v>
      </c>
      <c r="F10240" s="1" t="s">
        <v>2</v>
      </c>
      <c r="J10240" s="1" t="s">
        <v>6</v>
      </c>
      <c r="BS10240" s="1" t="s">
        <v>67</v>
      </c>
      <c r="DN10240" s="1" t="s">
        <v>114</v>
      </c>
      <c r="EZ10240" s="1" t="s">
        <v>152</v>
      </c>
      <c r="FC10240" s="1" t="s">
        <v>155</v>
      </c>
      <c r="GD10240" s="1" t="s">
        <v>189</v>
      </c>
      <c r="GE10240" s="1" t="s">
        <v>190</v>
      </c>
    </row>
    <row r="10241" spans="1:187" ht="11.25" customHeight="1">
      <c r="A10241" s="1" t="s">
        <v>14430</v>
      </c>
      <c r="B10241" s="1" t="str">
        <f ca="1">IFERROR(__xludf.DUMMYFUNCTION("GOOGLETRANSLATE(A10241, ""en"", ""fr"")"),"SURVIVANT")</f>
        <v>SURVIVANT</v>
      </c>
      <c r="C10241" s="1" t="s">
        <v>192</v>
      </c>
      <c r="D10241" s="1" t="s">
        <v>16612</v>
      </c>
      <c r="K10241" s="1" t="s">
        <v>7</v>
      </c>
      <c r="AJ10241" s="1" t="s">
        <v>32</v>
      </c>
      <c r="AT10241" s="1" t="s">
        <v>42</v>
      </c>
      <c r="CA10241" s="1" t="s">
        <v>75</v>
      </c>
      <c r="GD10241" s="1" t="s">
        <v>193</v>
      </c>
      <c r="GE10241" s="1" t="s">
        <v>190</v>
      </c>
    </row>
    <row r="10242" spans="1:187" ht="11.25" customHeight="1">
      <c r="A10242" s="1" t="s">
        <v>14431</v>
      </c>
      <c r="B10242" s="1" t="str">
        <f ca="1">IFERROR(__xludf.DUMMYFUNCTION("GOOGLETRANSLATE(A10242, ""en"", ""fr"")"),"SENSIBLE")</f>
        <v>SENSIBLE</v>
      </c>
      <c r="C10242" s="1" t="s">
        <v>192</v>
      </c>
      <c r="E10242" s="1" t="s">
        <v>16613</v>
      </c>
      <c r="L10242" s="1" t="s">
        <v>8</v>
      </c>
      <c r="DQ10242" s="1" t="s">
        <v>117</v>
      </c>
      <c r="GD10242" s="1" t="s">
        <v>202</v>
      </c>
      <c r="GE10242" s="1" t="s">
        <v>190</v>
      </c>
    </row>
    <row r="10243" spans="1:187" ht="11.25" customHeight="1">
      <c r="A10243" s="1" t="s">
        <v>14432</v>
      </c>
      <c r="B10243" s="1" t="str">
        <f ca="1">IFERROR(__xludf.DUMMYFUNCTION("GOOGLETRANSLATE(A10243, ""en"", ""fr"")"),"Suspect n ° 1")</f>
        <v>Suspect n ° 1</v>
      </c>
      <c r="C10243" s="1" t="s">
        <v>185</v>
      </c>
      <c r="E10243" s="1" t="s">
        <v>16613</v>
      </c>
      <c r="H10243" s="1" t="s">
        <v>4</v>
      </c>
      <c r="I10243" s="1" t="s">
        <v>5</v>
      </c>
      <c r="AE10243" s="1" t="s">
        <v>27</v>
      </c>
      <c r="AJ10243" s="1" t="s">
        <v>32</v>
      </c>
      <c r="AT10243" s="1" t="s">
        <v>42</v>
      </c>
      <c r="DZ10243" s="1" t="s">
        <v>126</v>
      </c>
      <c r="ED10243" s="1" t="s">
        <v>130</v>
      </c>
      <c r="GD10243" s="1" t="s">
        <v>193</v>
      </c>
      <c r="GE10243" s="1" t="s">
        <v>190</v>
      </c>
    </row>
    <row r="10244" spans="1:187" ht="11.25" customHeight="1">
      <c r="A10244" s="1" t="s">
        <v>14433</v>
      </c>
      <c r="B10244" s="1" t="str">
        <f ca="1">IFERROR(__xludf.DUMMYFUNCTION("GOOGLETRANSLATE(A10244, ""en"", ""fr"")"),"SUSPECT # 2")</f>
        <v>SUSPECT # 2</v>
      </c>
      <c r="C10244" s="1" t="s">
        <v>185</v>
      </c>
      <c r="E10244" s="1" t="s">
        <v>16613</v>
      </c>
      <c r="H10244" s="1" t="s">
        <v>4</v>
      </c>
      <c r="I10244" s="1" t="s">
        <v>5</v>
      </c>
      <c r="CO10244" s="1" t="s">
        <v>89</v>
      </c>
      <c r="DN10244" s="1" t="s">
        <v>114</v>
      </c>
      <c r="FH10244" s="1" t="s">
        <v>160</v>
      </c>
      <c r="FI10244" s="1" t="s">
        <v>161</v>
      </c>
      <c r="GD10244" s="1" t="s">
        <v>189</v>
      </c>
      <c r="GE10244" s="1" t="s">
        <v>190</v>
      </c>
    </row>
    <row r="10245" spans="1:187" ht="11.25" customHeight="1">
      <c r="A10245" s="1" t="s">
        <v>14434</v>
      </c>
      <c r="B10245" s="1" t="str">
        <f ca="1">IFERROR(__xludf.DUMMYFUNCTION("GOOGLETRANSLATE(A10245, ""en"", ""fr"")"),"SUSPENDRE")</f>
        <v>SUSPENDRE</v>
      </c>
      <c r="C10245" s="1" t="s">
        <v>192</v>
      </c>
      <c r="E10245" s="1" t="s">
        <v>16613</v>
      </c>
      <c r="N10245" s="1" t="s">
        <v>10</v>
      </c>
      <c r="BS10245" s="1" t="s">
        <v>67</v>
      </c>
      <c r="CA10245" s="1" t="s">
        <v>75</v>
      </c>
      <c r="DN10245" s="1" t="s">
        <v>114</v>
      </c>
      <c r="GD10245" s="1" t="s">
        <v>189</v>
      </c>
      <c r="GE10245" s="1" t="s">
        <v>190</v>
      </c>
    </row>
    <row r="10246" spans="1:187" ht="11.25" customHeight="1">
      <c r="A10246" s="1" t="s">
        <v>14435</v>
      </c>
      <c r="B10246" s="1" t="str">
        <f ca="1">IFERROR(__xludf.DUMMYFUNCTION("GOOGLETRANSLATE(A10246, ""en"", ""fr"")"),"LE SUSPENSE")</f>
        <v>LE SUSPENSE</v>
      </c>
      <c r="C10246" s="1" t="s">
        <v>185</v>
      </c>
      <c r="S10246" s="1" t="s">
        <v>15</v>
      </c>
      <c r="GD10246" s="1" t="s">
        <v>193</v>
      </c>
      <c r="GE10246" s="1" t="s">
        <v>190</v>
      </c>
    </row>
    <row r="10247" spans="1:187" ht="11.25" customHeight="1">
      <c r="A10247" s="1" t="s">
        <v>14436</v>
      </c>
      <c r="B10247" s="1" t="str">
        <f ca="1">IFERROR(__xludf.DUMMYFUNCTION("GOOGLETRANSLATE(A10247, ""en"", ""fr"")"),"SUSPENSION")</f>
        <v>SUSPENSION</v>
      </c>
      <c r="C10247" s="1" t="s">
        <v>185</v>
      </c>
      <c r="E10247" s="1" t="s">
        <v>16613</v>
      </c>
      <c r="BS10247" s="1" t="s">
        <v>67</v>
      </c>
      <c r="CA10247" s="1" t="s">
        <v>75</v>
      </c>
      <c r="FP10247" s="1" t="s">
        <v>168</v>
      </c>
      <c r="GD10247" s="1" t="s">
        <v>193</v>
      </c>
      <c r="GE10247" s="1" t="s">
        <v>190</v>
      </c>
    </row>
    <row r="10248" spans="1:187" ht="11.25" customHeight="1">
      <c r="A10248" s="1" t="s">
        <v>14437</v>
      </c>
      <c r="B10248" s="1" t="str">
        <f ca="1">IFERROR(__xludf.DUMMYFUNCTION("GOOGLETRANSLATE(A10248, ""en"", ""fr"")"),"SOUPÇON")</f>
        <v>SOUPÇON</v>
      </c>
      <c r="C10248" s="1" t="s">
        <v>185</v>
      </c>
      <c r="E10248" s="1" t="s">
        <v>16613</v>
      </c>
      <c r="H10248" s="1" t="s">
        <v>4</v>
      </c>
      <c r="I10248" s="1" t="s">
        <v>5</v>
      </c>
      <c r="S10248" s="1" t="s">
        <v>15</v>
      </c>
      <c r="T10248" s="1" t="s">
        <v>16</v>
      </c>
      <c r="X10248" s="1" t="s">
        <v>20</v>
      </c>
      <c r="GD10248" s="1" t="s">
        <v>193</v>
      </c>
      <c r="GE10248" s="1" t="s">
        <v>190</v>
      </c>
    </row>
    <row r="10249" spans="1:187" ht="11.25" customHeight="1">
      <c r="A10249" s="1" t="s">
        <v>14438</v>
      </c>
      <c r="B10249" s="1" t="str">
        <f ca="1">IFERROR(__xludf.DUMMYFUNCTION("GOOGLETRANSLATE(A10249, ""en"", ""fr"")"),"SUSPECT")</f>
        <v>SUSPECT</v>
      </c>
      <c r="C10249" s="1" t="s">
        <v>185</v>
      </c>
      <c r="E10249" s="1" t="s">
        <v>16613</v>
      </c>
      <c r="H10249" s="1" t="s">
        <v>4</v>
      </c>
      <c r="I10249" s="1" t="s">
        <v>5</v>
      </c>
      <c r="S10249" s="1" t="s">
        <v>15</v>
      </c>
      <c r="X10249" s="1" t="s">
        <v>20</v>
      </c>
      <c r="CN10249" s="1" t="s">
        <v>88</v>
      </c>
      <c r="FZ10249" s="1" t="s">
        <v>178</v>
      </c>
      <c r="GD10249" s="1" t="s">
        <v>202</v>
      </c>
      <c r="GE10249" s="1" t="s">
        <v>190</v>
      </c>
    </row>
    <row r="10250" spans="1:187" ht="11.25" customHeight="1">
      <c r="A10250" s="1" t="s">
        <v>14439</v>
      </c>
      <c r="B10250" s="1" t="str">
        <f ca="1">IFERROR(__xludf.DUMMYFUNCTION("GOOGLETRANSLATE(A10250, ""en"", ""fr"")"),"SOUTENIR")</f>
        <v>SOUTENIR</v>
      </c>
      <c r="C10250" s="1" t="s">
        <v>185</v>
      </c>
      <c r="J10250" s="1" t="s">
        <v>6</v>
      </c>
      <c r="N10250" s="1" t="s">
        <v>10</v>
      </c>
      <c r="BS10250" s="1" t="s">
        <v>67</v>
      </c>
      <c r="DN10250" s="1" t="s">
        <v>114</v>
      </c>
      <c r="FP10250" s="1" t="s">
        <v>168</v>
      </c>
      <c r="GD10250" s="1" t="s">
        <v>189</v>
      </c>
      <c r="GE10250" s="1" t="s">
        <v>190</v>
      </c>
    </row>
    <row r="10251" spans="1:187" ht="11.25" customHeight="1">
      <c r="A10251" s="1" t="s">
        <v>14440</v>
      </c>
      <c r="B10251" s="1" t="str">
        <f ca="1">IFERROR(__xludf.DUMMYFUNCTION("GOOGLETRANSLATE(A10251, ""en"", ""fr"")"),"AVALER")</f>
        <v>AVALER</v>
      </c>
      <c r="C10251" s="1" t="s">
        <v>185</v>
      </c>
      <c r="BU10251" s="1" t="s">
        <v>69</v>
      </c>
      <c r="DO10251" s="1" t="s">
        <v>115</v>
      </c>
      <c r="GD10251" s="1" t="s">
        <v>189</v>
      </c>
      <c r="GE10251" s="1" t="s">
        <v>190</v>
      </c>
    </row>
    <row r="10252" spans="1:187" ht="11.25" customHeight="1">
      <c r="A10252" s="1" t="s">
        <v>14441</v>
      </c>
      <c r="B10252" s="1" t="str">
        <f ca="1">IFERROR(__xludf.DUMMYFUNCTION("GOOGLETRANSLATE(A10252, ""en"", ""fr"")"),"Nager")</f>
        <v>Nager</v>
      </c>
      <c r="C10252" s="1" t="s">
        <v>185</v>
      </c>
      <c r="N10252" s="1" t="s">
        <v>10</v>
      </c>
      <c r="AD10252" s="1" t="s">
        <v>26</v>
      </c>
      <c r="CE10252" s="1" t="s">
        <v>79</v>
      </c>
      <c r="DO10252" s="1" t="s">
        <v>115</v>
      </c>
      <c r="GD10252" s="1" t="s">
        <v>1076</v>
      </c>
      <c r="GE10252" s="1" t="s">
        <v>190</v>
      </c>
    </row>
    <row r="10253" spans="1:187" ht="11.25" customHeight="1">
      <c r="A10253" s="1" t="s">
        <v>14442</v>
      </c>
      <c r="B10253" s="1" t="str">
        <f ca="1">IFERROR(__xludf.DUMMYFUNCTION("GOOGLETRANSLATE(A10253, ""en"", ""fr"")"),"MARAIS")</f>
        <v>MARAIS</v>
      </c>
      <c r="C10253" s="1" t="s">
        <v>185</v>
      </c>
      <c r="AV10253" s="1" t="s">
        <v>44</v>
      </c>
      <c r="AZ10253" s="1" t="s">
        <v>48</v>
      </c>
      <c r="GD10253" s="1" t="s">
        <v>193</v>
      </c>
      <c r="GE10253" s="1" t="s">
        <v>190</v>
      </c>
    </row>
    <row r="10254" spans="1:187" ht="11.25" customHeight="1">
      <c r="A10254" s="1" t="s">
        <v>14443</v>
      </c>
      <c r="B10254" s="1" t="str">
        <f ca="1">IFERROR(__xludf.DUMMYFUNCTION("GOOGLETRANSLATE(A10254, ""en"", ""fr"")"),"SE BALANCER")</f>
        <v>SE BALANCER</v>
      </c>
      <c r="C10254" s="1" t="s">
        <v>196</v>
      </c>
      <c r="GD10254" s="1" t="s">
        <v>189</v>
      </c>
    </row>
    <row r="10255" spans="1:187" ht="11.25" customHeight="1">
      <c r="A10255" s="1" t="s">
        <v>14444</v>
      </c>
      <c r="B10255" s="1" t="str">
        <f ca="1">IFERROR(__xludf.DUMMYFUNCTION("GOOGLETRANSLATE(A10255, ""en"", ""fr"")"),"JURER")</f>
        <v>JURER</v>
      </c>
      <c r="C10255" s="1" t="s">
        <v>185</v>
      </c>
      <c r="E10255" s="1" t="s">
        <v>16613</v>
      </c>
      <c r="H10255" s="1" t="s">
        <v>4</v>
      </c>
      <c r="I10255" s="1" t="s">
        <v>5</v>
      </c>
      <c r="BK10255" s="1" t="s">
        <v>59</v>
      </c>
      <c r="DO10255" s="1" t="s">
        <v>115</v>
      </c>
      <c r="EM10255" s="1" t="s">
        <v>139</v>
      </c>
      <c r="EN10255" s="1" t="s">
        <v>140</v>
      </c>
      <c r="GD10255" s="1" t="s">
        <v>189</v>
      </c>
      <c r="GE10255" s="1" t="s">
        <v>190</v>
      </c>
    </row>
    <row r="10256" spans="1:187" ht="11.25" customHeight="1">
      <c r="A10256" s="1" t="s">
        <v>14445</v>
      </c>
      <c r="B10256" s="1" t="str">
        <f ca="1">IFERROR(__xludf.DUMMYFUNCTION("GOOGLETRANSLATE(A10256, ""en"", ""fr"")"),"Sueur # 1")</f>
        <v>Sueur # 1</v>
      </c>
      <c r="C10256" s="1" t="s">
        <v>185</v>
      </c>
      <c r="BU10256" s="1" t="s">
        <v>69</v>
      </c>
      <c r="FP10256" s="1" t="s">
        <v>168</v>
      </c>
      <c r="GD10256" s="1" t="s">
        <v>193</v>
      </c>
      <c r="GE10256" s="1" t="s">
        <v>190</v>
      </c>
    </row>
    <row r="10257" spans="1:187" ht="11.25" customHeight="1">
      <c r="A10257" s="1" t="s">
        <v>14446</v>
      </c>
      <c r="B10257" s="1" t="str">
        <f ca="1">IFERROR(__xludf.DUMMYFUNCTION("GOOGLETRANSLATE(A10257, ""en"", ""fr"")"),"Sueur # 2")</f>
        <v>Sueur # 2</v>
      </c>
      <c r="C10257" s="1" t="s">
        <v>185</v>
      </c>
      <c r="O10257" s="1" t="s">
        <v>11</v>
      </c>
      <c r="BU10257" s="1" t="s">
        <v>69</v>
      </c>
      <c r="DO10257" s="1" t="s">
        <v>115</v>
      </c>
      <c r="FP10257" s="1" t="s">
        <v>168</v>
      </c>
      <c r="GD10257" s="1" t="s">
        <v>189</v>
      </c>
      <c r="GE10257" s="1" t="s">
        <v>190</v>
      </c>
    </row>
    <row r="10258" spans="1:187" ht="11.25" customHeight="1">
      <c r="A10258" s="1" t="s">
        <v>14447</v>
      </c>
      <c r="B10258" s="1" t="str">
        <f ca="1">IFERROR(__xludf.DUMMYFUNCTION("GOOGLETRANSLATE(A10258, ""en"", ""fr"")"),"SUÈDE")</f>
        <v>SUÈDE</v>
      </c>
      <c r="C10258" s="1" t="s">
        <v>196</v>
      </c>
      <c r="FU10258" s="1" t="s">
        <v>173</v>
      </c>
      <c r="GD10258" s="1" t="s">
        <v>4823</v>
      </c>
    </row>
    <row r="10259" spans="1:187" ht="11.25" customHeight="1">
      <c r="A10259" s="1" t="s">
        <v>14448</v>
      </c>
      <c r="B10259" s="1" t="str">
        <f ca="1">IFERROR(__xludf.DUMMYFUNCTION("GOOGLETRANSLATE(A10259, ""en"", ""fr"")"),"Balayage n ° 1")</f>
        <v>Balayage n ° 1</v>
      </c>
      <c r="C10259" s="1" t="s">
        <v>185</v>
      </c>
      <c r="N10259" s="1" t="s">
        <v>10</v>
      </c>
      <c r="AA10259" s="1" t="s">
        <v>23</v>
      </c>
      <c r="CE10259" s="1" t="s">
        <v>79</v>
      </c>
      <c r="GD10259" s="1" t="s">
        <v>193</v>
      </c>
      <c r="GE10259" s="1" t="s">
        <v>190</v>
      </c>
    </row>
    <row r="10260" spans="1:187" ht="11.25" customHeight="1">
      <c r="A10260" s="1" t="s">
        <v>14449</v>
      </c>
      <c r="B10260" s="1" t="str">
        <f ca="1">IFERROR(__xludf.DUMMYFUNCTION("GOOGLETRANSLATE(A10260, ""en"", ""fr"")"),"Balayage n ° 2")</f>
        <v>Balayage n ° 2</v>
      </c>
      <c r="C10260" s="1" t="s">
        <v>185</v>
      </c>
      <c r="N10260" s="1" t="s">
        <v>10</v>
      </c>
      <c r="CE10260" s="1" t="s">
        <v>79</v>
      </c>
      <c r="DO10260" s="1" t="s">
        <v>115</v>
      </c>
      <c r="FP10260" s="1" t="s">
        <v>168</v>
      </c>
      <c r="GD10260" s="1" t="s">
        <v>189</v>
      </c>
      <c r="GE10260" s="1" t="s">
        <v>190</v>
      </c>
    </row>
    <row r="10261" spans="1:187" ht="11.25" customHeight="1">
      <c r="A10261" s="1" t="s">
        <v>14450</v>
      </c>
      <c r="B10261" s="1" t="str">
        <f ca="1">IFERROR(__xludf.DUMMYFUNCTION("GOOGLETRANSLATE(A10261, ""en"", ""fr"")"),"Sweet # 1")</f>
        <v>Sweet # 1</v>
      </c>
      <c r="C10261" s="1" t="s">
        <v>185</v>
      </c>
      <c r="D10261" s="1" t="s">
        <v>16612</v>
      </c>
      <c r="F10261" s="1" t="s">
        <v>2</v>
      </c>
      <c r="U10261" s="1" t="s">
        <v>17</v>
      </c>
      <c r="CN10261" s="1" t="s">
        <v>88</v>
      </c>
      <c r="GD10261" s="1" t="s">
        <v>202</v>
      </c>
      <c r="GE10261" s="1" t="s">
        <v>14451</v>
      </c>
    </row>
    <row r="10262" spans="1:187" ht="11.25" customHeight="1">
      <c r="A10262" s="1" t="s">
        <v>14452</v>
      </c>
      <c r="B10262" s="1" t="str">
        <f ca="1">IFERROR(__xludf.DUMMYFUNCTION("GOOGLETRANSLATE(A10262, ""en"", ""fr"")"),"Sweet # 2")</f>
        <v>Sweet # 2</v>
      </c>
      <c r="C10262" s="1" t="s">
        <v>185</v>
      </c>
      <c r="BC10262" s="1" t="s">
        <v>51</v>
      </c>
      <c r="BE10262" s="1" t="s">
        <v>53</v>
      </c>
      <c r="GD10262" s="1" t="s">
        <v>193</v>
      </c>
      <c r="GE10262" s="1" t="s">
        <v>14453</v>
      </c>
    </row>
    <row r="10263" spans="1:187" ht="11.25" customHeight="1">
      <c r="A10263" s="1" t="s">
        <v>14454</v>
      </c>
      <c r="B10263" s="1" t="str">
        <f ca="1">IFERROR(__xludf.DUMMYFUNCTION("GOOGLETRANSLATE(A10263, ""en"", ""fr"")"),"Sweet # 3")</f>
        <v>Sweet # 3</v>
      </c>
      <c r="C10263" s="1" t="s">
        <v>185</v>
      </c>
      <c r="D10263" s="1" t="s">
        <v>16612</v>
      </c>
      <c r="F10263" s="1" t="s">
        <v>2</v>
      </c>
      <c r="U10263" s="1" t="s">
        <v>17</v>
      </c>
      <c r="CN10263" s="1" t="s">
        <v>88</v>
      </c>
      <c r="GD10263" s="1" t="s">
        <v>202</v>
      </c>
      <c r="GE10263" s="1" t="s">
        <v>14455</v>
      </c>
    </row>
    <row r="10264" spans="1:187" ht="11.25" customHeight="1">
      <c r="A10264" s="1" t="s">
        <v>14456</v>
      </c>
      <c r="B10264" s="1" t="str">
        <f ca="1">IFERROR(__xludf.DUMMYFUNCTION("GOOGLETRANSLATE(A10264, ""en"", ""fr"")"),"Sweet # 4")</f>
        <v>Sweet # 4</v>
      </c>
      <c r="C10264" s="1" t="s">
        <v>185</v>
      </c>
      <c r="D10264" s="1" t="s">
        <v>16612</v>
      </c>
      <c r="F10264" s="1" t="s">
        <v>2</v>
      </c>
      <c r="U10264" s="1" t="s">
        <v>17</v>
      </c>
      <c r="CN10264" s="1" t="s">
        <v>88</v>
      </c>
      <c r="GD10264" s="1" t="s">
        <v>202</v>
      </c>
      <c r="GE10264" s="1" t="s">
        <v>14457</v>
      </c>
    </row>
    <row r="10265" spans="1:187" ht="11.25" customHeight="1">
      <c r="A10265" s="1" t="s">
        <v>14458</v>
      </c>
      <c r="B10265" s="1" t="str">
        <f ca="1">IFERROR(__xludf.DUMMYFUNCTION("GOOGLETRANSLATE(A10265, ""en"", ""fr"")"),"Sweet # 5")</f>
        <v>Sweet # 5</v>
      </c>
      <c r="C10265" s="1" t="s">
        <v>185</v>
      </c>
      <c r="D10265" s="1" t="s">
        <v>16612</v>
      </c>
      <c r="F10265" s="1" t="s">
        <v>2</v>
      </c>
      <c r="U10265" s="1" t="s">
        <v>17</v>
      </c>
      <c r="GD10265" s="1" t="s">
        <v>236</v>
      </c>
      <c r="GE10265" s="1" t="s">
        <v>14459</v>
      </c>
    </row>
    <row r="10266" spans="1:187" ht="11.25" customHeight="1">
      <c r="A10266" s="1" t="s">
        <v>14460</v>
      </c>
      <c r="B10266" s="1" t="str">
        <f ca="1">IFERROR(__xludf.DUMMYFUNCTION("GOOGLETRANSLATE(A10266, ""en"", ""fr"")"),"SUCRER")</f>
        <v>SUCRER</v>
      </c>
      <c r="C10266" s="1" t="s">
        <v>192</v>
      </c>
      <c r="D10266" s="1" t="s">
        <v>16612</v>
      </c>
      <c r="N10266" s="1" t="s">
        <v>10</v>
      </c>
      <c r="BX10266" s="1" t="s">
        <v>72</v>
      </c>
      <c r="DN10266" s="1" t="s">
        <v>114</v>
      </c>
      <c r="GD10266" s="1" t="s">
        <v>189</v>
      </c>
      <c r="GE10266" s="1" t="s">
        <v>190</v>
      </c>
    </row>
    <row r="10267" spans="1:187" ht="11.25" customHeight="1">
      <c r="A10267" s="1" t="s">
        <v>14461</v>
      </c>
      <c r="B10267" s="1" t="str">
        <f ca="1">IFERROR(__xludf.DUMMYFUNCTION("GOOGLETRANSLATE(A10267, ""en"", ""fr"")"),"CHÉRIE")</f>
        <v>CHÉRIE</v>
      </c>
      <c r="C10267" s="1" t="s">
        <v>192</v>
      </c>
      <c r="D10267" s="1" t="s">
        <v>16612</v>
      </c>
      <c r="AJ10267" s="1" t="s">
        <v>32</v>
      </c>
      <c r="AN10267" s="1" t="s">
        <v>36</v>
      </c>
      <c r="AT10267" s="1" t="s">
        <v>42</v>
      </c>
      <c r="GD10267" s="1" t="s">
        <v>193</v>
      </c>
      <c r="GE10267" s="1" t="s">
        <v>190</v>
      </c>
    </row>
    <row r="10268" spans="1:187" ht="11.25" customHeight="1">
      <c r="A10268" s="1" t="s">
        <v>14462</v>
      </c>
      <c r="B10268" s="1" t="str">
        <f ca="1">IFERROR(__xludf.DUMMYFUNCTION("GOOGLETRANSLATE(A10268, ""en"", ""fr"")"),"DOUCEUR")</f>
        <v>DOUCEUR</v>
      </c>
      <c r="C10268" s="1" t="s">
        <v>192</v>
      </c>
      <c r="D10268" s="1" t="s">
        <v>16612</v>
      </c>
      <c r="P10268" s="1" t="s">
        <v>12</v>
      </c>
      <c r="CK10268" s="1" t="s">
        <v>85</v>
      </c>
      <c r="GD10268" s="1" t="s">
        <v>193</v>
      </c>
      <c r="GE10268" s="1" t="s">
        <v>190</v>
      </c>
    </row>
    <row r="10269" spans="1:187" ht="11.25" customHeight="1">
      <c r="A10269" s="1" t="s">
        <v>14463</v>
      </c>
      <c r="B10269" s="1" t="str">
        <f ca="1">IFERROR(__xludf.DUMMYFUNCTION("GOOGLETRANSLATE(A10269, ""en"", ""fr"")"),"Balayé")</f>
        <v>Balayé</v>
      </c>
      <c r="C10269" s="1" t="s">
        <v>185</v>
      </c>
      <c r="N10269" s="1" t="s">
        <v>10</v>
      </c>
      <c r="CE10269" s="1" t="s">
        <v>79</v>
      </c>
      <c r="DO10269" s="1" t="s">
        <v>115</v>
      </c>
      <c r="GD10269" s="1" t="s">
        <v>1076</v>
      </c>
      <c r="GE10269" s="1" t="s">
        <v>190</v>
      </c>
    </row>
    <row r="10270" spans="1:187" ht="11.25" customHeight="1">
      <c r="A10270" s="1" t="s">
        <v>14464</v>
      </c>
      <c r="B10270" s="1" t="str">
        <f ca="1">IFERROR(__xludf.DUMMYFUNCTION("GOOGLETRANSLATE(A10270, ""en"", ""fr"")"),"RAPIDE")</f>
        <v>RAPIDE</v>
      </c>
      <c r="C10270" s="1" t="s">
        <v>185</v>
      </c>
      <c r="J10270" s="1" t="s">
        <v>6</v>
      </c>
      <c r="W10270" s="1" t="s">
        <v>19</v>
      </c>
      <c r="CY10270" s="1" t="s">
        <v>99</v>
      </c>
      <c r="GD10270" s="1" t="s">
        <v>202</v>
      </c>
      <c r="GE10270" s="1" t="s">
        <v>190</v>
      </c>
    </row>
    <row r="10271" spans="1:187" ht="11.25" customHeight="1">
      <c r="A10271" s="1" t="s">
        <v>14465</v>
      </c>
      <c r="B10271" s="1" t="str">
        <f ca="1">IFERROR(__xludf.DUMMYFUNCTION("GOOGLETRANSLATE(A10271, ""en"", ""fr"")"),"RAPIDITÉ")</f>
        <v>RAPIDITÉ</v>
      </c>
      <c r="C10271" s="1" t="s">
        <v>192</v>
      </c>
      <c r="D10271" s="1" t="s">
        <v>16612</v>
      </c>
      <c r="W10271" s="1" t="s">
        <v>19</v>
      </c>
      <c r="DR10271" s="1" t="s">
        <v>118</v>
      </c>
      <c r="GD10271" s="1" t="s">
        <v>202</v>
      </c>
      <c r="GE10271" s="1" t="s">
        <v>190</v>
      </c>
    </row>
    <row r="10272" spans="1:187" ht="11.25" customHeight="1">
      <c r="A10272" s="1" t="s">
        <v>14466</v>
      </c>
      <c r="B10272" s="1" t="str">
        <f ca="1">IFERROR(__xludf.DUMMYFUNCTION("GOOGLETRANSLATE(A10272, ""en"", ""fr"")"),"Natation n ° 1")</f>
        <v>Natation n ° 1</v>
      </c>
      <c r="C10272" s="1" t="s">
        <v>185</v>
      </c>
      <c r="N10272" s="1" t="s">
        <v>10</v>
      </c>
      <c r="CE10272" s="1" t="s">
        <v>79</v>
      </c>
      <c r="DO10272" s="1" t="s">
        <v>115</v>
      </c>
      <c r="GD10272" s="1" t="s">
        <v>189</v>
      </c>
      <c r="GE10272" s="1" t="s">
        <v>14467</v>
      </c>
    </row>
    <row r="10273" spans="1:187" ht="11.25" customHeight="1">
      <c r="A10273" s="1" t="s">
        <v>14468</v>
      </c>
      <c r="B10273" s="1" t="str">
        <f ca="1">IFERROR(__xludf.DUMMYFUNCTION("GOOGLETRANSLATE(A10273, ""en"", ""fr"")"),"Natation n ° 2")</f>
        <v>Natation n ° 2</v>
      </c>
      <c r="C10273" s="1" t="s">
        <v>185</v>
      </c>
      <c r="N10273" s="1" t="s">
        <v>10</v>
      </c>
      <c r="AD10273" s="1" t="s">
        <v>26</v>
      </c>
      <c r="AM10273" s="1" t="s">
        <v>35</v>
      </c>
      <c r="GD10273" s="1" t="s">
        <v>193</v>
      </c>
      <c r="GE10273" s="1" t="s">
        <v>14469</v>
      </c>
    </row>
    <row r="10274" spans="1:187" ht="11.25" customHeight="1">
      <c r="A10274" s="1" t="s">
        <v>14470</v>
      </c>
      <c r="B10274" s="1" t="str">
        <f ca="1">IFERROR(__xludf.DUMMYFUNCTION("GOOGLETRANSLATE(A10274, ""en"", ""fr"")"),"Nat # 3")</f>
        <v>Nat # 3</v>
      </c>
      <c r="C10274" s="1" t="s">
        <v>185</v>
      </c>
      <c r="N10274" s="1" t="s">
        <v>10</v>
      </c>
      <c r="CE10274" s="1" t="s">
        <v>79</v>
      </c>
      <c r="GD10274" s="1" t="s">
        <v>193</v>
      </c>
      <c r="GE10274" s="1" t="s">
        <v>14471</v>
      </c>
    </row>
    <row r="10275" spans="1:187" ht="11.25" customHeight="1">
      <c r="A10275" s="1" t="s">
        <v>14472</v>
      </c>
      <c r="B10275" s="1" t="str">
        <f ca="1">IFERROR(__xludf.DUMMYFUNCTION("GOOGLETRANSLATE(A10275, ""en"", ""fr"")"),"NAGEUR")</f>
        <v>NAGEUR</v>
      </c>
      <c r="C10275" s="1" t="s">
        <v>185</v>
      </c>
      <c r="N10275" s="1" t="s">
        <v>10</v>
      </c>
      <c r="AD10275" s="1" t="s">
        <v>26</v>
      </c>
      <c r="AJ10275" s="1" t="s">
        <v>32</v>
      </c>
      <c r="AT10275" s="1" t="s">
        <v>42</v>
      </c>
      <c r="GD10275" s="1" t="s">
        <v>193</v>
      </c>
      <c r="GE10275" s="1" t="s">
        <v>190</v>
      </c>
    </row>
    <row r="10276" spans="1:187" ht="11.25" customHeight="1">
      <c r="A10276" s="1" t="s">
        <v>14473</v>
      </c>
      <c r="B10276" s="1" t="str">
        <f ca="1">IFERROR(__xludf.DUMMYFUNCTION("GOOGLETRANSLATE(A10276, ""en"", ""fr"")"),"Swing # 1")</f>
        <v>Swing # 1</v>
      </c>
      <c r="C10276" s="1" t="s">
        <v>185</v>
      </c>
      <c r="N10276" s="1" t="s">
        <v>10</v>
      </c>
      <c r="CE10276" s="1" t="s">
        <v>79</v>
      </c>
      <c r="DO10276" s="1" t="s">
        <v>115</v>
      </c>
      <c r="GD10276" s="1" t="s">
        <v>189</v>
      </c>
      <c r="GE10276" s="1" t="s">
        <v>14474</v>
      </c>
    </row>
    <row r="10277" spans="1:187" ht="11.25" customHeight="1">
      <c r="A10277" s="1" t="s">
        <v>14475</v>
      </c>
      <c r="B10277" s="1" t="str">
        <f ca="1">IFERROR(__xludf.DUMMYFUNCTION("GOOGLETRANSLATE(A10277, ""en"", ""fr"")"),"Swing # 2")</f>
        <v>Swing # 2</v>
      </c>
      <c r="C10277" s="1" t="s">
        <v>185</v>
      </c>
      <c r="N10277" s="1" t="s">
        <v>10</v>
      </c>
      <c r="CE10277" s="1" t="s">
        <v>79</v>
      </c>
      <c r="GD10277" s="1" t="s">
        <v>193</v>
      </c>
      <c r="GE10277" s="1" t="s">
        <v>14476</v>
      </c>
    </row>
    <row r="10278" spans="1:187" ht="11.25" customHeight="1">
      <c r="A10278" s="1" t="s">
        <v>14477</v>
      </c>
      <c r="B10278" s="1" t="str">
        <f ca="1">IFERROR(__xludf.DUMMYFUNCTION("GOOGLETRANSLATE(A10278, ""en"", ""fr"")"),"Swing # 3")</f>
        <v>Swing # 3</v>
      </c>
      <c r="C10278" s="1" t="s">
        <v>196</v>
      </c>
      <c r="GD10278" s="1" t="s">
        <v>193</v>
      </c>
    </row>
    <row r="10279" spans="1:187" ht="11.25" customHeight="1">
      <c r="A10279" s="1" t="s">
        <v>14478</v>
      </c>
      <c r="B10279" s="1" t="str">
        <f ca="1">IFERROR(__xludf.DUMMYFUNCTION("GOOGLETRANSLATE(A10279, ""en"", ""fr"")"),"SUISSE")</f>
        <v>SUISSE</v>
      </c>
      <c r="C10279" s="1" t="s">
        <v>185</v>
      </c>
      <c r="AC10279" s="1" t="s">
        <v>25</v>
      </c>
      <c r="AH10279" s="1" t="s">
        <v>30</v>
      </c>
      <c r="DI10279" s="1" t="s">
        <v>109</v>
      </c>
      <c r="GD10279" s="1" t="s">
        <v>193</v>
      </c>
      <c r="GE10279" s="1" t="s">
        <v>190</v>
      </c>
    </row>
    <row r="10280" spans="1:187" ht="11.25" customHeight="1">
      <c r="A10280" s="1" t="s">
        <v>14479</v>
      </c>
      <c r="B10280" s="1" t="str">
        <f ca="1">IFERROR(__xludf.DUMMYFUNCTION("GOOGLETRANSLATE(A10280, ""en"", ""fr"")"),"Commutateur n ° 1")</f>
        <v>Commutateur n ° 1</v>
      </c>
      <c r="C10280" s="1" t="s">
        <v>185</v>
      </c>
      <c r="BC10280" s="1" t="s">
        <v>51</v>
      </c>
      <c r="BD10280" s="1" t="s">
        <v>52</v>
      </c>
      <c r="GD10280" s="1" t="s">
        <v>193</v>
      </c>
      <c r="GE10280" s="1" t="s">
        <v>190</v>
      </c>
    </row>
    <row r="10281" spans="1:187" ht="11.25" customHeight="1">
      <c r="A10281" s="1" t="s">
        <v>14480</v>
      </c>
      <c r="B10281" s="1" t="str">
        <f ca="1">IFERROR(__xludf.DUMMYFUNCTION("GOOGLETRANSLATE(A10281, ""en"", ""fr"")"),"Commutateur n ° 2")</f>
        <v>Commutateur n ° 2</v>
      </c>
      <c r="C10281" s="1" t="s">
        <v>185</v>
      </c>
      <c r="N10281" s="1" t="s">
        <v>10</v>
      </c>
      <c r="BW10281" s="1" t="s">
        <v>71</v>
      </c>
      <c r="DN10281" s="1" t="s">
        <v>114</v>
      </c>
      <c r="FP10281" s="1" t="s">
        <v>168</v>
      </c>
      <c r="GD10281" s="1" t="s">
        <v>189</v>
      </c>
      <c r="GE10281" s="1" t="s">
        <v>190</v>
      </c>
    </row>
    <row r="10282" spans="1:187" ht="11.25" customHeight="1">
      <c r="A10282" s="1" t="s">
        <v>14481</v>
      </c>
      <c r="B10282" s="1" t="str">
        <f ca="1">IFERROR(__xludf.DUMMYFUNCTION("GOOGLETRANSLATE(A10282, ""en"", ""fr"")"),"SUISSE")</f>
        <v>SUISSE</v>
      </c>
      <c r="C10282" s="1" t="s">
        <v>196</v>
      </c>
      <c r="FU10282" s="1" t="s">
        <v>173</v>
      </c>
      <c r="GD10282" s="1" t="s">
        <v>545</v>
      </c>
    </row>
    <row r="10283" spans="1:187" ht="11.25" customHeight="1">
      <c r="A10283" s="1" t="s">
        <v>14482</v>
      </c>
      <c r="B10283" s="1" t="str">
        <f ca="1">IFERROR(__xludf.DUMMYFUNCTION("GOOGLETRANSLATE(A10283, ""en"", ""fr"")"),"GONFLÉ")</f>
        <v>GONFLÉ</v>
      </c>
      <c r="C10283" s="1" t="s">
        <v>185</v>
      </c>
      <c r="O10283" s="1" t="s">
        <v>11</v>
      </c>
      <c r="CR10283" s="1" t="s">
        <v>92</v>
      </c>
      <c r="GD10283" s="1" t="s">
        <v>202</v>
      </c>
      <c r="GE10283" s="1" t="s">
        <v>190</v>
      </c>
    </row>
    <row r="10284" spans="1:187" ht="11.25" customHeight="1">
      <c r="A10284" s="1" t="s">
        <v>14483</v>
      </c>
      <c r="B10284" s="1" t="str">
        <f ca="1">IFERROR(__xludf.DUMMYFUNCTION("GOOGLETRANSLATE(A10284, ""en"", ""fr"")"),"PÂMOISON")</f>
        <v>PÂMOISON</v>
      </c>
      <c r="C10284" s="1" t="s">
        <v>192</v>
      </c>
      <c r="D10284" s="1" t="s">
        <v>16612</v>
      </c>
      <c r="O10284" s="1" t="s">
        <v>11</v>
      </c>
      <c r="S10284" s="1" t="s">
        <v>15</v>
      </c>
      <c r="CF10284" s="1" t="s">
        <v>80</v>
      </c>
      <c r="DP10284" s="1" t="s">
        <v>116</v>
      </c>
      <c r="GD10284" s="1" t="s">
        <v>189</v>
      </c>
      <c r="GE10284" s="1" t="s">
        <v>190</v>
      </c>
    </row>
    <row r="10285" spans="1:187" ht="11.25" customHeight="1">
      <c r="A10285" s="1" t="s">
        <v>14484</v>
      </c>
      <c r="B10285" s="1" t="str">
        <f ca="1">IFERROR(__xludf.DUMMYFUNCTION("GOOGLETRANSLATE(A10285, ""en"", ""fr"")"),"ÉPÉE")</f>
        <v>ÉPÉE</v>
      </c>
      <c r="C10285" s="1" t="s">
        <v>185</v>
      </c>
      <c r="I10285" s="1" t="s">
        <v>5</v>
      </c>
      <c r="J10285" s="1" t="s">
        <v>6</v>
      </c>
      <c r="AF10285" s="1" t="s">
        <v>28</v>
      </c>
      <c r="BC10285" s="1" t="s">
        <v>51</v>
      </c>
      <c r="BD10285" s="1" t="s">
        <v>52</v>
      </c>
      <c r="DW10285" s="1" t="s">
        <v>123</v>
      </c>
      <c r="ED10285" s="1" t="s">
        <v>130</v>
      </c>
      <c r="GD10285" s="1" t="s">
        <v>193</v>
      </c>
      <c r="GE10285" s="1" t="s">
        <v>14485</v>
      </c>
    </row>
    <row r="10286" spans="1:187" ht="11.25" customHeight="1">
      <c r="A10286" s="1" t="s">
        <v>14486</v>
      </c>
      <c r="B10286" s="1" t="str">
        <f ca="1">IFERROR(__xludf.DUMMYFUNCTION("GOOGLETRANSLATE(A10286, ""en"", ""fr"")"),"Juré")</f>
        <v>Juré</v>
      </c>
      <c r="C10286" s="1" t="s">
        <v>185</v>
      </c>
      <c r="E10286" s="1" t="s">
        <v>16613</v>
      </c>
      <c r="H10286" s="1" t="s">
        <v>4</v>
      </c>
      <c r="I10286" s="1" t="s">
        <v>5</v>
      </c>
      <c r="BK10286" s="1" t="s">
        <v>59</v>
      </c>
      <c r="DO10286" s="1" t="s">
        <v>115</v>
      </c>
      <c r="EM10286" s="1" t="s">
        <v>139</v>
      </c>
      <c r="EN10286" s="1" t="s">
        <v>140</v>
      </c>
      <c r="GD10286" s="1" t="s">
        <v>1076</v>
      </c>
      <c r="GE10286" s="1" t="s">
        <v>190</v>
      </c>
    </row>
    <row r="10287" spans="1:187" ht="11.25" customHeight="1">
      <c r="A10287" s="1" t="s">
        <v>14487</v>
      </c>
      <c r="B10287" s="1" t="str">
        <f ca="1">IFERROR(__xludf.DUMMYFUNCTION("GOOGLETRANSLATE(A10287, ""en"", ""fr"")"),"JURÉ")</f>
        <v>JURÉ</v>
      </c>
      <c r="C10287" s="1" t="s">
        <v>185</v>
      </c>
      <c r="D10287" s="1" t="s">
        <v>16612</v>
      </c>
      <c r="AE10287" s="1" t="s">
        <v>27</v>
      </c>
      <c r="CJ10287" s="1" t="s">
        <v>84</v>
      </c>
      <c r="DR10287" s="1" t="s">
        <v>118</v>
      </c>
      <c r="DW10287" s="1" t="s">
        <v>123</v>
      </c>
      <c r="ED10287" s="1" t="s">
        <v>130</v>
      </c>
      <c r="GD10287" s="1" t="s">
        <v>202</v>
      </c>
      <c r="GE10287" s="1" t="s">
        <v>190</v>
      </c>
    </row>
    <row r="10288" spans="1:187" ht="11.25" customHeight="1">
      <c r="A10288" s="1" t="s">
        <v>14488</v>
      </c>
      <c r="B10288" s="1" t="str">
        <f ca="1">IFERROR(__xludf.DUMMYFUNCTION("GOOGLETRANSLATE(A10288, ""en"", ""fr"")"),"Balancé")</f>
        <v>Balancé</v>
      </c>
      <c r="C10288" s="1" t="s">
        <v>185</v>
      </c>
      <c r="N10288" s="1" t="s">
        <v>10</v>
      </c>
      <c r="CE10288" s="1" t="s">
        <v>79</v>
      </c>
      <c r="DO10288" s="1" t="s">
        <v>115</v>
      </c>
      <c r="GD10288" s="1" t="s">
        <v>1076</v>
      </c>
      <c r="GE10288" s="1" t="s">
        <v>190</v>
      </c>
    </row>
    <row r="10289" spans="1:187" ht="11.25" customHeight="1">
      <c r="A10289" s="1" t="s">
        <v>14489</v>
      </c>
      <c r="B10289" s="1" t="str">
        <f ca="1">IFERROR(__xludf.DUMMYFUNCTION("GOOGLETRANSLATE(A10289, ""en"", ""fr"")"),"SYMBOLE")</f>
        <v>SYMBOLE</v>
      </c>
      <c r="C10289" s="1" t="s">
        <v>185</v>
      </c>
      <c r="AD10289" s="1" t="s">
        <v>26</v>
      </c>
      <c r="BK10289" s="1" t="s">
        <v>59</v>
      </c>
      <c r="BL10289" s="1" t="s">
        <v>60</v>
      </c>
      <c r="CP10289" s="1" t="s">
        <v>90</v>
      </c>
      <c r="CQ10289" s="1" t="s">
        <v>91</v>
      </c>
      <c r="FH10289" s="1" t="s">
        <v>160</v>
      </c>
      <c r="FI10289" s="1" t="s">
        <v>161</v>
      </c>
      <c r="GC10289" s="1" t="s">
        <v>181</v>
      </c>
      <c r="GD10289" s="1" t="s">
        <v>193</v>
      </c>
      <c r="GE10289" s="1" t="s">
        <v>190</v>
      </c>
    </row>
    <row r="10290" spans="1:187" ht="11.25" customHeight="1">
      <c r="A10290" s="1" t="s">
        <v>14490</v>
      </c>
      <c r="B10290" s="1" t="str">
        <f ca="1">IFERROR(__xludf.DUMMYFUNCTION("GOOGLETRANSLATE(A10290, ""en"", ""fr"")"),"SYMBOLISME")</f>
        <v>SYMBOLISME</v>
      </c>
      <c r="C10290" s="1" t="s">
        <v>185</v>
      </c>
      <c r="AD10290" s="1" t="s">
        <v>26</v>
      </c>
      <c r="BK10290" s="1" t="s">
        <v>59</v>
      </c>
      <c r="BL10290" s="1" t="s">
        <v>60</v>
      </c>
      <c r="FH10290" s="1" t="s">
        <v>160</v>
      </c>
      <c r="FI10290" s="1" t="s">
        <v>161</v>
      </c>
      <c r="GC10290" s="1" t="s">
        <v>181</v>
      </c>
      <c r="GD10290" s="1" t="s">
        <v>193</v>
      </c>
      <c r="GE10290" s="1" t="s">
        <v>190</v>
      </c>
    </row>
    <row r="10291" spans="1:187" ht="11.25" customHeight="1">
      <c r="A10291" s="1" t="s">
        <v>14491</v>
      </c>
      <c r="B10291" s="1" t="str">
        <f ca="1">IFERROR(__xludf.DUMMYFUNCTION("GOOGLETRANSLATE(A10291, ""en"", ""fr"")"),"SYMBOLISER")</f>
        <v>SYMBOLISER</v>
      </c>
      <c r="C10291" s="1" t="s">
        <v>192</v>
      </c>
      <c r="D10291" s="1" t="s">
        <v>16612</v>
      </c>
      <c r="O10291" s="1" t="s">
        <v>11</v>
      </c>
      <c r="AN10291" s="1" t="s">
        <v>36</v>
      </c>
      <c r="BK10291" s="1" t="s">
        <v>59</v>
      </c>
      <c r="DN10291" s="1" t="s">
        <v>114</v>
      </c>
      <c r="GD10291" s="1" t="s">
        <v>189</v>
      </c>
      <c r="GE10291" s="1" t="s">
        <v>190</v>
      </c>
    </row>
    <row r="10292" spans="1:187" ht="11.25" customHeight="1">
      <c r="A10292" s="1" t="s">
        <v>14492</v>
      </c>
      <c r="B10292" s="1" t="str">
        <f ca="1">IFERROR(__xludf.DUMMYFUNCTION("GOOGLETRANSLATE(A10292, ""en"", ""fr"")"),"SYMÉTRIE")</f>
        <v>SYMÉTRIE</v>
      </c>
      <c r="C10292" s="1" t="s">
        <v>192</v>
      </c>
      <c r="D10292" s="1" t="s">
        <v>16612</v>
      </c>
      <c r="CR10292" s="1" t="s">
        <v>92</v>
      </c>
      <c r="GD10292" s="1" t="s">
        <v>193</v>
      </c>
      <c r="GE10292" s="1" t="s">
        <v>190</v>
      </c>
    </row>
    <row r="10293" spans="1:187" ht="11.25" customHeight="1">
      <c r="A10293" s="1" t="s">
        <v>14493</v>
      </c>
      <c r="B10293" s="1" t="str">
        <f ca="1">IFERROR(__xludf.DUMMYFUNCTION("GOOGLETRANSLATE(A10293, ""en"", ""fr"")"),"SYMPATHIQUE")</f>
        <v>SYMPATHIQUE</v>
      </c>
      <c r="C10293" s="1" t="s">
        <v>185</v>
      </c>
      <c r="D10293" s="1" t="s">
        <v>16612</v>
      </c>
      <c r="F10293" s="1" t="s">
        <v>2</v>
      </c>
      <c r="G10293" s="1" t="s">
        <v>3</v>
      </c>
      <c r="S10293" s="1" t="s">
        <v>15</v>
      </c>
      <c r="T10293" s="1" t="s">
        <v>16</v>
      </c>
      <c r="FX10293" s="1" t="s">
        <v>176</v>
      </c>
      <c r="GD10293" s="1" t="s">
        <v>202</v>
      </c>
      <c r="GE10293" s="1" t="s">
        <v>190</v>
      </c>
    </row>
    <row r="10294" spans="1:187" ht="11.25" customHeight="1">
      <c r="A10294" s="1" t="s">
        <v>14494</v>
      </c>
      <c r="B10294" s="1" t="str">
        <f ca="1">IFERROR(__xludf.DUMMYFUNCTION("GOOGLETRANSLATE(A10294, ""en"", ""fr"")"),"Sympathiser # 1")</f>
        <v>Sympathiser # 1</v>
      </c>
      <c r="C10294" s="1" t="s">
        <v>192</v>
      </c>
      <c r="GE10294" s="1" t="s">
        <v>190</v>
      </c>
    </row>
    <row r="10295" spans="1:187" ht="11.25" customHeight="1">
      <c r="A10295" s="1" t="s">
        <v>14495</v>
      </c>
      <c r="B10295" s="1" t="str">
        <f ca="1">IFERROR(__xludf.DUMMYFUNCTION("GOOGLETRANSLATE(A10295, ""en"", ""fr"")"),"SYMPATHISER")</f>
        <v>SYMPATHISER</v>
      </c>
      <c r="C10295" s="1" t="s">
        <v>185</v>
      </c>
      <c r="D10295" s="1" t="s">
        <v>16612</v>
      </c>
      <c r="F10295" s="1" t="s">
        <v>2</v>
      </c>
      <c r="G10295" s="1" t="s">
        <v>3</v>
      </c>
      <c r="S10295" s="1" t="s">
        <v>15</v>
      </c>
      <c r="DN10295" s="1" t="s">
        <v>114</v>
      </c>
      <c r="EO10295" s="1" t="s">
        <v>141</v>
      </c>
      <c r="ES10295" s="1" t="s">
        <v>145</v>
      </c>
      <c r="GD10295" s="1" t="s">
        <v>189</v>
      </c>
      <c r="GE10295" s="1" t="s">
        <v>190</v>
      </c>
    </row>
    <row r="10296" spans="1:187" ht="11.25" customHeight="1">
      <c r="A10296" s="1" t="s">
        <v>14496</v>
      </c>
      <c r="B10296" s="1" t="str">
        <f ca="1">IFERROR(__xludf.DUMMYFUNCTION("GOOGLETRANSLATE(A10296, ""en"", ""fr"")"),"SYMPATHIE")</f>
        <v>SYMPATHIE</v>
      </c>
      <c r="C10296" s="1" t="s">
        <v>185</v>
      </c>
      <c r="D10296" s="1" t="s">
        <v>16612</v>
      </c>
      <c r="F10296" s="1" t="s">
        <v>2</v>
      </c>
      <c r="G10296" s="1" t="s">
        <v>3</v>
      </c>
      <c r="S10296" s="1" t="s">
        <v>15</v>
      </c>
      <c r="T10296" s="1" t="s">
        <v>16</v>
      </c>
      <c r="ER10296" s="1" t="s">
        <v>144</v>
      </c>
      <c r="ES10296" s="1" t="s">
        <v>145</v>
      </c>
      <c r="GD10296" s="1" t="s">
        <v>193</v>
      </c>
      <c r="GE10296" s="1" t="s">
        <v>190</v>
      </c>
    </row>
    <row r="10297" spans="1:187" ht="11.25" customHeight="1">
      <c r="A10297" s="1" t="s">
        <v>14497</v>
      </c>
      <c r="B10297" s="1" t="str">
        <f ca="1">IFERROR(__xludf.DUMMYFUNCTION("GOOGLETRANSLATE(A10297, ""en"", ""fr"")"),"SYMPHONIQUE")</f>
        <v>SYMPHONIQUE</v>
      </c>
      <c r="C10297" s="1" t="s">
        <v>185</v>
      </c>
      <c r="AD10297" s="1" t="s">
        <v>26</v>
      </c>
      <c r="BK10297" s="1" t="s">
        <v>59</v>
      </c>
      <c r="FJ10297" s="1" t="s">
        <v>162</v>
      </c>
      <c r="FM10297" s="1" t="s">
        <v>418</v>
      </c>
      <c r="GC10297" s="1" t="s">
        <v>181</v>
      </c>
      <c r="GD10297" s="1" t="s">
        <v>202</v>
      </c>
      <c r="GE10297" s="1" t="s">
        <v>190</v>
      </c>
    </row>
    <row r="10298" spans="1:187" ht="11.25" customHeight="1">
      <c r="A10298" s="1" t="s">
        <v>14498</v>
      </c>
      <c r="B10298" s="1" t="str">
        <f ca="1">IFERROR(__xludf.DUMMYFUNCTION("GOOGLETRANSLATE(A10298, ""en"", ""fr"")"),"SYMPHONIE")</f>
        <v>SYMPHONIE</v>
      </c>
      <c r="C10298" s="1" t="s">
        <v>185</v>
      </c>
      <c r="AD10298" s="1" t="s">
        <v>26</v>
      </c>
      <c r="BK10298" s="1" t="s">
        <v>59</v>
      </c>
      <c r="BL10298" s="1" t="s">
        <v>60</v>
      </c>
      <c r="FJ10298" s="1" t="s">
        <v>162</v>
      </c>
      <c r="FM10298" s="1" t="s">
        <v>418</v>
      </c>
      <c r="GC10298" s="1" t="s">
        <v>181</v>
      </c>
      <c r="GD10298" s="1" t="s">
        <v>193</v>
      </c>
      <c r="GE10298" s="1" t="s">
        <v>190</v>
      </c>
    </row>
    <row r="10299" spans="1:187" ht="11.25" customHeight="1">
      <c r="A10299" s="1" t="s">
        <v>14499</v>
      </c>
      <c r="B10299" s="1" t="str">
        <f ca="1">IFERROR(__xludf.DUMMYFUNCTION("GOOGLETRANSLATE(A10299, ""en"", ""fr"")"),"SYMPTÔME")</f>
        <v>SYMPTÔME</v>
      </c>
      <c r="C10299" s="1" t="s">
        <v>185</v>
      </c>
      <c r="E10299" s="1" t="s">
        <v>16613</v>
      </c>
      <c r="H10299" s="1" t="s">
        <v>4</v>
      </c>
      <c r="V10299" s="1" t="s">
        <v>18</v>
      </c>
      <c r="EZ10299" s="1" t="s">
        <v>152</v>
      </c>
      <c r="FC10299" s="1" t="s">
        <v>155</v>
      </c>
      <c r="GD10299" s="1" t="s">
        <v>193</v>
      </c>
      <c r="GE10299" s="1" t="s">
        <v>190</v>
      </c>
    </row>
    <row r="10300" spans="1:187" ht="11.25" customHeight="1">
      <c r="A10300" s="1" t="s">
        <v>14500</v>
      </c>
      <c r="B10300" s="1" t="str">
        <f ca="1">IFERROR(__xludf.DUMMYFUNCTION("GOOGLETRANSLATE(A10300, ""en"", ""fr"")"),"SYNDICAT")</f>
        <v>SYNDICAT</v>
      </c>
      <c r="C10300" s="1" t="s">
        <v>185</v>
      </c>
      <c r="AA10300" s="1" t="s">
        <v>23</v>
      </c>
      <c r="AC10300" s="1" t="s">
        <v>25</v>
      </c>
      <c r="AK10300" s="1" t="s">
        <v>33</v>
      </c>
      <c r="AT10300" s="1" t="s">
        <v>42</v>
      </c>
      <c r="GD10300" s="1" t="s">
        <v>193</v>
      </c>
      <c r="GE10300" s="1" t="s">
        <v>190</v>
      </c>
    </row>
    <row r="10301" spans="1:187" ht="11.25" customHeight="1">
      <c r="A10301" s="1" t="s">
        <v>14501</v>
      </c>
      <c r="B10301" s="1" t="str">
        <f ca="1">IFERROR(__xludf.DUMMYFUNCTION("GOOGLETRANSLATE(A10301, ""en"", ""fr"")"),"LA SYNTHÈSE")</f>
        <v>LA SYNTHÈSE</v>
      </c>
      <c r="C10301" s="1" t="s">
        <v>192</v>
      </c>
      <c r="D10301" s="1" t="s">
        <v>16612</v>
      </c>
      <c r="G10301" s="1" t="s">
        <v>3</v>
      </c>
      <c r="DD10301" s="1" t="s">
        <v>104</v>
      </c>
      <c r="GD10301" s="1" t="s">
        <v>193</v>
      </c>
      <c r="GE10301" s="1" t="s">
        <v>190</v>
      </c>
    </row>
    <row r="10302" spans="1:187" ht="11.25" customHeight="1">
      <c r="A10302" s="1" t="s">
        <v>14502</v>
      </c>
      <c r="B10302" s="1" t="str">
        <f ca="1">IFERROR(__xludf.DUMMYFUNCTION("GOOGLETRANSLATE(A10302, ""en"", ""fr"")"),"SYNTHÉTIQUE")</f>
        <v>SYNTHÉTIQUE</v>
      </c>
      <c r="C10302" s="1" t="s">
        <v>185</v>
      </c>
      <c r="CR10302" s="1" t="s">
        <v>92</v>
      </c>
      <c r="GD10302" s="1" t="s">
        <v>202</v>
      </c>
      <c r="GE10302" s="1" t="s">
        <v>190</v>
      </c>
    </row>
    <row r="10303" spans="1:187" ht="11.25" customHeight="1">
      <c r="A10303" s="1" t="s">
        <v>14503</v>
      </c>
      <c r="B10303" s="1" t="str">
        <f ca="1">IFERROR(__xludf.DUMMYFUNCTION("GOOGLETRANSLATE(A10303, ""en"", ""fr"")"),"SYRIE")</f>
        <v>SYRIE</v>
      </c>
      <c r="C10303" s="1" t="s">
        <v>196</v>
      </c>
      <c r="FU10303" s="1" t="s">
        <v>173</v>
      </c>
      <c r="GD10303" s="1" t="s">
        <v>545</v>
      </c>
    </row>
    <row r="10304" spans="1:187" ht="11.25" customHeight="1">
      <c r="A10304" s="1" t="s">
        <v>14504</v>
      </c>
      <c r="B10304" s="1" t="str">
        <f ca="1">IFERROR(__xludf.DUMMYFUNCTION("GOOGLETRANSLATE(A10304, ""en"", ""fr"")"),"SIROP")</f>
        <v>SIROP</v>
      </c>
      <c r="C10304" s="1" t="s">
        <v>185</v>
      </c>
      <c r="BC10304" s="1" t="s">
        <v>51</v>
      </c>
      <c r="BE10304" s="1" t="s">
        <v>53</v>
      </c>
      <c r="GD10304" s="1" t="s">
        <v>193</v>
      </c>
      <c r="GE10304" s="1" t="s">
        <v>190</v>
      </c>
    </row>
    <row r="10305" spans="1:187" ht="11.25" customHeight="1">
      <c r="A10305" s="1" t="s">
        <v>14505</v>
      </c>
      <c r="B10305" s="1" t="str">
        <f ca="1">IFERROR(__xludf.DUMMYFUNCTION("GOOGLETRANSLATE(A10305, ""en"", ""fr"")"),"SYSTÈME")</f>
        <v>SYSTÈME</v>
      </c>
      <c r="C10305" s="1" t="s">
        <v>185</v>
      </c>
      <c r="CH10305" s="1" t="s">
        <v>82</v>
      </c>
      <c r="CP10305" s="1" t="s">
        <v>90</v>
      </c>
      <c r="CQ10305" s="1" t="s">
        <v>91</v>
      </c>
      <c r="DV10305" s="1" t="s">
        <v>122</v>
      </c>
      <c r="ED10305" s="1" t="s">
        <v>130</v>
      </c>
      <c r="GD10305" s="1" t="s">
        <v>193</v>
      </c>
      <c r="GE10305" s="1" t="s">
        <v>14506</v>
      </c>
    </row>
    <row r="10306" spans="1:187" ht="11.25" customHeight="1">
      <c r="A10306" s="1" t="s">
        <v>14507</v>
      </c>
      <c r="B10306" s="1" t="str">
        <f ca="1">IFERROR(__xludf.DUMMYFUNCTION("GOOGLETRANSLATE(A10306, ""en"", ""fr"")"),"SYSTÉMATIQUE")</f>
        <v>SYSTÉMATIQUE</v>
      </c>
      <c r="C10306" s="1" t="s">
        <v>185</v>
      </c>
      <c r="J10306" s="1" t="s">
        <v>6</v>
      </c>
      <c r="BQ10306" s="1" t="s">
        <v>65</v>
      </c>
      <c r="GD10306" s="1" t="s">
        <v>202</v>
      </c>
      <c r="GE10306" s="1" t="s">
        <v>190</v>
      </c>
    </row>
    <row r="10307" spans="1:187" ht="11.25" customHeight="1">
      <c r="A10307" s="1" t="s">
        <v>14508</v>
      </c>
      <c r="B10307" s="1" t="str">
        <f ca="1">IFERROR(__xludf.DUMMYFUNCTION("GOOGLETRANSLATE(A10307, ""en"", ""fr"")"),"Systématiquement")</f>
        <v>Systématiquement</v>
      </c>
      <c r="C10307" s="1" t="s">
        <v>185</v>
      </c>
      <c r="J10307" s="1" t="s">
        <v>6</v>
      </c>
      <c r="BQ10307" s="1" t="s">
        <v>65</v>
      </c>
      <c r="GD10307" s="1" t="s">
        <v>202</v>
      </c>
      <c r="GE10307" s="1" t="s">
        <v>190</v>
      </c>
    </row>
    <row r="10308" spans="1:187" ht="11.25" customHeight="1">
      <c r="A10308" s="1" t="s">
        <v>14509</v>
      </c>
      <c r="B10308" s="1" t="str">
        <f ca="1">IFERROR(__xludf.DUMMYFUNCTION("GOOGLETRANSLATE(A10308, ""en"", ""fr"")"),"TABLEAU 1")</f>
        <v>TABLEAU 1</v>
      </c>
      <c r="C10308" s="1" t="s">
        <v>185</v>
      </c>
      <c r="BC10308" s="1" t="s">
        <v>51</v>
      </c>
      <c r="BD10308" s="1" t="s">
        <v>52</v>
      </c>
      <c r="GD10308" s="1" t="s">
        <v>849</v>
      </c>
      <c r="GE10308" s="1" t="s">
        <v>14510</v>
      </c>
    </row>
    <row r="10309" spans="1:187" ht="11.25" customHeight="1">
      <c r="A10309" s="1" t="s">
        <v>14511</v>
      </c>
      <c r="B10309" s="1" t="str">
        <f ca="1">IFERROR(__xludf.DUMMYFUNCTION("GOOGLETRANSLATE(A10309, ""en"", ""fr"")"),"TABLEAU 2")</f>
        <v>TABLEAU 2</v>
      </c>
      <c r="C10309" s="1" t="s">
        <v>185</v>
      </c>
      <c r="BQ10309" s="1" t="s">
        <v>65</v>
      </c>
      <c r="FH10309" s="1" t="s">
        <v>160</v>
      </c>
      <c r="FI10309" s="1" t="s">
        <v>161</v>
      </c>
      <c r="GD10309" s="1" t="s">
        <v>193</v>
      </c>
      <c r="GE10309" s="1" t="s">
        <v>14512</v>
      </c>
    </row>
    <row r="10310" spans="1:187" ht="11.25" customHeight="1">
      <c r="A10310" s="1" t="s">
        <v>14513</v>
      </c>
      <c r="B10310" s="1" t="str">
        <f ca="1">IFERROR(__xludf.DUMMYFUNCTION("GOOGLETRANSLATE(A10310, ""en"", ""fr"")"),"TABLEAU 3")</f>
        <v>TABLEAU 3</v>
      </c>
      <c r="C10310" s="1" t="s">
        <v>185</v>
      </c>
      <c r="AG10310" s="1" t="s">
        <v>29</v>
      </c>
      <c r="AL10310" s="1" t="s">
        <v>34</v>
      </c>
      <c r="DN10310" s="1" t="s">
        <v>114</v>
      </c>
      <c r="GD10310" s="1" t="s">
        <v>189</v>
      </c>
      <c r="GE10310" s="1" t="s">
        <v>14514</v>
      </c>
    </row>
    <row r="10311" spans="1:187" ht="11.25" customHeight="1">
      <c r="A10311" s="1" t="s">
        <v>14515</v>
      </c>
      <c r="B10311" s="1" t="str">
        <f ca="1">IFERROR(__xludf.DUMMYFUNCTION("GOOGLETRANSLATE(A10311, ""en"", ""fr"")"),"TABOU")</f>
        <v>TABOU</v>
      </c>
      <c r="C10311" s="1" t="s">
        <v>192</v>
      </c>
      <c r="E10311" s="1" t="s">
        <v>16613</v>
      </c>
      <c r="I10311" s="1" t="s">
        <v>5</v>
      </c>
      <c r="CK10311" s="1" t="s">
        <v>85</v>
      </c>
      <c r="DR10311" s="1" t="s">
        <v>118</v>
      </c>
      <c r="GD10311" s="1" t="s">
        <v>202</v>
      </c>
      <c r="GE10311" s="1" t="s">
        <v>190</v>
      </c>
    </row>
    <row r="10312" spans="1:187" ht="11.25" customHeight="1">
      <c r="A10312" s="1" t="s">
        <v>14516</v>
      </c>
      <c r="B10312" s="1" t="str">
        <f ca="1">IFERROR(__xludf.DUMMYFUNCTION("GOOGLETRANSLATE(A10312, ""en"", ""fr"")"),"TACT")</f>
        <v>TACT</v>
      </c>
      <c r="C10312" s="1" t="s">
        <v>192</v>
      </c>
      <c r="D10312" s="1" t="s">
        <v>16612</v>
      </c>
      <c r="U10312" s="1" t="s">
        <v>17</v>
      </c>
      <c r="GD10312" s="1" t="s">
        <v>193</v>
      </c>
      <c r="GE10312" s="1" t="s">
        <v>190</v>
      </c>
    </row>
    <row r="10313" spans="1:187" ht="11.25" customHeight="1">
      <c r="A10313" s="1" t="s">
        <v>14517</v>
      </c>
      <c r="B10313" s="1" t="str">
        <f ca="1">IFERROR(__xludf.DUMMYFUNCTION("GOOGLETRANSLATE(A10313, ""en"", ""fr"")"),"TACTIQUE")</f>
        <v>TACTIQUE</v>
      </c>
      <c r="C10313" s="1" t="s">
        <v>185</v>
      </c>
      <c r="AG10313" s="1" t="s">
        <v>29</v>
      </c>
      <c r="AH10313" s="1" t="s">
        <v>30</v>
      </c>
      <c r="BQ10313" s="1" t="s">
        <v>65</v>
      </c>
      <c r="GD10313" s="1" t="s">
        <v>193</v>
      </c>
      <c r="GE10313" s="1" t="s">
        <v>190</v>
      </c>
    </row>
    <row r="10314" spans="1:187" ht="11.25" customHeight="1">
      <c r="A10314" s="1" t="s">
        <v>14518</v>
      </c>
      <c r="B10314" s="1" t="str">
        <f ca="1">IFERROR(__xludf.DUMMYFUNCTION("GOOGLETRANSLATE(A10314, ""en"", ""fr"")"),"TACTIQUE")</f>
        <v>TACTIQUE</v>
      </c>
      <c r="C10314" s="1" t="s">
        <v>185</v>
      </c>
      <c r="BQ10314" s="1" t="s">
        <v>65</v>
      </c>
      <c r="GD10314" s="1" t="s">
        <v>202</v>
      </c>
      <c r="GE10314" s="1" t="s">
        <v>190</v>
      </c>
    </row>
    <row r="10315" spans="1:187" ht="11.25" customHeight="1">
      <c r="A10315" s="1" t="s">
        <v>14519</v>
      </c>
      <c r="B10315" s="1" t="str">
        <f ca="1">IFERROR(__xludf.DUMMYFUNCTION("GOOGLETRANSLATE(A10315, ""en"", ""fr"")"),"TACTIQUE")</f>
        <v>TACTIQUE</v>
      </c>
      <c r="C10315" s="1" t="s">
        <v>192</v>
      </c>
      <c r="D10315" s="1" t="s">
        <v>16612</v>
      </c>
      <c r="AG10315" s="1" t="s">
        <v>29</v>
      </c>
      <c r="BQ10315" s="1" t="s">
        <v>65</v>
      </c>
      <c r="GD10315" s="1" t="s">
        <v>193</v>
      </c>
      <c r="GE10315" s="1" t="s">
        <v>190</v>
      </c>
    </row>
    <row r="10316" spans="1:187" ht="11.25" customHeight="1">
      <c r="A10316" s="1" t="s">
        <v>14520</v>
      </c>
      <c r="B10316" s="1" t="str">
        <f ca="1">IFERROR(__xludf.DUMMYFUNCTION("GOOGLETRANSLATE(A10316, ""en"", ""fr"")"),"Queue n ° 1")</f>
        <v>Queue n ° 1</v>
      </c>
      <c r="C10316" s="1" t="s">
        <v>185</v>
      </c>
      <c r="BJ10316" s="1" t="s">
        <v>58</v>
      </c>
      <c r="GD10316" s="1" t="s">
        <v>849</v>
      </c>
      <c r="GE10316" s="1" t="s">
        <v>14521</v>
      </c>
    </row>
    <row r="10317" spans="1:187" ht="11.25" customHeight="1">
      <c r="A10317" s="1" t="s">
        <v>14522</v>
      </c>
      <c r="B10317" s="1" t="str">
        <f ca="1">IFERROR(__xludf.DUMMYFUNCTION("GOOGLETRANSLATE(A10317, ""en"", ""fr"")"),"Queue n ° 2")</f>
        <v>Queue n ° 2</v>
      </c>
      <c r="C10317" s="1" t="s">
        <v>185</v>
      </c>
      <c r="N10317" s="1" t="s">
        <v>10</v>
      </c>
      <c r="CE10317" s="1" t="s">
        <v>79</v>
      </c>
      <c r="DN10317" s="1" t="s">
        <v>114</v>
      </c>
      <c r="FP10317" s="1" t="s">
        <v>168</v>
      </c>
      <c r="GD10317" s="1" t="s">
        <v>189</v>
      </c>
      <c r="GE10317" s="1" t="s">
        <v>14523</v>
      </c>
    </row>
    <row r="10318" spans="1:187" ht="11.25" customHeight="1">
      <c r="A10318" s="1" t="s">
        <v>14524</v>
      </c>
      <c r="B10318" s="1" t="str">
        <f ca="1">IFERROR(__xludf.DUMMYFUNCTION("GOOGLETRANSLATE(A10318, ""en"", ""fr"")"),"Tailleur n ° 1")</f>
        <v>Tailleur n ° 1</v>
      </c>
      <c r="C10318" s="1" t="s">
        <v>185</v>
      </c>
      <c r="AA10318" s="1" t="s">
        <v>23</v>
      </c>
      <c r="AJ10318" s="1" t="s">
        <v>32</v>
      </c>
      <c r="AT10318" s="1" t="s">
        <v>42</v>
      </c>
      <c r="GD10318" s="1" t="s">
        <v>193</v>
      </c>
      <c r="GE10318" s="1" t="s">
        <v>190</v>
      </c>
    </row>
    <row r="10319" spans="1:187" ht="11.25" customHeight="1">
      <c r="A10319" s="1" t="s">
        <v>14525</v>
      </c>
      <c r="B10319" s="1" t="str">
        <f ca="1">IFERROR(__xludf.DUMMYFUNCTION("GOOGLETRANSLATE(A10319, ""en"", ""fr"")"),"Tailleur n ° 2")</f>
        <v>Tailleur n ° 2</v>
      </c>
      <c r="C10319" s="1" t="s">
        <v>185</v>
      </c>
      <c r="AL10319" s="1" t="s">
        <v>34</v>
      </c>
      <c r="DN10319" s="1" t="s">
        <v>114</v>
      </c>
      <c r="GD10319" s="1" t="s">
        <v>189</v>
      </c>
      <c r="GE10319" s="1" t="s">
        <v>190</v>
      </c>
    </row>
    <row r="10320" spans="1:187" ht="11.25" customHeight="1">
      <c r="A10320" s="1" t="s">
        <v>14526</v>
      </c>
      <c r="B10320" s="1" t="str">
        <f ca="1">IFERROR(__xludf.DUMMYFUNCTION("GOOGLETRANSLATE(A10320, ""en"", ""fr"")"),"ENTACHER")</f>
        <v>ENTACHER</v>
      </c>
      <c r="C10320" s="1" t="s">
        <v>192</v>
      </c>
      <c r="E10320" s="1" t="s">
        <v>16613</v>
      </c>
      <c r="I10320" s="1" t="s">
        <v>5</v>
      </c>
      <c r="N10320" s="1" t="s">
        <v>10</v>
      </c>
      <c r="DN10320" s="1" t="s">
        <v>114</v>
      </c>
      <c r="GD10320" s="1" t="s">
        <v>189</v>
      </c>
      <c r="GE10320" s="1" t="s">
        <v>190</v>
      </c>
    </row>
    <row r="10321" spans="1:187" ht="11.25" customHeight="1">
      <c r="A10321" s="1" t="s">
        <v>14527</v>
      </c>
      <c r="B10321" s="1" t="str">
        <f ca="1">IFERROR(__xludf.DUMMYFUNCTION("GOOGLETRANSLATE(A10321, ""en"", ""fr"")"),"TAÏWAN")</f>
        <v>TAÏWAN</v>
      </c>
      <c r="C10321" s="1" t="s">
        <v>196</v>
      </c>
      <c r="FU10321" s="1" t="s">
        <v>173</v>
      </c>
      <c r="GD10321" s="1" t="s">
        <v>545</v>
      </c>
    </row>
    <row r="10322" spans="1:187" ht="11.25" customHeight="1">
      <c r="A10322" s="1" t="s">
        <v>14528</v>
      </c>
      <c r="B10322" s="1" t="str">
        <f ca="1">IFERROR(__xludf.DUMMYFUNCTION("GOOGLETRANSLATE(A10322, ""en"", ""fr"")"),"Prendre # 1")</f>
        <v>Prendre # 1</v>
      </c>
      <c r="C10322" s="1" t="s">
        <v>192</v>
      </c>
      <c r="N10322" s="1" t="s">
        <v>10</v>
      </c>
      <c r="CD10322" s="1" t="s">
        <v>78</v>
      </c>
      <c r="DO10322" s="1" t="s">
        <v>115</v>
      </c>
      <c r="GD10322" s="1" t="s">
        <v>189</v>
      </c>
      <c r="GE10322" s="1" t="s">
        <v>14529</v>
      </c>
    </row>
    <row r="10323" spans="1:187" ht="11.25" customHeight="1">
      <c r="A10323" s="1" t="s">
        <v>14530</v>
      </c>
      <c r="B10323" s="1" t="str">
        <f ca="1">IFERROR(__xludf.DUMMYFUNCTION("GOOGLETRANSLATE(A10323, ""en"", ""fr"")"),"PRENDRE 2")</f>
        <v>PRENDRE 2</v>
      </c>
      <c r="C10323" s="1" t="s">
        <v>192</v>
      </c>
      <c r="N10323" s="1" t="s">
        <v>10</v>
      </c>
      <c r="CD10323" s="1" t="s">
        <v>78</v>
      </c>
      <c r="DN10323" s="1" t="s">
        <v>114</v>
      </c>
      <c r="GD10323" s="1" t="s">
        <v>189</v>
      </c>
      <c r="GE10323" s="1" t="s">
        <v>14531</v>
      </c>
    </row>
    <row r="10324" spans="1:187" ht="11.25" customHeight="1">
      <c r="A10324" s="1" t="s">
        <v>14532</v>
      </c>
      <c r="B10324" s="1" t="str">
        <f ca="1">IFERROR(__xludf.DUMMYFUNCTION("GOOGLETRANSLATE(A10324, ""en"", ""fr"")"),"Prendre # 3")</f>
        <v>Prendre # 3</v>
      </c>
      <c r="C10324" s="1" t="s">
        <v>192</v>
      </c>
      <c r="J10324" s="1" t="s">
        <v>6</v>
      </c>
      <c r="BN10324" s="1" t="s">
        <v>62</v>
      </c>
      <c r="DN10324" s="1" t="s">
        <v>114</v>
      </c>
      <c r="GD10324" s="1" t="s">
        <v>189</v>
      </c>
      <c r="GE10324" s="1" t="s">
        <v>14533</v>
      </c>
    </row>
    <row r="10325" spans="1:187" ht="11.25" customHeight="1">
      <c r="A10325" s="1" t="s">
        <v>14534</v>
      </c>
      <c r="B10325" s="1" t="str">
        <f ca="1">IFERROR(__xludf.DUMMYFUNCTION("GOOGLETRANSLATE(A10325, ""en"", ""fr"")"),"Prendre # 4")</f>
        <v>Prendre # 4</v>
      </c>
      <c r="C10325" s="1" t="s">
        <v>192</v>
      </c>
      <c r="BW10325" s="1" t="s">
        <v>71</v>
      </c>
      <c r="DN10325" s="1" t="s">
        <v>114</v>
      </c>
      <c r="GD10325" s="1" t="s">
        <v>189</v>
      </c>
      <c r="GE10325" s="1" t="s">
        <v>14535</v>
      </c>
    </row>
    <row r="10326" spans="1:187" ht="11.25" customHeight="1">
      <c r="A10326" s="1" t="s">
        <v>14536</v>
      </c>
      <c r="B10326" s="1" t="str">
        <f ca="1">IFERROR(__xludf.DUMMYFUNCTION("GOOGLETRANSLATE(A10326, ""en"", ""fr"")"),"Prendre # 5")</f>
        <v>Prendre # 5</v>
      </c>
      <c r="C10326" s="1" t="s">
        <v>192</v>
      </c>
      <c r="J10326" s="1" t="s">
        <v>6</v>
      </c>
      <c r="N10326" s="1" t="s">
        <v>10</v>
      </c>
      <c r="U10326" s="1" t="s">
        <v>17</v>
      </c>
      <c r="GD10326" s="1" t="s">
        <v>202</v>
      </c>
      <c r="GE10326" s="1" t="s">
        <v>14537</v>
      </c>
    </row>
    <row r="10327" spans="1:187" ht="11.25" customHeight="1">
      <c r="A10327" s="1" t="s">
        <v>14538</v>
      </c>
      <c r="B10327" s="1" t="str">
        <f ca="1">IFERROR(__xludf.DUMMYFUNCTION("GOOGLETRANSLATE(A10327, ""en"", ""fr"")"),"Prendre # 6")</f>
        <v>Prendre # 6</v>
      </c>
      <c r="C10327" s="1" t="s">
        <v>192</v>
      </c>
      <c r="J10327" s="1" t="s">
        <v>6</v>
      </c>
      <c r="K10327" s="1" t="s">
        <v>7</v>
      </c>
      <c r="N10327" s="1" t="s">
        <v>10</v>
      </c>
      <c r="AN10327" s="1" t="s">
        <v>36</v>
      </c>
      <c r="DN10327" s="1" t="s">
        <v>114</v>
      </c>
      <c r="GD10327" s="1" t="s">
        <v>189</v>
      </c>
      <c r="GE10327" s="1" t="s">
        <v>14539</v>
      </c>
    </row>
    <row r="10328" spans="1:187" ht="11.25" customHeight="1">
      <c r="A10328" s="1" t="s">
        <v>14540</v>
      </c>
      <c r="B10328" s="1" t="str">
        <f ca="1">IFERROR(__xludf.DUMMYFUNCTION("GOOGLETRANSLATE(A10328, ""en"", ""fr"")"),"Prendre # 7")</f>
        <v>Prendre # 7</v>
      </c>
      <c r="C10328" s="1" t="s">
        <v>192</v>
      </c>
      <c r="G10328" s="1" t="s">
        <v>3</v>
      </c>
      <c r="J10328" s="1" t="s">
        <v>6</v>
      </c>
      <c r="K10328" s="1" t="s">
        <v>7</v>
      </c>
      <c r="N10328" s="1" t="s">
        <v>10</v>
      </c>
      <c r="AN10328" s="1" t="s">
        <v>36</v>
      </c>
      <c r="DN10328" s="1" t="s">
        <v>114</v>
      </c>
      <c r="GD10328" s="1" t="s">
        <v>189</v>
      </c>
      <c r="GE10328" s="1" t="s">
        <v>14541</v>
      </c>
    </row>
    <row r="10329" spans="1:187" ht="11.25" customHeight="1">
      <c r="A10329" s="1" t="s">
        <v>14542</v>
      </c>
      <c r="B10329" s="1" t="str">
        <f ca="1">IFERROR(__xludf.DUMMYFUNCTION("GOOGLETRANSLATE(A10329, ""en"", ""fr"")"),"Prendre # 8")</f>
        <v>Prendre # 8</v>
      </c>
      <c r="C10329" s="1" t="s">
        <v>192</v>
      </c>
      <c r="J10329" s="1" t="s">
        <v>6</v>
      </c>
      <c r="K10329" s="1" t="s">
        <v>7</v>
      </c>
      <c r="N10329" s="1" t="s">
        <v>10</v>
      </c>
      <c r="AN10329" s="1" t="s">
        <v>36</v>
      </c>
      <c r="DN10329" s="1" t="s">
        <v>114</v>
      </c>
      <c r="GD10329" s="1" t="s">
        <v>189</v>
      </c>
      <c r="GE10329" s="1" t="s">
        <v>14543</v>
      </c>
    </row>
    <row r="10330" spans="1:187" ht="11.25" customHeight="1">
      <c r="A10330" s="1" t="s">
        <v>14544</v>
      </c>
      <c r="B10330" s="1" t="str">
        <f ca="1">IFERROR(__xludf.DUMMYFUNCTION("GOOGLETRANSLATE(A10330, ""en"", ""fr"")"),"Prendre # 9")</f>
        <v>Prendre # 9</v>
      </c>
      <c r="C10330" s="1" t="s">
        <v>192</v>
      </c>
      <c r="G10330" s="1" t="s">
        <v>3</v>
      </c>
      <c r="AN10330" s="1" t="s">
        <v>36</v>
      </c>
      <c r="DN10330" s="1" t="s">
        <v>114</v>
      </c>
      <c r="GD10330" s="1" t="s">
        <v>189</v>
      </c>
      <c r="GE10330" s="1" t="s">
        <v>14545</v>
      </c>
    </row>
    <row r="10331" spans="1:187" ht="11.25" customHeight="1">
      <c r="A10331" s="1" t="s">
        <v>14546</v>
      </c>
      <c r="B10331" s="1" t="str">
        <f ca="1">IFERROR(__xludf.DUMMYFUNCTION("GOOGLETRANSLATE(A10331, ""en"", ""fr"")"),"Prendre # _10")</f>
        <v>Prendre # _10</v>
      </c>
      <c r="C10331" s="1" t="s">
        <v>192</v>
      </c>
      <c r="N10331" s="1" t="s">
        <v>10</v>
      </c>
      <c r="BV10331" s="1" t="s">
        <v>70</v>
      </c>
      <c r="DN10331" s="1" t="s">
        <v>114</v>
      </c>
      <c r="GD10331" s="1" t="s">
        <v>189</v>
      </c>
      <c r="GE10331" s="1" t="s">
        <v>14547</v>
      </c>
    </row>
    <row r="10332" spans="1:187" ht="11.25" customHeight="1">
      <c r="A10332" s="1" t="s">
        <v>14548</v>
      </c>
      <c r="B10332" s="1" t="str">
        <f ca="1">IFERROR(__xludf.DUMMYFUNCTION("GOOGLETRANSLATE(A10332, ""en"", ""fr"")"),"Prendre # _11")</f>
        <v>Prendre # _11</v>
      </c>
      <c r="C10332" s="1" t="s">
        <v>192</v>
      </c>
      <c r="N10332" s="1" t="s">
        <v>10</v>
      </c>
      <c r="BP10332" s="1" t="s">
        <v>64</v>
      </c>
      <c r="DN10332" s="1" t="s">
        <v>114</v>
      </c>
      <c r="GD10332" s="1" t="s">
        <v>189</v>
      </c>
      <c r="GE10332" s="1" t="s">
        <v>14549</v>
      </c>
    </row>
    <row r="10333" spans="1:187" ht="11.25" customHeight="1">
      <c r="A10333" s="1" t="s">
        <v>14550</v>
      </c>
      <c r="B10333" s="1" t="str">
        <f ca="1">IFERROR(__xludf.DUMMYFUNCTION("GOOGLETRANSLATE(A10333, ""en"", ""fr"")"),"Prendre # _12")</f>
        <v>Prendre # _12</v>
      </c>
      <c r="C10333" s="1" t="s">
        <v>192</v>
      </c>
      <c r="GD10333" s="1" t="s">
        <v>225</v>
      </c>
      <c r="GE10333" s="1" t="s">
        <v>14551</v>
      </c>
    </row>
    <row r="10334" spans="1:187" ht="11.25" customHeight="1">
      <c r="A10334" s="1" t="s">
        <v>14552</v>
      </c>
      <c r="B10334" s="1" t="str">
        <f ca="1">IFERROR(__xludf.DUMMYFUNCTION("GOOGLETRANSLATE(A10334, ""en"", ""fr"")"),"Prendre # _13")</f>
        <v>Prendre # _13</v>
      </c>
      <c r="C10334" s="1" t="s">
        <v>192</v>
      </c>
      <c r="GD10334" s="1" t="s">
        <v>225</v>
      </c>
      <c r="GE10334" s="1" t="s">
        <v>14553</v>
      </c>
    </row>
    <row r="10335" spans="1:187" ht="11.25" customHeight="1">
      <c r="A10335" s="1" t="s">
        <v>14554</v>
      </c>
      <c r="B10335" s="1" t="str">
        <f ca="1">IFERROR(__xludf.DUMMYFUNCTION("GOOGLETRANSLATE(A10335, ""en"", ""fr"")"),"Pris n ° 1")</f>
        <v>Pris n ° 1</v>
      </c>
      <c r="C10335" s="1" t="s">
        <v>192</v>
      </c>
      <c r="GD10335" s="1" t="s">
        <v>1085</v>
      </c>
      <c r="GE10335" s="1" t="s">
        <v>190</v>
      </c>
    </row>
    <row r="10336" spans="1:187" ht="11.25" customHeight="1">
      <c r="A10336" s="1" t="s">
        <v>14555</v>
      </c>
      <c r="B10336" s="1" t="str">
        <f ca="1">IFERROR(__xludf.DUMMYFUNCTION("GOOGLETRANSLATE(A10336, ""en"", ""fr"")"),"CONTE")</f>
        <v>CONTE</v>
      </c>
      <c r="C10336" s="1" t="s">
        <v>185</v>
      </c>
      <c r="AD10336" s="1" t="s">
        <v>26</v>
      </c>
      <c r="BK10336" s="1" t="s">
        <v>59</v>
      </c>
      <c r="BL10336" s="1" t="s">
        <v>60</v>
      </c>
      <c r="GC10336" s="1" t="s">
        <v>181</v>
      </c>
      <c r="GD10336" s="1" t="s">
        <v>193</v>
      </c>
      <c r="GE10336" s="1" t="s">
        <v>190</v>
      </c>
    </row>
    <row r="10337" spans="1:187" ht="11.25" customHeight="1">
      <c r="A10337" s="1" t="s">
        <v>14556</v>
      </c>
      <c r="B10337" s="1" t="str">
        <f ca="1">IFERROR(__xludf.DUMMYFUNCTION("GOOGLETRANSLATE(A10337, ""en"", ""fr"")"),"TALENT")</f>
        <v>TALENT</v>
      </c>
      <c r="C10337" s="1" t="s">
        <v>185</v>
      </c>
      <c r="D10337" s="1" t="s">
        <v>16612</v>
      </c>
      <c r="F10337" s="1" t="s">
        <v>2</v>
      </c>
      <c r="J10337" s="1" t="s">
        <v>6</v>
      </c>
      <c r="U10337" s="1" t="s">
        <v>17</v>
      </c>
      <c r="CP10337" s="1" t="s">
        <v>90</v>
      </c>
      <c r="CQ10337" s="1" t="s">
        <v>91</v>
      </c>
      <c r="FL10337" s="1" t="s">
        <v>164</v>
      </c>
      <c r="FM10337" s="1" t="s">
        <v>418</v>
      </c>
      <c r="GD10337" s="1" t="s">
        <v>193</v>
      </c>
      <c r="GE10337" s="1" t="s">
        <v>190</v>
      </c>
    </row>
    <row r="10338" spans="1:187" ht="11.25" customHeight="1">
      <c r="A10338" s="1" t="s">
        <v>14557</v>
      </c>
      <c r="B10338" s="1" t="str">
        <f ca="1">IFERROR(__xludf.DUMMYFUNCTION("GOOGLETRANSLATE(A10338, ""en"", ""fr"")"),"TALENTUEUX")</f>
        <v>TALENTUEUX</v>
      </c>
      <c r="C10338" s="1" t="s">
        <v>192</v>
      </c>
      <c r="D10338" s="1" t="s">
        <v>16612</v>
      </c>
      <c r="J10338" s="1" t="s">
        <v>6</v>
      </c>
      <c r="U10338" s="1" t="s">
        <v>17</v>
      </c>
      <c r="CH10338" s="1" t="s">
        <v>82</v>
      </c>
      <c r="DR10338" s="1" t="s">
        <v>118</v>
      </c>
      <c r="GD10338" s="1" t="s">
        <v>202</v>
      </c>
      <c r="GE10338" s="1" t="s">
        <v>190</v>
      </c>
    </row>
    <row r="10339" spans="1:187" ht="11.25" customHeight="1">
      <c r="A10339" s="1" t="s">
        <v>14558</v>
      </c>
      <c r="B10339" s="1" t="str">
        <f ca="1">IFERROR(__xludf.DUMMYFUNCTION("GOOGLETRANSLATE(A10339, ""en"", ""fr"")"),"Parler n ° 1")</f>
        <v>Parler n ° 1</v>
      </c>
      <c r="C10339" s="1" t="s">
        <v>185</v>
      </c>
      <c r="N10339" s="1" t="s">
        <v>10</v>
      </c>
      <c r="BK10339" s="1" t="s">
        <v>59</v>
      </c>
      <c r="DO10339" s="1" t="s">
        <v>115</v>
      </c>
      <c r="FD10339" s="1" t="s">
        <v>156</v>
      </c>
      <c r="FI10339" s="1" t="s">
        <v>161</v>
      </c>
      <c r="GD10339" s="1" t="s">
        <v>189</v>
      </c>
      <c r="GE10339" s="1" t="s">
        <v>14559</v>
      </c>
    </row>
    <row r="10340" spans="1:187" ht="11.25" customHeight="1">
      <c r="A10340" s="1" t="s">
        <v>14560</v>
      </c>
      <c r="B10340" s="1" t="str">
        <f ca="1">IFERROR(__xludf.DUMMYFUNCTION("GOOGLETRANSLATE(A10340, ""en"", ""fr"")"),"Parler n ° 2")</f>
        <v>Parler n ° 2</v>
      </c>
      <c r="C10340" s="1" t="s">
        <v>185</v>
      </c>
      <c r="N10340" s="1" t="s">
        <v>10</v>
      </c>
      <c r="BK10340" s="1" t="s">
        <v>59</v>
      </c>
      <c r="BL10340" s="1" t="s">
        <v>60</v>
      </c>
      <c r="FH10340" s="1" t="s">
        <v>160</v>
      </c>
      <c r="FI10340" s="1" t="s">
        <v>161</v>
      </c>
      <c r="GC10340" s="1" t="s">
        <v>181</v>
      </c>
      <c r="GD10340" s="1" t="s">
        <v>193</v>
      </c>
      <c r="GE10340" s="1" t="s">
        <v>14561</v>
      </c>
    </row>
    <row r="10341" spans="1:187" ht="11.25" customHeight="1">
      <c r="A10341" s="1" t="s">
        <v>14562</v>
      </c>
      <c r="B10341" s="1" t="str">
        <f ca="1">IFERROR(__xludf.DUMMYFUNCTION("GOOGLETRANSLATE(A10341, ""en"", ""fr"")"),"Talk # 3")</f>
        <v>Talk # 3</v>
      </c>
      <c r="C10341" s="1" t="s">
        <v>185</v>
      </c>
      <c r="N10341" s="1" t="s">
        <v>10</v>
      </c>
      <c r="BK10341" s="1" t="s">
        <v>59</v>
      </c>
      <c r="BL10341" s="1" t="s">
        <v>60</v>
      </c>
      <c r="FH10341" s="1" t="s">
        <v>160</v>
      </c>
      <c r="FI10341" s="1" t="s">
        <v>161</v>
      </c>
      <c r="GC10341" s="1" t="s">
        <v>181</v>
      </c>
      <c r="GD10341" s="1" t="s">
        <v>193</v>
      </c>
      <c r="GE10341" s="1" t="s">
        <v>14563</v>
      </c>
    </row>
    <row r="10342" spans="1:187" ht="11.25" customHeight="1">
      <c r="A10342" s="1" t="s">
        <v>14564</v>
      </c>
      <c r="B10342" s="1" t="str">
        <f ca="1">IFERROR(__xludf.DUMMYFUNCTION("GOOGLETRANSLATE(A10342, ""en"", ""fr"")"),"Talk # 4")</f>
        <v>Talk # 4</v>
      </c>
      <c r="C10342" s="1" t="s">
        <v>185</v>
      </c>
      <c r="GD10342" s="1" t="s">
        <v>225</v>
      </c>
      <c r="GE10342" s="1" t="s">
        <v>14565</v>
      </c>
    </row>
    <row r="10343" spans="1:187" ht="11.25" customHeight="1">
      <c r="A10343" s="1" t="s">
        <v>14566</v>
      </c>
      <c r="B10343" s="1" t="str">
        <f ca="1">IFERROR(__xludf.DUMMYFUNCTION("GOOGLETRANSLATE(A10343, ""en"", ""fr"")"),"PARLEUR")</f>
        <v>PARLEUR</v>
      </c>
      <c r="C10343" s="1" t="s">
        <v>185</v>
      </c>
      <c r="N10343" s="1" t="s">
        <v>10</v>
      </c>
      <c r="AJ10343" s="1" t="s">
        <v>32</v>
      </c>
      <c r="AT10343" s="1" t="s">
        <v>42</v>
      </c>
      <c r="GD10343" s="1" t="s">
        <v>193</v>
      </c>
      <c r="GE10343" s="1" t="s">
        <v>190</v>
      </c>
    </row>
    <row r="10344" spans="1:187" ht="11.25" customHeight="1">
      <c r="A10344" s="1" t="s">
        <v>14567</v>
      </c>
      <c r="B10344" s="1" t="str">
        <f ca="1">IFERROR(__xludf.DUMMYFUNCTION("GOOGLETRANSLATE(A10344, ""en"", ""fr"")"),"GRAND")</f>
        <v>GRAND</v>
      </c>
      <c r="C10344" s="1" t="s">
        <v>185</v>
      </c>
      <c r="J10344" s="1" t="s">
        <v>6</v>
      </c>
      <c r="DA10344" s="1" t="s">
        <v>101</v>
      </c>
      <c r="DC10344" s="1" t="s">
        <v>103</v>
      </c>
      <c r="GB10344" s="1" t="s">
        <v>180</v>
      </c>
      <c r="GD10344" s="1" t="s">
        <v>202</v>
      </c>
      <c r="GE10344" s="1" t="s">
        <v>190</v>
      </c>
    </row>
    <row r="10345" spans="1:187" ht="11.25" customHeight="1">
      <c r="A10345" s="1" t="s">
        <v>14568</v>
      </c>
      <c r="B10345" s="1" t="str">
        <f ca="1">IFERROR(__xludf.DUMMYFUNCTION("GOOGLETRANSLATE(A10345, ""en"", ""fr"")"),"ALTÉRER")</f>
        <v>ALTÉRER</v>
      </c>
      <c r="C10345" s="1" t="s">
        <v>192</v>
      </c>
      <c r="E10345" s="1" t="s">
        <v>16613</v>
      </c>
      <c r="I10345" s="1" t="s">
        <v>5</v>
      </c>
      <c r="N10345" s="1" t="s">
        <v>10</v>
      </c>
      <c r="DN10345" s="1" t="s">
        <v>114</v>
      </c>
      <c r="GD10345" s="1" t="s">
        <v>189</v>
      </c>
      <c r="GE10345" s="1" t="s">
        <v>190</v>
      </c>
    </row>
    <row r="10346" spans="1:187" ht="11.25" customHeight="1">
      <c r="A10346" s="1" t="s">
        <v>14569</v>
      </c>
      <c r="B10346" s="1" t="str">
        <f ca="1">IFERROR(__xludf.DUMMYFUNCTION("GOOGLETRANSLATE(A10346, ""en"", ""fr"")"),"Tanganyika")</f>
        <v>Tanganyika</v>
      </c>
      <c r="C10346" s="1" t="s">
        <v>196</v>
      </c>
      <c r="FU10346" s="1" t="s">
        <v>173</v>
      </c>
      <c r="GD10346" s="1" t="s">
        <v>545</v>
      </c>
    </row>
    <row r="10347" spans="1:187" ht="11.25" customHeight="1">
      <c r="A10347" s="1" t="s">
        <v>14570</v>
      </c>
      <c r="B10347" s="1" t="str">
        <f ca="1">IFERROR(__xludf.DUMMYFUNCTION("GOOGLETRANSLATE(A10347, ""en"", ""fr"")"),"TANGIBLE")</f>
        <v>TANGIBLE</v>
      </c>
      <c r="C10347" s="1" t="s">
        <v>185</v>
      </c>
      <c r="CR10347" s="1" t="s">
        <v>92</v>
      </c>
      <c r="FH10347" s="1" t="s">
        <v>160</v>
      </c>
      <c r="FI10347" s="1" t="s">
        <v>161</v>
      </c>
      <c r="GD10347" s="1" t="s">
        <v>202</v>
      </c>
      <c r="GE10347" s="1" t="s">
        <v>190</v>
      </c>
    </row>
    <row r="10348" spans="1:187" ht="11.25" customHeight="1">
      <c r="A10348" s="1" t="s">
        <v>14571</v>
      </c>
      <c r="B10348" s="1" t="str">
        <f ca="1">IFERROR(__xludf.DUMMYFUNCTION("GOOGLETRANSLATE(A10348, ""en"", ""fr"")"),"ENCHEVÊTREMENT")</f>
        <v>ENCHEVÊTREMENT</v>
      </c>
      <c r="C10348" s="1" t="s">
        <v>185</v>
      </c>
      <c r="DD10348" s="1" t="s">
        <v>104</v>
      </c>
      <c r="GD10348" s="1" t="s">
        <v>193</v>
      </c>
      <c r="GE10348" s="1" t="s">
        <v>190</v>
      </c>
    </row>
    <row r="10349" spans="1:187" ht="11.25" customHeight="1">
      <c r="A10349" s="1" t="s">
        <v>14572</v>
      </c>
      <c r="B10349" s="1" t="str">
        <f ca="1">IFERROR(__xludf.DUMMYFUNCTION("GOOGLETRANSLATE(A10349, ""en"", ""fr"")"),"RÉSERVOIR")</f>
        <v>RÉSERVOIR</v>
      </c>
      <c r="C10349" s="1" t="s">
        <v>185</v>
      </c>
      <c r="BC10349" s="1" t="s">
        <v>51</v>
      </c>
      <c r="BF10349" s="1" t="s">
        <v>54</v>
      </c>
      <c r="GD10349" s="1" t="s">
        <v>193</v>
      </c>
      <c r="GE10349" s="1" t="s">
        <v>190</v>
      </c>
    </row>
    <row r="10350" spans="1:187" ht="11.25" customHeight="1">
      <c r="A10350" s="1" t="s">
        <v>14573</v>
      </c>
      <c r="B10350" s="1" t="str">
        <f ca="1">IFERROR(__xludf.DUMMYFUNCTION("GOOGLETRANSLATE(A10350, ""en"", ""fr"")"),"ÉQUIVALENT")</f>
        <v>ÉQUIVALENT</v>
      </c>
      <c r="C10350" s="1" t="s">
        <v>196</v>
      </c>
      <c r="GD10350" s="1" t="s">
        <v>202</v>
      </c>
    </row>
    <row r="10351" spans="1:187" ht="11.25" customHeight="1">
      <c r="A10351" s="1" t="s">
        <v>14574</v>
      </c>
      <c r="B10351" s="1" t="str">
        <f ca="1">IFERROR(__xludf.DUMMYFUNCTION("GOOGLETRANSLATE(A10351, ""en"", ""fr"")"),"COLÈRE")</f>
        <v>COLÈRE</v>
      </c>
      <c r="C10351" s="1" t="s">
        <v>192</v>
      </c>
      <c r="E10351" s="1" t="s">
        <v>16613</v>
      </c>
      <c r="I10351" s="1" t="s">
        <v>5</v>
      </c>
      <c r="BK10351" s="1" t="s">
        <v>59</v>
      </c>
      <c r="CC10351" s="1" t="s">
        <v>77</v>
      </c>
      <c r="GD10351" s="1" t="s">
        <v>193</v>
      </c>
      <c r="GE10351" s="1" t="s">
        <v>190</v>
      </c>
    </row>
    <row r="10352" spans="1:187" ht="11.25" customHeight="1">
      <c r="A10352" s="1" t="s">
        <v>14575</v>
      </c>
      <c r="B10352" s="1" t="str">
        <f ca="1">IFERROR(__xludf.DUMMYFUNCTION("GOOGLETRANSLATE(A10352, ""en"", ""fr"")"),"Tap # 1")</f>
        <v>Tap # 1</v>
      </c>
      <c r="C10352" s="1" t="s">
        <v>185</v>
      </c>
      <c r="BC10352" s="1" t="s">
        <v>51</v>
      </c>
      <c r="BD10352" s="1" t="s">
        <v>52</v>
      </c>
      <c r="GD10352" s="1" t="s">
        <v>193</v>
      </c>
      <c r="GE10352" s="1" t="s">
        <v>190</v>
      </c>
    </row>
    <row r="10353" spans="1:187" ht="11.25" customHeight="1">
      <c r="A10353" s="1" t="s">
        <v>14576</v>
      </c>
      <c r="B10353" s="1" t="str">
        <f ca="1">IFERROR(__xludf.DUMMYFUNCTION("GOOGLETRANSLATE(A10353, ""en"", ""fr"")"),"Tap # 2")</f>
        <v>Tap # 2</v>
      </c>
      <c r="C10353" s="1" t="s">
        <v>185</v>
      </c>
      <c r="DD10353" s="1" t="s">
        <v>104</v>
      </c>
      <c r="DN10353" s="1" t="s">
        <v>114</v>
      </c>
      <c r="GD10353" s="1" t="s">
        <v>189</v>
      </c>
      <c r="GE10353" s="1" t="s">
        <v>190</v>
      </c>
    </row>
    <row r="10354" spans="1:187" ht="11.25" customHeight="1">
      <c r="A10354" s="1" t="s">
        <v>14577</v>
      </c>
      <c r="B10354" s="1" t="str">
        <f ca="1">IFERROR(__xludf.DUMMYFUNCTION("GOOGLETRANSLATE(A10354, ""en"", ""fr"")"),"TARDIF")</f>
        <v>TARDIF</v>
      </c>
      <c r="C10354" s="1" t="s">
        <v>192</v>
      </c>
      <c r="E10354" s="1" t="s">
        <v>16613</v>
      </c>
      <c r="BT10354" s="1" t="s">
        <v>68</v>
      </c>
      <c r="CY10354" s="1" t="s">
        <v>99</v>
      </c>
      <c r="DR10354" s="1" t="s">
        <v>118</v>
      </c>
      <c r="GD10354" s="1" t="s">
        <v>202</v>
      </c>
      <c r="GE10354" s="1" t="s">
        <v>190</v>
      </c>
    </row>
    <row r="10355" spans="1:187" ht="11.25" customHeight="1">
      <c r="A10355" s="1" t="s">
        <v>14578</v>
      </c>
      <c r="B10355" s="1" t="str">
        <f ca="1">IFERROR(__xludf.DUMMYFUNCTION("GOOGLETRANSLATE(A10355, ""en"", ""fr"")"),"CIBLE")</f>
        <v>CIBLE</v>
      </c>
      <c r="C10355" s="1" t="s">
        <v>185</v>
      </c>
      <c r="BO10355" s="1" t="s">
        <v>63</v>
      </c>
      <c r="EC10355" s="1" t="s">
        <v>129</v>
      </c>
      <c r="ED10355" s="1" t="s">
        <v>130</v>
      </c>
      <c r="GD10355" s="1" t="s">
        <v>193</v>
      </c>
      <c r="GE10355" s="1" t="s">
        <v>190</v>
      </c>
    </row>
    <row r="10356" spans="1:187" ht="11.25" customHeight="1">
      <c r="A10356" s="1" t="s">
        <v>14579</v>
      </c>
      <c r="B10356" s="1" t="str">
        <f ca="1">IFERROR(__xludf.DUMMYFUNCTION("GOOGLETRANSLATE(A10356, ""en"", ""fr"")"),"TARIF")</f>
        <v>TARIF</v>
      </c>
      <c r="C10356" s="1" t="s">
        <v>185</v>
      </c>
      <c r="E10356" s="1" t="s">
        <v>16613</v>
      </c>
      <c r="AA10356" s="1" t="s">
        <v>23</v>
      </c>
      <c r="AG10356" s="1" t="s">
        <v>29</v>
      </c>
      <c r="EV10356" s="1" t="s">
        <v>148</v>
      </c>
      <c r="EW10356" s="1" t="s">
        <v>149</v>
      </c>
      <c r="GD10356" s="1" t="s">
        <v>193</v>
      </c>
      <c r="GE10356" s="1" t="s">
        <v>190</v>
      </c>
    </row>
    <row r="10357" spans="1:187" ht="11.25" customHeight="1">
      <c r="A10357" s="1" t="s">
        <v>14580</v>
      </c>
      <c r="B10357" s="1" t="str">
        <f ca="1">IFERROR(__xludf.DUMMYFUNCTION("GOOGLETRANSLATE(A10357, ""en"", ""fr"")"),"TÂCHE")</f>
        <v>TÂCHE</v>
      </c>
      <c r="C10357" s="1" t="s">
        <v>185</v>
      </c>
      <c r="N10357" s="1" t="s">
        <v>10</v>
      </c>
      <c r="BQ10357" s="1" t="s">
        <v>65</v>
      </c>
      <c r="FL10357" s="1" t="s">
        <v>164</v>
      </c>
      <c r="FM10357" s="1" t="s">
        <v>418</v>
      </c>
      <c r="GD10357" s="1" t="s">
        <v>193</v>
      </c>
      <c r="GE10357" s="1" t="s">
        <v>14581</v>
      </c>
    </row>
    <row r="10358" spans="1:187" ht="11.25" customHeight="1">
      <c r="A10358" s="1" t="s">
        <v>14582</v>
      </c>
      <c r="B10358" s="1" t="str">
        <f ca="1">IFERROR(__xludf.DUMMYFUNCTION("GOOGLETRANSLATE(A10358, ""en"", ""fr"")"),"Taste n ° 1")</f>
        <v>Taste n ° 1</v>
      </c>
      <c r="C10358" s="1" t="s">
        <v>185</v>
      </c>
      <c r="CR10358" s="1" t="s">
        <v>92</v>
      </c>
      <c r="GD10358" s="1" t="s">
        <v>193</v>
      </c>
      <c r="GE10358" s="1" t="s">
        <v>14583</v>
      </c>
    </row>
    <row r="10359" spans="1:187" ht="11.25" customHeight="1">
      <c r="A10359" s="1" t="s">
        <v>14584</v>
      </c>
      <c r="B10359" s="1" t="str">
        <f ca="1">IFERROR(__xludf.DUMMYFUNCTION("GOOGLETRANSLATE(A10359, ""en"", ""fr"")"),"Taste n ° 2")</f>
        <v>Taste n ° 2</v>
      </c>
      <c r="C10359" s="1" t="s">
        <v>185</v>
      </c>
      <c r="D10359" s="1" t="s">
        <v>16612</v>
      </c>
      <c r="F10359" s="1" t="s">
        <v>2</v>
      </c>
      <c r="U10359" s="1" t="s">
        <v>17</v>
      </c>
      <c r="AD10359" s="1" t="s">
        <v>26</v>
      </c>
      <c r="GD10359" s="1" t="s">
        <v>193</v>
      </c>
      <c r="GE10359" s="1" t="s">
        <v>14585</v>
      </c>
    </row>
    <row r="10360" spans="1:187" ht="11.25" customHeight="1">
      <c r="A10360" s="1" t="s">
        <v>14586</v>
      </c>
      <c r="B10360" s="1" t="str">
        <f ca="1">IFERROR(__xludf.DUMMYFUNCTION("GOOGLETRANSLATE(A10360, ""en"", ""fr"")"),"Taste # 3")</f>
        <v>Taste # 3</v>
      </c>
      <c r="C10360" s="1" t="s">
        <v>185</v>
      </c>
      <c r="O10360" s="1" t="s">
        <v>11</v>
      </c>
      <c r="CK10360" s="1" t="s">
        <v>85</v>
      </c>
      <c r="DN10360" s="1" t="s">
        <v>114</v>
      </c>
      <c r="GD10360" s="1" t="s">
        <v>189</v>
      </c>
      <c r="GE10360" s="1" t="s">
        <v>14587</v>
      </c>
    </row>
    <row r="10361" spans="1:187" ht="11.25" customHeight="1">
      <c r="A10361" s="1" t="s">
        <v>14588</v>
      </c>
      <c r="B10361" s="1" t="str">
        <f ca="1">IFERROR(__xludf.DUMMYFUNCTION("GOOGLETRANSLATE(A10361, ""en"", ""fr"")"),"Taste # 4")</f>
        <v>Taste # 4</v>
      </c>
      <c r="C10361" s="1" t="s">
        <v>185</v>
      </c>
      <c r="CK10361" s="1" t="s">
        <v>85</v>
      </c>
      <c r="DP10361" s="1" t="s">
        <v>116</v>
      </c>
      <c r="GD10361" s="1" t="s">
        <v>189</v>
      </c>
      <c r="GE10361" s="1" t="s">
        <v>14589</v>
      </c>
    </row>
    <row r="10362" spans="1:187" ht="11.25" customHeight="1">
      <c r="A10362" s="1" t="s">
        <v>14590</v>
      </c>
      <c r="B10362" s="1" t="str">
        <f ca="1">IFERROR(__xludf.DUMMYFUNCTION("GOOGLETRANSLATE(A10362, ""en"", ""fr"")"),"LAMBEAU")</f>
        <v>LAMBEAU</v>
      </c>
      <c r="C10362" s="1" t="s">
        <v>192</v>
      </c>
      <c r="E10362" s="1" t="s">
        <v>16613</v>
      </c>
      <c r="N10362" s="1" t="s">
        <v>10</v>
      </c>
      <c r="BY10362" s="1" t="s">
        <v>73</v>
      </c>
      <c r="DN10362" s="1" t="s">
        <v>114</v>
      </c>
      <c r="GD10362" s="1" t="s">
        <v>189</v>
      </c>
      <c r="GE10362" s="1" t="s">
        <v>190</v>
      </c>
    </row>
    <row r="10363" spans="1:187" ht="11.25" customHeight="1">
      <c r="A10363" s="1" t="s">
        <v>14591</v>
      </c>
      <c r="B10363" s="1" t="str">
        <f ca="1">IFERROR(__xludf.DUMMYFUNCTION("GOOGLETRANSLATE(A10363, ""en"", ""fr"")"),"ENSEIGNÉ")</f>
        <v>ENSEIGNÉ</v>
      </c>
      <c r="C10363" s="1" t="s">
        <v>185</v>
      </c>
      <c r="K10363" s="1" t="s">
        <v>7</v>
      </c>
      <c r="N10363" s="1" t="s">
        <v>10</v>
      </c>
      <c r="Y10363" s="1" t="s">
        <v>21</v>
      </c>
      <c r="BK10363" s="1" t="s">
        <v>59</v>
      </c>
      <c r="DN10363" s="1" t="s">
        <v>114</v>
      </c>
      <c r="FD10363" s="1" t="s">
        <v>156</v>
      </c>
      <c r="FI10363" s="1" t="s">
        <v>161</v>
      </c>
      <c r="GD10363" s="1" t="s">
        <v>1076</v>
      </c>
      <c r="GE10363" s="1" t="s">
        <v>14592</v>
      </c>
    </row>
    <row r="10364" spans="1:187" ht="11.25" customHeight="1">
      <c r="A10364" s="1" t="s">
        <v>14593</v>
      </c>
      <c r="B10364" s="1" t="str">
        <f ca="1">IFERROR(__xludf.DUMMYFUNCTION("GOOGLETRANSLATE(A10364, ""en"", ""fr"")"),"Taunt # 1")</f>
        <v>Taunt # 1</v>
      </c>
      <c r="C10364" s="1" t="s">
        <v>185</v>
      </c>
      <c r="E10364" s="1" t="s">
        <v>16613</v>
      </c>
      <c r="H10364" s="1" t="s">
        <v>4</v>
      </c>
      <c r="I10364" s="1" t="s">
        <v>5</v>
      </c>
      <c r="N10364" s="1" t="s">
        <v>10</v>
      </c>
      <c r="BK10364" s="1" t="s">
        <v>59</v>
      </c>
      <c r="BL10364" s="1" t="s">
        <v>60</v>
      </c>
      <c r="DW10364" s="1" t="s">
        <v>123</v>
      </c>
      <c r="ED10364" s="1" t="s">
        <v>130</v>
      </c>
      <c r="GC10364" s="1" t="s">
        <v>181</v>
      </c>
      <c r="GD10364" s="1" t="s">
        <v>193</v>
      </c>
      <c r="GE10364" s="1" t="s">
        <v>190</v>
      </c>
    </row>
    <row r="10365" spans="1:187" ht="11.25" customHeight="1">
      <c r="A10365" s="1" t="s">
        <v>14594</v>
      </c>
      <c r="B10365" s="1" t="str">
        <f ca="1">IFERROR(__xludf.DUMMYFUNCTION("GOOGLETRANSLATE(A10365, ""en"", ""fr"")"),"Raillerie n ° 2")</f>
        <v>Raillerie n ° 2</v>
      </c>
      <c r="C10365" s="1" t="s">
        <v>185</v>
      </c>
      <c r="E10365" s="1" t="s">
        <v>16613</v>
      </c>
      <c r="H10365" s="1" t="s">
        <v>4</v>
      </c>
      <c r="I10365" s="1" t="s">
        <v>5</v>
      </c>
      <c r="N10365" s="1" t="s">
        <v>10</v>
      </c>
      <c r="BK10365" s="1" t="s">
        <v>59</v>
      </c>
      <c r="DN10365" s="1" t="s">
        <v>114</v>
      </c>
      <c r="DW10365" s="1" t="s">
        <v>123</v>
      </c>
      <c r="ED10365" s="1" t="s">
        <v>130</v>
      </c>
      <c r="GD10365" s="1" t="s">
        <v>189</v>
      </c>
      <c r="GE10365" s="1" t="s">
        <v>190</v>
      </c>
    </row>
    <row r="10366" spans="1:187" ht="11.25" customHeight="1">
      <c r="A10366" s="1" t="s">
        <v>14595</v>
      </c>
      <c r="B10366" s="1" t="str">
        <f ca="1">IFERROR(__xludf.DUMMYFUNCTION("GOOGLETRANSLATE(A10366, ""en"", ""fr"")"),"TENDU")</f>
        <v>TENDU</v>
      </c>
      <c r="C10366" s="1" t="s">
        <v>185</v>
      </c>
      <c r="J10366" s="1" t="s">
        <v>6</v>
      </c>
      <c r="CR10366" s="1" t="s">
        <v>92</v>
      </c>
      <c r="GD10366" s="1" t="s">
        <v>202</v>
      </c>
      <c r="GE10366" s="1" t="s">
        <v>190</v>
      </c>
    </row>
    <row r="10367" spans="1:187" ht="11.25" customHeight="1">
      <c r="A10367" s="1" t="s">
        <v>14596</v>
      </c>
      <c r="B10367" s="1" t="str">
        <f ca="1">IFERROR(__xludf.DUMMYFUNCTION("GOOGLETRANSLATE(A10367, ""en"", ""fr"")"),"Taxe n ° 1")</f>
        <v>Taxe n ° 1</v>
      </c>
      <c r="C10367" s="1" t="s">
        <v>185</v>
      </c>
      <c r="AA10367" s="1" t="s">
        <v>23</v>
      </c>
      <c r="AC10367" s="1" t="s">
        <v>25</v>
      </c>
      <c r="AH10367" s="1" t="s">
        <v>30</v>
      </c>
      <c r="BQ10367" s="1" t="s">
        <v>65</v>
      </c>
      <c r="EV10367" s="1" t="s">
        <v>148</v>
      </c>
      <c r="EW10367" s="1" t="s">
        <v>149</v>
      </c>
      <c r="GD10367" s="1" t="s">
        <v>193</v>
      </c>
      <c r="GE10367" s="1" t="s">
        <v>14597</v>
      </c>
    </row>
    <row r="10368" spans="1:187" ht="11.25" customHeight="1">
      <c r="A10368" s="1" t="s">
        <v>14598</v>
      </c>
      <c r="B10368" s="1" t="str">
        <f ca="1">IFERROR(__xludf.DUMMYFUNCTION("GOOGLETRANSLATE(A10368, ""en"", ""fr"")"),"Taxe n ° 2")</f>
        <v>Taxe n ° 2</v>
      </c>
      <c r="C10368" s="1" t="s">
        <v>185</v>
      </c>
      <c r="E10368" s="1" t="s">
        <v>16613</v>
      </c>
      <c r="H10368" s="1" t="s">
        <v>4</v>
      </c>
      <c r="I10368" s="1" t="s">
        <v>5</v>
      </c>
      <c r="AN10368" s="1" t="s">
        <v>36</v>
      </c>
      <c r="DN10368" s="1" t="s">
        <v>114</v>
      </c>
      <c r="FO10368" s="1" t="s">
        <v>167</v>
      </c>
      <c r="GD10368" s="1" t="s">
        <v>189</v>
      </c>
      <c r="GE10368" s="1" t="s">
        <v>14599</v>
      </c>
    </row>
    <row r="10369" spans="1:187" ht="11.25" customHeight="1">
      <c r="A10369" s="1" t="s">
        <v>14600</v>
      </c>
      <c r="B10369" s="1" t="str">
        <f ca="1">IFERROR(__xludf.DUMMYFUNCTION("GOOGLETRANSLATE(A10369, ""en"", ""fr"")"),"Taxe n ° 3")</f>
        <v>Taxe n ° 3</v>
      </c>
      <c r="C10369" s="1" t="s">
        <v>185</v>
      </c>
      <c r="AA10369" s="1" t="s">
        <v>23</v>
      </c>
      <c r="AC10369" s="1" t="s">
        <v>25</v>
      </c>
      <c r="AH10369" s="1" t="s">
        <v>30</v>
      </c>
      <c r="BK10369" s="1" t="s">
        <v>59</v>
      </c>
      <c r="BL10369" s="1" t="s">
        <v>60</v>
      </c>
      <c r="EV10369" s="1" t="s">
        <v>148</v>
      </c>
      <c r="EW10369" s="1" t="s">
        <v>149</v>
      </c>
      <c r="GC10369" s="1" t="s">
        <v>181</v>
      </c>
      <c r="GD10369" s="1" t="s">
        <v>193</v>
      </c>
      <c r="GE10369" s="1" t="s">
        <v>14601</v>
      </c>
    </row>
    <row r="10370" spans="1:187" ht="11.25" customHeight="1">
      <c r="A10370" s="1" t="s">
        <v>14602</v>
      </c>
      <c r="B10370" s="1" t="str">
        <f ca="1">IFERROR(__xludf.DUMMYFUNCTION("GOOGLETRANSLATE(A10370, ""en"", ""fr"")"),"Taxe n ° 4")</f>
        <v>Taxe n ° 4</v>
      </c>
      <c r="C10370" s="1" t="s">
        <v>185</v>
      </c>
      <c r="AA10370" s="1" t="s">
        <v>23</v>
      </c>
      <c r="AC10370" s="1" t="s">
        <v>25</v>
      </c>
      <c r="AH10370" s="1" t="s">
        <v>30</v>
      </c>
      <c r="BK10370" s="1" t="s">
        <v>59</v>
      </c>
      <c r="BL10370" s="1" t="s">
        <v>60</v>
      </c>
      <c r="EV10370" s="1" t="s">
        <v>148</v>
      </c>
      <c r="EW10370" s="1" t="s">
        <v>149</v>
      </c>
      <c r="GC10370" s="1" t="s">
        <v>181</v>
      </c>
      <c r="GD10370" s="1" t="s">
        <v>193</v>
      </c>
      <c r="GE10370" s="1" t="s">
        <v>14603</v>
      </c>
    </row>
    <row r="10371" spans="1:187" ht="11.25" customHeight="1">
      <c r="A10371" s="1" t="s">
        <v>14604</v>
      </c>
      <c r="B10371" s="1" t="str">
        <f ca="1">IFERROR(__xludf.DUMMYFUNCTION("GOOGLETRANSLATE(A10371, ""en"", ""fr"")"),"IMPOSABLE")</f>
        <v>IMPOSABLE</v>
      </c>
      <c r="C10371" s="1" t="s">
        <v>185</v>
      </c>
      <c r="AA10371" s="1" t="s">
        <v>23</v>
      </c>
      <c r="BQ10371" s="1" t="s">
        <v>65</v>
      </c>
      <c r="EV10371" s="1" t="s">
        <v>148</v>
      </c>
      <c r="EW10371" s="1" t="s">
        <v>149</v>
      </c>
      <c r="GD10371" s="1" t="s">
        <v>202</v>
      </c>
      <c r="GE10371" s="1" t="s">
        <v>190</v>
      </c>
    </row>
    <row r="10372" spans="1:187" ht="11.25" customHeight="1">
      <c r="A10372" s="1" t="s">
        <v>14605</v>
      </c>
      <c r="B10372" s="1" t="str">
        <f ca="1">IFERROR(__xludf.DUMMYFUNCTION("GOOGLETRANSLATE(A10372, ""en"", ""fr"")"),"IMPOSITION")</f>
        <v>IMPOSITION</v>
      </c>
      <c r="C10372" s="1" t="s">
        <v>185</v>
      </c>
      <c r="AA10372" s="1" t="s">
        <v>23</v>
      </c>
      <c r="AC10372" s="1" t="s">
        <v>25</v>
      </c>
      <c r="AH10372" s="1" t="s">
        <v>30</v>
      </c>
      <c r="BQ10372" s="1" t="s">
        <v>65</v>
      </c>
      <c r="EV10372" s="1" t="s">
        <v>148</v>
      </c>
      <c r="EW10372" s="1" t="s">
        <v>149</v>
      </c>
      <c r="GD10372" s="1" t="s">
        <v>193</v>
      </c>
      <c r="GE10372" s="1" t="s">
        <v>190</v>
      </c>
    </row>
    <row r="10373" spans="1:187" ht="11.25" customHeight="1">
      <c r="A10373" s="1" t="s">
        <v>14606</v>
      </c>
      <c r="B10373" s="1" t="str">
        <f ca="1">IFERROR(__xludf.DUMMYFUNCTION("GOOGLETRANSLATE(A10373, ""en"", ""fr"")"),"TAXI")</f>
        <v>TAXI</v>
      </c>
      <c r="C10373" s="1" t="s">
        <v>185</v>
      </c>
      <c r="BC10373" s="1" t="s">
        <v>51</v>
      </c>
      <c r="BF10373" s="1" t="s">
        <v>54</v>
      </c>
      <c r="GD10373" s="1" t="s">
        <v>193</v>
      </c>
      <c r="GE10373" s="1" t="s">
        <v>190</v>
      </c>
    </row>
    <row r="10374" spans="1:187" ht="11.25" customHeight="1">
      <c r="A10374" s="1" t="s">
        <v>14607</v>
      </c>
      <c r="B10374" s="1" t="str">
        <f ca="1">IFERROR(__xludf.DUMMYFUNCTION("GOOGLETRANSLATE(A10374, ""en"", ""fr"")"),"Contribuable")</f>
        <v>Contribuable</v>
      </c>
      <c r="C10374" s="1" t="s">
        <v>185</v>
      </c>
      <c r="AA10374" s="1" t="s">
        <v>23</v>
      </c>
      <c r="AC10374" s="1" t="s">
        <v>25</v>
      </c>
      <c r="AH10374" s="1" t="s">
        <v>30</v>
      </c>
      <c r="AJ10374" s="1" t="s">
        <v>32</v>
      </c>
      <c r="AT10374" s="1" t="s">
        <v>42</v>
      </c>
      <c r="ET10374" s="1" t="s">
        <v>146</v>
      </c>
      <c r="EW10374" s="1" t="s">
        <v>149</v>
      </c>
      <c r="GD10374" s="1" t="s">
        <v>193</v>
      </c>
      <c r="GE10374" s="1" t="s">
        <v>190</v>
      </c>
    </row>
    <row r="10375" spans="1:187" ht="11.25" customHeight="1">
      <c r="A10375" s="1" t="s">
        <v>14608</v>
      </c>
      <c r="B10375" s="1" t="str">
        <f ca="1">IFERROR(__xludf.DUMMYFUNCTION("GOOGLETRANSLATE(A10375, ""en"", ""fr"")"),"THÉ")</f>
        <v>THÉ</v>
      </c>
      <c r="C10375" s="1" t="s">
        <v>185</v>
      </c>
      <c r="BC10375" s="1" t="s">
        <v>51</v>
      </c>
      <c r="BE10375" s="1" t="s">
        <v>53</v>
      </c>
      <c r="GD10375" s="1" t="s">
        <v>193</v>
      </c>
      <c r="GE10375" s="1" t="s">
        <v>190</v>
      </c>
    </row>
    <row r="10376" spans="1:187" ht="11.25" customHeight="1">
      <c r="A10376" s="1" t="s">
        <v>14609</v>
      </c>
      <c r="B10376" s="1" t="str">
        <f ca="1">IFERROR(__xludf.DUMMYFUNCTION("GOOGLETRANSLATE(A10376, ""en"", ""fr"")"),"Enseigner # 1")</f>
        <v>Enseigner # 1</v>
      </c>
      <c r="C10376" s="1" t="s">
        <v>185</v>
      </c>
      <c r="K10376" s="1" t="s">
        <v>7</v>
      </c>
      <c r="N10376" s="1" t="s">
        <v>10</v>
      </c>
      <c r="Y10376" s="1" t="s">
        <v>21</v>
      </c>
      <c r="BK10376" s="1" t="s">
        <v>59</v>
      </c>
      <c r="DN10376" s="1" t="s">
        <v>114</v>
      </c>
      <c r="FD10376" s="1" t="s">
        <v>156</v>
      </c>
      <c r="FI10376" s="1" t="s">
        <v>161</v>
      </c>
      <c r="GD10376" s="1" t="s">
        <v>189</v>
      </c>
      <c r="GE10376" s="1" t="s">
        <v>14610</v>
      </c>
    </row>
    <row r="10377" spans="1:187" ht="11.25" customHeight="1">
      <c r="A10377" s="1" t="s">
        <v>14611</v>
      </c>
      <c r="B10377" s="1" t="str">
        <f ca="1">IFERROR(__xludf.DUMMYFUNCTION("GOOGLETRANSLATE(A10377, ""en"", ""fr"")"),"Enseigner # 2")</f>
        <v>Enseigner # 2</v>
      </c>
      <c r="C10377" s="1" t="s">
        <v>185</v>
      </c>
      <c r="Y10377" s="1" t="s">
        <v>21</v>
      </c>
      <c r="Z10377" s="1" t="s">
        <v>22</v>
      </c>
      <c r="FH10377" s="1" t="s">
        <v>160</v>
      </c>
      <c r="FI10377" s="1" t="s">
        <v>161</v>
      </c>
      <c r="GD10377" s="1" t="s">
        <v>193</v>
      </c>
      <c r="GE10377" s="1" t="s">
        <v>14612</v>
      </c>
    </row>
    <row r="10378" spans="1:187" ht="11.25" customHeight="1">
      <c r="A10378" s="1" t="s">
        <v>14613</v>
      </c>
      <c r="B10378" s="1" t="str">
        <f ca="1">IFERROR(__xludf.DUMMYFUNCTION("GOOGLETRANSLATE(A10378, ""en"", ""fr"")"),"Enseigner # 3")</f>
        <v>Enseigner # 3</v>
      </c>
      <c r="C10378" s="1" t="s">
        <v>185</v>
      </c>
      <c r="Y10378" s="1" t="s">
        <v>21</v>
      </c>
      <c r="Z10378" s="1" t="s">
        <v>22</v>
      </c>
      <c r="EF10378" s="1" t="s">
        <v>132</v>
      </c>
      <c r="EJ10378" s="1" t="s">
        <v>136</v>
      </c>
      <c r="GD10378" s="1" t="s">
        <v>193</v>
      </c>
      <c r="GE10378" s="1" t="s">
        <v>14614</v>
      </c>
    </row>
    <row r="10379" spans="1:187" ht="11.25" customHeight="1">
      <c r="A10379" s="1" t="s">
        <v>14615</v>
      </c>
      <c r="B10379" s="1" t="str">
        <f ca="1">IFERROR(__xludf.DUMMYFUNCTION("GOOGLETRANSLATE(A10379, ""en"", ""fr"")"),"PROFESSEUR")</f>
        <v>PROFESSEUR</v>
      </c>
      <c r="C10379" s="1" t="s">
        <v>185</v>
      </c>
      <c r="K10379" s="1" t="s">
        <v>7</v>
      </c>
      <c r="Y10379" s="1" t="s">
        <v>21</v>
      </c>
      <c r="AJ10379" s="1" t="s">
        <v>32</v>
      </c>
      <c r="AT10379" s="1" t="s">
        <v>42</v>
      </c>
      <c r="FG10379" s="1" t="s">
        <v>159</v>
      </c>
      <c r="FI10379" s="1" t="s">
        <v>161</v>
      </c>
      <c r="GD10379" s="1" t="s">
        <v>193</v>
      </c>
      <c r="GE10379" s="1" t="s">
        <v>14616</v>
      </c>
    </row>
    <row r="10380" spans="1:187" ht="11.25" customHeight="1">
      <c r="A10380" s="1" t="s">
        <v>14617</v>
      </c>
      <c r="B10380" s="1" t="str">
        <f ca="1">IFERROR(__xludf.DUMMYFUNCTION("GOOGLETRANSLATE(A10380, ""en"", ""fr"")"),"ÉQUIPE")</f>
        <v>ÉQUIPE</v>
      </c>
      <c r="C10380" s="1" t="s">
        <v>185</v>
      </c>
      <c r="G10380" s="1" t="s">
        <v>3</v>
      </c>
      <c r="AK10380" s="1" t="s">
        <v>33</v>
      </c>
      <c r="AT10380" s="1" t="s">
        <v>42</v>
      </c>
      <c r="DX10380" s="1" t="s">
        <v>124</v>
      </c>
      <c r="ED10380" s="1" t="s">
        <v>130</v>
      </c>
      <c r="GD10380" s="1" t="s">
        <v>193</v>
      </c>
      <c r="GE10380" s="1" t="s">
        <v>190</v>
      </c>
    </row>
    <row r="10381" spans="1:187" ht="11.25" customHeight="1">
      <c r="A10381" s="1" t="s">
        <v>14618</v>
      </c>
      <c r="B10381" s="1" t="str">
        <f ca="1">IFERROR(__xludf.DUMMYFUNCTION("GOOGLETRANSLATE(A10381, ""en"", ""fr"")"),"ROUTIER")</f>
        <v>ROUTIER</v>
      </c>
      <c r="C10381" s="1" t="s">
        <v>185</v>
      </c>
      <c r="AA10381" s="1" t="s">
        <v>23</v>
      </c>
      <c r="AC10381" s="1" t="s">
        <v>25</v>
      </c>
      <c r="AJ10381" s="1" t="s">
        <v>32</v>
      </c>
      <c r="AT10381" s="1" t="s">
        <v>42</v>
      </c>
      <c r="GD10381" s="1" t="s">
        <v>193</v>
      </c>
      <c r="GE10381" s="1" t="s">
        <v>190</v>
      </c>
    </row>
    <row r="10382" spans="1:187" ht="11.25" customHeight="1">
      <c r="A10382" s="1" t="s">
        <v>14619</v>
      </c>
      <c r="B10382" s="1" t="str">
        <f ca="1">IFERROR(__xludf.DUMMYFUNCTION("GOOGLETRANSLATE(A10382, ""en"", ""fr"")"),"Déchirure # 1")</f>
        <v>Déchirure # 1</v>
      </c>
      <c r="C10382" s="1" t="s">
        <v>185</v>
      </c>
      <c r="E10382" s="1" t="s">
        <v>16613</v>
      </c>
      <c r="H10382" s="1" t="s">
        <v>4</v>
      </c>
      <c r="I10382" s="1" t="s">
        <v>5</v>
      </c>
      <c r="N10382" s="1" t="s">
        <v>10</v>
      </c>
      <c r="CC10382" s="1" t="s">
        <v>77</v>
      </c>
      <c r="DO10382" s="1" t="s">
        <v>115</v>
      </c>
      <c r="FO10382" s="1" t="s">
        <v>167</v>
      </c>
      <c r="GD10382" s="1" t="s">
        <v>189</v>
      </c>
      <c r="GE10382" s="1" t="s">
        <v>14620</v>
      </c>
    </row>
    <row r="10383" spans="1:187" ht="11.25" customHeight="1">
      <c r="A10383" s="1" t="s">
        <v>14621</v>
      </c>
      <c r="B10383" s="1" t="str">
        <f ca="1">IFERROR(__xludf.DUMMYFUNCTION("GOOGLETRANSLATE(A10383, ""en"", ""fr"")"),"Tear # 2")</f>
        <v>Tear # 2</v>
      </c>
      <c r="C10383" s="1" t="s">
        <v>185</v>
      </c>
      <c r="BJ10383" s="1" t="s">
        <v>58</v>
      </c>
      <c r="EZ10383" s="1" t="s">
        <v>152</v>
      </c>
      <c r="FC10383" s="1" t="s">
        <v>155</v>
      </c>
      <c r="GD10383" s="1" t="s">
        <v>193</v>
      </c>
      <c r="GE10383" s="1" t="s">
        <v>14622</v>
      </c>
    </row>
    <row r="10384" spans="1:187" ht="11.25" customHeight="1">
      <c r="A10384" s="1" t="s">
        <v>14623</v>
      </c>
      <c r="B10384" s="1" t="str">
        <f ca="1">IFERROR(__xludf.DUMMYFUNCTION("GOOGLETRANSLATE(A10384, ""en"", ""fr"")"),"Déchirure # 3")</f>
        <v>Déchirure # 3</v>
      </c>
      <c r="C10384" s="1" t="s">
        <v>185</v>
      </c>
      <c r="E10384" s="1" t="s">
        <v>16613</v>
      </c>
      <c r="H10384" s="1" t="s">
        <v>4</v>
      </c>
      <c r="O10384" s="1" t="s">
        <v>11</v>
      </c>
      <c r="CE10384" s="1" t="s">
        <v>79</v>
      </c>
      <c r="DN10384" s="1" t="s">
        <v>114</v>
      </c>
      <c r="FP10384" s="1" t="s">
        <v>168</v>
      </c>
      <c r="GD10384" s="1" t="s">
        <v>189</v>
      </c>
      <c r="GE10384" s="1" t="s">
        <v>14624</v>
      </c>
    </row>
    <row r="10385" spans="1:187" ht="11.25" customHeight="1">
      <c r="A10385" s="1" t="s">
        <v>14625</v>
      </c>
      <c r="B10385" s="1" t="str">
        <f ca="1">IFERROR(__xludf.DUMMYFUNCTION("GOOGLETRANSLATE(A10385, ""en"", ""fr"")"),"TAQUINER")</f>
        <v>TAQUINER</v>
      </c>
      <c r="C10385" s="1" t="s">
        <v>192</v>
      </c>
      <c r="E10385" s="1" t="s">
        <v>16613</v>
      </c>
      <c r="I10385" s="1" t="s">
        <v>5</v>
      </c>
      <c r="N10385" s="1" t="s">
        <v>10</v>
      </c>
      <c r="BK10385" s="1" t="s">
        <v>59</v>
      </c>
      <c r="DN10385" s="1" t="s">
        <v>114</v>
      </c>
      <c r="GD10385" s="1" t="s">
        <v>670</v>
      </c>
      <c r="GE10385" s="1" t="s">
        <v>190</v>
      </c>
    </row>
    <row r="10386" spans="1:187" ht="11.25" customHeight="1">
      <c r="A10386" s="1" t="s">
        <v>14626</v>
      </c>
      <c r="B10386" s="1" t="str">
        <f ca="1">IFERROR(__xludf.DUMMYFUNCTION("GOOGLETRANSLATE(A10386, ""en"", ""fr"")"),"TECHNIQUE")</f>
        <v>TECHNIQUE</v>
      </c>
      <c r="C10386" s="1" t="s">
        <v>185</v>
      </c>
      <c r="Z10386" s="1" t="s">
        <v>22</v>
      </c>
      <c r="AA10386" s="1" t="s">
        <v>23</v>
      </c>
      <c r="AC10386" s="1" t="s">
        <v>25</v>
      </c>
      <c r="GD10386" s="1" t="s">
        <v>202</v>
      </c>
      <c r="GE10386" s="1" t="s">
        <v>14627</v>
      </c>
    </row>
    <row r="10387" spans="1:187" ht="11.25" customHeight="1">
      <c r="A10387" s="1" t="s">
        <v>14628</v>
      </c>
      <c r="B10387" s="1" t="str">
        <f ca="1">IFERROR(__xludf.DUMMYFUNCTION("GOOGLETRANSLATE(A10387, ""en"", ""fr"")"),"TECHNICIEN")</f>
        <v>TECHNICIEN</v>
      </c>
      <c r="C10387" s="1" t="s">
        <v>185</v>
      </c>
      <c r="AA10387" s="1" t="s">
        <v>23</v>
      </c>
      <c r="AJ10387" s="1" t="s">
        <v>32</v>
      </c>
      <c r="AT10387" s="1" t="s">
        <v>42</v>
      </c>
      <c r="FK10387" s="1" t="s">
        <v>163</v>
      </c>
      <c r="FM10387" s="1" t="s">
        <v>418</v>
      </c>
      <c r="GD10387" s="1" t="s">
        <v>193</v>
      </c>
      <c r="GE10387" s="1" t="s">
        <v>190</v>
      </c>
    </row>
    <row r="10388" spans="1:187" ht="11.25" customHeight="1">
      <c r="A10388" s="1" t="s">
        <v>14629</v>
      </c>
      <c r="B10388" s="1" t="str">
        <f ca="1">IFERROR(__xludf.DUMMYFUNCTION("GOOGLETRANSLATE(A10388, ""en"", ""fr"")"),"TECHNIQUE")</f>
        <v>TECHNIQUE</v>
      </c>
      <c r="C10388" s="1" t="s">
        <v>185</v>
      </c>
      <c r="BQ10388" s="1" t="s">
        <v>65</v>
      </c>
      <c r="FL10388" s="1" t="s">
        <v>164</v>
      </c>
      <c r="FM10388" s="1" t="s">
        <v>418</v>
      </c>
      <c r="GD10388" s="1" t="s">
        <v>193</v>
      </c>
      <c r="GE10388" s="1" t="s">
        <v>190</v>
      </c>
    </row>
    <row r="10389" spans="1:187" ht="11.25" customHeight="1">
      <c r="A10389" s="1" t="s">
        <v>14630</v>
      </c>
      <c r="B10389" s="1" t="str">
        <f ca="1">IFERROR(__xludf.DUMMYFUNCTION("GOOGLETRANSLATE(A10389, ""en"", ""fr"")"),"Technologique")</f>
        <v>Technologique</v>
      </c>
      <c r="C10389" s="1" t="s">
        <v>185</v>
      </c>
      <c r="Z10389" s="1" t="s">
        <v>22</v>
      </c>
      <c r="AA10389" s="1" t="s">
        <v>23</v>
      </c>
      <c r="AC10389" s="1" t="s">
        <v>25</v>
      </c>
      <c r="FH10389" s="1" t="s">
        <v>160</v>
      </c>
      <c r="FI10389" s="1" t="s">
        <v>161</v>
      </c>
      <c r="GD10389" s="1" t="s">
        <v>202</v>
      </c>
      <c r="GE10389" s="1" t="s">
        <v>190</v>
      </c>
    </row>
    <row r="10390" spans="1:187" ht="11.25" customHeight="1">
      <c r="A10390" s="1" t="s">
        <v>14631</v>
      </c>
      <c r="B10390" s="1" t="str">
        <f ca="1">IFERROR(__xludf.DUMMYFUNCTION("GOOGLETRANSLATE(A10390, ""en"", ""fr"")"),"TECHNOLOGIE")</f>
        <v>TECHNOLOGIE</v>
      </c>
      <c r="C10390" s="1" t="s">
        <v>185</v>
      </c>
      <c r="Z10390" s="1" t="s">
        <v>22</v>
      </c>
      <c r="AA10390" s="1" t="s">
        <v>23</v>
      </c>
      <c r="AC10390" s="1" t="s">
        <v>25</v>
      </c>
      <c r="FL10390" s="1" t="s">
        <v>164</v>
      </c>
      <c r="FM10390" s="1" t="s">
        <v>418</v>
      </c>
      <c r="GD10390" s="1" t="s">
        <v>193</v>
      </c>
      <c r="GE10390" s="1" t="s">
        <v>190</v>
      </c>
    </row>
    <row r="10391" spans="1:187" ht="11.25" customHeight="1">
      <c r="A10391" s="1" t="s">
        <v>14632</v>
      </c>
      <c r="B10391" s="1" t="str">
        <f ca="1">IFERROR(__xludf.DUMMYFUNCTION("GOOGLETRANSLATE(A10391, ""en"", ""fr"")"),"FASTIDIEUX")</f>
        <v>FASTIDIEUX</v>
      </c>
      <c r="C10391" s="1" t="s">
        <v>185</v>
      </c>
      <c r="E10391" s="1" t="s">
        <v>16613</v>
      </c>
      <c r="H10391" s="1" t="s">
        <v>4</v>
      </c>
      <c r="V10391" s="1" t="s">
        <v>18</v>
      </c>
      <c r="CN10391" s="1" t="s">
        <v>88</v>
      </c>
      <c r="FW10391" s="1" t="s">
        <v>175</v>
      </c>
      <c r="GD10391" s="1" t="s">
        <v>202</v>
      </c>
      <c r="GE10391" s="1" t="s">
        <v>190</v>
      </c>
    </row>
    <row r="10392" spans="1:187" ht="11.25" customHeight="1">
      <c r="A10392" s="1" t="s">
        <v>14633</v>
      </c>
      <c r="B10392" s="1" t="str">
        <f ca="1">IFERROR(__xludf.DUMMYFUNCTION("GOOGLETRANSLATE(A10392, ""en"", ""fr"")"),"ADOLESCENT")</f>
        <v>ADOLESCENT</v>
      </c>
      <c r="C10392" s="1" t="s">
        <v>185</v>
      </c>
      <c r="AJ10392" s="1" t="s">
        <v>32</v>
      </c>
      <c r="AS10392" s="1" t="s">
        <v>41</v>
      </c>
      <c r="AT10392" s="1" t="s">
        <v>42</v>
      </c>
      <c r="GD10392" s="1" t="s">
        <v>202</v>
      </c>
      <c r="GE10392" s="1" t="s">
        <v>190</v>
      </c>
    </row>
    <row r="10393" spans="1:187" ht="11.25" customHeight="1">
      <c r="A10393" s="1" t="s">
        <v>14634</v>
      </c>
      <c r="B10393" s="1" t="str">
        <f ca="1">IFERROR(__xludf.DUMMYFUNCTION("GOOGLETRANSLATE(A10393, ""en"", ""fr"")"),"ADOLESCENT")</f>
        <v>ADOLESCENT</v>
      </c>
      <c r="C10393" s="1" t="s">
        <v>185</v>
      </c>
      <c r="AJ10393" s="1" t="s">
        <v>32</v>
      </c>
      <c r="AS10393" s="1" t="s">
        <v>41</v>
      </c>
      <c r="AT10393" s="1" t="s">
        <v>42</v>
      </c>
      <c r="GD10393" s="1" t="s">
        <v>193</v>
      </c>
      <c r="GE10393" s="1" t="s">
        <v>190</v>
      </c>
    </row>
    <row r="10394" spans="1:187" ht="11.25" customHeight="1">
      <c r="A10394" s="1" t="s">
        <v>14635</v>
      </c>
      <c r="B10394" s="1" t="str">
        <f ca="1">IFERROR(__xludf.DUMMYFUNCTION("GOOGLETRANSLATE(A10394, ""en"", ""fr"")"),"DENTS")</f>
        <v>DENTS</v>
      </c>
      <c r="C10394" s="1" t="s">
        <v>185</v>
      </c>
      <c r="BJ10394" s="1" t="s">
        <v>58</v>
      </c>
      <c r="GD10394" s="1" t="s">
        <v>576</v>
      </c>
      <c r="GE10394" s="1" t="s">
        <v>14636</v>
      </c>
    </row>
    <row r="10395" spans="1:187" ht="11.25" customHeight="1">
      <c r="A10395" s="1" t="s">
        <v>14637</v>
      </c>
      <c r="B10395" s="1" t="str">
        <f ca="1">IFERROR(__xludf.DUMMYFUNCTION("GOOGLETRANSLATE(A10395, ""en"", ""fr"")"),"TÉLÉGRAMME")</f>
        <v>TÉLÉGRAMME</v>
      </c>
      <c r="C10395" s="1" t="s">
        <v>185</v>
      </c>
      <c r="BC10395" s="1" t="s">
        <v>51</v>
      </c>
      <c r="BH10395" s="1" t="s">
        <v>56</v>
      </c>
      <c r="BL10395" s="1" t="s">
        <v>60</v>
      </c>
      <c r="FH10395" s="1" t="s">
        <v>160</v>
      </c>
      <c r="FI10395" s="1" t="s">
        <v>161</v>
      </c>
      <c r="GD10395" s="1" t="s">
        <v>193</v>
      </c>
      <c r="GE10395" s="1" t="s">
        <v>190</v>
      </c>
    </row>
    <row r="10396" spans="1:187" ht="11.25" customHeight="1">
      <c r="A10396" s="1" t="s">
        <v>14638</v>
      </c>
      <c r="B10396" s="1" t="str">
        <f ca="1">IFERROR(__xludf.DUMMYFUNCTION("GOOGLETRANSLATE(A10396, ""en"", ""fr"")"),"Télégraphe n ° 1")</f>
        <v>Télégraphe n ° 1</v>
      </c>
      <c r="C10396" s="1" t="s">
        <v>185</v>
      </c>
      <c r="BK10396" s="1" t="s">
        <v>59</v>
      </c>
      <c r="BL10396" s="1" t="s">
        <v>60</v>
      </c>
      <c r="FH10396" s="1" t="s">
        <v>160</v>
      </c>
      <c r="FI10396" s="1" t="s">
        <v>161</v>
      </c>
      <c r="GC10396" s="1" t="s">
        <v>181</v>
      </c>
      <c r="GD10396" s="1" t="s">
        <v>193</v>
      </c>
      <c r="GE10396" s="1" t="s">
        <v>190</v>
      </c>
    </row>
    <row r="10397" spans="1:187" ht="11.25" customHeight="1">
      <c r="A10397" s="1" t="s">
        <v>14639</v>
      </c>
      <c r="B10397" s="1" t="str">
        <f ca="1">IFERROR(__xludf.DUMMYFUNCTION("GOOGLETRANSLATE(A10397, ""en"", ""fr"")"),"Télégraphe n ° 2")</f>
        <v>Télégraphe n ° 2</v>
      </c>
      <c r="C10397" s="1" t="s">
        <v>185</v>
      </c>
      <c r="BK10397" s="1" t="s">
        <v>59</v>
      </c>
      <c r="DN10397" s="1" t="s">
        <v>114</v>
      </c>
      <c r="FH10397" s="1" t="s">
        <v>160</v>
      </c>
      <c r="FI10397" s="1" t="s">
        <v>161</v>
      </c>
      <c r="GD10397" s="1" t="s">
        <v>189</v>
      </c>
      <c r="GE10397" s="1" t="s">
        <v>190</v>
      </c>
    </row>
    <row r="10398" spans="1:187" ht="11.25" customHeight="1">
      <c r="A10398" s="1" t="s">
        <v>14640</v>
      </c>
      <c r="B10398" s="1" t="str">
        <f ca="1">IFERROR(__xludf.DUMMYFUNCTION("GOOGLETRANSLATE(A10398, ""en"", ""fr"")"),"TÉLÉVISION")</f>
        <v>TÉLÉVISION</v>
      </c>
      <c r="C10398" s="1" t="s">
        <v>185</v>
      </c>
      <c r="BC10398" s="1" t="s">
        <v>51</v>
      </c>
      <c r="BH10398" s="1" t="s">
        <v>56</v>
      </c>
      <c r="BL10398" s="1" t="s">
        <v>60</v>
      </c>
      <c r="FH10398" s="1" t="s">
        <v>160</v>
      </c>
      <c r="FI10398" s="1" t="s">
        <v>161</v>
      </c>
      <c r="GD10398" s="1" t="s">
        <v>193</v>
      </c>
      <c r="GE10398" s="1" t="s">
        <v>14641</v>
      </c>
    </row>
    <row r="10399" spans="1:187" ht="11.25" customHeight="1">
      <c r="A10399" s="1" t="s">
        <v>14642</v>
      </c>
      <c r="B10399" s="1" t="str">
        <f ca="1">IFERROR(__xludf.DUMMYFUNCTION("GOOGLETRANSLATE(A10399, ""en"", ""fr"")"),"Tell # 1")</f>
        <v>Tell # 1</v>
      </c>
      <c r="C10399" s="1" t="s">
        <v>185</v>
      </c>
      <c r="N10399" s="1" t="s">
        <v>10</v>
      </c>
      <c r="BM10399" s="1" t="s">
        <v>61</v>
      </c>
      <c r="DO10399" s="1" t="s">
        <v>115</v>
      </c>
      <c r="FD10399" s="1" t="s">
        <v>156</v>
      </c>
      <c r="FI10399" s="1" t="s">
        <v>161</v>
      </c>
      <c r="GD10399" s="1" t="s">
        <v>400</v>
      </c>
      <c r="GE10399" s="1" t="s">
        <v>14643</v>
      </c>
    </row>
    <row r="10400" spans="1:187" ht="11.25" customHeight="1">
      <c r="A10400" s="1" t="s">
        <v>14644</v>
      </c>
      <c r="B10400" s="1" t="str">
        <f ca="1">IFERROR(__xludf.DUMMYFUNCTION("GOOGLETRANSLATE(A10400, ""en"", ""fr"")"),"Tell # 2")</f>
        <v>Tell # 2</v>
      </c>
      <c r="C10400" s="1" t="s">
        <v>185</v>
      </c>
      <c r="CK10400" s="1" t="s">
        <v>85</v>
      </c>
      <c r="DN10400" s="1" t="s">
        <v>114</v>
      </c>
      <c r="FD10400" s="1" t="s">
        <v>156</v>
      </c>
      <c r="FI10400" s="1" t="s">
        <v>161</v>
      </c>
      <c r="GD10400" s="1" t="s">
        <v>189</v>
      </c>
      <c r="GE10400" s="1" t="s">
        <v>14645</v>
      </c>
    </row>
    <row r="10401" spans="1:187" ht="11.25" customHeight="1">
      <c r="A10401" s="1" t="s">
        <v>14646</v>
      </c>
      <c r="B10401" s="1" t="str">
        <f ca="1">IFERROR(__xludf.DUMMYFUNCTION("GOOGLETRANSLATE(A10401, ""en"", ""fr"")"),"Tell # 3")</f>
        <v>Tell # 3</v>
      </c>
      <c r="C10401" s="1" t="s">
        <v>185</v>
      </c>
      <c r="GD10401" s="1" t="s">
        <v>225</v>
      </c>
      <c r="GE10401" s="1" t="s">
        <v>14647</v>
      </c>
    </row>
    <row r="10402" spans="1:187" ht="11.25" customHeight="1">
      <c r="A10402" s="1" t="s">
        <v>14648</v>
      </c>
      <c r="B10402" s="1" t="str">
        <f ca="1">IFERROR(__xludf.DUMMYFUNCTION("GOOGLETRANSLATE(A10402, ""en"", ""fr"")"),"CAISSIER")</f>
        <v>CAISSIER</v>
      </c>
      <c r="C10402" s="1" t="s">
        <v>185</v>
      </c>
      <c r="AA10402" s="1" t="s">
        <v>23</v>
      </c>
      <c r="AC10402" s="1" t="s">
        <v>25</v>
      </c>
      <c r="AJ10402" s="1" t="s">
        <v>32</v>
      </c>
      <c r="AT10402" s="1" t="s">
        <v>42</v>
      </c>
      <c r="ET10402" s="1" t="s">
        <v>146</v>
      </c>
      <c r="EW10402" s="1" t="s">
        <v>149</v>
      </c>
      <c r="GD10402" s="1" t="s">
        <v>193</v>
      </c>
      <c r="GE10402" s="1" t="s">
        <v>190</v>
      </c>
    </row>
    <row r="10403" spans="1:187" ht="11.25" customHeight="1">
      <c r="A10403" s="1" t="s">
        <v>14649</v>
      </c>
      <c r="B10403" s="1" t="str">
        <f ca="1">IFERROR(__xludf.DUMMYFUNCTION("GOOGLETRANSLATE(A10403, ""en"", ""fr"")"),"RÉCIT")</f>
        <v>RÉCIT</v>
      </c>
      <c r="C10403" s="1" t="s">
        <v>196</v>
      </c>
      <c r="EE10403" s="1" t="s">
        <v>131</v>
      </c>
      <c r="EJ10403" s="1" t="s">
        <v>136</v>
      </c>
      <c r="GD10403" s="1" t="s">
        <v>189</v>
      </c>
    </row>
    <row r="10404" spans="1:187" ht="11.25" customHeight="1">
      <c r="A10404" s="1" t="s">
        <v>14650</v>
      </c>
      <c r="B10404" s="1" t="str">
        <f ca="1">IFERROR(__xludf.DUMMYFUNCTION("GOOGLETRANSLATE(A10404, ""en"", ""fr"")"),"TÉMÉRITÉ")</f>
        <v>TÉMÉRITÉ</v>
      </c>
      <c r="C10404" s="1" t="s">
        <v>196</v>
      </c>
      <c r="EM10404" s="1" t="s">
        <v>139</v>
      </c>
      <c r="EN10404" s="1" t="s">
        <v>140</v>
      </c>
      <c r="GD10404" s="1" t="s">
        <v>193</v>
      </c>
    </row>
    <row r="10405" spans="1:187" ht="11.25" customHeight="1">
      <c r="A10405" s="1" t="s">
        <v>14651</v>
      </c>
      <c r="B10405" s="1" t="str">
        <f ca="1">IFERROR(__xludf.DUMMYFUNCTION("GOOGLETRANSLATE(A10405, ""en"", ""fr"")"),"Temper # 1")</f>
        <v>Temper # 1</v>
      </c>
      <c r="C10405" s="1" t="s">
        <v>185</v>
      </c>
      <c r="E10405" s="1" t="s">
        <v>16613</v>
      </c>
      <c r="H10405" s="1" t="s">
        <v>4</v>
      </c>
      <c r="I10405" s="1" t="s">
        <v>5</v>
      </c>
      <c r="S10405" s="1" t="s">
        <v>15</v>
      </c>
      <c r="GD10405" s="1" t="s">
        <v>193</v>
      </c>
      <c r="GE10405" s="1" t="s">
        <v>190</v>
      </c>
    </row>
    <row r="10406" spans="1:187" ht="11.25" customHeight="1">
      <c r="A10406" s="1" t="s">
        <v>14652</v>
      </c>
      <c r="B10406" s="1" t="str">
        <f ca="1">IFERROR(__xludf.DUMMYFUNCTION("GOOGLETRANSLATE(A10406, ""en"", ""fr"")"),"Temper # 2")</f>
        <v>Temper # 2</v>
      </c>
      <c r="C10406" s="1" t="s">
        <v>185</v>
      </c>
      <c r="E10406" s="1" t="s">
        <v>16613</v>
      </c>
      <c r="H10406" s="1" t="s">
        <v>4</v>
      </c>
      <c r="AL10406" s="1" t="s">
        <v>34</v>
      </c>
      <c r="DN10406" s="1" t="s">
        <v>114</v>
      </c>
      <c r="GD10406" s="1" t="s">
        <v>189</v>
      </c>
      <c r="GE10406" s="1" t="s">
        <v>190</v>
      </c>
    </row>
    <row r="10407" spans="1:187" ht="11.25" customHeight="1">
      <c r="A10407" s="1" t="s">
        <v>14653</v>
      </c>
      <c r="B10407" s="1" t="str">
        <f ca="1">IFERROR(__xludf.DUMMYFUNCTION("GOOGLETRANSLATE(A10407, ""en"", ""fr"")"),"TEMPÉRANCE")</f>
        <v>TEMPÉRANCE</v>
      </c>
      <c r="C10407" s="1" t="s">
        <v>192</v>
      </c>
      <c r="D10407" s="1" t="s">
        <v>16612</v>
      </c>
      <c r="X10407" s="1" t="s">
        <v>20</v>
      </c>
      <c r="GD10407" s="1" t="s">
        <v>193</v>
      </c>
      <c r="GE10407" s="1" t="s">
        <v>190</v>
      </c>
    </row>
    <row r="10408" spans="1:187" ht="11.25" customHeight="1">
      <c r="A10408" s="1" t="s">
        <v>14654</v>
      </c>
      <c r="B10408" s="1" t="str">
        <f ca="1">IFERROR(__xludf.DUMMYFUNCTION("GOOGLETRANSLATE(A10408, ""en"", ""fr"")"),"TEMPÉRÉ")</f>
        <v>TEMPÉRÉ</v>
      </c>
      <c r="C10408" s="1" t="s">
        <v>192</v>
      </c>
      <c r="D10408" s="1" t="s">
        <v>16612</v>
      </c>
      <c r="X10408" s="1" t="s">
        <v>20</v>
      </c>
      <c r="CM10408" s="1" t="s">
        <v>87</v>
      </c>
      <c r="CR10408" s="1" t="s">
        <v>92</v>
      </c>
      <c r="DR10408" s="1" t="s">
        <v>118</v>
      </c>
      <c r="GD10408" s="1" t="s">
        <v>202</v>
      </c>
      <c r="GE10408" s="1" t="s">
        <v>190</v>
      </c>
    </row>
    <row r="10409" spans="1:187" ht="11.25" customHeight="1">
      <c r="A10409" s="1" t="s">
        <v>14655</v>
      </c>
      <c r="B10409" s="1" t="str">
        <f ca="1">IFERROR(__xludf.DUMMYFUNCTION("GOOGLETRANSLATE(A10409, ""en"", ""fr"")"),"TEMPÉRATURE")</f>
        <v>TEMPÉRATURE</v>
      </c>
      <c r="C10409" s="1" t="s">
        <v>185</v>
      </c>
      <c r="CR10409" s="1" t="s">
        <v>92</v>
      </c>
      <c r="GD10409" s="1" t="s">
        <v>193</v>
      </c>
      <c r="GE10409" s="1" t="s">
        <v>190</v>
      </c>
    </row>
    <row r="10410" spans="1:187" ht="11.25" customHeight="1">
      <c r="A10410" s="1" t="s">
        <v>14656</v>
      </c>
      <c r="B10410" s="1" t="str">
        <f ca="1">IFERROR(__xludf.DUMMYFUNCTION("GOOGLETRANSLATE(A10410, ""en"", ""fr"")"),"TEMPÊTE")</f>
        <v>TEMPÊTE</v>
      </c>
      <c r="C10410" s="1" t="s">
        <v>192</v>
      </c>
      <c r="E10410" s="1" t="s">
        <v>16613</v>
      </c>
      <c r="I10410" s="1" t="s">
        <v>5</v>
      </c>
      <c r="BU10410" s="1" t="s">
        <v>69</v>
      </c>
      <c r="GD10410" s="1" t="s">
        <v>193</v>
      </c>
      <c r="GE10410" s="1" t="s">
        <v>190</v>
      </c>
    </row>
    <row r="10411" spans="1:187" ht="11.25" customHeight="1">
      <c r="A10411" s="1" t="s">
        <v>14657</v>
      </c>
      <c r="B10411" s="1" t="str">
        <f ca="1">IFERROR(__xludf.DUMMYFUNCTION("GOOGLETRANSLATE(A10411, ""en"", ""fr"")"),"TEMPLE")</f>
        <v>TEMPLE</v>
      </c>
      <c r="C10411" s="1" t="s">
        <v>196</v>
      </c>
      <c r="EF10411" s="1" t="s">
        <v>132</v>
      </c>
      <c r="EJ10411" s="1" t="s">
        <v>136</v>
      </c>
      <c r="GD10411" s="1" t="s">
        <v>193</v>
      </c>
    </row>
    <row r="10412" spans="1:187" ht="11.25" customHeight="1">
      <c r="A10412" s="1" t="s">
        <v>14658</v>
      </c>
      <c r="B10412" s="1" t="str">
        <f ca="1">IFERROR(__xludf.DUMMYFUNCTION("GOOGLETRANSLATE(A10412, ""en"", ""fr"")"),"Temporairement")</f>
        <v>Temporairement</v>
      </c>
      <c r="C10412" s="1" t="s">
        <v>192</v>
      </c>
      <c r="E10412" s="1" t="s">
        <v>16613</v>
      </c>
      <c r="BW10412" s="1" t="s">
        <v>71</v>
      </c>
      <c r="CY10412" s="1" t="s">
        <v>99</v>
      </c>
      <c r="DR10412" s="1" t="s">
        <v>118</v>
      </c>
      <c r="GD10412" s="1" t="s">
        <v>202</v>
      </c>
      <c r="GE10412" s="1" t="s">
        <v>190</v>
      </c>
    </row>
    <row r="10413" spans="1:187" ht="11.25" customHeight="1">
      <c r="A10413" s="1" t="s">
        <v>14659</v>
      </c>
      <c r="B10413" s="1" t="str">
        <f ca="1">IFERROR(__xludf.DUMMYFUNCTION("GOOGLETRANSLATE(A10413, ""en"", ""fr"")"),"TEMPORAIRE")</f>
        <v>TEMPORAIRE</v>
      </c>
      <c r="C10413" s="1" t="s">
        <v>185</v>
      </c>
      <c r="L10413" s="1" t="s">
        <v>8</v>
      </c>
      <c r="CY10413" s="1" t="s">
        <v>99</v>
      </c>
      <c r="GB10413" s="1" t="s">
        <v>180</v>
      </c>
      <c r="GD10413" s="1" t="s">
        <v>202</v>
      </c>
      <c r="GE10413" s="1" t="s">
        <v>190</v>
      </c>
    </row>
    <row r="10414" spans="1:187" ht="11.25" customHeight="1">
      <c r="A10414" s="1" t="s">
        <v>14660</v>
      </c>
      <c r="B10414" s="1" t="str">
        <f ca="1">IFERROR(__xludf.DUMMYFUNCTION("GOOGLETRANSLATE(A10414, ""en"", ""fr"")"),"TENTER")</f>
        <v>TENTER</v>
      </c>
      <c r="C10414" s="1" t="s">
        <v>192</v>
      </c>
      <c r="D10414" s="1" t="s">
        <v>16612</v>
      </c>
      <c r="N10414" s="1" t="s">
        <v>10</v>
      </c>
      <c r="BN10414" s="1" t="s">
        <v>62</v>
      </c>
      <c r="DN10414" s="1" t="s">
        <v>114</v>
      </c>
      <c r="GD10414" s="1" t="s">
        <v>670</v>
      </c>
      <c r="GE10414" s="1" t="s">
        <v>190</v>
      </c>
    </row>
    <row r="10415" spans="1:187" ht="11.25" customHeight="1">
      <c r="A10415" s="1" t="s">
        <v>14661</v>
      </c>
      <c r="B10415" s="1" t="str">
        <f ca="1">IFERROR(__xludf.DUMMYFUNCTION("GOOGLETRANSLATE(A10415, ""en"", ""fr"")"),"TENTATION")</f>
        <v>TENTATION</v>
      </c>
      <c r="C10415" s="1" t="s">
        <v>185</v>
      </c>
      <c r="E10415" s="1" t="s">
        <v>16613</v>
      </c>
      <c r="H10415" s="1" t="s">
        <v>4</v>
      </c>
      <c r="V10415" s="1" t="s">
        <v>18</v>
      </c>
      <c r="EE10415" s="1" t="s">
        <v>131</v>
      </c>
      <c r="EJ10415" s="1" t="s">
        <v>136</v>
      </c>
      <c r="GD10415" s="1" t="s">
        <v>193</v>
      </c>
      <c r="GE10415" s="1" t="s">
        <v>190</v>
      </c>
    </row>
    <row r="10416" spans="1:187" ht="11.25" customHeight="1">
      <c r="A10416" s="1" t="s">
        <v>14662</v>
      </c>
      <c r="B10416" s="1" t="str">
        <f ca="1">IFERROR(__xludf.DUMMYFUNCTION("GOOGLETRANSLATE(A10416, ""en"", ""fr"")"),"DIX")</f>
        <v>DIX</v>
      </c>
      <c r="C10416" s="1" t="s">
        <v>185</v>
      </c>
      <c r="CS10416" s="1" t="s">
        <v>93</v>
      </c>
      <c r="CT10416" s="1" t="s">
        <v>94</v>
      </c>
      <c r="CV10416" s="1" t="s">
        <v>96</v>
      </c>
      <c r="GD10416" s="1" t="s">
        <v>1756</v>
      </c>
      <c r="GE10416" s="1" t="s">
        <v>14663</v>
      </c>
    </row>
    <row r="10417" spans="1:187" ht="11.25" customHeight="1">
      <c r="A10417" s="1" t="s">
        <v>14664</v>
      </c>
      <c r="B10417" s="1" t="str">
        <f ca="1">IFERROR(__xludf.DUMMYFUNCTION("GOOGLETRANSLATE(A10417, ""en"", ""fr"")"),"TENACE")</f>
        <v>TENACE</v>
      </c>
      <c r="C10417" s="1" t="s">
        <v>192</v>
      </c>
      <c r="D10417" s="1" t="s">
        <v>16612</v>
      </c>
      <c r="J10417" s="1" t="s">
        <v>6</v>
      </c>
      <c r="N10417" s="1" t="s">
        <v>10</v>
      </c>
      <c r="DR10417" s="1" t="s">
        <v>118</v>
      </c>
      <c r="GD10417" s="1" t="s">
        <v>202</v>
      </c>
      <c r="GE10417" s="1" t="s">
        <v>190</v>
      </c>
    </row>
    <row r="10418" spans="1:187" ht="11.25" customHeight="1">
      <c r="A10418" s="1" t="s">
        <v>14665</v>
      </c>
      <c r="B10418" s="1" t="str">
        <f ca="1">IFERROR(__xludf.DUMMYFUNCTION("GOOGLETRANSLATE(A10418, ""en"", ""fr"")"),"TÉNACITÉ")</f>
        <v>TÉNACITÉ</v>
      </c>
      <c r="C10418" s="1" t="s">
        <v>192</v>
      </c>
      <c r="D10418" s="1" t="s">
        <v>16612</v>
      </c>
      <c r="J10418" s="1" t="s">
        <v>6</v>
      </c>
      <c r="N10418" s="1" t="s">
        <v>10</v>
      </c>
      <c r="BQ10418" s="1" t="s">
        <v>65</v>
      </c>
      <c r="GD10418" s="1" t="s">
        <v>193</v>
      </c>
      <c r="GE10418" s="1" t="s">
        <v>190</v>
      </c>
    </row>
    <row r="10419" spans="1:187" ht="11.25" customHeight="1">
      <c r="A10419" s="1" t="s">
        <v>14666</v>
      </c>
      <c r="B10419" s="1" t="str">
        <f ca="1">IFERROR(__xludf.DUMMYFUNCTION("GOOGLETRANSLATE(A10419, ""en"", ""fr"")"),"LOCATAIRE")</f>
        <v>LOCATAIRE</v>
      </c>
      <c r="C10419" s="1" t="s">
        <v>196</v>
      </c>
      <c r="FB10419" s="1" t="s">
        <v>154</v>
      </c>
      <c r="FC10419" s="1" t="s">
        <v>155</v>
      </c>
      <c r="GD10419" s="1" t="s">
        <v>448</v>
      </c>
    </row>
    <row r="10420" spans="1:187" ht="11.25" customHeight="1">
      <c r="A10420" s="1" t="s">
        <v>14667</v>
      </c>
      <c r="B10420" s="1" t="str">
        <f ca="1">IFERROR(__xludf.DUMMYFUNCTION("GOOGLETRANSLATE(A10420, ""en"", ""fr"")"),"Tend # 1")</f>
        <v>Tend # 1</v>
      </c>
      <c r="C10420" s="1" t="s">
        <v>185</v>
      </c>
      <c r="O10420" s="1" t="s">
        <v>11</v>
      </c>
      <c r="X10420" s="1" t="s">
        <v>20</v>
      </c>
      <c r="BR10420" s="1" t="s">
        <v>66</v>
      </c>
      <c r="DP10420" s="1" t="s">
        <v>116</v>
      </c>
      <c r="FZ10420" s="1" t="s">
        <v>178</v>
      </c>
      <c r="GD10420" s="1" t="s">
        <v>400</v>
      </c>
      <c r="GE10420" s="1" t="s">
        <v>14668</v>
      </c>
    </row>
    <row r="10421" spans="1:187" ht="11.25" customHeight="1">
      <c r="A10421" s="1" t="s">
        <v>14669</v>
      </c>
      <c r="B10421" s="1" t="str">
        <f ca="1">IFERROR(__xludf.DUMMYFUNCTION("GOOGLETRANSLATE(A10421, ""en"", ""fr"")"),"Tend # 2")</f>
        <v>Tend # 2</v>
      </c>
      <c r="C10421" s="1" t="s">
        <v>185</v>
      </c>
      <c r="G10421" s="1" t="s">
        <v>3</v>
      </c>
      <c r="J10421" s="1" t="s">
        <v>6</v>
      </c>
      <c r="K10421" s="1" t="s">
        <v>7</v>
      </c>
      <c r="N10421" s="1" t="s">
        <v>10</v>
      </c>
      <c r="AN10421" s="1" t="s">
        <v>36</v>
      </c>
      <c r="DN10421" s="1" t="s">
        <v>114</v>
      </c>
      <c r="EX10421" s="1" t="s">
        <v>150</v>
      </c>
      <c r="FC10421" s="1" t="s">
        <v>155</v>
      </c>
      <c r="GD10421" s="1" t="s">
        <v>189</v>
      </c>
      <c r="GE10421" s="1" t="s">
        <v>14670</v>
      </c>
    </row>
    <row r="10422" spans="1:187" ht="11.25" customHeight="1">
      <c r="A10422" s="1" t="s">
        <v>14671</v>
      </c>
      <c r="B10422" s="1" t="str">
        <f ca="1">IFERROR(__xludf.DUMMYFUNCTION("GOOGLETRANSLATE(A10422, ""en"", ""fr"")"),"TENDANCE")</f>
        <v>TENDANCE</v>
      </c>
      <c r="C10422" s="1" t="s">
        <v>185</v>
      </c>
      <c r="O10422" s="1" t="s">
        <v>11</v>
      </c>
      <c r="X10422" s="1" t="s">
        <v>20</v>
      </c>
      <c r="CI10422" s="1" t="s">
        <v>83</v>
      </c>
      <c r="CP10422" s="1" t="s">
        <v>90</v>
      </c>
      <c r="CQ10422" s="1" t="s">
        <v>91</v>
      </c>
      <c r="FZ10422" s="1" t="s">
        <v>178</v>
      </c>
      <c r="GD10422" s="1" t="s">
        <v>193</v>
      </c>
      <c r="GE10422" s="1" t="s">
        <v>190</v>
      </c>
    </row>
    <row r="10423" spans="1:187" ht="11.25" customHeight="1">
      <c r="A10423" s="1" t="s">
        <v>14672</v>
      </c>
      <c r="B10423" s="1" t="str">
        <f ca="1">IFERROR(__xludf.DUMMYFUNCTION("GOOGLETRANSLATE(A10423, ""en"", ""fr"")"),"TENDRE")</f>
        <v>TENDRE</v>
      </c>
      <c r="C10423" s="1" t="s">
        <v>185</v>
      </c>
      <c r="G10423" s="1" t="s">
        <v>3</v>
      </c>
      <c r="L10423" s="1" t="s">
        <v>8</v>
      </c>
      <c r="CR10423" s="1" t="s">
        <v>92</v>
      </c>
      <c r="ER10423" s="1" t="s">
        <v>144</v>
      </c>
      <c r="ES10423" s="1" t="s">
        <v>145</v>
      </c>
      <c r="GD10423" s="1" t="s">
        <v>202</v>
      </c>
      <c r="GE10423" s="1" t="s">
        <v>190</v>
      </c>
    </row>
    <row r="10424" spans="1:187" ht="11.25" customHeight="1">
      <c r="A10424" s="1" t="s">
        <v>14673</v>
      </c>
      <c r="B10424" s="1" t="str">
        <f ca="1">IFERROR(__xludf.DUMMYFUNCTION("GOOGLETRANSLATE(A10424, ""en"", ""fr"")"),"TENDRESSE")</f>
        <v>TENDRESSE</v>
      </c>
      <c r="C10424" s="1" t="s">
        <v>185</v>
      </c>
      <c r="D10424" s="1" t="s">
        <v>16612</v>
      </c>
      <c r="P10424" s="1" t="s">
        <v>12</v>
      </c>
      <c r="T10424" s="1" t="s">
        <v>16</v>
      </c>
      <c r="U10424" s="1" t="s">
        <v>17</v>
      </c>
      <c r="ER10424" s="1" t="s">
        <v>144</v>
      </c>
      <c r="ES10424" s="1" t="s">
        <v>145</v>
      </c>
      <c r="GD10424" s="1" t="s">
        <v>193</v>
      </c>
      <c r="GE10424" s="1" t="s">
        <v>190</v>
      </c>
    </row>
    <row r="10425" spans="1:187" ht="11.25" customHeight="1">
      <c r="A10425" s="1" t="s">
        <v>14674</v>
      </c>
      <c r="B10425" s="1" t="str">
        <f ca="1">IFERROR(__xludf.DUMMYFUNCTION("GOOGLETRANSLATE(A10425, ""en"", ""fr"")"),"TENNESSEE")</f>
        <v>TENNESSEE</v>
      </c>
      <c r="C10425" s="1" t="s">
        <v>196</v>
      </c>
      <c r="GD10425" s="1" t="s">
        <v>653</v>
      </c>
    </row>
    <row r="10426" spans="1:187" ht="11.25" customHeight="1">
      <c r="A10426" s="1" t="s">
        <v>14675</v>
      </c>
      <c r="B10426" s="1" t="str">
        <f ca="1">IFERROR(__xludf.DUMMYFUNCTION("GOOGLETRANSLATE(A10426, ""en"", ""fr"")"),"TENNIS")</f>
        <v>TENNIS</v>
      </c>
      <c r="C10426" s="1" t="s">
        <v>185</v>
      </c>
      <c r="N10426" s="1" t="s">
        <v>10</v>
      </c>
      <c r="AD10426" s="1" t="s">
        <v>26</v>
      </c>
      <c r="AM10426" s="1" t="s">
        <v>35</v>
      </c>
      <c r="GD10426" s="1" t="s">
        <v>193</v>
      </c>
      <c r="GE10426" s="1" t="s">
        <v>190</v>
      </c>
    </row>
    <row r="10427" spans="1:187" ht="11.25" customHeight="1">
      <c r="A10427" s="1" t="s">
        <v>14676</v>
      </c>
      <c r="B10427" s="1" t="str">
        <f ca="1">IFERROR(__xludf.DUMMYFUNCTION("GOOGLETRANSLATE(A10427, ""en"", ""fr"")"),"TENDU")</f>
        <v>TENDU</v>
      </c>
      <c r="C10427" s="1" t="s">
        <v>192</v>
      </c>
      <c r="E10427" s="1" t="s">
        <v>16613</v>
      </c>
      <c r="I10427" s="1" t="s">
        <v>5</v>
      </c>
      <c r="Q10427" s="1" t="s">
        <v>13</v>
      </c>
      <c r="T10427" s="1" t="s">
        <v>16</v>
      </c>
      <c r="DR10427" s="1" t="s">
        <v>118</v>
      </c>
      <c r="GD10427" s="1" t="s">
        <v>202</v>
      </c>
      <c r="GE10427" s="1" t="s">
        <v>190</v>
      </c>
    </row>
    <row r="10428" spans="1:187" ht="11.25" customHeight="1">
      <c r="A10428" s="1" t="s">
        <v>14677</v>
      </c>
      <c r="B10428" s="1" t="str">
        <f ca="1">IFERROR(__xludf.DUMMYFUNCTION("GOOGLETRANSLATE(A10428, ""en"", ""fr"")"),"TENSION")</f>
        <v>TENSION</v>
      </c>
      <c r="C10428" s="1" t="s">
        <v>185</v>
      </c>
      <c r="E10428" s="1" t="s">
        <v>16613</v>
      </c>
      <c r="H10428" s="1" t="s">
        <v>4</v>
      </c>
      <c r="L10428" s="1" t="s">
        <v>8</v>
      </c>
      <c r="Q10428" s="1" t="s">
        <v>13</v>
      </c>
      <c r="T10428" s="1" t="s">
        <v>16</v>
      </c>
      <c r="GD10428" s="1" t="s">
        <v>193</v>
      </c>
      <c r="GE10428" s="1" t="s">
        <v>14678</v>
      </c>
    </row>
    <row r="10429" spans="1:187" ht="11.25" customHeight="1">
      <c r="A10429" s="1" t="s">
        <v>14679</v>
      </c>
      <c r="B10429" s="1" t="str">
        <f ca="1">IFERROR(__xludf.DUMMYFUNCTION("GOOGLETRANSLATE(A10429, ""en"", ""fr"")"),"TENTE")</f>
        <v>TENTE</v>
      </c>
      <c r="C10429" s="1" t="s">
        <v>185</v>
      </c>
      <c r="AV10429" s="1" t="s">
        <v>44</v>
      </c>
      <c r="AW10429" s="1" t="s">
        <v>45</v>
      </c>
      <c r="GD10429" s="1" t="s">
        <v>193</v>
      </c>
      <c r="GE10429" s="1" t="s">
        <v>190</v>
      </c>
    </row>
    <row r="10430" spans="1:187" ht="11.25" customHeight="1">
      <c r="A10430" s="1" t="s">
        <v>14680</v>
      </c>
      <c r="B10430" s="1" t="str">
        <f ca="1">IFERROR(__xludf.DUMMYFUNCTION("GOOGLETRANSLATE(A10430, ""en"", ""fr"")"),"PROVISOIRE")</f>
        <v>PROVISOIRE</v>
      </c>
      <c r="C10430" s="1" t="s">
        <v>185</v>
      </c>
      <c r="L10430" s="1" t="s">
        <v>8</v>
      </c>
      <c r="CH10430" s="1" t="s">
        <v>82</v>
      </c>
      <c r="FZ10430" s="1" t="s">
        <v>178</v>
      </c>
      <c r="GD10430" s="1" t="s">
        <v>202</v>
      </c>
      <c r="GE10430" s="1" t="s">
        <v>190</v>
      </c>
    </row>
    <row r="10431" spans="1:187" ht="11.25" customHeight="1">
      <c r="A10431" s="1" t="s">
        <v>14681</v>
      </c>
      <c r="B10431" s="1" t="str">
        <f ca="1">IFERROR(__xludf.DUMMYFUNCTION("GOOGLETRANSLATE(A10431, ""en"", ""fr"")"),"Dixième # 1")</f>
        <v>Dixième # 1</v>
      </c>
      <c r="C10431" s="1" t="s">
        <v>192</v>
      </c>
      <c r="GE10431" s="1" t="s">
        <v>190</v>
      </c>
    </row>
    <row r="10432" spans="1:187" ht="11.25" customHeight="1">
      <c r="A10432" s="1" t="s">
        <v>14682</v>
      </c>
      <c r="B10432" s="1" t="str">
        <f ca="1">IFERROR(__xludf.DUMMYFUNCTION("GOOGLETRANSLATE(A10432, ""en"", ""fr"")"),"Terme n ° 1")</f>
        <v>Terme n ° 1</v>
      </c>
      <c r="C10432" s="1" t="s">
        <v>185</v>
      </c>
      <c r="BK10432" s="1" t="s">
        <v>59</v>
      </c>
      <c r="BL10432" s="1" t="s">
        <v>60</v>
      </c>
      <c r="FH10432" s="1" t="s">
        <v>160</v>
      </c>
      <c r="FI10432" s="1" t="s">
        <v>161</v>
      </c>
      <c r="GC10432" s="1" t="s">
        <v>181</v>
      </c>
      <c r="GD10432" s="1" t="s">
        <v>193</v>
      </c>
      <c r="GE10432" s="1" t="s">
        <v>14683</v>
      </c>
    </row>
    <row r="10433" spans="1:187" ht="11.25" customHeight="1">
      <c r="A10433" s="1" t="s">
        <v>14684</v>
      </c>
      <c r="B10433" s="1" t="str">
        <f ca="1">IFERROR(__xludf.DUMMYFUNCTION("GOOGLETRANSLATE(A10433, ""en"", ""fr"")"),"Terme n ° 2")</f>
        <v>Terme n ° 2</v>
      </c>
      <c r="C10433" s="1" t="s">
        <v>185</v>
      </c>
      <c r="CQ10433" s="1" t="s">
        <v>91</v>
      </c>
      <c r="CY10433" s="1" t="s">
        <v>99</v>
      </c>
      <c r="CZ10433" s="1" t="s">
        <v>100</v>
      </c>
      <c r="GB10433" s="1" t="s">
        <v>180</v>
      </c>
      <c r="GD10433" s="1" t="s">
        <v>193</v>
      </c>
      <c r="GE10433" s="1" t="s">
        <v>14685</v>
      </c>
    </row>
    <row r="10434" spans="1:187" ht="11.25" customHeight="1">
      <c r="A10434" s="1" t="s">
        <v>14686</v>
      </c>
      <c r="B10434" s="1" t="str">
        <f ca="1">IFERROR(__xludf.DUMMYFUNCTION("GOOGLETRANSLATE(A10434, ""en"", ""fr"")"),"Terme n ° 3")</f>
        <v>Terme n ° 3</v>
      </c>
      <c r="C10434" s="1" t="s">
        <v>185</v>
      </c>
      <c r="K10434" s="1" t="s">
        <v>7</v>
      </c>
      <c r="BK10434" s="1" t="s">
        <v>59</v>
      </c>
      <c r="BL10434" s="1" t="s">
        <v>60</v>
      </c>
      <c r="FZ10434" s="1" t="s">
        <v>178</v>
      </c>
      <c r="GC10434" s="1" t="s">
        <v>181</v>
      </c>
      <c r="GD10434" s="1" t="s">
        <v>193</v>
      </c>
      <c r="GE10434" s="1" t="s">
        <v>14687</v>
      </c>
    </row>
    <row r="10435" spans="1:187" ht="11.25" customHeight="1">
      <c r="A10435" s="1" t="s">
        <v>14688</v>
      </c>
      <c r="B10435" s="1" t="str">
        <f ca="1">IFERROR(__xludf.DUMMYFUNCTION("GOOGLETRANSLATE(A10435, ""en"", ""fr"")"),"Terme n ° 4")</f>
        <v>Terme n ° 4</v>
      </c>
      <c r="C10435" s="1" t="s">
        <v>185</v>
      </c>
      <c r="DD10435" s="1" t="s">
        <v>104</v>
      </c>
      <c r="GD10435" s="1" t="s">
        <v>215</v>
      </c>
      <c r="GE10435" s="1" t="s">
        <v>14689</v>
      </c>
    </row>
    <row r="10436" spans="1:187" ht="11.25" customHeight="1">
      <c r="A10436" s="1" t="s">
        <v>14690</v>
      </c>
      <c r="B10436" s="1" t="str">
        <f ca="1">IFERROR(__xludf.DUMMYFUNCTION("GOOGLETRANSLATE(A10436, ""en"", ""fr"")"),"Terme n ° 5")</f>
        <v>Terme n ° 5</v>
      </c>
      <c r="C10436" s="1" t="s">
        <v>185</v>
      </c>
      <c r="G10436" s="1" t="s">
        <v>3</v>
      </c>
      <c r="AN10436" s="1" t="s">
        <v>36</v>
      </c>
      <c r="EM10436" s="1" t="s">
        <v>139</v>
      </c>
      <c r="EN10436" s="1" t="s">
        <v>140</v>
      </c>
      <c r="GD10436" s="1" t="s">
        <v>193</v>
      </c>
      <c r="GE10436" s="1" t="s">
        <v>14691</v>
      </c>
    </row>
    <row r="10437" spans="1:187" ht="11.25" customHeight="1">
      <c r="A10437" s="1" t="s">
        <v>14692</v>
      </c>
      <c r="B10437" s="1" t="str">
        <f ca="1">IFERROR(__xludf.DUMMYFUNCTION("GOOGLETRANSLATE(A10437, ""en"", ""fr"")"),"Terme n ° 6")</f>
        <v>Terme n ° 6</v>
      </c>
      <c r="C10437" s="1" t="s">
        <v>185</v>
      </c>
      <c r="BK10437" s="1" t="s">
        <v>59</v>
      </c>
      <c r="DN10437" s="1" t="s">
        <v>114</v>
      </c>
      <c r="FH10437" s="1" t="s">
        <v>160</v>
      </c>
      <c r="FI10437" s="1" t="s">
        <v>161</v>
      </c>
      <c r="GD10437" s="1" t="s">
        <v>189</v>
      </c>
      <c r="GE10437" s="1" t="s">
        <v>14693</v>
      </c>
    </row>
    <row r="10438" spans="1:187" ht="11.25" customHeight="1">
      <c r="A10438" s="1" t="s">
        <v>14694</v>
      </c>
      <c r="B10438" s="1" t="str">
        <f ca="1">IFERROR(__xludf.DUMMYFUNCTION("GOOGLETRANSLATE(A10438, ""en"", ""fr"")"),"METTRE FIN")</f>
        <v>METTRE FIN</v>
      </c>
      <c r="C10438" s="1" t="s">
        <v>185</v>
      </c>
      <c r="J10438" s="1" t="s">
        <v>6</v>
      </c>
      <c r="N10438" s="1" t="s">
        <v>10</v>
      </c>
      <c r="BZ10438" s="1" t="s">
        <v>74</v>
      </c>
      <c r="DN10438" s="1" t="s">
        <v>114</v>
      </c>
      <c r="GB10438" s="1" t="s">
        <v>180</v>
      </c>
      <c r="GD10438" s="1" t="s">
        <v>189</v>
      </c>
      <c r="GE10438" s="1" t="s">
        <v>190</v>
      </c>
    </row>
    <row r="10439" spans="1:187" ht="11.25" customHeight="1">
      <c r="A10439" s="1" t="s">
        <v>14695</v>
      </c>
      <c r="B10439" s="1" t="str">
        <f ca="1">IFERROR(__xludf.DUMMYFUNCTION("GOOGLETRANSLATE(A10439, ""en"", ""fr"")"),"RÉSILIATION")</f>
        <v>RÉSILIATION</v>
      </c>
      <c r="C10439" s="1" t="s">
        <v>196</v>
      </c>
      <c r="GB10439" s="1" t="s">
        <v>180</v>
      </c>
      <c r="GD10439" s="1" t="s">
        <v>193</v>
      </c>
    </row>
    <row r="10440" spans="1:187" ht="11.25" customHeight="1">
      <c r="A10440" s="1" t="s">
        <v>14696</v>
      </c>
      <c r="B10440" s="1" t="str">
        <f ca="1">IFERROR(__xludf.DUMMYFUNCTION("GOOGLETRANSLATE(A10440, ""en"", ""fr"")"),"TERRIBLE")</f>
        <v>TERRIBLE</v>
      </c>
      <c r="C10440" s="1" t="s">
        <v>185</v>
      </c>
      <c r="E10440" s="1" t="s">
        <v>16613</v>
      </c>
      <c r="H10440" s="1" t="s">
        <v>4</v>
      </c>
      <c r="V10440" s="1" t="s">
        <v>18</v>
      </c>
      <c r="W10440" s="1" t="s">
        <v>19</v>
      </c>
      <c r="CN10440" s="1" t="s">
        <v>88</v>
      </c>
      <c r="FW10440" s="1" t="s">
        <v>175</v>
      </c>
      <c r="GD10440" s="1" t="s">
        <v>202</v>
      </c>
      <c r="GE10440" s="1" t="s">
        <v>14697</v>
      </c>
    </row>
    <row r="10441" spans="1:187" ht="11.25" customHeight="1">
      <c r="A10441" s="1" t="s">
        <v>14698</v>
      </c>
      <c r="B10441" s="1" t="str">
        <f ca="1">IFERROR(__xludf.DUMMYFUNCTION("GOOGLETRANSLATE(A10441, ""en"", ""fr"")"),"FORMIDABLE")</f>
        <v>FORMIDABLE</v>
      </c>
      <c r="C10441" s="1" t="s">
        <v>185</v>
      </c>
      <c r="D10441" s="1" t="s">
        <v>16612</v>
      </c>
      <c r="U10441" s="1" t="s">
        <v>17</v>
      </c>
      <c r="CM10441" s="1" t="s">
        <v>87</v>
      </c>
      <c r="DR10441" s="1" t="s">
        <v>118</v>
      </c>
      <c r="FA10441" s="1" t="s">
        <v>153</v>
      </c>
      <c r="FC10441" s="1" t="s">
        <v>155</v>
      </c>
      <c r="GD10441" s="1" t="s">
        <v>202</v>
      </c>
      <c r="GE10441" s="1" t="s">
        <v>190</v>
      </c>
    </row>
    <row r="10442" spans="1:187" ht="11.25" customHeight="1">
      <c r="A10442" s="1" t="s">
        <v>14699</v>
      </c>
      <c r="B10442" s="1" t="str">
        <f ca="1">IFERROR(__xludf.DUMMYFUNCTION("GOOGLETRANSLATE(A10442, ""en"", ""fr"")"),"TERRIFIER")</f>
        <v>TERRIFIER</v>
      </c>
      <c r="C10442" s="1" t="s">
        <v>185</v>
      </c>
      <c r="E10442" s="1" t="s">
        <v>16613</v>
      </c>
      <c r="N10442" s="1" t="s">
        <v>10</v>
      </c>
      <c r="Q10442" s="1" t="s">
        <v>13</v>
      </c>
      <c r="T10442" s="1" t="s">
        <v>16</v>
      </c>
      <c r="DN10442" s="1" t="s">
        <v>114</v>
      </c>
      <c r="EY10442" s="1" t="s">
        <v>151</v>
      </c>
      <c r="FC10442" s="1" t="s">
        <v>155</v>
      </c>
      <c r="GD10442" s="1" t="s">
        <v>670</v>
      </c>
      <c r="GE10442" s="1" t="s">
        <v>190</v>
      </c>
    </row>
    <row r="10443" spans="1:187" ht="11.25" customHeight="1">
      <c r="A10443" s="1" t="s">
        <v>14700</v>
      </c>
      <c r="B10443" s="1" t="str">
        <f ca="1">IFERROR(__xludf.DUMMYFUNCTION("GOOGLETRANSLATE(A10443, ""en"", ""fr"")"),"TERRITORIAL")</f>
        <v>TERRITORIAL</v>
      </c>
      <c r="C10443" s="1" t="s">
        <v>185</v>
      </c>
      <c r="J10443" s="1" t="s">
        <v>6</v>
      </c>
      <c r="AH10443" s="1" t="s">
        <v>30</v>
      </c>
      <c r="AV10443" s="1" t="s">
        <v>44</v>
      </c>
      <c r="AX10443" s="1" t="s">
        <v>46</v>
      </c>
      <c r="DV10443" s="1" t="s">
        <v>122</v>
      </c>
      <c r="ED10443" s="1" t="s">
        <v>130</v>
      </c>
      <c r="GD10443" s="1" t="s">
        <v>202</v>
      </c>
      <c r="GE10443" s="1" t="s">
        <v>190</v>
      </c>
    </row>
    <row r="10444" spans="1:187" ht="11.25" customHeight="1">
      <c r="A10444" s="1" t="s">
        <v>14701</v>
      </c>
      <c r="B10444" s="1" t="str">
        <f ca="1">IFERROR(__xludf.DUMMYFUNCTION("GOOGLETRANSLATE(A10444, ""en"", ""fr"")"),"TERRITOIRE")</f>
        <v>TERRITOIRE</v>
      </c>
      <c r="C10444" s="1" t="s">
        <v>185</v>
      </c>
      <c r="AH10444" s="1" t="s">
        <v>30</v>
      </c>
      <c r="AV10444" s="1" t="s">
        <v>44</v>
      </c>
      <c r="AX10444" s="1" t="s">
        <v>46</v>
      </c>
      <c r="DV10444" s="1" t="s">
        <v>122</v>
      </c>
      <c r="ED10444" s="1" t="s">
        <v>130</v>
      </c>
      <c r="GD10444" s="1" t="s">
        <v>193</v>
      </c>
      <c r="GE10444" s="1" t="s">
        <v>14702</v>
      </c>
    </row>
    <row r="10445" spans="1:187" ht="11.25" customHeight="1">
      <c r="A10445" s="1" t="s">
        <v>14703</v>
      </c>
      <c r="B10445" s="1" t="str">
        <f ca="1">IFERROR(__xludf.DUMMYFUNCTION("GOOGLETRANSLATE(A10445, ""en"", ""fr"")"),"LA TERREUR")</f>
        <v>LA TERREUR</v>
      </c>
      <c r="C10445" s="1" t="s">
        <v>185</v>
      </c>
      <c r="E10445" s="1" t="s">
        <v>16613</v>
      </c>
      <c r="H10445" s="1" t="s">
        <v>4</v>
      </c>
      <c r="Q10445" s="1" t="s">
        <v>13</v>
      </c>
      <c r="T10445" s="1" t="s">
        <v>16</v>
      </c>
      <c r="FA10445" s="1" t="s">
        <v>153</v>
      </c>
      <c r="FC10445" s="1" t="s">
        <v>155</v>
      </c>
      <c r="GD10445" s="1" t="s">
        <v>193</v>
      </c>
      <c r="GE10445" s="1" t="s">
        <v>190</v>
      </c>
    </row>
    <row r="10446" spans="1:187" ht="11.25" customHeight="1">
      <c r="A10446" s="1" t="s">
        <v>14704</v>
      </c>
      <c r="B10446" s="1" t="str">
        <f ca="1">IFERROR(__xludf.DUMMYFUNCTION("GOOGLETRANSLATE(A10446, ""en"", ""fr"")"),"TERRORISME")</f>
        <v>TERRORISME</v>
      </c>
      <c r="C10446" s="1" t="s">
        <v>185</v>
      </c>
      <c r="E10446" s="1" t="s">
        <v>16613</v>
      </c>
      <c r="I10446" s="1" t="s">
        <v>5</v>
      </c>
      <c r="CC10446" s="1" t="s">
        <v>77</v>
      </c>
      <c r="FA10446" s="1" t="s">
        <v>153</v>
      </c>
      <c r="FC10446" s="1" t="s">
        <v>155</v>
      </c>
      <c r="GD10446" s="1" t="s">
        <v>1177</v>
      </c>
      <c r="GE10446" s="1" t="s">
        <v>190</v>
      </c>
    </row>
    <row r="10447" spans="1:187" ht="11.25" customHeight="1">
      <c r="A10447" s="1" t="s">
        <v>14705</v>
      </c>
      <c r="B10447" s="1" t="str">
        <f ca="1">IFERROR(__xludf.DUMMYFUNCTION("GOOGLETRANSLATE(A10447, ""en"", ""fr"")"),"TERRORISER")</f>
        <v>TERRORISER</v>
      </c>
      <c r="C10447" s="1" t="s">
        <v>192</v>
      </c>
      <c r="E10447" s="1" t="s">
        <v>16613</v>
      </c>
      <c r="I10447" s="1" t="s">
        <v>5</v>
      </c>
      <c r="N10447" s="1" t="s">
        <v>10</v>
      </c>
      <c r="CC10447" s="1" t="s">
        <v>77</v>
      </c>
      <c r="DN10447" s="1" t="s">
        <v>114</v>
      </c>
      <c r="GD10447" s="1" t="s">
        <v>670</v>
      </c>
      <c r="GE10447" s="1" t="s">
        <v>190</v>
      </c>
    </row>
    <row r="10448" spans="1:187" ht="11.25" customHeight="1">
      <c r="A10448" s="1" t="s">
        <v>14706</v>
      </c>
      <c r="B10448" s="1" t="str">
        <f ca="1">IFERROR(__xludf.DUMMYFUNCTION("GOOGLETRANSLATE(A10448, ""en"", ""fr"")"),"Test n ° 1")</f>
        <v>Test n ° 1</v>
      </c>
      <c r="C10448" s="1" t="s">
        <v>185</v>
      </c>
      <c r="K10448" s="1" t="s">
        <v>7</v>
      </c>
      <c r="Y10448" s="1" t="s">
        <v>21</v>
      </c>
      <c r="AM10448" s="1" t="s">
        <v>35</v>
      </c>
      <c r="FZ10448" s="1" t="s">
        <v>178</v>
      </c>
      <c r="GD10448" s="1" t="s">
        <v>193</v>
      </c>
      <c r="GE10448" s="1" t="s">
        <v>14707</v>
      </c>
    </row>
    <row r="10449" spans="1:187" ht="11.25" customHeight="1">
      <c r="A10449" s="1" t="s">
        <v>14708</v>
      </c>
      <c r="B10449" s="1" t="str">
        <f ca="1">IFERROR(__xludf.DUMMYFUNCTION("GOOGLETRANSLATE(A10449, ""en"", ""fr"")"),"Test n ° 2")</f>
        <v>Test n ° 2</v>
      </c>
      <c r="C10449" s="1" t="s">
        <v>185</v>
      </c>
      <c r="K10449" s="1" t="s">
        <v>7</v>
      </c>
      <c r="N10449" s="1" t="s">
        <v>10</v>
      </c>
      <c r="Y10449" s="1" t="s">
        <v>21</v>
      </c>
      <c r="AN10449" s="1" t="s">
        <v>36</v>
      </c>
      <c r="DN10449" s="1" t="s">
        <v>114</v>
      </c>
      <c r="FZ10449" s="1" t="s">
        <v>178</v>
      </c>
      <c r="GD10449" s="1" t="s">
        <v>189</v>
      </c>
      <c r="GE10449" s="1" t="s">
        <v>14709</v>
      </c>
    </row>
    <row r="10450" spans="1:187" ht="11.25" customHeight="1">
      <c r="A10450" s="1" t="s">
        <v>14710</v>
      </c>
      <c r="B10450" s="1" t="str">
        <f ca="1">IFERROR(__xludf.DUMMYFUNCTION("GOOGLETRANSLATE(A10450, ""en"", ""fr"")"),"Test n ° 3")</f>
        <v>Test n ° 3</v>
      </c>
      <c r="C10450" s="1" t="s">
        <v>185</v>
      </c>
      <c r="BQ10450" s="1" t="s">
        <v>65</v>
      </c>
      <c r="FZ10450" s="1" t="s">
        <v>178</v>
      </c>
      <c r="GD10450" s="1" t="s">
        <v>193</v>
      </c>
      <c r="GE10450" s="1" t="s">
        <v>14711</v>
      </c>
    </row>
    <row r="10451" spans="1:187" ht="11.25" customHeight="1">
      <c r="A10451" s="1" t="s">
        <v>14712</v>
      </c>
      <c r="B10451" s="1" t="str">
        <f ca="1">IFERROR(__xludf.DUMMYFUNCTION("GOOGLETRANSLATE(A10451, ""en"", ""fr"")"),"TESTAMENT")</f>
        <v>TESTAMENT</v>
      </c>
      <c r="C10451" s="1" t="s">
        <v>185</v>
      </c>
      <c r="AE10451" s="1" t="s">
        <v>27</v>
      </c>
      <c r="AI10451" s="1" t="s">
        <v>31</v>
      </c>
      <c r="BC10451" s="1" t="s">
        <v>51</v>
      </c>
      <c r="BH10451" s="1" t="s">
        <v>56</v>
      </c>
      <c r="BL10451" s="1" t="s">
        <v>60</v>
      </c>
      <c r="EF10451" s="1" t="s">
        <v>132</v>
      </c>
      <c r="EJ10451" s="1" t="s">
        <v>136</v>
      </c>
      <c r="GD10451" s="1" t="s">
        <v>193</v>
      </c>
      <c r="GE10451" s="1" t="s">
        <v>190</v>
      </c>
    </row>
    <row r="10452" spans="1:187" ht="11.25" customHeight="1">
      <c r="A10452" s="1" t="s">
        <v>14713</v>
      </c>
      <c r="B10452" s="1" t="str">
        <f ca="1">IFERROR(__xludf.DUMMYFUNCTION("GOOGLETRANSLATE(A10452, ""en"", ""fr"")"),"TÉMOIGNER")</f>
        <v>TÉMOIGNER</v>
      </c>
      <c r="C10452" s="1" t="s">
        <v>185</v>
      </c>
      <c r="AE10452" s="1" t="s">
        <v>27</v>
      </c>
      <c r="BK10452" s="1" t="s">
        <v>59</v>
      </c>
      <c r="DN10452" s="1" t="s">
        <v>114</v>
      </c>
      <c r="FD10452" s="1" t="s">
        <v>156</v>
      </c>
      <c r="FI10452" s="1" t="s">
        <v>161</v>
      </c>
      <c r="GD10452" s="1" t="s">
        <v>189</v>
      </c>
      <c r="GE10452" s="1" t="s">
        <v>190</v>
      </c>
    </row>
    <row r="10453" spans="1:187" ht="11.25" customHeight="1">
      <c r="A10453" s="1" t="s">
        <v>14714</v>
      </c>
      <c r="B10453" s="1" t="str">
        <f ca="1">IFERROR(__xludf.DUMMYFUNCTION("GOOGLETRANSLATE(A10453, ""en"", ""fr"")"),"TÉMOIGNAGE")</f>
        <v>TÉMOIGNAGE</v>
      </c>
      <c r="C10453" s="1" t="s">
        <v>185</v>
      </c>
      <c r="AE10453" s="1" t="s">
        <v>27</v>
      </c>
      <c r="BC10453" s="1" t="s">
        <v>51</v>
      </c>
      <c r="BH10453" s="1" t="s">
        <v>56</v>
      </c>
      <c r="BL10453" s="1" t="s">
        <v>60</v>
      </c>
      <c r="FD10453" s="1" t="s">
        <v>156</v>
      </c>
      <c r="FI10453" s="1" t="s">
        <v>161</v>
      </c>
      <c r="GD10453" s="1" t="s">
        <v>193</v>
      </c>
      <c r="GE10453" s="1" t="s">
        <v>190</v>
      </c>
    </row>
    <row r="10454" spans="1:187" ht="11.25" customHeight="1">
      <c r="A10454" s="1" t="s">
        <v>14715</v>
      </c>
      <c r="B10454" s="1" t="str">
        <f ca="1">IFERROR(__xludf.DUMMYFUNCTION("GOOGLETRANSLATE(A10454, ""en"", ""fr"")"),"TEXAS")</f>
        <v>TEXAS</v>
      </c>
      <c r="C10454" s="1" t="s">
        <v>185</v>
      </c>
      <c r="AC10454" s="1" t="s">
        <v>25</v>
      </c>
      <c r="AH10454" s="1" t="s">
        <v>30</v>
      </c>
      <c r="DI10454" s="1" t="s">
        <v>109</v>
      </c>
      <c r="GD10454" s="1" t="s">
        <v>193</v>
      </c>
      <c r="GE10454" s="1" t="s">
        <v>190</v>
      </c>
    </row>
    <row r="10455" spans="1:187" ht="11.25" customHeight="1">
      <c r="A10455" s="1" t="s">
        <v>14716</v>
      </c>
      <c r="B10455" s="1" t="str">
        <f ca="1">IFERROR(__xludf.DUMMYFUNCTION("GOOGLETRANSLATE(A10455, ""en"", ""fr"")"),"TEXTE")</f>
        <v>TEXTE</v>
      </c>
      <c r="C10455" s="1" t="s">
        <v>185</v>
      </c>
      <c r="Y10455" s="1" t="s">
        <v>21</v>
      </c>
      <c r="BC10455" s="1" t="s">
        <v>51</v>
      </c>
      <c r="BH10455" s="1" t="s">
        <v>56</v>
      </c>
      <c r="BL10455" s="1" t="s">
        <v>60</v>
      </c>
      <c r="FH10455" s="1" t="s">
        <v>160</v>
      </c>
      <c r="FI10455" s="1" t="s">
        <v>161</v>
      </c>
      <c r="GD10455" s="1" t="s">
        <v>193</v>
      </c>
      <c r="GE10455" s="1" t="s">
        <v>190</v>
      </c>
    </row>
    <row r="10456" spans="1:187" ht="11.25" customHeight="1">
      <c r="A10456" s="1" t="s">
        <v>14717</v>
      </c>
      <c r="B10456" s="1" t="str">
        <f ca="1">IFERROR(__xludf.DUMMYFUNCTION("GOOGLETRANSLATE(A10456, ""en"", ""fr"")"),"TEXTILE")</f>
        <v>TEXTILE</v>
      </c>
      <c r="C10456" s="1" t="s">
        <v>185</v>
      </c>
      <c r="AC10456" s="1" t="s">
        <v>25</v>
      </c>
      <c r="BC10456" s="1" t="s">
        <v>51</v>
      </c>
      <c r="BD10456" s="1" t="s">
        <v>52</v>
      </c>
      <c r="EV10456" s="1" t="s">
        <v>148</v>
      </c>
      <c r="EW10456" s="1" t="s">
        <v>149</v>
      </c>
      <c r="GD10456" s="1" t="s">
        <v>193</v>
      </c>
      <c r="GE10456" s="1" t="s">
        <v>190</v>
      </c>
    </row>
    <row r="10457" spans="1:187" ht="11.25" customHeight="1">
      <c r="A10457" s="1" t="s">
        <v>14718</v>
      </c>
      <c r="B10457" s="1" t="str">
        <f ca="1">IFERROR(__xludf.DUMMYFUNCTION("GOOGLETRANSLATE(A10457, ""en"", ""fr"")"),"TEXTURE")</f>
        <v>TEXTURE</v>
      </c>
      <c r="C10457" s="1" t="s">
        <v>185</v>
      </c>
      <c r="CR10457" s="1" t="s">
        <v>92</v>
      </c>
      <c r="GD10457" s="1" t="s">
        <v>193</v>
      </c>
      <c r="GE10457" s="1" t="s">
        <v>190</v>
      </c>
    </row>
    <row r="10458" spans="1:187" ht="11.25" customHeight="1">
      <c r="A10458" s="1" t="s">
        <v>14719</v>
      </c>
      <c r="B10458" s="1" t="str">
        <f ca="1">IFERROR(__xludf.DUMMYFUNCTION("GOOGLETRANSLATE(A10458, ""en"", ""fr"")"),"THAÏLANDE")</f>
        <v>THAÏLANDE</v>
      </c>
      <c r="C10458" s="1" t="s">
        <v>196</v>
      </c>
      <c r="FU10458" s="1" t="s">
        <v>173</v>
      </c>
      <c r="GD10458" s="1" t="s">
        <v>545</v>
      </c>
    </row>
    <row r="10459" spans="1:187" ht="11.25" customHeight="1">
      <c r="A10459" s="1" t="s">
        <v>14720</v>
      </c>
      <c r="B10459" s="1" t="str">
        <f ca="1">IFERROR(__xludf.DUMMYFUNCTION("GOOGLETRANSLATE(A10459, ""en"", ""fr"")"),"QUE")</f>
        <v>QUE</v>
      </c>
      <c r="C10459" s="1" t="s">
        <v>185</v>
      </c>
      <c r="GD10459" s="1" t="s">
        <v>763</v>
      </c>
      <c r="GE10459" s="1" t="s">
        <v>14721</v>
      </c>
    </row>
    <row r="10460" spans="1:187" ht="11.25" customHeight="1">
      <c r="A10460" s="1" t="s">
        <v>14722</v>
      </c>
      <c r="B10460" s="1" t="str">
        <f ca="1">IFERROR(__xludf.DUMMYFUNCTION("GOOGLETRANSLATE(A10460, ""en"", ""fr"")"),"Merci # 1")</f>
        <v>Merci # 1</v>
      </c>
      <c r="C10460" s="1" t="s">
        <v>185</v>
      </c>
      <c r="D10460" s="1" t="s">
        <v>16612</v>
      </c>
      <c r="F10460" s="1" t="s">
        <v>2</v>
      </c>
      <c r="G10460" s="1" t="s">
        <v>3</v>
      </c>
      <c r="BK10460" s="1" t="s">
        <v>59</v>
      </c>
      <c r="DO10460" s="1" t="s">
        <v>115</v>
      </c>
      <c r="FN10460" s="1" t="s">
        <v>166</v>
      </c>
      <c r="GD10460" s="1" t="s">
        <v>189</v>
      </c>
      <c r="GE10460" s="1" t="s">
        <v>14723</v>
      </c>
    </row>
    <row r="10461" spans="1:187" ht="11.25" customHeight="1">
      <c r="A10461" s="1" t="s">
        <v>14724</v>
      </c>
      <c r="B10461" s="1" t="str">
        <f ca="1">IFERROR(__xludf.DUMMYFUNCTION("GOOGLETRANSLATE(A10461, ""en"", ""fr"")"),"Merci # 2")</f>
        <v>Merci # 2</v>
      </c>
      <c r="C10461" s="1" t="s">
        <v>185</v>
      </c>
      <c r="D10461" s="1" t="s">
        <v>16612</v>
      </c>
      <c r="F10461" s="1" t="s">
        <v>2</v>
      </c>
      <c r="G10461" s="1" t="s">
        <v>3</v>
      </c>
      <c r="BK10461" s="1" t="s">
        <v>59</v>
      </c>
      <c r="BL10461" s="1" t="s">
        <v>60</v>
      </c>
      <c r="FX10461" s="1" t="s">
        <v>176</v>
      </c>
      <c r="GC10461" s="1" t="s">
        <v>181</v>
      </c>
      <c r="GD10461" s="1" t="s">
        <v>193</v>
      </c>
      <c r="GE10461" s="1" t="s">
        <v>14725</v>
      </c>
    </row>
    <row r="10462" spans="1:187" ht="11.25" customHeight="1">
      <c r="A10462" s="1" t="s">
        <v>14726</v>
      </c>
      <c r="B10462" s="1" t="str">
        <f ca="1">IFERROR(__xludf.DUMMYFUNCTION("GOOGLETRANSLATE(A10462, ""en"", ""fr"")"),"Merci # 3")</f>
        <v>Merci # 3</v>
      </c>
      <c r="C10462" s="1" t="s">
        <v>185</v>
      </c>
      <c r="D10462" s="1" t="s">
        <v>16612</v>
      </c>
      <c r="F10462" s="1" t="s">
        <v>2</v>
      </c>
      <c r="G10462" s="1" t="s">
        <v>3</v>
      </c>
      <c r="BK10462" s="1" t="s">
        <v>59</v>
      </c>
      <c r="DM10462" s="1" t="s">
        <v>113</v>
      </c>
      <c r="FX10462" s="1" t="s">
        <v>176</v>
      </c>
      <c r="GD10462" s="1" t="s">
        <v>3750</v>
      </c>
      <c r="GE10462" s="1" t="s">
        <v>14727</v>
      </c>
    </row>
    <row r="10463" spans="1:187" ht="11.25" customHeight="1">
      <c r="A10463" s="1" t="s">
        <v>14728</v>
      </c>
      <c r="B10463" s="1" t="str">
        <f ca="1">IFERROR(__xludf.DUMMYFUNCTION("GOOGLETRANSLATE(A10463, ""en"", ""fr"")"),"Merci # 4")</f>
        <v>Merci # 4</v>
      </c>
      <c r="C10463" s="1" t="s">
        <v>185</v>
      </c>
      <c r="CI10463" s="1" t="s">
        <v>83</v>
      </c>
      <c r="FX10463" s="1" t="s">
        <v>176</v>
      </c>
      <c r="GD10463" s="1" t="s">
        <v>193</v>
      </c>
      <c r="GE10463" s="1" t="s">
        <v>14729</v>
      </c>
    </row>
    <row r="10464" spans="1:187" ht="11.25" customHeight="1">
      <c r="A10464" s="1" t="s">
        <v>14730</v>
      </c>
      <c r="B10464" s="1" t="str">
        <f ca="1">IFERROR(__xludf.DUMMYFUNCTION("GOOGLETRANSLATE(A10464, ""en"", ""fr"")"),"RECONNAISSANT")</f>
        <v>RECONNAISSANT</v>
      </c>
      <c r="C10464" s="1" t="s">
        <v>192</v>
      </c>
      <c r="D10464" s="1" t="s">
        <v>16612</v>
      </c>
      <c r="M10464" s="1" t="s">
        <v>9</v>
      </c>
      <c r="BN10464" s="1" t="s">
        <v>62</v>
      </c>
      <c r="DQ10464" s="1" t="s">
        <v>117</v>
      </c>
      <c r="GD10464" s="1" t="s">
        <v>4155</v>
      </c>
      <c r="GE10464" s="1" t="s">
        <v>190</v>
      </c>
    </row>
    <row r="10465" spans="1:187" ht="11.25" customHeight="1">
      <c r="A10465" s="1" t="s">
        <v>14731</v>
      </c>
      <c r="B10465" s="1" t="str">
        <f ca="1">IFERROR(__xludf.DUMMYFUNCTION("GOOGLETRANSLATE(A10465, ""en"", ""fr"")"),"Que # 1")</f>
        <v>Que # 1</v>
      </c>
      <c r="C10465" s="1" t="s">
        <v>185</v>
      </c>
      <c r="GD10465" s="1" t="s">
        <v>763</v>
      </c>
      <c r="GE10465" s="1" t="s">
        <v>14732</v>
      </c>
    </row>
    <row r="10466" spans="1:187" ht="11.25" customHeight="1">
      <c r="A10466" s="1" t="s">
        <v>14733</v>
      </c>
      <c r="B10466" s="1" t="str">
        <f ca="1">IFERROR(__xludf.DUMMYFUNCTION("GOOGLETRANSLATE(A10466, ""en"", ""fr"")"),"Que # 2")</f>
        <v>Que # 2</v>
      </c>
      <c r="C10466" s="1" t="s">
        <v>185</v>
      </c>
      <c r="GD10466" s="1" t="s">
        <v>884</v>
      </c>
      <c r="GE10466" s="1" t="s">
        <v>14734</v>
      </c>
    </row>
    <row r="10467" spans="1:187" ht="11.25" customHeight="1">
      <c r="A10467" s="1" t="s">
        <v>14735</v>
      </c>
      <c r="B10467" s="1" t="str">
        <f ca="1">IFERROR(__xludf.DUMMYFUNCTION("GOOGLETRANSLATE(A10467, ""en"", ""fr"")"),"Que # 3")</f>
        <v>Que # 3</v>
      </c>
      <c r="C10467" s="1" t="s">
        <v>185</v>
      </c>
      <c r="GD10467" s="1" t="s">
        <v>14736</v>
      </c>
      <c r="GE10467" s="1" t="s">
        <v>14737</v>
      </c>
    </row>
    <row r="10468" spans="1:187" ht="11.25" customHeight="1">
      <c r="A10468" s="1" t="s">
        <v>14738</v>
      </c>
      <c r="B10468" s="1" t="str">
        <f ca="1">IFERROR(__xludf.DUMMYFUNCTION("GOOGLETRANSLATE(A10468, ""en"", ""fr"")"),"Que # 4")</f>
        <v>Que # 4</v>
      </c>
      <c r="C10468" s="1" t="s">
        <v>185</v>
      </c>
      <c r="GD10468" s="1" t="s">
        <v>225</v>
      </c>
      <c r="GE10468" s="1" t="s">
        <v>14739</v>
      </c>
    </row>
    <row r="10469" spans="1:187" ht="11.25" customHeight="1">
      <c r="A10469" s="1" t="s">
        <v>14740</v>
      </c>
      <c r="B10469" s="1" t="str">
        <f ca="1">IFERROR(__xludf.DUMMYFUNCTION("GOOGLETRANSLATE(A10469, ""en"", ""fr"")"),"LE")</f>
        <v>LE</v>
      </c>
      <c r="C10469" s="1" t="s">
        <v>185</v>
      </c>
      <c r="GD10469" s="1" t="s">
        <v>186</v>
      </c>
      <c r="GE10469" s="1" t="s">
        <v>14741</v>
      </c>
    </row>
    <row r="10470" spans="1:187" ht="11.25" customHeight="1">
      <c r="A10470" s="1" t="s">
        <v>14742</v>
      </c>
      <c r="B10470" s="1" t="str">
        <f ca="1">IFERROR(__xludf.DUMMYFUNCTION("GOOGLETRANSLATE(A10470, ""en"", ""fr"")"),"THÉÂTRE")</f>
        <v>THÉÂTRE</v>
      </c>
      <c r="C10470" s="1" t="s">
        <v>185</v>
      </c>
      <c r="AD10470" s="1" t="s">
        <v>26</v>
      </c>
      <c r="AV10470" s="1" t="s">
        <v>44</v>
      </c>
      <c r="AW10470" s="1" t="s">
        <v>45</v>
      </c>
      <c r="GD10470" s="1" t="s">
        <v>193</v>
      </c>
      <c r="GE10470" s="1" t="s">
        <v>190</v>
      </c>
    </row>
    <row r="10471" spans="1:187" ht="11.25" customHeight="1">
      <c r="A10471" s="1" t="s">
        <v>14743</v>
      </c>
      <c r="B10471" s="1" t="str">
        <f ca="1">IFERROR(__xludf.DUMMYFUNCTION("GOOGLETRANSLATE(A10471, ""en"", ""fr"")"),"THÉÂTRE")</f>
        <v>THÉÂTRE</v>
      </c>
      <c r="C10471" s="1" t="s">
        <v>185</v>
      </c>
      <c r="AD10471" s="1" t="s">
        <v>26</v>
      </c>
      <c r="AV10471" s="1" t="s">
        <v>44</v>
      </c>
      <c r="AW10471" s="1" t="s">
        <v>45</v>
      </c>
      <c r="GD10471" s="1" t="s">
        <v>193</v>
      </c>
      <c r="GE10471" s="1" t="s">
        <v>190</v>
      </c>
    </row>
    <row r="10472" spans="1:187" ht="11.25" customHeight="1">
      <c r="A10472" s="1" t="s">
        <v>14744</v>
      </c>
      <c r="B10472" s="1" t="str">
        <f ca="1">IFERROR(__xludf.DUMMYFUNCTION("GOOGLETRANSLATE(A10472, ""en"", ""fr"")"),"TE")</f>
        <v>TE</v>
      </c>
      <c r="C10472" s="1" t="s">
        <v>185</v>
      </c>
      <c r="DH10472" s="1" t="s">
        <v>108</v>
      </c>
      <c r="GD10472" s="1" t="s">
        <v>14745</v>
      </c>
      <c r="GE10472" s="1" t="s">
        <v>190</v>
      </c>
    </row>
    <row r="10473" spans="1:187" ht="11.25" customHeight="1">
      <c r="A10473" s="1" t="s">
        <v>14746</v>
      </c>
      <c r="B10473" s="1" t="str">
        <f ca="1">IFERROR(__xludf.DUMMYFUNCTION("GOOGLETRANSLATE(A10473, ""en"", ""fr"")"),"VOL")</f>
        <v>VOL</v>
      </c>
      <c r="C10473" s="1" t="s">
        <v>185</v>
      </c>
      <c r="E10473" s="1" t="s">
        <v>16613</v>
      </c>
      <c r="I10473" s="1" t="s">
        <v>5</v>
      </c>
      <c r="AE10473" s="1" t="s">
        <v>27</v>
      </c>
      <c r="CD10473" s="1" t="s">
        <v>78</v>
      </c>
      <c r="EE10473" s="1" t="s">
        <v>131</v>
      </c>
      <c r="EJ10473" s="1" t="s">
        <v>136</v>
      </c>
      <c r="GD10473" s="1" t="s">
        <v>193</v>
      </c>
      <c r="GE10473" s="1" t="s">
        <v>190</v>
      </c>
    </row>
    <row r="10474" spans="1:187" ht="11.25" customHeight="1">
      <c r="A10474" s="1" t="s">
        <v>14747</v>
      </c>
      <c r="B10474" s="1" t="str">
        <f ca="1">IFERROR(__xludf.DUMMYFUNCTION("GOOGLETRANSLATE(A10474, ""en"", ""fr"")"),"LEUR")</f>
        <v>LEUR</v>
      </c>
      <c r="C10474" s="1" t="s">
        <v>185</v>
      </c>
      <c r="GD10474" s="1" t="s">
        <v>14748</v>
      </c>
      <c r="GE10474" s="1" t="s">
        <v>14749</v>
      </c>
    </row>
    <row r="10475" spans="1:187" ht="11.25" customHeight="1">
      <c r="A10475" s="1" t="s">
        <v>14750</v>
      </c>
      <c r="B10475" s="1" t="str">
        <f ca="1">IFERROR(__xludf.DUMMYFUNCTION("GOOGLETRANSLATE(A10475, ""en"", ""fr"")"),"LES LEURS")</f>
        <v>LES LEURS</v>
      </c>
      <c r="C10475" s="1" t="s">
        <v>185</v>
      </c>
      <c r="GD10475" s="1" t="s">
        <v>14751</v>
      </c>
      <c r="GE10475" s="1" t="s">
        <v>190</v>
      </c>
    </row>
    <row r="10476" spans="1:187" ht="11.25" customHeight="1">
      <c r="A10476" s="1" t="s">
        <v>14752</v>
      </c>
      <c r="B10476" s="1" t="str">
        <f ca="1">IFERROR(__xludf.DUMMYFUNCTION("GOOGLETRANSLATE(A10476, ""en"", ""fr"")"),"EUX")</f>
        <v>EUX</v>
      </c>
      <c r="C10476" s="1" t="s">
        <v>185</v>
      </c>
      <c r="GD10476" s="1" t="s">
        <v>14753</v>
      </c>
      <c r="GE10476" s="1" t="s">
        <v>14754</v>
      </c>
    </row>
    <row r="10477" spans="1:187" ht="11.25" customHeight="1">
      <c r="A10477" s="1" t="s">
        <v>14755</v>
      </c>
      <c r="B10477" s="1" t="str">
        <f ca="1">IFERROR(__xludf.DUMMYFUNCTION("GOOGLETRANSLATE(A10477, ""en"", ""fr"")"),"THÈME")</f>
        <v>THÈME</v>
      </c>
      <c r="C10477" s="1" t="s">
        <v>185</v>
      </c>
      <c r="BL10477" s="1" t="s">
        <v>60</v>
      </c>
      <c r="CH10477" s="1" t="s">
        <v>82</v>
      </c>
      <c r="GC10477" s="1" t="s">
        <v>181</v>
      </c>
      <c r="GD10477" s="1" t="s">
        <v>193</v>
      </c>
      <c r="GE10477" s="1" t="s">
        <v>190</v>
      </c>
    </row>
    <row r="10478" spans="1:187" ht="11.25" customHeight="1">
      <c r="A10478" s="1" t="s">
        <v>14756</v>
      </c>
      <c r="B10478" s="1" t="str">
        <f ca="1">IFERROR(__xludf.DUMMYFUNCTION("GOOGLETRANSLATE(A10478, ""en"", ""fr"")"),"Eux-mêmes # 1")</f>
        <v>Eux-mêmes # 1</v>
      </c>
      <c r="C10478" s="1" t="s">
        <v>185</v>
      </c>
      <c r="GD10478" s="1" t="s">
        <v>14757</v>
      </c>
      <c r="GE10478" s="1" t="s">
        <v>190</v>
      </c>
    </row>
    <row r="10479" spans="1:187" ht="11.25" customHeight="1">
      <c r="A10479" s="1" t="s">
        <v>14758</v>
      </c>
      <c r="B10479" s="1" t="str">
        <f ca="1">IFERROR(__xludf.DUMMYFUNCTION("GOOGLETRANSLATE(A10479, ""en"", ""fr"")"),"ALORS")</f>
        <v>ALORS</v>
      </c>
      <c r="C10479" s="1" t="s">
        <v>185</v>
      </c>
      <c r="CY10479" s="1" t="s">
        <v>99</v>
      </c>
      <c r="GD10479" s="1" t="s">
        <v>236</v>
      </c>
      <c r="GE10479" s="1" t="s">
        <v>14759</v>
      </c>
    </row>
    <row r="10480" spans="1:187" ht="11.25" customHeight="1">
      <c r="A10480" s="1" t="s">
        <v>14760</v>
      </c>
      <c r="B10480" s="1" t="str">
        <f ca="1">IFERROR(__xludf.DUMMYFUNCTION("GOOGLETRANSLATE(A10480, ""en"", ""fr"")"),"DE LÀ")</f>
        <v>DE LÀ</v>
      </c>
      <c r="C10480" s="1" t="s">
        <v>185</v>
      </c>
      <c r="DA10480" s="1" t="s">
        <v>101</v>
      </c>
      <c r="GD10480" s="1" t="s">
        <v>236</v>
      </c>
      <c r="GE10480" s="1" t="s">
        <v>190</v>
      </c>
    </row>
    <row r="10481" spans="1:187" ht="11.25" customHeight="1">
      <c r="A10481" s="1" t="s">
        <v>14761</v>
      </c>
      <c r="B10481" s="1" t="str">
        <f ca="1">IFERROR(__xludf.DUMMYFUNCTION("GOOGLETRANSLATE(A10481, ""en"", ""fr"")"),"THÉOLOGIQUE")</f>
        <v>THÉOLOGIQUE</v>
      </c>
      <c r="C10481" s="1" t="s">
        <v>185</v>
      </c>
      <c r="Z10481" s="1" t="s">
        <v>22</v>
      </c>
      <c r="AI10481" s="1" t="s">
        <v>31</v>
      </c>
      <c r="EF10481" s="1" t="s">
        <v>132</v>
      </c>
      <c r="EJ10481" s="1" t="s">
        <v>136</v>
      </c>
      <c r="GD10481" s="1" t="s">
        <v>202</v>
      </c>
      <c r="GE10481" s="1" t="s">
        <v>190</v>
      </c>
    </row>
    <row r="10482" spans="1:187" ht="11.25" customHeight="1">
      <c r="A10482" s="1" t="s">
        <v>14762</v>
      </c>
      <c r="B10482" s="1" t="str">
        <f ca="1">IFERROR(__xludf.DUMMYFUNCTION("GOOGLETRANSLATE(A10482, ""en"", ""fr"")"),"THÉOLOGIE")</f>
        <v>THÉOLOGIE</v>
      </c>
      <c r="C10482" s="1" t="s">
        <v>185</v>
      </c>
      <c r="Z10482" s="1" t="s">
        <v>22</v>
      </c>
      <c r="AI10482" s="1" t="s">
        <v>31</v>
      </c>
      <c r="EF10482" s="1" t="s">
        <v>132</v>
      </c>
      <c r="EJ10482" s="1" t="s">
        <v>136</v>
      </c>
      <c r="GD10482" s="1" t="s">
        <v>193</v>
      </c>
      <c r="GE10482" s="1" t="s">
        <v>190</v>
      </c>
    </row>
    <row r="10483" spans="1:187" ht="11.25" customHeight="1">
      <c r="A10483" s="1" t="s">
        <v>14763</v>
      </c>
      <c r="B10483" s="1" t="str">
        <f ca="1">IFERROR(__xludf.DUMMYFUNCTION("GOOGLETRANSLATE(A10483, ""en"", ""fr"")"),"THÉORIQUE")</f>
        <v>THÉORIQUE</v>
      </c>
      <c r="C10483" s="1" t="s">
        <v>185</v>
      </c>
      <c r="Y10483" s="1" t="s">
        <v>21</v>
      </c>
      <c r="Z10483" s="1" t="s">
        <v>22</v>
      </c>
      <c r="FH10483" s="1" t="s">
        <v>160</v>
      </c>
      <c r="FI10483" s="1" t="s">
        <v>161</v>
      </c>
      <c r="GD10483" s="1" t="s">
        <v>202</v>
      </c>
      <c r="GE10483" s="1" t="s">
        <v>190</v>
      </c>
    </row>
    <row r="10484" spans="1:187" ht="11.25" customHeight="1">
      <c r="A10484" s="1" t="s">
        <v>14764</v>
      </c>
      <c r="B10484" s="1" t="str">
        <f ca="1">IFERROR(__xludf.DUMMYFUNCTION("GOOGLETRANSLATE(A10484, ""en"", ""fr"")"),"THÉORIE")</f>
        <v>THÉORIE</v>
      </c>
      <c r="C10484" s="1" t="s">
        <v>185</v>
      </c>
      <c r="Y10484" s="1" t="s">
        <v>21</v>
      </c>
      <c r="Z10484" s="1" t="s">
        <v>22</v>
      </c>
      <c r="CP10484" s="1" t="s">
        <v>90</v>
      </c>
      <c r="CQ10484" s="1" t="s">
        <v>91</v>
      </c>
      <c r="FH10484" s="1" t="s">
        <v>160</v>
      </c>
      <c r="FI10484" s="1" t="s">
        <v>161</v>
      </c>
      <c r="GD10484" s="1" t="s">
        <v>193</v>
      </c>
      <c r="GE10484" s="1" t="s">
        <v>190</v>
      </c>
    </row>
    <row r="10485" spans="1:187" ht="11.25" customHeight="1">
      <c r="A10485" s="1" t="s">
        <v>14765</v>
      </c>
      <c r="B10485" s="1" t="str">
        <f ca="1">IFERROR(__xludf.DUMMYFUNCTION("GOOGLETRANSLATE(A10485, ""en"", ""fr"")"),"THÉRAPEUTIQUE")</f>
        <v>THÉRAPEUTIQUE</v>
      </c>
      <c r="C10485" s="1" t="s">
        <v>192</v>
      </c>
      <c r="D10485" s="1" t="s">
        <v>16612</v>
      </c>
      <c r="P10485" s="1" t="s">
        <v>12</v>
      </c>
      <c r="DR10485" s="1" t="s">
        <v>118</v>
      </c>
      <c r="GD10485" s="1" t="s">
        <v>202</v>
      </c>
      <c r="GE10485" s="1" t="s">
        <v>190</v>
      </c>
    </row>
    <row r="10486" spans="1:187" ht="11.25" customHeight="1">
      <c r="A10486" s="1" t="s">
        <v>14766</v>
      </c>
      <c r="B10486" s="1" t="str">
        <f ca="1">IFERROR(__xludf.DUMMYFUNCTION("GOOGLETRANSLATE(A10486, ""en"", ""fr"")"),"THÉRAPEUTE")</f>
        <v>THÉRAPEUTE</v>
      </c>
      <c r="C10486" s="1" t="s">
        <v>185</v>
      </c>
      <c r="AA10486" s="1" t="s">
        <v>23</v>
      </c>
      <c r="AJ10486" s="1" t="s">
        <v>32</v>
      </c>
      <c r="AT10486" s="1" t="s">
        <v>42</v>
      </c>
      <c r="FB10486" s="1" t="s">
        <v>154</v>
      </c>
      <c r="FC10486" s="1" t="s">
        <v>155</v>
      </c>
      <c r="GD10486" s="1" t="s">
        <v>193</v>
      </c>
      <c r="GE10486" s="1" t="s">
        <v>190</v>
      </c>
    </row>
    <row r="10487" spans="1:187" ht="11.25" customHeight="1">
      <c r="A10487" s="1" t="s">
        <v>14767</v>
      </c>
      <c r="B10487" s="1" t="str">
        <f ca="1">IFERROR(__xludf.DUMMYFUNCTION("GOOGLETRANSLATE(A10487, ""en"", ""fr"")"),"THÉRAPIE")</f>
        <v>THÉRAPIE</v>
      </c>
      <c r="C10487" s="1" t="s">
        <v>185</v>
      </c>
      <c r="BQ10487" s="1" t="s">
        <v>65</v>
      </c>
      <c r="EZ10487" s="1" t="s">
        <v>152</v>
      </c>
      <c r="FC10487" s="1" t="s">
        <v>155</v>
      </c>
      <c r="GD10487" s="1" t="s">
        <v>193</v>
      </c>
      <c r="GE10487" s="1" t="s">
        <v>190</v>
      </c>
    </row>
    <row r="10488" spans="1:187" ht="11.25" customHeight="1">
      <c r="A10488" s="1" t="s">
        <v>14768</v>
      </c>
      <c r="B10488" s="1" t="str">
        <f ca="1">IFERROR(__xludf.DUMMYFUNCTION("GOOGLETRANSLATE(A10488, ""en"", ""fr"")"),"Là # 1")</f>
        <v>Là # 1</v>
      </c>
      <c r="C10488" s="1" t="s">
        <v>185</v>
      </c>
      <c r="GD10488" s="1" t="s">
        <v>1957</v>
      </c>
      <c r="GE10488" s="1" t="s">
        <v>14769</v>
      </c>
    </row>
    <row r="10489" spans="1:187" ht="11.25" customHeight="1">
      <c r="A10489" s="1" t="s">
        <v>14770</v>
      </c>
      <c r="B10489" s="1" t="str">
        <f ca="1">IFERROR(__xludf.DUMMYFUNCTION("GOOGLETRANSLATE(A10489, ""en"", ""fr"")"),"Là # 2")</f>
        <v>Là # 2</v>
      </c>
      <c r="C10489" s="1" t="s">
        <v>185</v>
      </c>
      <c r="DA10489" s="1" t="s">
        <v>101</v>
      </c>
      <c r="GB10489" s="1" t="s">
        <v>180</v>
      </c>
      <c r="GD10489" s="1" t="s">
        <v>236</v>
      </c>
      <c r="GE10489" s="1" t="s">
        <v>14771</v>
      </c>
    </row>
    <row r="10490" spans="1:187" ht="11.25" customHeight="1">
      <c r="A10490" s="1" t="s">
        <v>14772</v>
      </c>
      <c r="B10490" s="1" t="str">
        <f ca="1">IFERROR(__xludf.DUMMYFUNCTION("GOOGLETRANSLATE(A10490, ""en"", ""fr"")"),"APRÈS")</f>
        <v>APRÈS</v>
      </c>
      <c r="C10490" s="1" t="s">
        <v>185</v>
      </c>
      <c r="CY10490" s="1" t="s">
        <v>99</v>
      </c>
      <c r="GB10490" s="1" t="s">
        <v>180</v>
      </c>
      <c r="GD10490" s="1" t="s">
        <v>236</v>
      </c>
      <c r="GE10490" s="1" t="s">
        <v>190</v>
      </c>
    </row>
    <row r="10491" spans="1:187" ht="11.25" customHeight="1">
      <c r="A10491" s="1" t="s">
        <v>14773</v>
      </c>
      <c r="B10491" s="1" t="str">
        <f ca="1">IFERROR(__xludf.DUMMYFUNCTION("GOOGLETRANSLATE(A10491, ""en"", ""fr"")"),"AINSI")</f>
        <v>AINSI</v>
      </c>
      <c r="C10491" s="1" t="s">
        <v>185</v>
      </c>
      <c r="W10491" s="1" t="s">
        <v>19</v>
      </c>
      <c r="CI10491" s="1" t="s">
        <v>83</v>
      </c>
      <c r="GD10491" s="1" t="s">
        <v>236</v>
      </c>
      <c r="GE10491" s="1" t="s">
        <v>190</v>
      </c>
    </row>
    <row r="10492" spans="1:187" ht="11.25" customHeight="1">
      <c r="A10492" s="1" t="s">
        <v>14774</v>
      </c>
      <c r="B10492" s="1" t="str">
        <f ca="1">IFERROR(__xludf.DUMMYFUNCTION("GOOGLETRANSLATE(A10492, ""en"", ""fr"")"),"DONC")</f>
        <v>DONC</v>
      </c>
      <c r="C10492" s="1" t="s">
        <v>185</v>
      </c>
      <c r="W10492" s="1" t="s">
        <v>19</v>
      </c>
      <c r="CI10492" s="1" t="s">
        <v>83</v>
      </c>
      <c r="GD10492" s="1" t="s">
        <v>236</v>
      </c>
      <c r="GE10492" s="1" t="s">
        <v>14775</v>
      </c>
    </row>
    <row r="10493" spans="1:187" ht="11.25" customHeight="1">
      <c r="A10493" s="1" t="s">
        <v>14776</v>
      </c>
      <c r="B10493" s="1" t="str">
        <f ca="1">IFERROR(__xludf.DUMMYFUNCTION("GOOGLETRANSLATE(A10493, ""en"", ""fr"")"),"À ce sujet")</f>
        <v>À ce sujet</v>
      </c>
      <c r="C10493" s="1" t="s">
        <v>185</v>
      </c>
      <c r="DA10493" s="1" t="s">
        <v>101</v>
      </c>
      <c r="GB10493" s="1" t="s">
        <v>180</v>
      </c>
      <c r="GD10493" s="1" t="s">
        <v>236</v>
      </c>
      <c r="GE10493" s="1" t="s">
        <v>190</v>
      </c>
    </row>
    <row r="10494" spans="1:187" ht="11.25" customHeight="1">
      <c r="A10494" s="1" t="s">
        <v>14777</v>
      </c>
      <c r="B10494" s="1" t="str">
        <f ca="1">IFERROR(__xludf.DUMMYFUNCTION("GOOGLETRANSLATE(A10494, ""en"", ""fr"")"),"LA BRIDE")</f>
        <v>LA BRIDE</v>
      </c>
      <c r="C10494" s="1" t="s">
        <v>185</v>
      </c>
      <c r="DA10494" s="1" t="s">
        <v>101</v>
      </c>
      <c r="GB10494" s="1" t="s">
        <v>180</v>
      </c>
      <c r="GD10494" s="1" t="s">
        <v>236</v>
      </c>
      <c r="GE10494" s="1" t="s">
        <v>190</v>
      </c>
    </row>
    <row r="10495" spans="1:187" ht="11.25" customHeight="1">
      <c r="A10495" s="1" t="s">
        <v>14778</v>
      </c>
      <c r="B10495" s="1" t="str">
        <f ca="1">IFERROR(__xludf.DUMMYFUNCTION("GOOGLETRANSLATE(A10495, ""en"", ""fr"")"),"Celle-ci")</f>
        <v>Celle-ci</v>
      </c>
      <c r="C10495" s="1" t="s">
        <v>185</v>
      </c>
      <c r="GB10495" s="1" t="s">
        <v>180</v>
      </c>
      <c r="GD10495" s="1" t="s">
        <v>236</v>
      </c>
      <c r="GE10495" s="1" t="s">
        <v>190</v>
      </c>
    </row>
    <row r="10496" spans="1:187" ht="11.25" customHeight="1">
      <c r="A10496" s="1" t="s">
        <v>14779</v>
      </c>
      <c r="B10496" s="1" t="str">
        <f ca="1">IFERROR(__xludf.DUMMYFUNCTION("GOOGLETRANSLATE(A10496, ""en"", ""fr"")"),"Là")</f>
        <v>Là</v>
      </c>
      <c r="C10496" s="1" t="s">
        <v>196</v>
      </c>
      <c r="GD10496" s="1" t="s">
        <v>202</v>
      </c>
    </row>
    <row r="10497" spans="1:187" ht="11.25" customHeight="1">
      <c r="A10497" s="1" t="s">
        <v>14780</v>
      </c>
      <c r="B10497" s="1" t="str">
        <f ca="1">IFERROR(__xludf.DUMMYFUNCTION("GOOGLETRANSLATE(A10497, ""en"", ""fr"")"),"À celui-ci")</f>
        <v>À celui-ci</v>
      </c>
      <c r="C10497" s="1" t="s">
        <v>185</v>
      </c>
      <c r="DA10497" s="1" t="s">
        <v>101</v>
      </c>
      <c r="GB10497" s="1" t="s">
        <v>180</v>
      </c>
      <c r="GD10497" s="1" t="s">
        <v>236</v>
      </c>
      <c r="GE10497" s="1" t="s">
        <v>190</v>
      </c>
    </row>
    <row r="10498" spans="1:187" ht="11.25" customHeight="1">
      <c r="A10498" s="1" t="s">
        <v>14781</v>
      </c>
      <c r="B10498" s="1" t="str">
        <f ca="1">IFERROR(__xludf.DUMMYFUNCTION("GOOGLETRANSLATE(A10498, ""en"", ""fr"")"),"À ce sujet")</f>
        <v>À ce sujet</v>
      </c>
      <c r="C10498" s="1" t="s">
        <v>185</v>
      </c>
      <c r="CY10498" s="1" t="s">
        <v>99</v>
      </c>
      <c r="GB10498" s="1" t="s">
        <v>180</v>
      </c>
      <c r="GD10498" s="1" t="s">
        <v>236</v>
      </c>
      <c r="GE10498" s="1" t="s">
        <v>190</v>
      </c>
    </row>
    <row r="10499" spans="1:187" ht="11.25" customHeight="1">
      <c r="A10499" s="1" t="s">
        <v>14782</v>
      </c>
      <c r="B10499" s="1" t="str">
        <f ca="1">IFERROR(__xludf.DUMMYFUNCTION("GOOGLETRANSLATE(A10499, ""en"", ""fr"")"),"Thermomucléaire")</f>
        <v>Thermomucléaire</v>
      </c>
      <c r="C10499" s="1" t="s">
        <v>196</v>
      </c>
      <c r="FH10499" s="1" t="s">
        <v>160</v>
      </c>
      <c r="FI10499" s="1" t="s">
        <v>161</v>
      </c>
      <c r="GD10499" s="1" t="s">
        <v>193</v>
      </c>
    </row>
    <row r="10500" spans="1:187" ht="11.25" customHeight="1">
      <c r="A10500" s="1" t="s">
        <v>14783</v>
      </c>
      <c r="B10500" s="1" t="str">
        <f ca="1">IFERROR(__xludf.DUMMYFUNCTION("GOOGLETRANSLATE(A10500, ""en"", ""fr"")"),"Ces n ° 1")</f>
        <v>Ces n ° 1</v>
      </c>
      <c r="C10500" s="1" t="s">
        <v>185</v>
      </c>
      <c r="GD10500" s="1" t="s">
        <v>14784</v>
      </c>
      <c r="GE10500" s="1" t="s">
        <v>14785</v>
      </c>
    </row>
    <row r="10501" spans="1:187" ht="11.25" customHeight="1">
      <c r="A10501" s="1" t="s">
        <v>14786</v>
      </c>
      <c r="B10501" s="1" t="str">
        <f ca="1">IFERROR(__xludf.DUMMYFUNCTION("GOOGLETRANSLATE(A10501, ""en"", ""fr"")"),"Ces # 2")</f>
        <v>Ces # 2</v>
      </c>
      <c r="C10501" s="1" t="s">
        <v>185</v>
      </c>
      <c r="GD10501" s="1" t="s">
        <v>14787</v>
      </c>
      <c r="GE10501" s="1" t="s">
        <v>14788</v>
      </c>
    </row>
    <row r="10502" spans="1:187" ht="11.25" customHeight="1">
      <c r="A10502" s="1" t="s">
        <v>14789</v>
      </c>
      <c r="B10502" s="1" t="str">
        <f ca="1">IFERROR(__xludf.DUMMYFUNCTION("GOOGLETRANSLATE(A10502, ""en"", ""fr"")"),"ILS")</f>
        <v>ILS</v>
      </c>
      <c r="C10502" s="1" t="s">
        <v>185</v>
      </c>
      <c r="GD10502" s="1" t="s">
        <v>14790</v>
      </c>
      <c r="GE10502" s="1" t="s">
        <v>14791</v>
      </c>
    </row>
    <row r="10503" spans="1:187" ht="11.25" customHeight="1">
      <c r="A10503" s="1" t="s">
        <v>14792</v>
      </c>
      <c r="B10503" s="1" t="str">
        <f ca="1">IFERROR(__xludf.DUMMYFUNCTION("GOOGLETRANSLATE(A10503, ""en"", ""fr"")"),"ÉPAIS")</f>
        <v>ÉPAIS</v>
      </c>
      <c r="C10503" s="1" t="s">
        <v>185</v>
      </c>
      <c r="J10503" s="1" t="s">
        <v>6</v>
      </c>
      <c r="DA10503" s="1" t="s">
        <v>101</v>
      </c>
      <c r="DC10503" s="1" t="s">
        <v>103</v>
      </c>
      <c r="GD10503" s="1" t="s">
        <v>202</v>
      </c>
      <c r="GE10503" s="1" t="s">
        <v>190</v>
      </c>
    </row>
    <row r="10504" spans="1:187" ht="11.25" customHeight="1">
      <c r="A10504" s="1" t="s">
        <v>14793</v>
      </c>
      <c r="B10504" s="1" t="str">
        <f ca="1">IFERROR(__xludf.DUMMYFUNCTION("GOOGLETRANSLATE(A10504, ""en"", ""fr"")"),"ÉPAISSIR")</f>
        <v>ÉPAISSIR</v>
      </c>
      <c r="C10504" s="1" t="s">
        <v>185</v>
      </c>
      <c r="J10504" s="1" t="s">
        <v>6</v>
      </c>
      <c r="N10504" s="1" t="s">
        <v>10</v>
      </c>
      <c r="DD10504" s="1" t="s">
        <v>104</v>
      </c>
      <c r="DN10504" s="1" t="s">
        <v>114</v>
      </c>
      <c r="GD10504" s="1" t="s">
        <v>189</v>
      </c>
      <c r="GE10504" s="1" t="s">
        <v>190</v>
      </c>
    </row>
    <row r="10505" spans="1:187" ht="11.25" customHeight="1">
      <c r="A10505" s="1" t="s">
        <v>14794</v>
      </c>
      <c r="B10505" s="1" t="str">
        <f ca="1">IFERROR(__xludf.DUMMYFUNCTION("GOOGLETRANSLATE(A10505, ""en"", ""fr"")"),"ÉPAISSEUR")</f>
        <v>ÉPAISSEUR</v>
      </c>
      <c r="C10505" s="1" t="s">
        <v>185</v>
      </c>
      <c r="DA10505" s="1" t="s">
        <v>101</v>
      </c>
      <c r="GD10505" s="1" t="s">
        <v>193</v>
      </c>
      <c r="GE10505" s="1" t="s">
        <v>190</v>
      </c>
    </row>
    <row r="10506" spans="1:187" ht="11.25" customHeight="1">
      <c r="A10506" s="1" t="s">
        <v>14795</v>
      </c>
      <c r="B10506" s="1" t="str">
        <f ca="1">IFERROR(__xludf.DUMMYFUNCTION("GOOGLETRANSLATE(A10506, ""en"", ""fr"")"),"VOLEUR")</f>
        <v>VOLEUR</v>
      </c>
      <c r="C10506" s="1" t="s">
        <v>185</v>
      </c>
      <c r="E10506" s="1" t="s">
        <v>16613</v>
      </c>
      <c r="I10506" s="1" t="s">
        <v>5</v>
      </c>
      <c r="AE10506" s="1" t="s">
        <v>27</v>
      </c>
      <c r="AJ10506" s="1" t="s">
        <v>32</v>
      </c>
      <c r="AT10506" s="1" t="s">
        <v>42</v>
      </c>
      <c r="CD10506" s="1" t="s">
        <v>78</v>
      </c>
      <c r="EE10506" s="1" t="s">
        <v>131</v>
      </c>
      <c r="EJ10506" s="1" t="s">
        <v>136</v>
      </c>
      <c r="GD10506" s="1" t="s">
        <v>193</v>
      </c>
      <c r="GE10506" s="1" t="s">
        <v>190</v>
      </c>
    </row>
    <row r="10507" spans="1:187" ht="11.25" customHeight="1">
      <c r="A10507" s="1" t="s">
        <v>14796</v>
      </c>
      <c r="B10507" s="1" t="str">
        <f ca="1">IFERROR(__xludf.DUMMYFUNCTION("GOOGLETRANSLATE(A10507, ""en"", ""fr"")"),"VOLEURS")</f>
        <v>VOLEURS</v>
      </c>
      <c r="C10507" s="1" t="s">
        <v>196</v>
      </c>
      <c r="EE10507" s="1" t="s">
        <v>131</v>
      </c>
      <c r="EJ10507" s="1" t="s">
        <v>136</v>
      </c>
      <c r="GD10507" s="1" t="s">
        <v>193</v>
      </c>
    </row>
    <row r="10508" spans="1:187" ht="11.25" customHeight="1">
      <c r="A10508" s="1" t="s">
        <v>14797</v>
      </c>
      <c r="B10508" s="1" t="str">
        <f ca="1">IFERROR(__xludf.DUMMYFUNCTION("GOOGLETRANSLATE(A10508, ""en"", ""fr"")"),"MINCE")</f>
        <v>MINCE</v>
      </c>
      <c r="C10508" s="1" t="s">
        <v>185</v>
      </c>
      <c r="L10508" s="1" t="s">
        <v>8</v>
      </c>
      <c r="DA10508" s="1" t="s">
        <v>101</v>
      </c>
      <c r="DC10508" s="1" t="s">
        <v>103</v>
      </c>
      <c r="GD10508" s="1" t="s">
        <v>202</v>
      </c>
      <c r="GE10508" s="1" t="s">
        <v>190</v>
      </c>
    </row>
    <row r="10509" spans="1:187" ht="11.25" customHeight="1">
      <c r="A10509" s="1" t="s">
        <v>14798</v>
      </c>
      <c r="B10509" s="1" t="str">
        <f ca="1">IFERROR(__xludf.DUMMYFUNCTION("GOOGLETRANSLATE(A10509, ""en"", ""fr"")"),"CHOSE")</f>
        <v>CHOSE</v>
      </c>
      <c r="C10509" s="1" t="s">
        <v>185</v>
      </c>
      <c r="BC10509" s="1" t="s">
        <v>51</v>
      </c>
      <c r="BI10509" s="1" t="s">
        <v>57</v>
      </c>
      <c r="GD10509" s="1" t="s">
        <v>193</v>
      </c>
      <c r="GE10509" s="1" t="s">
        <v>14799</v>
      </c>
    </row>
    <row r="10510" spans="1:187" ht="11.25" customHeight="1">
      <c r="A10510" s="1" t="s">
        <v>14800</v>
      </c>
      <c r="B10510" s="1" t="str">
        <f ca="1">IFERROR(__xludf.DUMMYFUNCTION("GOOGLETRANSLATE(A10510, ""en"", ""fr"")"),"Pensez # 1")</f>
        <v>Pensez # 1</v>
      </c>
      <c r="C10510" s="1" t="s">
        <v>185</v>
      </c>
      <c r="CO10510" s="1" t="s">
        <v>89</v>
      </c>
      <c r="DP10510" s="1" t="s">
        <v>116</v>
      </c>
      <c r="FH10510" s="1" t="s">
        <v>160</v>
      </c>
      <c r="FI10510" s="1" t="s">
        <v>161</v>
      </c>
      <c r="GD10510" s="1" t="s">
        <v>189</v>
      </c>
      <c r="GE10510" s="1" t="s">
        <v>14801</v>
      </c>
    </row>
    <row r="10511" spans="1:187" ht="11.25" customHeight="1">
      <c r="A10511" s="1" t="s">
        <v>14802</v>
      </c>
      <c r="B10511" s="1" t="str">
        <f ca="1">IFERROR(__xludf.DUMMYFUNCTION("GOOGLETRANSLATE(A10511, ""en"", ""fr"")"),"Pensez # 2")</f>
        <v>Pensez # 2</v>
      </c>
      <c r="C10511" s="1" t="s">
        <v>185</v>
      </c>
      <c r="CO10511" s="1" t="s">
        <v>89</v>
      </c>
      <c r="DN10511" s="1" t="s">
        <v>114</v>
      </c>
      <c r="FD10511" s="1" t="s">
        <v>156</v>
      </c>
      <c r="FI10511" s="1" t="s">
        <v>161</v>
      </c>
      <c r="GD10511" s="1" t="s">
        <v>189</v>
      </c>
      <c r="GE10511" s="1" t="s">
        <v>14803</v>
      </c>
    </row>
    <row r="10512" spans="1:187" ht="11.25" customHeight="1">
      <c r="A10512" s="1" t="s">
        <v>14804</v>
      </c>
      <c r="B10512" s="1" t="str">
        <f ca="1">IFERROR(__xludf.DUMMYFUNCTION("GOOGLETRANSLATE(A10512, ""en"", ""fr"")"),"Pensez # 3")</f>
        <v>Pensez # 3</v>
      </c>
      <c r="C10512" s="1" t="s">
        <v>185</v>
      </c>
      <c r="CH10512" s="1" t="s">
        <v>82</v>
      </c>
      <c r="FH10512" s="1" t="s">
        <v>160</v>
      </c>
      <c r="FI10512" s="1" t="s">
        <v>161</v>
      </c>
      <c r="GD10512" s="1" t="s">
        <v>202</v>
      </c>
      <c r="GE10512" s="1" t="s">
        <v>14805</v>
      </c>
    </row>
    <row r="10513" spans="1:187" ht="11.25" customHeight="1">
      <c r="A10513" s="1" t="s">
        <v>14806</v>
      </c>
      <c r="B10513" s="1" t="str">
        <f ca="1">IFERROR(__xludf.DUMMYFUNCTION("GOOGLETRANSLATE(A10513, ""en"", ""fr"")"),"Pensez # 4")</f>
        <v>Pensez # 4</v>
      </c>
      <c r="C10513" s="1" t="s">
        <v>185</v>
      </c>
      <c r="CH10513" s="1" t="s">
        <v>82</v>
      </c>
      <c r="CP10513" s="1" t="s">
        <v>90</v>
      </c>
      <c r="CQ10513" s="1" t="s">
        <v>91</v>
      </c>
      <c r="FH10513" s="1" t="s">
        <v>160</v>
      </c>
      <c r="FI10513" s="1" t="s">
        <v>161</v>
      </c>
      <c r="GD10513" s="1" t="s">
        <v>193</v>
      </c>
      <c r="GE10513" s="1" t="s">
        <v>14807</v>
      </c>
    </row>
    <row r="10514" spans="1:187" ht="11.25" customHeight="1">
      <c r="A10514" s="1" t="s">
        <v>14808</v>
      </c>
      <c r="B10514" s="1" t="str">
        <f ca="1">IFERROR(__xludf.DUMMYFUNCTION("GOOGLETRANSLATE(A10514, ""en"", ""fr"")"),"PENSEUR")</f>
        <v>PENSEUR</v>
      </c>
      <c r="C10514" s="1" t="s">
        <v>185</v>
      </c>
      <c r="Y10514" s="1" t="s">
        <v>21</v>
      </c>
      <c r="AJ10514" s="1" t="s">
        <v>32</v>
      </c>
      <c r="AT10514" s="1" t="s">
        <v>42</v>
      </c>
      <c r="FG10514" s="1" t="s">
        <v>159</v>
      </c>
      <c r="FI10514" s="1" t="s">
        <v>161</v>
      </c>
      <c r="GD10514" s="1" t="s">
        <v>193</v>
      </c>
      <c r="GE10514" s="1" t="s">
        <v>190</v>
      </c>
    </row>
    <row r="10515" spans="1:187" ht="11.25" customHeight="1">
      <c r="A10515" s="1" t="s">
        <v>14809</v>
      </c>
      <c r="B10515" s="1" t="str">
        <f ca="1">IFERROR(__xludf.DUMMYFUNCTION("GOOGLETRANSLATE(A10515, ""en"", ""fr"")"),"Troisième n ° 1")</f>
        <v>Troisième n ° 1</v>
      </c>
      <c r="C10515" s="1" t="s">
        <v>185</v>
      </c>
      <c r="CT10515" s="1" t="s">
        <v>94</v>
      </c>
      <c r="CU10515" s="1" t="s">
        <v>95</v>
      </c>
      <c r="DB10515" s="1" t="s">
        <v>102</v>
      </c>
      <c r="DD10515" s="1" t="s">
        <v>104</v>
      </c>
      <c r="GD10515" s="1" t="s">
        <v>4831</v>
      </c>
      <c r="GE10515" s="1" t="s">
        <v>14810</v>
      </c>
    </row>
    <row r="10516" spans="1:187" ht="11.25" customHeight="1">
      <c r="A10516" s="1" t="s">
        <v>14811</v>
      </c>
      <c r="B10516" s="1" t="str">
        <f ca="1">IFERROR(__xludf.DUMMYFUNCTION("GOOGLETRANSLATE(A10516, ""en"", ""fr"")"),"Troisième # 2")</f>
        <v>Troisième # 2</v>
      </c>
      <c r="C10516" s="1" t="s">
        <v>185</v>
      </c>
      <c r="CS10516" s="1" t="s">
        <v>93</v>
      </c>
      <c r="GD10516" s="1" t="s">
        <v>193</v>
      </c>
      <c r="GE10516" s="1" t="s">
        <v>14812</v>
      </c>
    </row>
    <row r="10517" spans="1:187" ht="11.25" customHeight="1">
      <c r="A10517" s="1" t="s">
        <v>14813</v>
      </c>
      <c r="B10517" s="1" t="str">
        <f ca="1">IFERROR(__xludf.DUMMYFUNCTION("GOOGLETRANSLATE(A10517, ""en"", ""fr"")"),"Troisième # 3")</f>
        <v>Troisième # 3</v>
      </c>
      <c r="C10517" s="1" t="s">
        <v>185</v>
      </c>
      <c r="CS10517" s="1" t="s">
        <v>93</v>
      </c>
      <c r="DD10517" s="1" t="s">
        <v>104</v>
      </c>
      <c r="GD10517" s="1" t="s">
        <v>236</v>
      </c>
      <c r="GE10517" s="1" t="s">
        <v>14814</v>
      </c>
    </row>
    <row r="10518" spans="1:187" ht="11.25" customHeight="1">
      <c r="A10518" s="1" t="s">
        <v>14815</v>
      </c>
      <c r="B10518" s="1" t="str">
        <f ca="1">IFERROR(__xludf.DUMMYFUNCTION("GOOGLETRANSLATE(A10518, ""en"", ""fr"")"),"LA SOIF")</f>
        <v>LA SOIF</v>
      </c>
      <c r="C10518" s="1" t="s">
        <v>192</v>
      </c>
      <c r="E10518" s="1" t="s">
        <v>16613</v>
      </c>
      <c r="BN10518" s="1" t="s">
        <v>62</v>
      </c>
      <c r="BU10518" s="1" t="s">
        <v>69</v>
      </c>
      <c r="GD10518" s="1" t="s">
        <v>193</v>
      </c>
      <c r="GE10518" s="1" t="s">
        <v>190</v>
      </c>
    </row>
    <row r="10519" spans="1:187" ht="11.25" customHeight="1">
      <c r="A10519" s="1" t="s">
        <v>14816</v>
      </c>
      <c r="B10519" s="1" t="str">
        <f ca="1">IFERROR(__xludf.DUMMYFUNCTION("GOOGLETRANSLATE(A10519, ""en"", ""fr"")"),"SOIF")</f>
        <v>SOIF</v>
      </c>
      <c r="C10519" s="1" t="s">
        <v>192</v>
      </c>
      <c r="E10519" s="1" t="s">
        <v>16613</v>
      </c>
      <c r="BN10519" s="1" t="s">
        <v>62</v>
      </c>
      <c r="BU10519" s="1" t="s">
        <v>69</v>
      </c>
      <c r="DR10519" s="1" t="s">
        <v>118</v>
      </c>
      <c r="GD10519" s="1" t="s">
        <v>202</v>
      </c>
      <c r="GE10519" s="1" t="s">
        <v>190</v>
      </c>
    </row>
    <row r="10520" spans="1:187" ht="11.25" customHeight="1">
      <c r="A10520" s="1" t="s">
        <v>14817</v>
      </c>
      <c r="B10520" s="1" t="str">
        <f ca="1">IFERROR(__xludf.DUMMYFUNCTION("GOOGLETRANSLATE(A10520, ""en"", ""fr"")"),"TREIZE")</f>
        <v>TREIZE</v>
      </c>
      <c r="C10520" s="1" t="s">
        <v>185</v>
      </c>
      <c r="CS10520" s="1" t="s">
        <v>93</v>
      </c>
      <c r="CT10520" s="1" t="s">
        <v>94</v>
      </c>
      <c r="CV10520" s="1" t="s">
        <v>96</v>
      </c>
      <c r="GD10520" s="1" t="s">
        <v>1756</v>
      </c>
      <c r="GE10520" s="1" t="s">
        <v>14818</v>
      </c>
    </row>
    <row r="10521" spans="1:187" ht="11.25" customHeight="1">
      <c r="A10521" s="1" t="s">
        <v>14819</v>
      </c>
      <c r="B10521" s="1" t="str">
        <f ca="1">IFERROR(__xludf.DUMMYFUNCTION("GOOGLETRANSLATE(A10521, ""en"", ""fr"")"),"Treizième # 1")</f>
        <v>Treizième # 1</v>
      </c>
      <c r="C10521" s="1" t="s">
        <v>192</v>
      </c>
      <c r="GE10521" s="1" t="s">
        <v>190</v>
      </c>
    </row>
    <row r="10522" spans="1:187" ht="11.25" customHeight="1">
      <c r="A10522" s="1" t="s">
        <v>14820</v>
      </c>
      <c r="B10522" s="1" t="str">
        <f ca="1">IFERROR(__xludf.DUMMYFUNCTION("GOOGLETRANSLATE(A10522, ""en"", ""fr"")"),"TRENTE")</f>
        <v>TRENTE</v>
      </c>
      <c r="C10522" s="1" t="s">
        <v>185</v>
      </c>
      <c r="CS10522" s="1" t="s">
        <v>93</v>
      </c>
      <c r="CT10522" s="1" t="s">
        <v>94</v>
      </c>
      <c r="CV10522" s="1" t="s">
        <v>96</v>
      </c>
      <c r="GD10522" s="1" t="s">
        <v>1756</v>
      </c>
      <c r="GE10522" s="1" t="s">
        <v>5862</v>
      </c>
    </row>
    <row r="10523" spans="1:187" ht="11.25" customHeight="1">
      <c r="A10523" s="1" t="s">
        <v>14821</v>
      </c>
      <c r="B10523" s="1" t="str">
        <f ca="1">IFERROR(__xludf.DUMMYFUNCTION("GOOGLETRANSLATE(A10523, ""en"", ""fr"")"),"Ce n ° 1")</f>
        <v>Ce n ° 1</v>
      </c>
      <c r="C10523" s="1" t="s">
        <v>185</v>
      </c>
      <c r="GD10523" s="1" t="s">
        <v>14822</v>
      </c>
      <c r="GE10523" s="1" t="s">
        <v>14823</v>
      </c>
    </row>
    <row r="10524" spans="1:187" ht="11.25" customHeight="1">
      <c r="A10524" s="1" t="s">
        <v>14824</v>
      </c>
      <c r="B10524" s="1" t="str">
        <f ca="1">IFERROR(__xludf.DUMMYFUNCTION("GOOGLETRANSLATE(A10524, ""en"", ""fr"")"),"Ce n ° 2")</f>
        <v>Ce n ° 2</v>
      </c>
      <c r="C10524" s="1" t="s">
        <v>185</v>
      </c>
      <c r="GD10524" s="1" t="s">
        <v>884</v>
      </c>
      <c r="GE10524" s="1" t="s">
        <v>14825</v>
      </c>
    </row>
    <row r="10525" spans="1:187" ht="11.25" customHeight="1">
      <c r="A10525" s="1" t="s">
        <v>14826</v>
      </c>
      <c r="B10525" s="1" t="str">
        <f ca="1">IFERROR(__xludf.DUMMYFUNCTION("GOOGLETRANSLATE(A10525, ""en"", ""fr"")"),"ÉPINE")</f>
        <v>ÉPINE</v>
      </c>
      <c r="C10525" s="1" t="s">
        <v>185</v>
      </c>
      <c r="BC10525" s="1" t="s">
        <v>51</v>
      </c>
      <c r="BI10525" s="1" t="s">
        <v>57</v>
      </c>
      <c r="FW10525" s="1" t="s">
        <v>175</v>
      </c>
      <c r="GD10525" s="1" t="s">
        <v>193</v>
      </c>
      <c r="GE10525" s="1" t="s">
        <v>190</v>
      </c>
    </row>
    <row r="10526" spans="1:187" ht="11.25" customHeight="1">
      <c r="A10526" s="1" t="s">
        <v>14827</v>
      </c>
      <c r="B10526" s="1" t="str">
        <f ca="1">IFERROR(__xludf.DUMMYFUNCTION("GOOGLETRANSLATE(A10526, ""en"", ""fr"")"),"ÉPINEUX")</f>
        <v>ÉPINEUX</v>
      </c>
      <c r="C10526" s="1" t="s">
        <v>192</v>
      </c>
      <c r="E10526" s="1" t="s">
        <v>16613</v>
      </c>
      <c r="I10526" s="1" t="s">
        <v>5</v>
      </c>
      <c r="DR10526" s="1" t="s">
        <v>118</v>
      </c>
      <c r="GD10526" s="1" t="s">
        <v>202</v>
      </c>
      <c r="GE10526" s="1" t="s">
        <v>190</v>
      </c>
    </row>
    <row r="10527" spans="1:187" ht="11.25" customHeight="1">
      <c r="A10527" s="1" t="s">
        <v>14828</v>
      </c>
      <c r="B10527" s="1" t="str">
        <f ca="1">IFERROR(__xludf.DUMMYFUNCTION("GOOGLETRANSLATE(A10527, ""en"", ""fr"")"),"COMPLET")</f>
        <v>COMPLET</v>
      </c>
      <c r="C10527" s="1" t="s">
        <v>185</v>
      </c>
      <c r="D10527" s="1" t="s">
        <v>16612</v>
      </c>
      <c r="J10527" s="1" t="s">
        <v>6</v>
      </c>
      <c r="U10527" s="1" t="s">
        <v>17</v>
      </c>
      <c r="W10527" s="1" t="s">
        <v>19</v>
      </c>
      <c r="CN10527" s="1" t="s">
        <v>88</v>
      </c>
      <c r="DR10527" s="1" t="s">
        <v>118</v>
      </c>
      <c r="FY10527" s="1" t="s">
        <v>177</v>
      </c>
      <c r="GD10527" s="1" t="s">
        <v>202</v>
      </c>
      <c r="GE10527" s="1" t="s">
        <v>190</v>
      </c>
    </row>
    <row r="10528" spans="1:187" ht="11.25" customHeight="1">
      <c r="A10528" s="1" t="s">
        <v>14829</v>
      </c>
      <c r="B10528" s="1" t="str">
        <f ca="1">IFERROR(__xludf.DUMMYFUNCTION("GOOGLETRANSLATE(A10528, ""en"", ""fr"")"),"Ceux n ° 1")</f>
        <v>Ceux n ° 1</v>
      </c>
      <c r="C10528" s="1" t="s">
        <v>185</v>
      </c>
      <c r="GD10528" s="1" t="s">
        <v>14830</v>
      </c>
      <c r="GE10528" s="1" t="s">
        <v>14831</v>
      </c>
    </row>
    <row r="10529" spans="1:187" ht="11.25" customHeight="1">
      <c r="A10529" s="1" t="s">
        <v>14832</v>
      </c>
      <c r="B10529" s="1" t="str">
        <f ca="1">IFERROR(__xludf.DUMMYFUNCTION("GOOGLETRANSLATE(A10529, ""en"", ""fr"")"),"Ceux # 2")</f>
        <v>Ceux # 2</v>
      </c>
      <c r="C10529" s="1" t="s">
        <v>185</v>
      </c>
      <c r="GD10529" s="1" t="s">
        <v>14787</v>
      </c>
      <c r="GE10529" s="1" t="s">
        <v>14833</v>
      </c>
    </row>
    <row r="10530" spans="1:187" ht="11.25" customHeight="1">
      <c r="A10530" s="1" t="s">
        <v>14834</v>
      </c>
      <c r="B10530" s="1" t="str">
        <f ca="1">IFERROR(__xludf.DUMMYFUNCTION("GOOGLETRANSLATE(A10530, ""en"", ""fr"")"),"TU")</f>
        <v>TU</v>
      </c>
      <c r="C10530" s="1" t="s">
        <v>185</v>
      </c>
      <c r="DH10530" s="1" t="s">
        <v>108</v>
      </c>
      <c r="GD10530" s="1" t="s">
        <v>14835</v>
      </c>
      <c r="GE10530" s="1" t="s">
        <v>14836</v>
      </c>
    </row>
    <row r="10531" spans="1:187" ht="11.25" customHeight="1">
      <c r="A10531" s="1" t="s">
        <v>14837</v>
      </c>
      <c r="B10531" s="1" t="str">
        <f ca="1">IFERROR(__xludf.DUMMYFUNCTION("GOOGLETRANSLATE(A10531, ""en"", ""fr"")"),"Bien que n ° 1")</f>
        <v>Bien que n ° 1</v>
      </c>
      <c r="C10531" s="1" t="s">
        <v>185</v>
      </c>
      <c r="GD10531" s="1" t="s">
        <v>763</v>
      </c>
      <c r="GE10531" s="1" t="s">
        <v>14838</v>
      </c>
    </row>
    <row r="10532" spans="1:187" ht="11.25" customHeight="1">
      <c r="A10532" s="1" t="s">
        <v>14839</v>
      </c>
      <c r="B10532" s="1" t="str">
        <f ca="1">IFERROR(__xludf.DUMMYFUNCTION("GOOGLETRANSLATE(A10532, ""en"", ""fr"")"),"Bien que # 2")</f>
        <v>Bien que # 2</v>
      </c>
      <c r="C10532" s="1" t="s">
        <v>185</v>
      </c>
      <c r="GD10532" s="1" t="s">
        <v>763</v>
      </c>
      <c r="GE10532" s="1" t="s">
        <v>14840</v>
      </c>
    </row>
    <row r="10533" spans="1:187" ht="11.25" customHeight="1">
      <c r="A10533" s="1" t="s">
        <v>14841</v>
      </c>
      <c r="B10533" s="1" t="str">
        <f ca="1">IFERROR(__xludf.DUMMYFUNCTION("GOOGLETRANSLATE(A10533, ""en"", ""fr"")"),"Bien que # 3")</f>
        <v>Bien que # 3</v>
      </c>
      <c r="C10533" s="1" t="s">
        <v>185</v>
      </c>
      <c r="GD10533" s="1" t="s">
        <v>236</v>
      </c>
      <c r="GE10533" s="1" t="s">
        <v>14842</v>
      </c>
    </row>
    <row r="10534" spans="1:187" ht="11.25" customHeight="1">
      <c r="A10534" s="1" t="s">
        <v>14843</v>
      </c>
      <c r="B10534" s="1" t="str">
        <f ca="1">IFERROR(__xludf.DUMMYFUNCTION("GOOGLETRANSLATE(A10534, ""en"", ""fr"")"),"Pensée # 1")</f>
        <v>Pensée # 1</v>
      </c>
      <c r="C10534" s="1" t="s">
        <v>192</v>
      </c>
      <c r="GD10534" s="1" t="s">
        <v>1085</v>
      </c>
      <c r="GE10534" s="1" t="s">
        <v>190</v>
      </c>
    </row>
    <row r="10535" spans="1:187" ht="11.25" customHeight="1">
      <c r="A10535" s="1" t="s">
        <v>14844</v>
      </c>
      <c r="B10535" s="1" t="str">
        <f ca="1">IFERROR(__xludf.DUMMYFUNCTION("GOOGLETRANSLATE(A10535, ""en"", ""fr"")"),"RÉFLÉCHI")</f>
        <v>RÉFLÉCHI</v>
      </c>
      <c r="C10535" s="1" t="s">
        <v>185</v>
      </c>
      <c r="D10535" s="1" t="s">
        <v>16612</v>
      </c>
      <c r="F10535" s="1" t="s">
        <v>2</v>
      </c>
      <c r="U10535" s="1" t="s">
        <v>17</v>
      </c>
      <c r="FH10535" s="1" t="s">
        <v>160</v>
      </c>
      <c r="FI10535" s="1" t="s">
        <v>161</v>
      </c>
      <c r="GD10535" s="1" t="s">
        <v>202</v>
      </c>
      <c r="GE10535" s="1" t="s">
        <v>190</v>
      </c>
    </row>
    <row r="10536" spans="1:187" ht="11.25" customHeight="1">
      <c r="A10536" s="1" t="s">
        <v>14845</v>
      </c>
      <c r="B10536" s="1" t="str">
        <f ca="1">IFERROR(__xludf.DUMMYFUNCTION("GOOGLETRANSLATE(A10536, ""en"", ""fr"")"),"PRÉVENANCE")</f>
        <v>PRÉVENANCE</v>
      </c>
      <c r="C10536" s="1" t="s">
        <v>192</v>
      </c>
      <c r="D10536" s="1" t="s">
        <v>16612</v>
      </c>
      <c r="U10536" s="1" t="s">
        <v>17</v>
      </c>
      <c r="CG10536" s="1" t="s">
        <v>81</v>
      </c>
      <c r="GD10536" s="1" t="s">
        <v>193</v>
      </c>
      <c r="GE10536" s="1" t="s">
        <v>190</v>
      </c>
    </row>
    <row r="10537" spans="1:187" ht="11.25" customHeight="1">
      <c r="A10537" s="1" t="s">
        <v>14846</v>
      </c>
      <c r="B10537" s="1" t="str">
        <f ca="1">IFERROR(__xludf.DUMMYFUNCTION("GOOGLETRANSLATE(A10537, ""en"", ""fr"")"),"IRRÉFLÉCHI")</f>
        <v>IRRÉFLÉCHI</v>
      </c>
      <c r="C10537" s="1" t="s">
        <v>192</v>
      </c>
      <c r="E10537" s="1" t="s">
        <v>16613</v>
      </c>
      <c r="Q10537" s="1" t="s">
        <v>13</v>
      </c>
      <c r="T10537" s="1" t="s">
        <v>16</v>
      </c>
      <c r="BT10537" s="1" t="s">
        <v>68</v>
      </c>
      <c r="CG10537" s="1" t="s">
        <v>81</v>
      </c>
      <c r="DR10537" s="1" t="s">
        <v>118</v>
      </c>
      <c r="GD10537" s="1" t="s">
        <v>202</v>
      </c>
      <c r="GE10537" s="1" t="s">
        <v>190</v>
      </c>
    </row>
    <row r="10538" spans="1:187" ht="11.25" customHeight="1">
      <c r="A10538" s="1" t="s">
        <v>14847</v>
      </c>
      <c r="B10538" s="1" t="str">
        <f ca="1">IFERROR(__xludf.DUMMYFUNCTION("GOOGLETRANSLATE(A10538, ""en"", ""fr"")"),"Mille # 1")</f>
        <v>Mille # 1</v>
      </c>
      <c r="C10538" s="1" t="s">
        <v>185</v>
      </c>
      <c r="W10538" s="1" t="s">
        <v>19</v>
      </c>
      <c r="CS10538" s="1" t="s">
        <v>93</v>
      </c>
      <c r="CT10538" s="1" t="s">
        <v>94</v>
      </c>
      <c r="CV10538" s="1" t="s">
        <v>96</v>
      </c>
      <c r="GD10538" s="1" t="s">
        <v>1756</v>
      </c>
      <c r="GE10538" s="1" t="s">
        <v>14848</v>
      </c>
    </row>
    <row r="10539" spans="1:187" ht="11.25" customHeight="1">
      <c r="A10539" s="1" t="s">
        <v>14849</v>
      </c>
      <c r="B10539" s="1" t="str">
        <f ca="1">IFERROR(__xludf.DUMMYFUNCTION("GOOGLETRANSLATE(A10539, ""en"", ""fr"")"),"Mille # 2")</f>
        <v>Mille # 2</v>
      </c>
      <c r="C10539" s="1" t="s">
        <v>185</v>
      </c>
      <c r="W10539" s="1" t="s">
        <v>19</v>
      </c>
      <c r="CS10539" s="1" t="s">
        <v>93</v>
      </c>
      <c r="GD10539" s="1" t="s">
        <v>14850</v>
      </c>
      <c r="GE10539" s="1" t="s">
        <v>14851</v>
      </c>
    </row>
    <row r="10540" spans="1:187" ht="11.25" customHeight="1">
      <c r="A10540" s="1" t="s">
        <v>14852</v>
      </c>
      <c r="B10540" s="1" t="str">
        <f ca="1">IFERROR(__xludf.DUMMYFUNCTION("GOOGLETRANSLATE(A10540, ""en"", ""fr"")"),"Mille # 1")</f>
        <v>Mille # 1</v>
      </c>
      <c r="C10540" s="1" t="s">
        <v>192</v>
      </c>
      <c r="GE10540" s="1" t="s">
        <v>190</v>
      </c>
    </row>
    <row r="10541" spans="1:187" ht="11.25" customHeight="1">
      <c r="A10541" s="1" t="s">
        <v>14853</v>
      </c>
      <c r="B10541" s="1" t="str">
        <f ca="1">IFERROR(__xludf.DUMMYFUNCTION("GOOGLETRANSLATE(A10541, ""en"", ""fr"")"),"DÉBATTRE")</f>
        <v>DÉBATTRE</v>
      </c>
      <c r="C10541" s="1" t="s">
        <v>192</v>
      </c>
      <c r="E10541" s="1" t="s">
        <v>16613</v>
      </c>
      <c r="I10541" s="1" t="s">
        <v>5</v>
      </c>
      <c r="N10541" s="1" t="s">
        <v>10</v>
      </c>
      <c r="DN10541" s="1" t="s">
        <v>114</v>
      </c>
      <c r="GD10541" s="1" t="s">
        <v>189</v>
      </c>
      <c r="GE10541" s="1" t="s">
        <v>190</v>
      </c>
    </row>
    <row r="10542" spans="1:187" ht="11.25" customHeight="1">
      <c r="A10542" s="1" t="s">
        <v>14854</v>
      </c>
      <c r="B10542" s="1" t="str">
        <f ca="1">IFERROR(__xludf.DUMMYFUNCTION("GOOGLETRANSLATE(A10542, ""en"", ""fr"")"),"MENACE")</f>
        <v>MENACE</v>
      </c>
      <c r="C10542" s="1" t="s">
        <v>185</v>
      </c>
      <c r="E10542" s="1" t="s">
        <v>16613</v>
      </c>
      <c r="H10542" s="1" t="s">
        <v>4</v>
      </c>
      <c r="I10542" s="1" t="s">
        <v>5</v>
      </c>
      <c r="J10542" s="1" t="s">
        <v>6</v>
      </c>
      <c r="V10542" s="1" t="s">
        <v>18</v>
      </c>
      <c r="BL10542" s="1" t="s">
        <v>60</v>
      </c>
      <c r="FR10542" s="1" t="s">
        <v>170</v>
      </c>
      <c r="GD10542" s="1" t="s">
        <v>193</v>
      </c>
      <c r="GE10542" s="1" t="s">
        <v>14855</v>
      </c>
    </row>
    <row r="10543" spans="1:187" ht="11.25" customHeight="1">
      <c r="A10543" s="1" t="s">
        <v>14856</v>
      </c>
      <c r="B10543" s="1" t="str">
        <f ca="1">IFERROR(__xludf.DUMMYFUNCTION("GOOGLETRANSLATE(A10543, ""en"", ""fr"")"),"MENACER")</f>
        <v>MENACER</v>
      </c>
      <c r="C10543" s="1" t="s">
        <v>185</v>
      </c>
      <c r="E10543" s="1" t="s">
        <v>16613</v>
      </c>
      <c r="H10543" s="1" t="s">
        <v>4</v>
      </c>
      <c r="I10543" s="1" t="s">
        <v>5</v>
      </c>
      <c r="J10543" s="1" t="s">
        <v>6</v>
      </c>
      <c r="AN10543" s="1" t="s">
        <v>36</v>
      </c>
      <c r="DN10543" s="1" t="s">
        <v>114</v>
      </c>
      <c r="DT10543" s="1" t="s">
        <v>120</v>
      </c>
      <c r="ED10543" s="1" t="s">
        <v>130</v>
      </c>
      <c r="GD10543" s="1" t="s">
        <v>189</v>
      </c>
      <c r="GE10543" s="1" t="s">
        <v>14857</v>
      </c>
    </row>
    <row r="10544" spans="1:187" ht="11.25" customHeight="1">
      <c r="A10544" s="1" t="s">
        <v>14858</v>
      </c>
      <c r="B10544" s="1" t="str">
        <f ca="1">IFERROR(__xludf.DUMMYFUNCTION("GOOGLETRANSLATE(A10544, ""en"", ""fr"")"),"TROIS")</f>
        <v>TROIS</v>
      </c>
      <c r="C10544" s="1" t="s">
        <v>185</v>
      </c>
      <c r="CS10544" s="1" t="s">
        <v>93</v>
      </c>
      <c r="CT10544" s="1" t="s">
        <v>94</v>
      </c>
      <c r="CV10544" s="1" t="s">
        <v>96</v>
      </c>
      <c r="GD10544" s="1" t="s">
        <v>1756</v>
      </c>
      <c r="GE10544" s="1" t="s">
        <v>5862</v>
      </c>
    </row>
    <row r="10545" spans="1:187" ht="11.25" customHeight="1">
      <c r="A10545" s="1" t="s">
        <v>14859</v>
      </c>
      <c r="B10545" s="1" t="str">
        <f ca="1">IFERROR(__xludf.DUMMYFUNCTION("GOOGLETRANSLATE(A10545, ""en"", ""fr"")"),"TRIDIMENSIONNEL")</f>
        <v>TRIDIMENSIONNEL</v>
      </c>
      <c r="C10545" s="1" t="s">
        <v>185</v>
      </c>
      <c r="CR10545" s="1" t="s">
        <v>92</v>
      </c>
      <c r="GB10545" s="1" t="s">
        <v>180</v>
      </c>
      <c r="GD10545" s="1" t="s">
        <v>202</v>
      </c>
      <c r="GE10545" s="1" t="s">
        <v>190</v>
      </c>
    </row>
    <row r="10546" spans="1:187" ht="11.25" customHeight="1">
      <c r="A10546" s="1" t="s">
        <v>14860</v>
      </c>
      <c r="B10546" s="1" t="str">
        <f ca="1">IFERROR(__xludf.DUMMYFUNCTION("GOOGLETRANSLATE(A10546, ""en"", ""fr"")"),"SEUIL")</f>
        <v>SEUIL</v>
      </c>
      <c r="C10546" s="1" t="s">
        <v>185</v>
      </c>
      <c r="BC10546" s="1" t="s">
        <v>51</v>
      </c>
      <c r="BG10546" s="1" t="s">
        <v>55</v>
      </c>
      <c r="GD10546" s="1" t="s">
        <v>193</v>
      </c>
      <c r="GE10546" s="1" t="s">
        <v>190</v>
      </c>
    </row>
    <row r="10547" spans="1:187" ht="11.25" customHeight="1">
      <c r="A10547" s="1" t="s">
        <v>14861</v>
      </c>
      <c r="B10547" s="1" t="str">
        <f ca="1">IFERROR(__xludf.DUMMYFUNCTION("GOOGLETRANSLATE(A10547, ""en"", ""fr"")"),"Jeté # 1")</f>
        <v>Jeté # 1</v>
      </c>
      <c r="C10547" s="1" t="s">
        <v>192</v>
      </c>
      <c r="GD10547" s="1" t="s">
        <v>1085</v>
      </c>
      <c r="GE10547" s="1" t="s">
        <v>190</v>
      </c>
    </row>
    <row r="10548" spans="1:187" ht="11.25" customHeight="1">
      <c r="A10548" s="1" t="s">
        <v>14862</v>
      </c>
      <c r="B10548" s="1" t="str">
        <f ca="1">IFERROR(__xludf.DUMMYFUNCTION("GOOGLETRANSLATE(A10548, ""en"", ""fr"")"),"ÉPARGNE")</f>
        <v>ÉPARGNE</v>
      </c>
      <c r="C10548" s="1" t="s">
        <v>192</v>
      </c>
      <c r="D10548" s="1" t="s">
        <v>16612</v>
      </c>
      <c r="AA10548" s="1" t="s">
        <v>23</v>
      </c>
      <c r="CM10548" s="1" t="s">
        <v>87</v>
      </c>
      <c r="CR10548" s="1" t="s">
        <v>92</v>
      </c>
      <c r="GD10548" s="1" t="s">
        <v>193</v>
      </c>
      <c r="GE10548" s="1" t="s">
        <v>190</v>
      </c>
    </row>
    <row r="10549" spans="1:187" ht="11.25" customHeight="1">
      <c r="A10549" s="1" t="s">
        <v>14863</v>
      </c>
      <c r="B10549" s="1" t="str">
        <f ca="1">IFERROR(__xludf.DUMMYFUNCTION("GOOGLETRANSLATE(A10549, ""en"", ""fr"")"),"ÉCONOME")</f>
        <v>ÉCONOME</v>
      </c>
      <c r="C10549" s="1" t="s">
        <v>192</v>
      </c>
      <c r="D10549" s="1" t="s">
        <v>16612</v>
      </c>
      <c r="AA10549" s="1" t="s">
        <v>23</v>
      </c>
      <c r="CM10549" s="1" t="s">
        <v>87</v>
      </c>
      <c r="CR10549" s="1" t="s">
        <v>92</v>
      </c>
      <c r="DR10549" s="1" t="s">
        <v>118</v>
      </c>
      <c r="GD10549" s="1" t="s">
        <v>202</v>
      </c>
      <c r="GE10549" s="1" t="s">
        <v>190</v>
      </c>
    </row>
    <row r="10550" spans="1:187" ht="11.25" customHeight="1">
      <c r="A10550" s="1" t="s">
        <v>14864</v>
      </c>
      <c r="B10550" s="1" t="str">
        <f ca="1">IFERROR(__xludf.DUMMYFUNCTION("GOOGLETRANSLATE(A10550, ""en"", ""fr"")"),"RAVIR")</f>
        <v>RAVIR</v>
      </c>
      <c r="C10550" s="1" t="s">
        <v>185</v>
      </c>
      <c r="D10550" s="1" t="s">
        <v>16612</v>
      </c>
      <c r="F10550" s="1" t="s">
        <v>2</v>
      </c>
      <c r="J10550" s="1" t="s">
        <v>6</v>
      </c>
      <c r="P10550" s="1" t="s">
        <v>12</v>
      </c>
      <c r="S10550" s="1" t="s">
        <v>15</v>
      </c>
      <c r="DN10550" s="1" t="s">
        <v>114</v>
      </c>
      <c r="EX10550" s="1" t="s">
        <v>150</v>
      </c>
      <c r="FC10550" s="1" t="s">
        <v>155</v>
      </c>
      <c r="GD10550" s="1" t="s">
        <v>193</v>
      </c>
      <c r="GE10550" s="1" t="s">
        <v>190</v>
      </c>
    </row>
    <row r="10551" spans="1:187" ht="11.25" customHeight="1">
      <c r="A10551" s="1" t="s">
        <v>14865</v>
      </c>
      <c r="B10551" s="1" t="str">
        <f ca="1">IFERROR(__xludf.DUMMYFUNCTION("GOOGLETRANSLATE(A10551, ""en"", ""fr"")"),"PROSPÉRER")</f>
        <v>PROSPÉRER</v>
      </c>
      <c r="C10551" s="1" t="s">
        <v>192</v>
      </c>
      <c r="D10551" s="1" t="s">
        <v>16612</v>
      </c>
      <c r="J10551" s="1" t="s">
        <v>6</v>
      </c>
      <c r="N10551" s="1" t="s">
        <v>10</v>
      </c>
      <c r="BU10551" s="1" t="s">
        <v>69</v>
      </c>
      <c r="BX10551" s="1" t="s">
        <v>72</v>
      </c>
      <c r="DP10551" s="1" t="s">
        <v>116</v>
      </c>
      <c r="GD10551" s="1" t="s">
        <v>189</v>
      </c>
      <c r="GE10551" s="1" t="s">
        <v>190</v>
      </c>
    </row>
    <row r="10552" spans="1:187" ht="11.25" customHeight="1">
      <c r="A10552" s="1" t="s">
        <v>14866</v>
      </c>
      <c r="B10552" s="1" t="str">
        <f ca="1">IFERROR(__xludf.DUMMYFUNCTION("GOOGLETRANSLATE(A10552, ""en"", ""fr"")"),"PROSPÈRE")</f>
        <v>PROSPÈRE</v>
      </c>
      <c r="C10552" s="1" t="s">
        <v>196</v>
      </c>
      <c r="EZ10552" s="1" t="s">
        <v>152</v>
      </c>
      <c r="FC10552" s="1" t="s">
        <v>155</v>
      </c>
      <c r="GD10552" s="1" t="s">
        <v>202</v>
      </c>
    </row>
    <row r="10553" spans="1:187" ht="11.25" customHeight="1">
      <c r="A10553" s="1" t="s">
        <v>14867</v>
      </c>
      <c r="B10553" s="1" t="str">
        <f ca="1">IFERROR(__xludf.DUMMYFUNCTION("GOOGLETRANSLATE(A10553, ""en"", ""fr"")"),"GORGE")</f>
        <v>GORGE</v>
      </c>
      <c r="C10553" s="1" t="s">
        <v>185</v>
      </c>
      <c r="BJ10553" s="1" t="s">
        <v>58</v>
      </c>
      <c r="EZ10553" s="1" t="s">
        <v>152</v>
      </c>
      <c r="FC10553" s="1" t="s">
        <v>155</v>
      </c>
      <c r="GD10553" s="1" t="s">
        <v>193</v>
      </c>
      <c r="GE10553" s="1" t="s">
        <v>190</v>
      </c>
    </row>
    <row r="10554" spans="1:187" ht="11.25" customHeight="1">
      <c r="A10554" s="1" t="s">
        <v>14868</v>
      </c>
      <c r="B10554" s="1" t="str">
        <f ca="1">IFERROR(__xludf.DUMMYFUNCTION("GOOGLETRANSLATE(A10554, ""en"", ""fr"")"),"TRÔNE")</f>
        <v>TRÔNE</v>
      </c>
      <c r="C10554" s="1" t="s">
        <v>196</v>
      </c>
      <c r="EM10554" s="1" t="s">
        <v>139</v>
      </c>
      <c r="EN10554" s="1" t="s">
        <v>140</v>
      </c>
      <c r="GD10554" s="1" t="s">
        <v>193</v>
      </c>
    </row>
    <row r="10555" spans="1:187" ht="11.25" customHeight="1">
      <c r="A10555" s="1" t="s">
        <v>14869</v>
      </c>
      <c r="B10555" s="1" t="str">
        <f ca="1">IFERROR(__xludf.DUMMYFUNCTION("GOOGLETRANSLATE(A10555, ""en"", ""fr"")"),"À travers le n ° 1")</f>
        <v>À travers le n ° 1</v>
      </c>
      <c r="C10555" s="1" t="s">
        <v>185</v>
      </c>
      <c r="DA10555" s="1" t="s">
        <v>101</v>
      </c>
      <c r="GD10555" s="1" t="s">
        <v>215</v>
      </c>
      <c r="GE10555" s="1" t="s">
        <v>14870</v>
      </c>
    </row>
    <row r="10556" spans="1:187" ht="11.25" customHeight="1">
      <c r="A10556" s="1" t="s">
        <v>14871</v>
      </c>
      <c r="B10556" s="1" t="str">
        <f ca="1">IFERROR(__xludf.DUMMYFUNCTION("GOOGLETRANSLATE(A10556, ""en"", ""fr"")"),"À travers # 2")</f>
        <v>À travers # 2</v>
      </c>
      <c r="C10556" s="1" t="s">
        <v>185</v>
      </c>
      <c r="CI10556" s="1" t="s">
        <v>83</v>
      </c>
      <c r="GD10556" s="1" t="s">
        <v>207</v>
      </c>
      <c r="GE10556" s="1" t="s">
        <v>14872</v>
      </c>
    </row>
    <row r="10557" spans="1:187" ht="11.25" customHeight="1">
      <c r="A10557" s="1" t="s">
        <v>14873</v>
      </c>
      <c r="B10557" s="1" t="str">
        <f ca="1">IFERROR(__xludf.DUMMYFUNCTION("GOOGLETRANSLATE(A10557, ""en"", ""fr"")"),"À travers # 3")</f>
        <v>À travers # 3</v>
      </c>
      <c r="C10557" s="1" t="s">
        <v>185</v>
      </c>
      <c r="BZ10557" s="1" t="s">
        <v>74</v>
      </c>
      <c r="GD10557" s="1" t="s">
        <v>202</v>
      </c>
      <c r="GE10557" s="1" t="s">
        <v>14874</v>
      </c>
    </row>
    <row r="10558" spans="1:187" ht="11.25" customHeight="1">
      <c r="A10558" s="1" t="s">
        <v>14875</v>
      </c>
      <c r="B10558" s="1" t="str">
        <f ca="1">IFERROR(__xludf.DUMMYFUNCTION("GOOGLETRANSLATE(A10558, ""en"", ""fr"")"),"À travers # 4")</f>
        <v>À travers # 4</v>
      </c>
      <c r="C10558" s="1" t="s">
        <v>185</v>
      </c>
      <c r="GD10558" s="1" t="s">
        <v>225</v>
      </c>
      <c r="GE10558" s="1" t="s">
        <v>14876</v>
      </c>
    </row>
    <row r="10559" spans="1:187" ht="11.25" customHeight="1">
      <c r="A10559" s="1" t="s">
        <v>14877</v>
      </c>
      <c r="B10559" s="1" t="str">
        <f ca="1">IFERROR(__xludf.DUMMYFUNCTION("GOOGLETRANSLATE(A10559, ""en"", ""fr"")"),"À travers # 5")</f>
        <v>À travers # 5</v>
      </c>
      <c r="C10559" s="1" t="s">
        <v>185</v>
      </c>
      <c r="GD10559" s="1" t="s">
        <v>225</v>
      </c>
      <c r="GE10559" s="1" t="s">
        <v>14878</v>
      </c>
    </row>
    <row r="10560" spans="1:187" ht="11.25" customHeight="1">
      <c r="A10560" s="1" t="s">
        <v>14879</v>
      </c>
      <c r="B10560" s="1" t="str">
        <f ca="1">IFERROR(__xludf.DUMMYFUNCTION("GOOGLETRANSLATE(A10560, ""en"", ""fr"")"),"TOUT AU LONG DE")</f>
        <v>TOUT AU LONG DE</v>
      </c>
      <c r="C10560" s="1" t="s">
        <v>185</v>
      </c>
      <c r="DA10560" s="1" t="s">
        <v>101</v>
      </c>
      <c r="GD10560" s="1" t="s">
        <v>215</v>
      </c>
      <c r="GE10560" s="1" t="s">
        <v>14880</v>
      </c>
    </row>
    <row r="10561" spans="1:187" ht="11.25" customHeight="1">
      <c r="A10561" s="1" t="s">
        <v>14881</v>
      </c>
      <c r="B10561" s="1" t="str">
        <f ca="1">IFERROR(__xludf.DUMMYFUNCTION("GOOGLETRANSLATE(A10561, ""en"", ""fr"")"),"Lancer # 1")</f>
        <v>Lancer # 1</v>
      </c>
      <c r="C10561" s="1" t="s">
        <v>185</v>
      </c>
      <c r="J10561" s="1" t="s">
        <v>6</v>
      </c>
      <c r="N10561" s="1" t="s">
        <v>10</v>
      </c>
      <c r="CC10561" s="1" t="s">
        <v>77</v>
      </c>
      <c r="DO10561" s="1" t="s">
        <v>115</v>
      </c>
      <c r="FP10561" s="1" t="s">
        <v>168</v>
      </c>
      <c r="GD10561" s="1" t="s">
        <v>400</v>
      </c>
      <c r="GE10561" s="1" t="s">
        <v>14882</v>
      </c>
    </row>
    <row r="10562" spans="1:187" ht="11.25" customHeight="1">
      <c r="A10562" s="1" t="s">
        <v>14883</v>
      </c>
      <c r="B10562" s="1" t="str">
        <f ca="1">IFERROR(__xludf.DUMMYFUNCTION("GOOGLETRANSLATE(A10562, ""en"", ""fr"")"),"Lancer # 2")</f>
        <v>Lancer # 2</v>
      </c>
      <c r="C10562" s="1" t="s">
        <v>185</v>
      </c>
      <c r="E10562" s="1" t="s">
        <v>16613</v>
      </c>
      <c r="H10562" s="1" t="s">
        <v>4</v>
      </c>
      <c r="N10562" s="1" t="s">
        <v>10</v>
      </c>
      <c r="BT10562" s="1" t="s">
        <v>68</v>
      </c>
      <c r="DN10562" s="1" t="s">
        <v>114</v>
      </c>
      <c r="FP10562" s="1" t="s">
        <v>168</v>
      </c>
      <c r="GD10562" s="1" t="s">
        <v>189</v>
      </c>
      <c r="GE10562" s="1" t="s">
        <v>14884</v>
      </c>
    </row>
    <row r="10563" spans="1:187" ht="11.25" customHeight="1">
      <c r="A10563" s="1" t="s">
        <v>14885</v>
      </c>
      <c r="B10563" s="1" t="str">
        <f ca="1">IFERROR(__xludf.DUMMYFUNCTION("GOOGLETRANSLATE(A10563, ""en"", ""fr"")"),"Lancer # 3")</f>
        <v>Lancer # 3</v>
      </c>
      <c r="C10563" s="1" t="s">
        <v>185</v>
      </c>
      <c r="E10563" s="1" t="s">
        <v>16613</v>
      </c>
      <c r="H10563" s="1" t="s">
        <v>4</v>
      </c>
      <c r="BU10563" s="1" t="s">
        <v>69</v>
      </c>
      <c r="DN10563" s="1" t="s">
        <v>114</v>
      </c>
      <c r="EZ10563" s="1" t="s">
        <v>152</v>
      </c>
      <c r="FC10563" s="1" t="s">
        <v>155</v>
      </c>
      <c r="GD10563" s="1" t="s">
        <v>189</v>
      </c>
      <c r="GE10563" s="1" t="s">
        <v>14886</v>
      </c>
    </row>
    <row r="10564" spans="1:187" ht="11.25" customHeight="1">
      <c r="A10564" s="1" t="s">
        <v>14887</v>
      </c>
      <c r="B10564" s="1" t="str">
        <f ca="1">IFERROR(__xludf.DUMMYFUNCTION("GOOGLETRANSLATE(A10564, ""en"", ""fr"")"),"Lancer # 4")</f>
        <v>Lancer # 4</v>
      </c>
      <c r="C10564" s="1" t="s">
        <v>185</v>
      </c>
      <c r="N10564" s="1" t="s">
        <v>10</v>
      </c>
      <c r="BZ10564" s="1" t="s">
        <v>74</v>
      </c>
      <c r="DN10564" s="1" t="s">
        <v>114</v>
      </c>
      <c r="FP10564" s="1" t="s">
        <v>168</v>
      </c>
      <c r="GD10564" s="1" t="s">
        <v>189</v>
      </c>
      <c r="GE10564" s="1" t="s">
        <v>14888</v>
      </c>
    </row>
    <row r="10565" spans="1:187" ht="11.25" customHeight="1">
      <c r="A10565" s="1" t="s">
        <v>14889</v>
      </c>
      <c r="B10565" s="1" t="str">
        <f ca="1">IFERROR(__xludf.DUMMYFUNCTION("GOOGLETRANSLATE(A10565, ""en"", ""fr"")"),"Lancer # 5")</f>
        <v>Lancer # 5</v>
      </c>
      <c r="C10565" s="1" t="s">
        <v>185</v>
      </c>
      <c r="J10565" s="1" t="s">
        <v>6</v>
      </c>
      <c r="N10565" s="1" t="s">
        <v>10</v>
      </c>
      <c r="BZ10565" s="1" t="s">
        <v>74</v>
      </c>
      <c r="DN10565" s="1" t="s">
        <v>114</v>
      </c>
      <c r="DT10565" s="1" t="s">
        <v>120</v>
      </c>
      <c r="ED10565" s="1" t="s">
        <v>130</v>
      </c>
      <c r="GD10565" s="1" t="s">
        <v>189</v>
      </c>
      <c r="GE10565" s="1" t="s">
        <v>14890</v>
      </c>
    </row>
    <row r="10566" spans="1:187" ht="11.25" customHeight="1">
      <c r="A10566" s="1" t="s">
        <v>14891</v>
      </c>
      <c r="B10566" s="1" t="str">
        <f ca="1">IFERROR(__xludf.DUMMYFUNCTION("GOOGLETRANSLATE(A10566, ""en"", ""fr"")"),"Lancer # 6")</f>
        <v>Lancer # 6</v>
      </c>
      <c r="C10566" s="1" t="s">
        <v>185</v>
      </c>
      <c r="G10566" s="1" t="s">
        <v>3</v>
      </c>
      <c r="N10566" s="1" t="s">
        <v>10</v>
      </c>
      <c r="AN10566" s="1" t="s">
        <v>36</v>
      </c>
      <c r="DN10566" s="1" t="s">
        <v>114</v>
      </c>
      <c r="EO10566" s="1" t="s">
        <v>141</v>
      </c>
      <c r="ES10566" s="1" t="s">
        <v>145</v>
      </c>
      <c r="GD10566" s="1" t="s">
        <v>189</v>
      </c>
      <c r="GE10566" s="1" t="s">
        <v>14892</v>
      </c>
    </row>
    <row r="10567" spans="1:187" ht="11.25" customHeight="1">
      <c r="A10567" s="1" t="s">
        <v>14893</v>
      </c>
      <c r="B10567" s="1" t="str">
        <f ca="1">IFERROR(__xludf.DUMMYFUNCTION("GOOGLETRANSLATE(A10567, ""en"", ""fr"")"),"Lancé # 1")</f>
        <v>Lancé # 1</v>
      </c>
      <c r="C10567" s="1" t="s">
        <v>192</v>
      </c>
      <c r="GD10567" s="1" t="s">
        <v>1085</v>
      </c>
      <c r="GE10567" s="1" t="s">
        <v>190</v>
      </c>
    </row>
    <row r="10568" spans="1:187" ht="11.25" customHeight="1">
      <c r="A10568" s="1" t="s">
        <v>14894</v>
      </c>
      <c r="B10568" s="1" t="str">
        <f ca="1">IFERROR(__xludf.DUMMYFUNCTION("GOOGLETRANSLATE(A10568, ""en"", ""fr"")"),"Poussée n ° 1")</f>
        <v>Poussée n ° 1</v>
      </c>
      <c r="C10568" s="1" t="s">
        <v>185</v>
      </c>
      <c r="J10568" s="1" t="s">
        <v>6</v>
      </c>
      <c r="N10568" s="1" t="s">
        <v>10</v>
      </c>
      <c r="CC10568" s="1" t="s">
        <v>77</v>
      </c>
      <c r="GD10568" s="1" t="s">
        <v>193</v>
      </c>
      <c r="GE10568" s="1" t="s">
        <v>190</v>
      </c>
    </row>
    <row r="10569" spans="1:187" ht="11.25" customHeight="1">
      <c r="A10569" s="1" t="s">
        <v>14895</v>
      </c>
      <c r="B10569" s="1" t="str">
        <f ca="1">IFERROR(__xludf.DUMMYFUNCTION("GOOGLETRANSLATE(A10569, ""en"", ""fr"")"),"Poussée n ° 2")</f>
        <v>Poussée n ° 2</v>
      </c>
      <c r="C10569" s="1" t="s">
        <v>185</v>
      </c>
      <c r="J10569" s="1" t="s">
        <v>6</v>
      </c>
      <c r="N10569" s="1" t="s">
        <v>10</v>
      </c>
      <c r="CC10569" s="1" t="s">
        <v>77</v>
      </c>
      <c r="DN10569" s="1" t="s">
        <v>114</v>
      </c>
      <c r="GD10569" s="1" t="s">
        <v>189</v>
      </c>
      <c r="GE10569" s="1" t="s">
        <v>190</v>
      </c>
    </row>
    <row r="10570" spans="1:187" ht="11.25" customHeight="1">
      <c r="A10570" s="1" t="s">
        <v>14896</v>
      </c>
      <c r="B10570" s="1" t="str">
        <f ca="1">IFERROR(__xludf.DUMMYFUNCTION("GOOGLETRANSLATE(A10570, ""en"", ""fr"")"),"BRUIT SOURD")</f>
        <v>BRUIT SOURD</v>
      </c>
      <c r="C10570" s="1" t="s">
        <v>192</v>
      </c>
      <c r="E10570" s="1" t="s">
        <v>16613</v>
      </c>
      <c r="CK10570" s="1" t="s">
        <v>85</v>
      </c>
      <c r="GD10570" s="1" t="s">
        <v>193</v>
      </c>
      <c r="GE10570" s="1" t="s">
        <v>190</v>
      </c>
    </row>
    <row r="10571" spans="1:187" ht="11.25" customHeight="1">
      <c r="A10571" s="1" t="s">
        <v>14897</v>
      </c>
      <c r="B10571" s="1" t="str">
        <f ca="1">IFERROR(__xludf.DUMMYFUNCTION("GOOGLETRANSLATE(A10571, ""en"", ""fr"")"),"POUCE")</f>
        <v>POUCE</v>
      </c>
      <c r="C10571" s="1" t="s">
        <v>185</v>
      </c>
      <c r="BJ10571" s="1" t="s">
        <v>58</v>
      </c>
      <c r="GD10571" s="1" t="s">
        <v>193</v>
      </c>
      <c r="GE10571" s="1" t="s">
        <v>190</v>
      </c>
    </row>
    <row r="10572" spans="1:187" ht="11.25" customHeight="1">
      <c r="A10572" s="1" t="s">
        <v>14898</v>
      </c>
      <c r="B10572" s="1" t="str">
        <f ca="1">IFERROR(__xludf.DUMMYFUNCTION("GOOGLETRANSLATE(A10572, ""en"", ""fr"")"),"TONNERRE")</f>
        <v>TONNERRE</v>
      </c>
      <c r="C10572" s="1" t="s">
        <v>185</v>
      </c>
      <c r="J10572" s="1" t="s">
        <v>6</v>
      </c>
      <c r="AV10572" s="1" t="s">
        <v>44</v>
      </c>
      <c r="BB10572" s="1" t="s">
        <v>50</v>
      </c>
      <c r="GD10572" s="1" t="s">
        <v>193</v>
      </c>
      <c r="GE10572" s="1" t="s">
        <v>190</v>
      </c>
    </row>
    <row r="10573" spans="1:187" ht="11.25" customHeight="1">
      <c r="A10573" s="1" t="s">
        <v>14899</v>
      </c>
      <c r="B10573" s="1" t="str">
        <f ca="1">IFERROR(__xludf.DUMMYFUNCTION("GOOGLETRANSLATE(A10573, ""en"", ""fr"")"),"JEUDI")</f>
        <v>JEUDI</v>
      </c>
      <c r="C10573" s="1" t="s">
        <v>185</v>
      </c>
      <c r="CQ10573" s="1" t="s">
        <v>91</v>
      </c>
      <c r="CY10573" s="1" t="s">
        <v>99</v>
      </c>
      <c r="CZ10573" s="1" t="s">
        <v>100</v>
      </c>
      <c r="GB10573" s="1" t="s">
        <v>180</v>
      </c>
      <c r="GD10573" s="1" t="s">
        <v>193</v>
      </c>
      <c r="GE10573" s="1" t="s">
        <v>190</v>
      </c>
    </row>
    <row r="10574" spans="1:187" ht="11.25" customHeight="1">
      <c r="A10574" s="1" t="s">
        <v>14900</v>
      </c>
      <c r="B10574" s="1" t="str">
        <f ca="1">IFERROR(__xludf.DUMMYFUNCTION("GOOGLETRANSLATE(A10574, ""en"", ""fr"")"),"AINSI")</f>
        <v>AINSI</v>
      </c>
      <c r="C10574" s="1" t="s">
        <v>185</v>
      </c>
      <c r="W10574" s="1" t="s">
        <v>19</v>
      </c>
      <c r="CI10574" s="1" t="s">
        <v>83</v>
      </c>
      <c r="GD10574" s="1" t="s">
        <v>236</v>
      </c>
      <c r="GE10574" s="1" t="s">
        <v>14901</v>
      </c>
    </row>
    <row r="10575" spans="1:187" ht="11.25" customHeight="1">
      <c r="A10575" s="1" t="s">
        <v>14902</v>
      </c>
      <c r="B10575" s="1" t="str">
        <f ca="1">IFERROR(__xludf.DUMMYFUNCTION("GOOGLETRANSLATE(A10575, ""en"", ""fr"")"),"CONTRECARRER")</f>
        <v>CONTRECARRER</v>
      </c>
      <c r="C10575" s="1" t="s">
        <v>185</v>
      </c>
      <c r="E10575" s="1" t="s">
        <v>16613</v>
      </c>
      <c r="H10575" s="1" t="s">
        <v>4</v>
      </c>
      <c r="I10575" s="1" t="s">
        <v>5</v>
      </c>
      <c r="J10575" s="1" t="s">
        <v>6</v>
      </c>
      <c r="K10575" s="1" t="s">
        <v>7</v>
      </c>
      <c r="N10575" s="1" t="s">
        <v>10</v>
      </c>
      <c r="AN10575" s="1" t="s">
        <v>36</v>
      </c>
      <c r="DN10575" s="1" t="s">
        <v>114</v>
      </c>
      <c r="DT10575" s="1" t="s">
        <v>120</v>
      </c>
      <c r="ED10575" s="1" t="s">
        <v>130</v>
      </c>
      <c r="GD10575" s="1" t="s">
        <v>189</v>
      </c>
      <c r="GE10575" s="1" t="s">
        <v>190</v>
      </c>
    </row>
    <row r="10576" spans="1:187" ht="11.25" customHeight="1">
      <c r="A10576" s="1" t="s">
        <v>14903</v>
      </c>
      <c r="B10576" s="1" t="str">
        <f ca="1">IFERROR(__xludf.DUMMYFUNCTION("GOOGLETRANSLATE(A10576, ""en"", ""fr"")"),"TES")</f>
        <v>TES</v>
      </c>
      <c r="C10576" s="1" t="s">
        <v>185</v>
      </c>
      <c r="DH10576" s="1" t="s">
        <v>108</v>
      </c>
      <c r="GD10576" s="1" t="s">
        <v>7084</v>
      </c>
      <c r="GE10576" s="1" t="s">
        <v>190</v>
      </c>
    </row>
    <row r="10577" spans="1:187" ht="11.25" customHeight="1">
      <c r="A10577" s="1" t="s">
        <v>14904</v>
      </c>
      <c r="B10577" s="1" t="str">
        <f ca="1">IFERROR(__xludf.DUMMYFUNCTION("GOOGLETRANSLATE(A10577, ""en"", ""fr"")"),"THYROÏDE")</f>
        <v>THYROÏDE</v>
      </c>
      <c r="C10577" s="1" t="s">
        <v>185</v>
      </c>
      <c r="BJ10577" s="1" t="s">
        <v>58</v>
      </c>
      <c r="EZ10577" s="1" t="s">
        <v>152</v>
      </c>
      <c r="FC10577" s="1" t="s">
        <v>155</v>
      </c>
      <c r="GD10577" s="1" t="s">
        <v>193</v>
      </c>
      <c r="GE10577" s="1" t="s">
        <v>190</v>
      </c>
    </row>
    <row r="10578" spans="1:187" ht="11.25" customHeight="1">
      <c r="A10578" s="1" t="s">
        <v>14905</v>
      </c>
      <c r="B10578" s="1" t="str">
        <f ca="1">IFERROR(__xludf.DUMMYFUNCTION("GOOGLETRANSLATE(A10578, ""en"", ""fr"")"),"BILLET")</f>
        <v>BILLET</v>
      </c>
      <c r="C10578" s="1" t="s">
        <v>185</v>
      </c>
      <c r="AA10578" s="1" t="s">
        <v>23</v>
      </c>
      <c r="BC10578" s="1" t="s">
        <v>51</v>
      </c>
      <c r="BH10578" s="1" t="s">
        <v>56</v>
      </c>
      <c r="BL10578" s="1" t="s">
        <v>60</v>
      </c>
      <c r="GD10578" s="1" t="s">
        <v>193</v>
      </c>
      <c r="GE10578" s="1" t="s">
        <v>190</v>
      </c>
    </row>
    <row r="10579" spans="1:187" ht="11.25" customHeight="1">
      <c r="A10579" s="1" t="s">
        <v>14906</v>
      </c>
      <c r="B10579" s="1" t="str">
        <f ca="1">IFERROR(__xludf.DUMMYFUNCTION("GOOGLETRANSLATE(A10579, ""en"", ""fr"")"),"MARÉE")</f>
        <v>MARÉE</v>
      </c>
      <c r="C10579" s="1" t="s">
        <v>185</v>
      </c>
      <c r="AV10579" s="1" t="s">
        <v>44</v>
      </c>
      <c r="AZ10579" s="1" t="s">
        <v>48</v>
      </c>
      <c r="GD10579" s="1" t="s">
        <v>193</v>
      </c>
      <c r="GE10579" s="1" t="s">
        <v>190</v>
      </c>
    </row>
    <row r="10580" spans="1:187" ht="11.25" customHeight="1">
      <c r="A10580" s="1" t="s">
        <v>14907</v>
      </c>
      <c r="B10580" s="1" t="str">
        <f ca="1">IFERROR(__xludf.DUMMYFUNCTION("GOOGLETRANSLATE(A10580, ""en"", ""fr"")"),"Tie n ° 1")</f>
        <v>Tie n ° 1</v>
      </c>
      <c r="C10580" s="1" t="s">
        <v>185</v>
      </c>
      <c r="N10580" s="1" t="s">
        <v>10</v>
      </c>
      <c r="DD10580" s="1" t="s">
        <v>104</v>
      </c>
      <c r="DO10580" s="1" t="s">
        <v>115</v>
      </c>
      <c r="FP10580" s="1" t="s">
        <v>168</v>
      </c>
      <c r="GD10580" s="1" t="s">
        <v>189</v>
      </c>
      <c r="GE10580" s="1" t="s">
        <v>14908</v>
      </c>
    </row>
    <row r="10581" spans="1:187" ht="11.25" customHeight="1">
      <c r="A10581" s="1" t="s">
        <v>14909</v>
      </c>
      <c r="B10581" s="1" t="str">
        <f ca="1">IFERROR(__xludf.DUMMYFUNCTION("GOOGLETRANSLATE(A10581, ""en"", ""fr"")"),"Cravate n ° 2")</f>
        <v>Cravate n ° 2</v>
      </c>
      <c r="C10581" s="1" t="s">
        <v>185</v>
      </c>
      <c r="BC10581" s="1" t="s">
        <v>51</v>
      </c>
      <c r="BD10581" s="1" t="s">
        <v>52</v>
      </c>
      <c r="GD10581" s="1" t="s">
        <v>193</v>
      </c>
      <c r="GE10581" s="1" t="s">
        <v>14910</v>
      </c>
    </row>
    <row r="10582" spans="1:187" ht="11.25" customHeight="1">
      <c r="A10582" s="1" t="s">
        <v>14911</v>
      </c>
      <c r="B10582" s="1" t="str">
        <f ca="1">IFERROR(__xludf.DUMMYFUNCTION("GOOGLETRANSLATE(A10582, ""en"", ""fr"")"),"Cravate n ° 3")</f>
        <v>Cravate n ° 3</v>
      </c>
      <c r="C10582" s="1" t="s">
        <v>185</v>
      </c>
      <c r="DD10582" s="1" t="s">
        <v>104</v>
      </c>
      <c r="ER10582" s="1" t="s">
        <v>144</v>
      </c>
      <c r="ES10582" s="1" t="s">
        <v>145</v>
      </c>
      <c r="GD10582" s="1" t="s">
        <v>193</v>
      </c>
      <c r="GE10582" s="1" t="s">
        <v>14912</v>
      </c>
    </row>
    <row r="10583" spans="1:187" ht="11.25" customHeight="1">
      <c r="A10583" s="1" t="s">
        <v>14913</v>
      </c>
      <c r="B10583" s="1" t="str">
        <f ca="1">IFERROR(__xludf.DUMMYFUNCTION("GOOGLETRANSLATE(A10583, ""en"", ""fr"")"),"Cravate n ° 4")</f>
        <v>Cravate n ° 4</v>
      </c>
      <c r="C10583" s="1" t="s">
        <v>185</v>
      </c>
      <c r="BS10583" s="1" t="s">
        <v>67</v>
      </c>
      <c r="DO10583" s="1" t="s">
        <v>115</v>
      </c>
      <c r="FP10583" s="1" t="s">
        <v>168</v>
      </c>
      <c r="GD10583" s="1" t="s">
        <v>189</v>
      </c>
      <c r="GE10583" s="1" t="s">
        <v>14914</v>
      </c>
    </row>
    <row r="10584" spans="1:187" ht="11.25" customHeight="1">
      <c r="A10584" s="1" t="s">
        <v>14915</v>
      </c>
      <c r="B10584" s="1" t="str">
        <f ca="1">IFERROR(__xludf.DUMMYFUNCTION("GOOGLETRANSLATE(A10584, ""en"", ""fr"")"),"TIGRE")</f>
        <v>TIGRE</v>
      </c>
      <c r="C10584" s="1" t="s">
        <v>185</v>
      </c>
      <c r="AU10584" s="1" t="s">
        <v>43</v>
      </c>
      <c r="GD10584" s="1" t="s">
        <v>193</v>
      </c>
      <c r="GE10584" s="1" t="s">
        <v>14916</v>
      </c>
    </row>
    <row r="10585" spans="1:187" ht="11.25" customHeight="1">
      <c r="A10585" s="1" t="s">
        <v>14917</v>
      </c>
      <c r="B10585" s="1" t="str">
        <f ca="1">IFERROR(__xludf.DUMMYFUNCTION("GOOGLETRANSLATE(A10585, ""en"", ""fr"")"),"SERRÉ")</f>
        <v>SERRÉ</v>
      </c>
      <c r="C10585" s="1" t="s">
        <v>185</v>
      </c>
      <c r="CR10585" s="1" t="s">
        <v>92</v>
      </c>
      <c r="GD10585" s="1" t="s">
        <v>202</v>
      </c>
      <c r="GE10585" s="1" t="s">
        <v>190</v>
      </c>
    </row>
    <row r="10586" spans="1:187" ht="11.25" customHeight="1">
      <c r="A10586" s="1" t="s">
        <v>14918</v>
      </c>
      <c r="B10586" s="1" t="str">
        <f ca="1">IFERROR(__xludf.DUMMYFUNCTION("GOOGLETRANSLATE(A10586, ""en"", ""fr"")"),"Jusqu'à n ° 1")</f>
        <v>Jusqu'à n ° 1</v>
      </c>
      <c r="C10586" s="1" t="s">
        <v>185</v>
      </c>
      <c r="CY10586" s="1" t="s">
        <v>99</v>
      </c>
      <c r="GB10586" s="1" t="s">
        <v>180</v>
      </c>
      <c r="GD10586" s="1" t="s">
        <v>215</v>
      </c>
      <c r="GE10586" s="1" t="s">
        <v>14919</v>
      </c>
    </row>
    <row r="10587" spans="1:187" ht="11.25" customHeight="1">
      <c r="A10587" s="1" t="s">
        <v>14920</v>
      </c>
      <c r="B10587" s="1" t="str">
        <f ca="1">IFERROR(__xludf.DUMMYFUNCTION("GOOGLETRANSLATE(A10587, ""en"", ""fr"")"),"Jusqu'à # 2")</f>
        <v>Jusqu'à # 2</v>
      </c>
      <c r="C10587" s="1" t="s">
        <v>185</v>
      </c>
      <c r="CY10587" s="1" t="s">
        <v>99</v>
      </c>
      <c r="GB10587" s="1" t="s">
        <v>180</v>
      </c>
      <c r="GD10587" s="1" t="s">
        <v>763</v>
      </c>
      <c r="GE10587" s="1" t="s">
        <v>14921</v>
      </c>
    </row>
    <row r="10588" spans="1:187" ht="11.25" customHeight="1">
      <c r="A10588" s="1" t="s">
        <v>14922</v>
      </c>
      <c r="B10588" s="1" t="str">
        <f ca="1">IFERROR(__xludf.DUMMYFUNCTION("GOOGLETRANSLATE(A10588, ""en"", ""fr"")"),"Jusqu'à # 3")</f>
        <v>Jusqu'à # 3</v>
      </c>
      <c r="C10588" s="1" t="s">
        <v>185</v>
      </c>
      <c r="J10588" s="1" t="s">
        <v>6</v>
      </c>
      <c r="N10588" s="1" t="s">
        <v>10</v>
      </c>
      <c r="AL10588" s="1" t="s">
        <v>34</v>
      </c>
      <c r="DN10588" s="1" t="s">
        <v>114</v>
      </c>
      <c r="GD10588" s="1" t="s">
        <v>189</v>
      </c>
      <c r="GE10588" s="1" t="s">
        <v>14923</v>
      </c>
    </row>
    <row r="10589" spans="1:187" ht="11.25" customHeight="1">
      <c r="A10589" s="1" t="s">
        <v>14924</v>
      </c>
      <c r="B10589" s="1" t="str">
        <f ca="1">IFERROR(__xludf.DUMMYFUNCTION("GOOGLETRANSLATE(A10589, ""en"", ""fr"")"),"CHARPENTE")</f>
        <v>CHARPENTE</v>
      </c>
      <c r="C10589" s="1" t="s">
        <v>196</v>
      </c>
      <c r="EV10589" s="1" t="s">
        <v>148</v>
      </c>
      <c r="EW10589" s="1" t="s">
        <v>149</v>
      </c>
      <c r="GD10589" s="1" t="s">
        <v>193</v>
      </c>
    </row>
    <row r="10590" spans="1:187" ht="11.25" customHeight="1">
      <c r="A10590" s="1" t="s">
        <v>14925</v>
      </c>
      <c r="B10590" s="1" t="str">
        <f ca="1">IFERROR(__xludf.DUMMYFUNCTION("GOOGLETRANSLATE(A10590, ""en"", ""fr"")"),"Heure n ° 1")</f>
        <v>Heure n ° 1</v>
      </c>
      <c r="C10590" s="1" t="s">
        <v>192</v>
      </c>
      <c r="CQ10590" s="1" t="s">
        <v>91</v>
      </c>
      <c r="CY10590" s="1" t="s">
        <v>99</v>
      </c>
      <c r="CZ10590" s="1" t="s">
        <v>100</v>
      </c>
      <c r="GD10590" s="1" t="s">
        <v>193</v>
      </c>
      <c r="GE10590" s="1" t="s">
        <v>14926</v>
      </c>
    </row>
    <row r="10591" spans="1:187" ht="11.25" customHeight="1">
      <c r="A10591" s="1" t="s">
        <v>14927</v>
      </c>
      <c r="B10591" s="1" t="str">
        <f ca="1">IFERROR(__xludf.DUMMYFUNCTION("GOOGLETRANSLATE(A10591, ""en"", ""fr"")"),"Temps # 2")</f>
        <v>Temps # 2</v>
      </c>
      <c r="C10591" s="1" t="s">
        <v>192</v>
      </c>
      <c r="CY10591" s="1" t="s">
        <v>99</v>
      </c>
      <c r="GD10591" s="1" t="s">
        <v>193</v>
      </c>
      <c r="GE10591" s="1" t="s">
        <v>14928</v>
      </c>
    </row>
    <row r="10592" spans="1:187" ht="11.25" customHeight="1">
      <c r="A10592" s="1" t="s">
        <v>14929</v>
      </c>
      <c r="B10592" s="1" t="str">
        <f ca="1">IFERROR(__xludf.DUMMYFUNCTION("GOOGLETRANSLATE(A10592, ""en"", ""fr"")"),"Temps # 3")</f>
        <v>Temps # 3</v>
      </c>
      <c r="C10592" s="1" t="s">
        <v>192</v>
      </c>
      <c r="CW10592" s="1" t="s">
        <v>97</v>
      </c>
      <c r="GD10592" s="1" t="s">
        <v>193</v>
      </c>
      <c r="GE10592" s="1" t="s">
        <v>14930</v>
      </c>
    </row>
    <row r="10593" spans="1:187" ht="11.25" customHeight="1">
      <c r="A10593" s="1" t="s">
        <v>14931</v>
      </c>
      <c r="B10593" s="1" t="str">
        <f ca="1">IFERROR(__xludf.DUMMYFUNCTION("GOOGLETRANSLATE(A10593, ""en"", ""fr"")"),"Temps # 4")</f>
        <v>Temps # 4</v>
      </c>
      <c r="C10593" s="1" t="s">
        <v>192</v>
      </c>
      <c r="CO10593" s="1" t="s">
        <v>89</v>
      </c>
      <c r="DO10593" s="1" t="s">
        <v>115</v>
      </c>
      <c r="GD10593" s="1" t="s">
        <v>189</v>
      </c>
      <c r="GE10593" s="1" t="s">
        <v>14932</v>
      </c>
    </row>
    <row r="10594" spans="1:187" ht="11.25" customHeight="1">
      <c r="A10594" s="1" t="s">
        <v>14933</v>
      </c>
      <c r="B10594" s="1" t="str">
        <f ca="1">IFERROR(__xludf.DUMMYFUNCTION("GOOGLETRANSLATE(A10594, ""en"", ""fr"")"),"Temps # 5")</f>
        <v>Temps # 5</v>
      </c>
      <c r="C10594" s="1" t="s">
        <v>192</v>
      </c>
      <c r="CY10594" s="1" t="s">
        <v>99</v>
      </c>
      <c r="GD10594" s="1" t="s">
        <v>236</v>
      </c>
      <c r="GE10594" s="1" t="s">
        <v>14934</v>
      </c>
    </row>
    <row r="10595" spans="1:187" ht="11.25" customHeight="1">
      <c r="A10595" s="1" t="s">
        <v>14935</v>
      </c>
      <c r="B10595" s="1" t="str">
        <f ca="1">IFERROR(__xludf.DUMMYFUNCTION("GOOGLETRANSLATE(A10595, ""en"", ""fr"")"),"Temps # 6")</f>
        <v>Temps # 6</v>
      </c>
      <c r="C10595" s="1" t="s">
        <v>192</v>
      </c>
      <c r="CY10595" s="1" t="s">
        <v>99</v>
      </c>
      <c r="GD10595" s="1" t="s">
        <v>236</v>
      </c>
      <c r="GE10595" s="1" t="s">
        <v>14936</v>
      </c>
    </row>
    <row r="10596" spans="1:187" ht="11.25" customHeight="1">
      <c r="A10596" s="1" t="s">
        <v>14937</v>
      </c>
      <c r="B10596" s="1" t="str">
        <f ca="1">IFERROR(__xludf.DUMMYFUNCTION("GOOGLETRANSLATE(A10596, ""en"", ""fr"")"),"Temps n ° 7")</f>
        <v>Temps n ° 7</v>
      </c>
      <c r="C10596" s="1" t="s">
        <v>192</v>
      </c>
      <c r="I10596" s="1" t="s">
        <v>5</v>
      </c>
      <c r="CY10596" s="1" t="s">
        <v>99</v>
      </c>
      <c r="GD10596" s="1" t="s">
        <v>236</v>
      </c>
      <c r="GE10596" s="1" t="s">
        <v>14938</v>
      </c>
    </row>
    <row r="10597" spans="1:187" ht="11.25" customHeight="1">
      <c r="A10597" s="1" t="s">
        <v>14939</v>
      </c>
      <c r="B10597" s="1" t="str">
        <f ca="1">IFERROR(__xludf.DUMMYFUNCTION("GOOGLETRANSLATE(A10597, ""en"", ""fr"")"),"Temps # 8")</f>
        <v>Temps # 8</v>
      </c>
      <c r="C10597" s="1" t="s">
        <v>192</v>
      </c>
      <c r="CY10597" s="1" t="s">
        <v>99</v>
      </c>
      <c r="GD10597" s="1" t="s">
        <v>236</v>
      </c>
      <c r="GE10597" s="1" t="s">
        <v>14940</v>
      </c>
    </row>
    <row r="10598" spans="1:187" ht="11.25" customHeight="1">
      <c r="A10598" s="1" t="s">
        <v>14941</v>
      </c>
      <c r="B10598" s="1" t="str">
        <f ca="1">IFERROR(__xludf.DUMMYFUNCTION("GOOGLETRANSLATE(A10598, ""en"", ""fr"")"),"Temps # 9")</f>
        <v>Temps # 9</v>
      </c>
      <c r="C10598" s="1" t="s">
        <v>192</v>
      </c>
      <c r="CY10598" s="1" t="s">
        <v>99</v>
      </c>
      <c r="GD10598" s="1" t="s">
        <v>193</v>
      </c>
      <c r="GE10598" s="1" t="s">
        <v>14942</v>
      </c>
    </row>
    <row r="10599" spans="1:187" ht="11.25" customHeight="1">
      <c r="A10599" s="1" t="s">
        <v>14943</v>
      </c>
      <c r="B10599" s="1" t="str">
        <f ca="1">IFERROR(__xludf.DUMMYFUNCTION("GOOGLETRANSLATE(A10599, ""en"", ""fr"")"),"Temps # _10")</f>
        <v>Temps # _10</v>
      </c>
      <c r="C10599" s="1" t="s">
        <v>192</v>
      </c>
      <c r="GD10599" s="1" t="s">
        <v>225</v>
      </c>
      <c r="GE10599" s="1" t="s">
        <v>14944</v>
      </c>
    </row>
    <row r="10600" spans="1:187" ht="11.25" customHeight="1">
      <c r="A10600" s="1" t="s">
        <v>14945</v>
      </c>
      <c r="B10600" s="1" t="str">
        <f ca="1">IFERROR(__xludf.DUMMYFUNCTION("GOOGLETRANSLATE(A10600, ""en"", ""fr"")"),"Temps # _11")</f>
        <v>Temps # _11</v>
      </c>
      <c r="C10600" s="1" t="s">
        <v>192</v>
      </c>
      <c r="CY10600" s="1" t="s">
        <v>99</v>
      </c>
      <c r="GD10600" s="1" t="s">
        <v>236</v>
      </c>
      <c r="GE10600" s="1" t="s">
        <v>14946</v>
      </c>
    </row>
    <row r="10601" spans="1:187" ht="11.25" customHeight="1">
      <c r="A10601" s="1" t="s">
        <v>14947</v>
      </c>
      <c r="B10601" s="1" t="str">
        <f ca="1">IFERROR(__xludf.DUMMYFUNCTION("GOOGLETRANSLATE(A10601, ""en"", ""fr"")"),"Temps # _12")</f>
        <v>Temps # _12</v>
      </c>
      <c r="C10601" s="1" t="s">
        <v>192</v>
      </c>
      <c r="CE10601" s="1" t="s">
        <v>79</v>
      </c>
      <c r="DN10601" s="1" t="s">
        <v>114</v>
      </c>
      <c r="GD10601" s="1" t="s">
        <v>189</v>
      </c>
      <c r="GE10601" s="1" t="s">
        <v>14948</v>
      </c>
    </row>
    <row r="10602" spans="1:187" ht="11.25" customHeight="1">
      <c r="A10602" s="1" t="s">
        <v>14949</v>
      </c>
      <c r="B10602" s="1" t="str">
        <f ca="1">IFERROR(__xludf.DUMMYFUNCTION("GOOGLETRANSLATE(A10602, ""en"", ""fr"")"),"Temps # _13")</f>
        <v>Temps # _13</v>
      </c>
      <c r="C10602" s="1" t="s">
        <v>192</v>
      </c>
      <c r="X10602" s="1" t="s">
        <v>20</v>
      </c>
      <c r="CW10602" s="1" t="s">
        <v>97</v>
      </c>
      <c r="GD10602" s="1" t="s">
        <v>236</v>
      </c>
      <c r="GE10602" s="1" t="s">
        <v>14950</v>
      </c>
    </row>
    <row r="10603" spans="1:187" ht="11.25" customHeight="1">
      <c r="A10603" s="1" t="s">
        <v>14951</v>
      </c>
      <c r="B10603" s="1" t="str">
        <f ca="1">IFERROR(__xludf.DUMMYFUNCTION("GOOGLETRANSLATE(A10603, ""en"", ""fr"")"),"Temps # _14")</f>
        <v>Temps # _14</v>
      </c>
      <c r="C10603" s="1" t="s">
        <v>192</v>
      </c>
      <c r="CO10603" s="1" t="s">
        <v>89</v>
      </c>
      <c r="DN10603" s="1" t="s">
        <v>114</v>
      </c>
      <c r="GD10603" s="1" t="s">
        <v>189</v>
      </c>
      <c r="GE10603" s="1" t="s">
        <v>14952</v>
      </c>
    </row>
    <row r="10604" spans="1:187" ht="11.25" customHeight="1">
      <c r="A10604" s="1" t="s">
        <v>14953</v>
      </c>
      <c r="B10604" s="1" t="str">
        <f ca="1">IFERROR(__xludf.DUMMYFUNCTION("GOOGLETRANSLATE(A10604, ""en"", ""fr"")"),"Temps # _15")</f>
        <v>Temps # _15</v>
      </c>
      <c r="C10604" s="1" t="s">
        <v>192</v>
      </c>
      <c r="CW10604" s="1" t="s">
        <v>97</v>
      </c>
      <c r="GD10604" s="1" t="s">
        <v>236</v>
      </c>
      <c r="GE10604" s="1" t="s">
        <v>14954</v>
      </c>
    </row>
    <row r="10605" spans="1:187" ht="11.25" customHeight="1">
      <c r="A10605" s="1" t="s">
        <v>14955</v>
      </c>
      <c r="B10605" s="1" t="str">
        <f ca="1">IFERROR(__xludf.DUMMYFUNCTION("GOOGLETRANSLATE(A10605, ""en"", ""fr"")"),"Temps # _16")</f>
        <v>Temps # _16</v>
      </c>
      <c r="C10605" s="1" t="s">
        <v>192</v>
      </c>
      <c r="GD10605" s="1" t="s">
        <v>225</v>
      </c>
      <c r="GE10605" s="1" t="s">
        <v>14956</v>
      </c>
    </row>
    <row r="10606" spans="1:187" ht="11.25" customHeight="1">
      <c r="A10606" s="1" t="s">
        <v>14957</v>
      </c>
      <c r="B10606" s="1" t="str">
        <f ca="1">IFERROR(__xludf.DUMMYFUNCTION("GOOGLETRANSLATE(A10606, ""en"", ""fr"")"),"Temps # _17")</f>
        <v>Temps # _17</v>
      </c>
      <c r="C10606" s="1" t="s">
        <v>192</v>
      </c>
      <c r="GD10606" s="1" t="s">
        <v>225</v>
      </c>
      <c r="GE10606" s="1" t="s">
        <v>14958</v>
      </c>
    </row>
    <row r="10607" spans="1:187" ht="11.25" customHeight="1">
      <c r="A10607" s="1" t="s">
        <v>14959</v>
      </c>
      <c r="B10607" s="1" t="str">
        <f ca="1">IFERROR(__xludf.DUMMYFUNCTION("GOOGLETRANSLATE(A10607, ""en"", ""fr"")"),"Temps # _18")</f>
        <v>Temps # _18</v>
      </c>
      <c r="C10607" s="1" t="s">
        <v>192</v>
      </c>
      <c r="GD10607" s="1" t="s">
        <v>225</v>
      </c>
      <c r="GE10607" s="1" t="s">
        <v>14960</v>
      </c>
    </row>
    <row r="10608" spans="1:187" ht="11.25" customHeight="1">
      <c r="A10608" s="1" t="s">
        <v>14961</v>
      </c>
      <c r="B10608" s="1" t="str">
        <f ca="1">IFERROR(__xludf.DUMMYFUNCTION("GOOGLETRANSLATE(A10608, ""en"", ""fr"")"),"MINUTEUR")</f>
        <v>MINUTEUR</v>
      </c>
      <c r="C10608" s="1" t="s">
        <v>185</v>
      </c>
      <c r="BC10608" s="1" t="s">
        <v>51</v>
      </c>
      <c r="BD10608" s="1" t="s">
        <v>52</v>
      </c>
      <c r="GD10608" s="1" t="s">
        <v>193</v>
      </c>
      <c r="GE10608" s="1" t="s">
        <v>190</v>
      </c>
    </row>
    <row r="10609" spans="1:187" ht="11.25" customHeight="1">
      <c r="A10609" s="1" t="s">
        <v>14962</v>
      </c>
      <c r="B10609" s="1" t="str">
        <f ca="1">IFERROR(__xludf.DUMMYFUNCTION("GOOGLETRANSLATE(A10609, ""en"", ""fr"")"),"TIMIDE")</f>
        <v>TIMIDE</v>
      </c>
      <c r="C10609" s="1" t="s">
        <v>185</v>
      </c>
      <c r="L10609" s="1" t="s">
        <v>8</v>
      </c>
      <c r="O10609" s="1" t="s">
        <v>11</v>
      </c>
      <c r="V10609" s="1" t="s">
        <v>18</v>
      </c>
      <c r="GD10609" s="1" t="s">
        <v>202</v>
      </c>
      <c r="GE10609" s="1" t="s">
        <v>190</v>
      </c>
    </row>
    <row r="10610" spans="1:187" ht="11.25" customHeight="1">
      <c r="A10610" s="1" t="s">
        <v>14963</v>
      </c>
      <c r="B10610" s="1" t="str">
        <f ca="1">IFERROR(__xludf.DUMMYFUNCTION("GOOGLETRANSLATE(A10610, ""en"", ""fr"")"),"TIMIDITÉ")</f>
        <v>TIMIDITÉ</v>
      </c>
      <c r="C10610" s="1" t="s">
        <v>192</v>
      </c>
      <c r="E10610" s="1" t="s">
        <v>16613</v>
      </c>
      <c r="V10610" s="1" t="s">
        <v>18</v>
      </c>
      <c r="GD10610" s="1" t="s">
        <v>193</v>
      </c>
      <c r="GE10610" s="1" t="s">
        <v>190</v>
      </c>
    </row>
    <row r="10611" spans="1:187" ht="11.25" customHeight="1">
      <c r="A10611" s="1" t="s">
        <v>14964</v>
      </c>
      <c r="B10611" s="1" t="str">
        <f ca="1">IFERROR(__xludf.DUMMYFUNCTION("GOOGLETRANSLATE(A10611, ""en"", ""fr"")"),"ÉTAIN")</f>
        <v>ÉTAIN</v>
      </c>
      <c r="C10611" s="1" t="s">
        <v>196</v>
      </c>
      <c r="EV10611" s="1" t="s">
        <v>148</v>
      </c>
      <c r="EW10611" s="1" t="s">
        <v>149</v>
      </c>
      <c r="GD10611" s="1" t="s">
        <v>193</v>
      </c>
    </row>
    <row r="10612" spans="1:187" ht="11.25" customHeight="1">
      <c r="A10612" s="1" t="s">
        <v>14965</v>
      </c>
      <c r="B10612" s="1" t="str">
        <f ca="1">IFERROR(__xludf.DUMMYFUNCTION("GOOGLETRANSLATE(A10612, ""en"", ""fr"")"),"Tingle # 1")</f>
        <v>Tingle # 1</v>
      </c>
      <c r="C10612" s="1" t="s">
        <v>185</v>
      </c>
      <c r="D10612" s="1" t="s">
        <v>16612</v>
      </c>
      <c r="F10612" s="1" t="s">
        <v>2</v>
      </c>
      <c r="O10612" s="1" t="s">
        <v>11</v>
      </c>
      <c r="P10612" s="1" t="s">
        <v>12</v>
      </c>
      <c r="GD10612" s="1" t="s">
        <v>193</v>
      </c>
      <c r="GE10612" s="1" t="s">
        <v>190</v>
      </c>
    </row>
    <row r="10613" spans="1:187" ht="11.25" customHeight="1">
      <c r="A10613" s="1" t="s">
        <v>14966</v>
      </c>
      <c r="B10613" s="1" t="str">
        <f ca="1">IFERROR(__xludf.DUMMYFUNCTION("GOOGLETRANSLATE(A10613, ""en"", ""fr"")"),"Tingle # 2")</f>
        <v>Tingle # 2</v>
      </c>
      <c r="C10613" s="1" t="s">
        <v>185</v>
      </c>
      <c r="O10613" s="1" t="s">
        <v>11</v>
      </c>
      <c r="P10613" s="1" t="s">
        <v>12</v>
      </c>
      <c r="DN10613" s="1" t="s">
        <v>114</v>
      </c>
      <c r="GD10613" s="1" t="s">
        <v>189</v>
      </c>
      <c r="GE10613" s="1" t="s">
        <v>190</v>
      </c>
    </row>
    <row r="10614" spans="1:187" ht="11.25" customHeight="1">
      <c r="A10614" s="1" t="s">
        <v>14967</v>
      </c>
      <c r="B10614" s="1" t="str">
        <f ca="1">IFERROR(__xludf.DUMMYFUNCTION("GOOGLETRANSLATE(A10614, ""en"", ""fr"")"),"MINUSCULE")</f>
        <v>MINUSCULE</v>
      </c>
      <c r="C10614" s="1" t="s">
        <v>185</v>
      </c>
      <c r="L10614" s="1" t="s">
        <v>8</v>
      </c>
      <c r="X10614" s="1" t="s">
        <v>20</v>
      </c>
      <c r="CS10614" s="1" t="s">
        <v>93</v>
      </c>
      <c r="DC10614" s="1" t="s">
        <v>103</v>
      </c>
      <c r="GD10614" s="1" t="s">
        <v>202</v>
      </c>
      <c r="GE10614" s="1" t="s">
        <v>190</v>
      </c>
    </row>
    <row r="10615" spans="1:187" ht="11.25" customHeight="1">
      <c r="A10615" s="1" t="s">
        <v>14968</v>
      </c>
      <c r="B10615" s="1" t="str">
        <f ca="1">IFERROR(__xludf.DUMMYFUNCTION("GOOGLETRANSLATE(A10615, ""en"", ""fr"")"),"Pneu # 1")</f>
        <v>Pneu # 1</v>
      </c>
      <c r="C10615" s="1" t="s">
        <v>185</v>
      </c>
      <c r="BC10615" s="1" t="s">
        <v>51</v>
      </c>
      <c r="BD10615" s="1" t="s">
        <v>52</v>
      </c>
      <c r="GD10615" s="1" t="s">
        <v>193</v>
      </c>
      <c r="GE10615" s="1" t="s">
        <v>14969</v>
      </c>
    </row>
    <row r="10616" spans="1:187" ht="11.25" customHeight="1">
      <c r="A10616" s="1" t="s">
        <v>14970</v>
      </c>
      <c r="B10616" s="1" t="str">
        <f ca="1">IFERROR(__xludf.DUMMYFUNCTION("GOOGLETRANSLATE(A10616, ""en"", ""fr"")"),"Pneu # 2")</f>
        <v>Pneu # 2</v>
      </c>
      <c r="C10616" s="1" t="s">
        <v>185</v>
      </c>
      <c r="E10616" s="1" t="s">
        <v>16613</v>
      </c>
      <c r="H10616" s="1" t="s">
        <v>4</v>
      </c>
      <c r="M10616" s="1" t="s">
        <v>9</v>
      </c>
      <c r="Q10616" s="1" t="s">
        <v>13</v>
      </c>
      <c r="DN10616" s="1" t="s">
        <v>114</v>
      </c>
      <c r="EZ10616" s="1" t="s">
        <v>152</v>
      </c>
      <c r="FC10616" s="1" t="s">
        <v>155</v>
      </c>
      <c r="GD10616" s="1" t="s">
        <v>189</v>
      </c>
      <c r="GE10616" s="1" t="s">
        <v>14971</v>
      </c>
    </row>
    <row r="10617" spans="1:187" ht="11.25" customHeight="1">
      <c r="A10617" s="1" t="s">
        <v>14972</v>
      </c>
      <c r="B10617" s="1" t="str">
        <f ca="1">IFERROR(__xludf.DUMMYFUNCTION("GOOGLETRANSLATE(A10617, ""en"", ""fr"")"),"Pneu # 3")</f>
        <v>Pneu # 3</v>
      </c>
      <c r="C10617" s="1" t="s">
        <v>185</v>
      </c>
      <c r="E10617" s="1" t="s">
        <v>16613</v>
      </c>
      <c r="H10617" s="1" t="s">
        <v>4</v>
      </c>
      <c r="I10617" s="1" t="s">
        <v>5</v>
      </c>
      <c r="L10617" s="1" t="s">
        <v>8</v>
      </c>
      <c r="O10617" s="1" t="s">
        <v>11</v>
      </c>
      <c r="Q10617" s="1" t="s">
        <v>13</v>
      </c>
      <c r="DN10617" s="1" t="s">
        <v>114</v>
      </c>
      <c r="FW10617" s="1" t="s">
        <v>175</v>
      </c>
      <c r="GD10617" s="1" t="s">
        <v>189</v>
      </c>
      <c r="GE10617" s="1" t="s">
        <v>14973</v>
      </c>
    </row>
    <row r="10618" spans="1:187" ht="11.25" customHeight="1">
      <c r="A10618" s="1" t="s">
        <v>14974</v>
      </c>
      <c r="B10618" s="1" t="str">
        <f ca="1">IFERROR(__xludf.DUMMYFUNCTION("GOOGLETRANSLATE(A10618, ""en"", ""fr"")"),"Pneu # 4")</f>
        <v>Pneu # 4</v>
      </c>
      <c r="C10618" s="1" t="s">
        <v>185</v>
      </c>
      <c r="E10618" s="1" t="s">
        <v>16613</v>
      </c>
      <c r="H10618" s="1" t="s">
        <v>4</v>
      </c>
      <c r="L10618" s="1" t="s">
        <v>8</v>
      </c>
      <c r="M10618" s="1" t="s">
        <v>9</v>
      </c>
      <c r="O10618" s="1" t="s">
        <v>11</v>
      </c>
      <c r="Q10618" s="1" t="s">
        <v>13</v>
      </c>
      <c r="EZ10618" s="1" t="s">
        <v>152</v>
      </c>
      <c r="FC10618" s="1" t="s">
        <v>155</v>
      </c>
      <c r="GD10618" s="1" t="s">
        <v>202</v>
      </c>
      <c r="GE10618" s="1" t="s">
        <v>14975</v>
      </c>
    </row>
    <row r="10619" spans="1:187" ht="11.25" customHeight="1">
      <c r="A10619" s="1" t="s">
        <v>14976</v>
      </c>
      <c r="B10619" s="1" t="str">
        <f ca="1">IFERROR(__xludf.DUMMYFUNCTION("GOOGLETRANSLATE(A10619, ""en"", ""fr"")"),"Fatigué # 1")</f>
        <v>Fatigué # 1</v>
      </c>
      <c r="C10619" s="1" t="s">
        <v>185</v>
      </c>
      <c r="E10619" s="1" t="s">
        <v>16613</v>
      </c>
      <c r="H10619" s="1" t="s">
        <v>4</v>
      </c>
      <c r="L10619" s="1" t="s">
        <v>8</v>
      </c>
      <c r="M10619" s="1" t="s">
        <v>9</v>
      </c>
      <c r="O10619" s="1" t="s">
        <v>11</v>
      </c>
      <c r="Q10619" s="1" t="s">
        <v>13</v>
      </c>
      <c r="EZ10619" s="1" t="s">
        <v>152</v>
      </c>
      <c r="FC10619" s="1" t="s">
        <v>155</v>
      </c>
      <c r="GD10619" s="1" t="s">
        <v>202</v>
      </c>
      <c r="GE10619" s="1" t="s">
        <v>14977</v>
      </c>
    </row>
    <row r="10620" spans="1:187" ht="11.25" customHeight="1">
      <c r="A10620" s="1" t="s">
        <v>14978</v>
      </c>
      <c r="B10620" s="1" t="str">
        <f ca="1">IFERROR(__xludf.DUMMYFUNCTION("GOOGLETRANSLATE(A10620, ""en"", ""fr"")"),"Fatigué # 2")</f>
        <v>Fatigué # 2</v>
      </c>
      <c r="C10620" s="1" t="s">
        <v>185</v>
      </c>
      <c r="E10620" s="1" t="s">
        <v>16613</v>
      </c>
      <c r="H10620" s="1" t="s">
        <v>4</v>
      </c>
      <c r="I10620" s="1" t="s">
        <v>5</v>
      </c>
      <c r="L10620" s="1" t="s">
        <v>8</v>
      </c>
      <c r="O10620" s="1" t="s">
        <v>11</v>
      </c>
      <c r="Q10620" s="1" t="s">
        <v>13</v>
      </c>
      <c r="FW10620" s="1" t="s">
        <v>175</v>
      </c>
      <c r="GD10620" s="1" t="s">
        <v>202</v>
      </c>
      <c r="GE10620" s="1" t="s">
        <v>14979</v>
      </c>
    </row>
    <row r="10621" spans="1:187" ht="11.25" customHeight="1">
      <c r="A10621" s="1" t="s">
        <v>14980</v>
      </c>
      <c r="B10621" s="1" t="str">
        <f ca="1">IFERROR(__xludf.DUMMYFUNCTION("GOOGLETRANSLATE(A10621, ""en"", ""fr"")"),"Fatigué # 3")</f>
        <v>Fatigué # 3</v>
      </c>
      <c r="C10621" s="1" t="s">
        <v>185</v>
      </c>
      <c r="E10621" s="1" t="s">
        <v>16613</v>
      </c>
      <c r="H10621" s="1" t="s">
        <v>4</v>
      </c>
      <c r="L10621" s="1" t="s">
        <v>8</v>
      </c>
      <c r="M10621" s="1" t="s">
        <v>9</v>
      </c>
      <c r="O10621" s="1" t="s">
        <v>11</v>
      </c>
      <c r="Q10621" s="1" t="s">
        <v>13</v>
      </c>
      <c r="DP10621" s="1" t="s">
        <v>116</v>
      </c>
      <c r="EZ10621" s="1" t="s">
        <v>152</v>
      </c>
      <c r="FC10621" s="1" t="s">
        <v>155</v>
      </c>
      <c r="GD10621" s="1" t="s">
        <v>189</v>
      </c>
      <c r="GE10621" s="1" t="s">
        <v>14981</v>
      </c>
    </row>
    <row r="10622" spans="1:187" ht="11.25" customHeight="1">
      <c r="A10622" s="1" t="s">
        <v>14982</v>
      </c>
      <c r="B10622" s="1" t="str">
        <f ca="1">IFERROR(__xludf.DUMMYFUNCTION("GOOGLETRANSLATE(A10622, ""en"", ""fr"")"),"Fatigué # 4")</f>
        <v>Fatigué # 4</v>
      </c>
      <c r="C10622" s="1" t="s">
        <v>185</v>
      </c>
      <c r="E10622" s="1" t="s">
        <v>16613</v>
      </c>
      <c r="H10622" s="1" t="s">
        <v>4</v>
      </c>
      <c r="I10622" s="1" t="s">
        <v>5</v>
      </c>
      <c r="L10622" s="1" t="s">
        <v>8</v>
      </c>
      <c r="O10622" s="1" t="s">
        <v>11</v>
      </c>
      <c r="Q10622" s="1" t="s">
        <v>13</v>
      </c>
      <c r="DP10622" s="1" t="s">
        <v>116</v>
      </c>
      <c r="FW10622" s="1" t="s">
        <v>175</v>
      </c>
      <c r="GD10622" s="1" t="s">
        <v>189</v>
      </c>
      <c r="GE10622" s="1" t="s">
        <v>14983</v>
      </c>
    </row>
    <row r="10623" spans="1:187" ht="11.25" customHeight="1">
      <c r="A10623" s="1" t="s">
        <v>14984</v>
      </c>
      <c r="B10623" s="1" t="str">
        <f ca="1">IFERROR(__xludf.DUMMYFUNCTION("GOOGLETRANSLATE(A10623, ""en"", ""fr"")"),"FATIGANT")</f>
        <v>FATIGANT</v>
      </c>
      <c r="C10623" s="1" t="s">
        <v>192</v>
      </c>
      <c r="E10623" s="1" t="s">
        <v>16613</v>
      </c>
      <c r="V10623" s="1" t="s">
        <v>18</v>
      </c>
      <c r="DR10623" s="1" t="s">
        <v>118</v>
      </c>
      <c r="GD10623" s="1" t="s">
        <v>202</v>
      </c>
      <c r="GE10623" s="1" t="s">
        <v>190</v>
      </c>
    </row>
    <row r="10624" spans="1:187" ht="11.25" customHeight="1">
      <c r="A10624" s="1" t="s">
        <v>14985</v>
      </c>
      <c r="B10624" s="1" t="str">
        <f ca="1">IFERROR(__xludf.DUMMYFUNCTION("GOOGLETRANSLATE(A10624, ""en"", ""fr"")"),"TITRE")</f>
        <v>TITRE</v>
      </c>
      <c r="C10624" s="1" t="s">
        <v>185</v>
      </c>
      <c r="AE10624" s="1" t="s">
        <v>27</v>
      </c>
      <c r="BK10624" s="1" t="s">
        <v>59</v>
      </c>
      <c r="BL10624" s="1" t="s">
        <v>60</v>
      </c>
      <c r="EB10624" s="1" t="s">
        <v>128</v>
      </c>
      <c r="ED10624" s="1" t="s">
        <v>130</v>
      </c>
      <c r="GC10624" s="1" t="s">
        <v>181</v>
      </c>
      <c r="GD10624" s="1" t="s">
        <v>193</v>
      </c>
      <c r="GE10624" s="1" t="s">
        <v>190</v>
      </c>
    </row>
    <row r="10625" spans="1:187" ht="11.25" customHeight="1">
      <c r="A10625" s="1" t="s">
        <v>14986</v>
      </c>
      <c r="B10625" s="1" t="str">
        <f ca="1">IFERROR(__xludf.DUMMYFUNCTION("GOOGLETRANSLATE(A10625, ""en"", ""fr"")"),"Tnt")</f>
        <v>Tnt</v>
      </c>
      <c r="C10625" s="1" t="s">
        <v>185</v>
      </c>
      <c r="I10625" s="1" t="s">
        <v>5</v>
      </c>
      <c r="AF10625" s="1" t="s">
        <v>28</v>
      </c>
      <c r="BC10625" s="1" t="s">
        <v>51</v>
      </c>
      <c r="BD10625" s="1" t="s">
        <v>52</v>
      </c>
      <c r="DW10625" s="1" t="s">
        <v>123</v>
      </c>
      <c r="ED10625" s="1" t="s">
        <v>130</v>
      </c>
      <c r="GD10625" s="1" t="s">
        <v>193</v>
      </c>
      <c r="GE10625" s="1" t="s">
        <v>190</v>
      </c>
    </row>
    <row r="10626" spans="1:187" ht="11.25" customHeight="1">
      <c r="A10626" s="1" t="s">
        <v>14987</v>
      </c>
      <c r="B10626" s="1" t="str">
        <f ca="1">IFERROR(__xludf.DUMMYFUNCTION("GOOGLETRANSLATE(A10626, ""en"", ""fr"")"),"À # 1")</f>
        <v>À # 1</v>
      </c>
      <c r="C10626" s="1" t="s">
        <v>192</v>
      </c>
      <c r="DN10626" s="1" t="s">
        <v>114</v>
      </c>
      <c r="GD10626" s="1" t="s">
        <v>14988</v>
      </c>
      <c r="GE10626" s="1" t="s">
        <v>14989</v>
      </c>
    </row>
    <row r="10627" spans="1:187" ht="11.25" customHeight="1">
      <c r="A10627" s="1" t="s">
        <v>14990</v>
      </c>
      <c r="B10627" s="1" t="str">
        <f ca="1">IFERROR(__xludf.DUMMYFUNCTION("GOOGLETRANSLATE(A10627, ""en"", ""fr"")"),"À # 2")</f>
        <v>À # 2</v>
      </c>
      <c r="C10627" s="1" t="s">
        <v>192</v>
      </c>
      <c r="GD10627" s="1" t="s">
        <v>215</v>
      </c>
      <c r="GE10627" s="1" t="s">
        <v>14991</v>
      </c>
    </row>
    <row r="10628" spans="1:187" ht="11.25" customHeight="1">
      <c r="A10628" s="1" t="s">
        <v>14992</v>
      </c>
      <c r="B10628" s="1" t="str">
        <f ca="1">IFERROR(__xludf.DUMMYFUNCTION("GOOGLETRANSLATE(A10628, ""en"", ""fr"")"),"À # 3")</f>
        <v>À # 3</v>
      </c>
      <c r="C10628" s="1" t="s">
        <v>192</v>
      </c>
      <c r="GD10628" s="1" t="s">
        <v>225</v>
      </c>
      <c r="GE10628" s="1" t="s">
        <v>14993</v>
      </c>
    </row>
    <row r="10629" spans="1:187" ht="11.25" customHeight="1">
      <c r="A10629" s="1" t="s">
        <v>14994</v>
      </c>
      <c r="B10629" s="1" t="str">
        <f ca="1">IFERROR(__xludf.DUMMYFUNCTION("GOOGLETRANSLATE(A10629, ""en"", ""fr"")"),"À # 4")</f>
        <v>À # 4</v>
      </c>
      <c r="C10629" s="1" t="s">
        <v>192</v>
      </c>
      <c r="GD10629" s="1" t="s">
        <v>225</v>
      </c>
      <c r="GE10629" s="1" t="s">
        <v>6429</v>
      </c>
    </row>
    <row r="10630" spans="1:187" ht="11.25" customHeight="1">
      <c r="A10630" s="1" t="s">
        <v>14995</v>
      </c>
      <c r="B10630" s="1" t="str">
        <f ca="1">IFERROR(__xludf.DUMMYFUNCTION("GOOGLETRANSLATE(A10630, ""en"", ""fr"")"),"À # 5")</f>
        <v>À # 5</v>
      </c>
      <c r="C10630" s="1" t="s">
        <v>192</v>
      </c>
      <c r="GD10630" s="1" t="s">
        <v>225</v>
      </c>
      <c r="GE10630" s="1" t="s">
        <v>14996</v>
      </c>
    </row>
    <row r="10631" spans="1:187" ht="11.25" customHeight="1">
      <c r="A10631" s="1" t="s">
        <v>14997</v>
      </c>
      <c r="B10631" s="1" t="str">
        <f ca="1">IFERROR(__xludf.DUMMYFUNCTION("GOOGLETRANSLATE(A10631, ""en"", ""fr"")"),"À # 6")</f>
        <v>À # 6</v>
      </c>
      <c r="C10631" s="1" t="s">
        <v>192</v>
      </c>
      <c r="GD10631" s="1" t="s">
        <v>225</v>
      </c>
      <c r="GE10631" s="1" t="s">
        <v>14998</v>
      </c>
    </row>
    <row r="10632" spans="1:187" ht="11.25" customHeight="1">
      <c r="A10632" s="1" t="s">
        <v>14999</v>
      </c>
      <c r="B10632" s="1" t="str">
        <f ca="1">IFERROR(__xludf.DUMMYFUNCTION("GOOGLETRANSLATE(A10632, ""en"", ""fr"")"),"À # 7")</f>
        <v>À # 7</v>
      </c>
      <c r="C10632" s="1" t="s">
        <v>192</v>
      </c>
      <c r="GD10632" s="1" t="s">
        <v>225</v>
      </c>
      <c r="GE10632" s="1" t="s">
        <v>15000</v>
      </c>
    </row>
    <row r="10633" spans="1:187" ht="11.25" customHeight="1">
      <c r="A10633" s="1" t="s">
        <v>15001</v>
      </c>
      <c r="B10633" s="1" t="str">
        <f ca="1">IFERROR(__xludf.DUMMYFUNCTION("GOOGLETRANSLATE(A10633, ""en"", ""fr"")"),"À # 8")</f>
        <v>À # 8</v>
      </c>
      <c r="C10633" s="1" t="s">
        <v>192</v>
      </c>
      <c r="GD10633" s="1" t="s">
        <v>225</v>
      </c>
      <c r="GE10633" s="1" t="s">
        <v>15002</v>
      </c>
    </row>
    <row r="10634" spans="1:187" ht="11.25" customHeight="1">
      <c r="A10634" s="1" t="s">
        <v>15003</v>
      </c>
      <c r="B10634" s="1" t="str">
        <f ca="1">IFERROR(__xludf.DUMMYFUNCTION("GOOGLETRANSLATE(A10634, ""en"", ""fr"")"),"À # 9")</f>
        <v>À # 9</v>
      </c>
      <c r="C10634" s="1" t="s">
        <v>192</v>
      </c>
      <c r="GD10634" s="1" t="s">
        <v>225</v>
      </c>
      <c r="GE10634" s="1" t="s">
        <v>15004</v>
      </c>
    </row>
    <row r="10635" spans="1:187" ht="11.25" customHeight="1">
      <c r="A10635" s="1" t="s">
        <v>15005</v>
      </c>
      <c r="B10635" s="1" t="str">
        <f ca="1">IFERROR(__xludf.DUMMYFUNCTION("GOOGLETRANSLATE(A10635, ""en"", ""fr"")"),"À # _10")</f>
        <v>À # _10</v>
      </c>
      <c r="C10635" s="1" t="s">
        <v>192</v>
      </c>
      <c r="GD10635" s="1" t="s">
        <v>225</v>
      </c>
      <c r="GE10635" s="1" t="s">
        <v>15006</v>
      </c>
    </row>
    <row r="10636" spans="1:187" ht="11.25" customHeight="1">
      <c r="A10636" s="1" t="s">
        <v>15007</v>
      </c>
      <c r="B10636" s="1" t="str">
        <f ca="1">IFERROR(__xludf.DUMMYFUNCTION("GOOGLETRANSLATE(A10636, ""en"", ""fr"")"),"À # _11")</f>
        <v>À # _11</v>
      </c>
      <c r="C10636" s="1" t="s">
        <v>192</v>
      </c>
      <c r="GD10636" s="1" t="s">
        <v>225</v>
      </c>
      <c r="GE10636" s="1" t="s">
        <v>15008</v>
      </c>
    </row>
    <row r="10637" spans="1:187" ht="11.25" customHeight="1">
      <c r="A10637" s="1" t="s">
        <v>15009</v>
      </c>
      <c r="B10637" s="1" t="str">
        <f ca="1">IFERROR(__xludf.DUMMYFUNCTION("GOOGLETRANSLATE(A10637, ""en"", ""fr"")"),"À # _12")</f>
        <v>À # _12</v>
      </c>
      <c r="C10637" s="1" t="s">
        <v>192</v>
      </c>
      <c r="GD10637" s="1" t="s">
        <v>225</v>
      </c>
      <c r="GE10637" s="1" t="s">
        <v>15010</v>
      </c>
    </row>
    <row r="10638" spans="1:187" ht="11.25" customHeight="1">
      <c r="A10638" s="1" t="s">
        <v>15011</v>
      </c>
      <c r="B10638" s="1" t="str">
        <f ca="1">IFERROR(__xludf.DUMMYFUNCTION("GOOGLETRANSLATE(A10638, ""en"", ""fr"")"),"À # _13")</f>
        <v>À # _13</v>
      </c>
      <c r="C10638" s="1" t="s">
        <v>192</v>
      </c>
      <c r="GD10638" s="1" t="s">
        <v>225</v>
      </c>
      <c r="GE10638" s="1" t="s">
        <v>15012</v>
      </c>
    </row>
    <row r="10639" spans="1:187" ht="11.25" customHeight="1">
      <c r="A10639" s="1" t="s">
        <v>15013</v>
      </c>
      <c r="B10639" s="1" t="str">
        <f ca="1">IFERROR(__xludf.DUMMYFUNCTION("GOOGLETRANSLATE(A10639, ""en"", ""fr"")"),"À # _14")</f>
        <v>À # _14</v>
      </c>
      <c r="C10639" s="1" t="s">
        <v>192</v>
      </c>
      <c r="GD10639" s="1" t="s">
        <v>225</v>
      </c>
      <c r="GE10639" s="1" t="s">
        <v>15014</v>
      </c>
    </row>
    <row r="10640" spans="1:187" ht="11.25" customHeight="1">
      <c r="A10640" s="1" t="s">
        <v>15015</v>
      </c>
      <c r="B10640" s="1" t="str">
        <f ca="1">IFERROR(__xludf.DUMMYFUNCTION("GOOGLETRANSLATE(A10640, ""en"", ""fr"")"),"À # _15")</f>
        <v>À # _15</v>
      </c>
      <c r="C10640" s="1" t="s">
        <v>192</v>
      </c>
      <c r="GD10640" s="1" t="s">
        <v>225</v>
      </c>
      <c r="GE10640" s="1" t="s">
        <v>15016</v>
      </c>
    </row>
    <row r="10641" spans="1:187" ht="11.25" customHeight="1">
      <c r="A10641" s="1" t="s">
        <v>15017</v>
      </c>
      <c r="B10641" s="1" t="str">
        <f ca="1">IFERROR(__xludf.DUMMYFUNCTION("GOOGLETRANSLATE(A10641, ""en"", ""fr"")"),"À # _16")</f>
        <v>À # _16</v>
      </c>
      <c r="C10641" s="1" t="s">
        <v>192</v>
      </c>
      <c r="GD10641" s="1" t="s">
        <v>225</v>
      </c>
      <c r="GE10641" s="1" t="s">
        <v>15018</v>
      </c>
    </row>
    <row r="10642" spans="1:187" ht="11.25" customHeight="1">
      <c r="A10642" s="1" t="s">
        <v>15019</v>
      </c>
      <c r="B10642" s="1" t="str">
        <f ca="1">IFERROR(__xludf.DUMMYFUNCTION("GOOGLETRANSLATE(A10642, ""en"", ""fr"")"),"À # _17")</f>
        <v>À # _17</v>
      </c>
      <c r="C10642" s="1" t="s">
        <v>192</v>
      </c>
      <c r="GD10642" s="1" t="s">
        <v>225</v>
      </c>
      <c r="GE10642" s="1" t="s">
        <v>15020</v>
      </c>
    </row>
    <row r="10643" spans="1:187" ht="11.25" customHeight="1">
      <c r="A10643" s="1" t="s">
        <v>15021</v>
      </c>
      <c r="B10643" s="1" t="str">
        <f ca="1">IFERROR(__xludf.DUMMYFUNCTION("GOOGLETRANSLATE(A10643, ""en"", ""fr"")"),"À # _18")</f>
        <v>À # _18</v>
      </c>
      <c r="C10643" s="1" t="s">
        <v>192</v>
      </c>
      <c r="GD10643" s="1" t="s">
        <v>225</v>
      </c>
      <c r="GE10643" s="1" t="s">
        <v>15022</v>
      </c>
    </row>
    <row r="10644" spans="1:187" ht="11.25" customHeight="1">
      <c r="A10644" s="1" t="s">
        <v>15023</v>
      </c>
      <c r="B10644" s="1" t="str">
        <f ca="1">IFERROR(__xludf.DUMMYFUNCTION("GOOGLETRANSLATE(A10644, ""en"", ""fr"")"),"À # _19")</f>
        <v>À # _19</v>
      </c>
      <c r="C10644" s="1" t="s">
        <v>192</v>
      </c>
      <c r="GD10644" s="1" t="s">
        <v>225</v>
      </c>
      <c r="GE10644" s="1" t="s">
        <v>15024</v>
      </c>
    </row>
    <row r="10645" spans="1:187" ht="11.25" customHeight="1">
      <c r="A10645" s="1" t="s">
        <v>15025</v>
      </c>
      <c r="B10645" s="1" t="str">
        <f ca="1">IFERROR(__xludf.DUMMYFUNCTION("GOOGLETRANSLATE(A10645, ""en"", ""fr"")"),"À # _20")</f>
        <v>À # _20</v>
      </c>
      <c r="C10645" s="1" t="s">
        <v>192</v>
      </c>
      <c r="GD10645" s="1" t="s">
        <v>225</v>
      </c>
      <c r="GE10645" s="1" t="s">
        <v>15026</v>
      </c>
    </row>
    <row r="10646" spans="1:187" ht="11.25" customHeight="1">
      <c r="A10646" s="1" t="s">
        <v>15027</v>
      </c>
      <c r="B10646" s="1" t="str">
        <f ca="1">IFERROR(__xludf.DUMMYFUNCTION("GOOGLETRANSLATE(A10646, ""en"", ""fr"")"),"À # _21")</f>
        <v>À # _21</v>
      </c>
      <c r="C10646" s="1" t="s">
        <v>192</v>
      </c>
      <c r="GD10646" s="1" t="s">
        <v>225</v>
      </c>
      <c r="GE10646" s="1" t="s">
        <v>15028</v>
      </c>
    </row>
    <row r="10647" spans="1:187" ht="11.25" customHeight="1">
      <c r="A10647" s="1" t="s">
        <v>15029</v>
      </c>
      <c r="B10647" s="1" t="str">
        <f ca="1">IFERROR(__xludf.DUMMYFUNCTION("GOOGLETRANSLATE(A10647, ""en"", ""fr"")"),"À # _22")</f>
        <v>À # _22</v>
      </c>
      <c r="C10647" s="1" t="s">
        <v>192</v>
      </c>
      <c r="GD10647" s="1" t="s">
        <v>225</v>
      </c>
      <c r="GE10647" s="1" t="s">
        <v>15030</v>
      </c>
    </row>
    <row r="10648" spans="1:187" ht="11.25" customHeight="1">
      <c r="A10648" s="1" t="s">
        <v>15031</v>
      </c>
      <c r="B10648" s="1" t="str">
        <f ca="1">IFERROR(__xludf.DUMMYFUNCTION("GOOGLETRANSLATE(A10648, ""en"", ""fr"")"),"À # _23")</f>
        <v>À # _23</v>
      </c>
      <c r="C10648" s="1" t="s">
        <v>192</v>
      </c>
      <c r="GD10648" s="1" t="s">
        <v>225</v>
      </c>
      <c r="GE10648" s="1" t="s">
        <v>15032</v>
      </c>
    </row>
    <row r="10649" spans="1:187" ht="11.25" customHeight="1">
      <c r="A10649" s="1" t="s">
        <v>15033</v>
      </c>
      <c r="B10649" s="1" t="str">
        <f ca="1">IFERROR(__xludf.DUMMYFUNCTION("GOOGLETRANSLATE(A10649, ""en"", ""fr"")"),"Toast # 1")</f>
        <v>Toast # 1</v>
      </c>
      <c r="C10649" s="1" t="s">
        <v>185</v>
      </c>
      <c r="BC10649" s="1" t="s">
        <v>51</v>
      </c>
      <c r="BE10649" s="1" t="s">
        <v>53</v>
      </c>
      <c r="GD10649" s="1" t="s">
        <v>193</v>
      </c>
      <c r="GE10649" s="1" t="s">
        <v>190</v>
      </c>
    </row>
    <row r="10650" spans="1:187" ht="11.25" customHeight="1">
      <c r="A10650" s="1" t="s">
        <v>15034</v>
      </c>
      <c r="B10650" s="1" t="str">
        <f ca="1">IFERROR(__xludf.DUMMYFUNCTION("GOOGLETRANSLATE(A10650, ""en"", ""fr"")"),"Toast # 2")</f>
        <v>Toast # 2</v>
      </c>
      <c r="C10650" s="1" t="s">
        <v>185</v>
      </c>
      <c r="G10650" s="1" t="s">
        <v>3</v>
      </c>
      <c r="BK10650" s="1" t="s">
        <v>59</v>
      </c>
      <c r="DN10650" s="1" t="s">
        <v>114</v>
      </c>
      <c r="FP10650" s="1" t="s">
        <v>168</v>
      </c>
      <c r="GD10650" s="1" t="s">
        <v>189</v>
      </c>
      <c r="GE10650" s="1" t="s">
        <v>190</v>
      </c>
    </row>
    <row r="10651" spans="1:187" ht="11.25" customHeight="1">
      <c r="A10651" s="1" t="s">
        <v>15035</v>
      </c>
      <c r="B10651" s="1" t="str">
        <f ca="1">IFERROR(__xludf.DUMMYFUNCTION("GOOGLETRANSLATE(A10651, ""en"", ""fr"")"),"LE TABAC")</f>
        <v>LE TABAC</v>
      </c>
      <c r="C10651" s="1" t="s">
        <v>185</v>
      </c>
      <c r="AA10651" s="1" t="s">
        <v>23</v>
      </c>
      <c r="AC10651" s="1" t="s">
        <v>25</v>
      </c>
      <c r="BC10651" s="1" t="s">
        <v>51</v>
      </c>
      <c r="BE10651" s="1" t="s">
        <v>53</v>
      </c>
      <c r="GD10651" s="1" t="s">
        <v>193</v>
      </c>
      <c r="GE10651" s="1" t="s">
        <v>190</v>
      </c>
    </row>
    <row r="10652" spans="1:187" ht="11.25" customHeight="1">
      <c r="A10652" s="1" t="s">
        <v>15036</v>
      </c>
      <c r="B10652" s="1" t="str">
        <f ca="1">IFERROR(__xludf.DUMMYFUNCTION("GOOGLETRANSLATE(A10652, ""en"", ""fr"")"),"AUJOURD'HUI")</f>
        <v>AUJOURD'HUI</v>
      </c>
      <c r="C10652" s="1" t="s">
        <v>185</v>
      </c>
      <c r="CY10652" s="1" t="s">
        <v>99</v>
      </c>
      <c r="GB10652" s="1" t="s">
        <v>180</v>
      </c>
      <c r="GD10652" s="1" t="s">
        <v>236</v>
      </c>
      <c r="GE10652" s="1" t="s">
        <v>15037</v>
      </c>
    </row>
    <row r="10653" spans="1:187" ht="11.25" customHeight="1">
      <c r="A10653" s="1" t="s">
        <v>15038</v>
      </c>
      <c r="B10653" s="1" t="str">
        <f ca="1">IFERROR(__xludf.DUMMYFUNCTION("GOOGLETRANSLATE(A10653, ""en"", ""fr"")"),"DOIGT DE PIED")</f>
        <v>DOIGT DE PIED</v>
      </c>
      <c r="C10653" s="1" t="s">
        <v>185</v>
      </c>
      <c r="BJ10653" s="1" t="s">
        <v>58</v>
      </c>
      <c r="GD10653" s="1" t="s">
        <v>193</v>
      </c>
      <c r="GE10653" s="1" t="s">
        <v>190</v>
      </c>
    </row>
    <row r="10654" spans="1:187" ht="11.25" customHeight="1">
      <c r="A10654" s="1" t="s">
        <v>15039</v>
      </c>
      <c r="B10654" s="1" t="str">
        <f ca="1">IFERROR(__xludf.DUMMYFUNCTION("GOOGLETRANSLATE(A10654, ""en"", ""fr"")"),"ENSEMBLE")</f>
        <v>ENSEMBLE</v>
      </c>
      <c r="C10654" s="1" t="s">
        <v>185</v>
      </c>
      <c r="J10654" s="1" t="s">
        <v>6</v>
      </c>
      <c r="DD10654" s="1" t="s">
        <v>104</v>
      </c>
      <c r="DX10654" s="1" t="s">
        <v>124</v>
      </c>
      <c r="ED10654" s="1" t="s">
        <v>130</v>
      </c>
      <c r="GD10654" s="1" t="s">
        <v>236</v>
      </c>
      <c r="GE10654" s="1" t="s">
        <v>15040</v>
      </c>
    </row>
    <row r="10655" spans="1:187" ht="11.25" customHeight="1">
      <c r="A10655" s="1" t="s">
        <v>15041</v>
      </c>
      <c r="B10655" s="1" t="str">
        <f ca="1">IFERROR(__xludf.DUMMYFUNCTION("GOOGLETRANSLATE(A10655, ""en"", ""fr"")"),"UNITÉ")</f>
        <v>UNITÉ</v>
      </c>
      <c r="C10655" s="1" t="s">
        <v>192</v>
      </c>
      <c r="D10655" s="1" t="s">
        <v>16612</v>
      </c>
      <c r="AK10655" s="1" t="s">
        <v>33</v>
      </c>
      <c r="GD10655" s="1" t="s">
        <v>193</v>
      </c>
      <c r="GE10655" s="1" t="s">
        <v>190</v>
      </c>
    </row>
    <row r="10656" spans="1:187" ht="11.25" customHeight="1">
      <c r="A10656" s="1" t="s">
        <v>15042</v>
      </c>
      <c r="B10656" s="1" t="str">
        <f ca="1">IFERROR(__xludf.DUMMYFUNCTION("GOOGLETRANSLATE(A10656, ""en"", ""fr"")"),"ALLER")</f>
        <v>ALLER</v>
      </c>
      <c r="C10656" s="1" t="s">
        <v>196</v>
      </c>
      <c r="FU10656" s="1" t="s">
        <v>173</v>
      </c>
      <c r="GD10656" s="1" t="s">
        <v>545</v>
      </c>
    </row>
    <row r="10657" spans="1:187" ht="11.25" customHeight="1">
      <c r="A10657" s="1" t="s">
        <v>15043</v>
      </c>
      <c r="B10657" s="1" t="str">
        <f ca="1">IFERROR(__xludf.DUMMYFUNCTION("GOOGLETRANSLATE(A10657, ""en"", ""fr"")"),"LABEUR")</f>
        <v>LABEUR</v>
      </c>
      <c r="C10657" s="1" t="s">
        <v>185</v>
      </c>
      <c r="E10657" s="1" t="s">
        <v>16613</v>
      </c>
      <c r="N10657" s="1" t="s">
        <v>10</v>
      </c>
      <c r="AL10657" s="1" t="s">
        <v>34</v>
      </c>
      <c r="DN10657" s="1" t="s">
        <v>114</v>
      </c>
      <c r="FL10657" s="1" t="s">
        <v>164</v>
      </c>
      <c r="FM10657" s="1" t="s">
        <v>418</v>
      </c>
      <c r="GD10657" s="1" t="s">
        <v>189</v>
      </c>
      <c r="GE10657" s="1" t="s">
        <v>190</v>
      </c>
    </row>
    <row r="10658" spans="1:187" ht="11.25" customHeight="1">
      <c r="A10658" s="1" t="s">
        <v>15044</v>
      </c>
      <c r="B10658" s="1" t="str">
        <f ca="1">IFERROR(__xludf.DUMMYFUNCTION("GOOGLETRANSLATE(A10658, ""en"", ""fr"")"),"TOILETTES")</f>
        <v>TOILETTES</v>
      </c>
      <c r="C10658" s="1" t="s">
        <v>185</v>
      </c>
      <c r="BC10658" s="1" t="s">
        <v>51</v>
      </c>
      <c r="BG10658" s="1" t="s">
        <v>55</v>
      </c>
      <c r="GD10658" s="1" t="s">
        <v>193</v>
      </c>
      <c r="GE10658" s="1" t="s">
        <v>190</v>
      </c>
    </row>
    <row r="10659" spans="1:187" ht="11.25" customHeight="1">
      <c r="A10659" s="1" t="s">
        <v>15045</v>
      </c>
      <c r="B10659" s="1" t="str">
        <f ca="1">IFERROR(__xludf.DUMMYFUNCTION("GOOGLETRANSLATE(A10659, ""en"", ""fr"")"),"Dit n ° 1")</f>
        <v>Dit n ° 1</v>
      </c>
      <c r="C10659" s="1" t="s">
        <v>185</v>
      </c>
      <c r="N10659" s="1" t="s">
        <v>10</v>
      </c>
      <c r="BM10659" s="1" t="s">
        <v>61</v>
      </c>
      <c r="DO10659" s="1" t="s">
        <v>115</v>
      </c>
      <c r="FD10659" s="1" t="s">
        <v>156</v>
      </c>
      <c r="FI10659" s="1" t="s">
        <v>161</v>
      </c>
      <c r="GD10659" s="1" t="s">
        <v>1076</v>
      </c>
      <c r="GE10659" s="1" t="s">
        <v>15046</v>
      </c>
    </row>
    <row r="10660" spans="1:187" ht="11.25" customHeight="1">
      <c r="A10660" s="1" t="s">
        <v>15047</v>
      </c>
      <c r="B10660" s="1" t="str">
        <f ca="1">IFERROR(__xludf.DUMMYFUNCTION("GOOGLETRANSLATE(A10660, ""en"", ""fr"")"),"Tell # 2")</f>
        <v>Tell # 2</v>
      </c>
      <c r="C10660" s="1" t="s">
        <v>185</v>
      </c>
      <c r="CS10660" s="1" t="s">
        <v>93</v>
      </c>
      <c r="GD10660" s="1" t="s">
        <v>236</v>
      </c>
      <c r="GE10660" s="1" t="s">
        <v>15048</v>
      </c>
    </row>
    <row r="10661" spans="1:187" ht="11.25" customHeight="1">
      <c r="A10661" s="1" t="s">
        <v>15049</v>
      </c>
      <c r="B10661" s="1" t="str">
        <f ca="1">IFERROR(__xludf.DUMMYFUNCTION("GOOGLETRANSLATE(A10661, ""en"", ""fr"")"),"TOLÉRABLE")</f>
        <v>TOLÉRABLE</v>
      </c>
      <c r="C10661" s="1" t="s">
        <v>192</v>
      </c>
      <c r="E10661" s="1" t="s">
        <v>16613</v>
      </c>
      <c r="Q10661" s="1" t="s">
        <v>13</v>
      </c>
      <c r="T10661" s="1" t="s">
        <v>16</v>
      </c>
      <c r="DQ10661" s="1" t="s">
        <v>117</v>
      </c>
      <c r="GD10661" s="1" t="s">
        <v>202</v>
      </c>
      <c r="GE10661" s="1" t="s">
        <v>190</v>
      </c>
    </row>
    <row r="10662" spans="1:187" ht="11.25" customHeight="1">
      <c r="A10662" s="1" t="s">
        <v>15050</v>
      </c>
      <c r="B10662" s="1" t="str">
        <f ca="1">IFERROR(__xludf.DUMMYFUNCTION("GOOGLETRANSLATE(A10662, ""en"", ""fr"")"),"TOLÉRANCE")</f>
        <v>TOLÉRANCE</v>
      </c>
      <c r="C10662" s="1" t="s">
        <v>185</v>
      </c>
      <c r="D10662" s="1" t="s">
        <v>16612</v>
      </c>
      <c r="G10662" s="1" t="s">
        <v>3</v>
      </c>
      <c r="U10662" s="1" t="s">
        <v>17</v>
      </c>
      <c r="EM10662" s="1" t="s">
        <v>139</v>
      </c>
      <c r="EN10662" s="1" t="s">
        <v>140</v>
      </c>
      <c r="GD10662" s="1" t="s">
        <v>193</v>
      </c>
      <c r="GE10662" s="1" t="s">
        <v>190</v>
      </c>
    </row>
    <row r="10663" spans="1:187" ht="11.25" customHeight="1">
      <c r="A10663" s="1" t="s">
        <v>15051</v>
      </c>
      <c r="B10663" s="1" t="str">
        <f ca="1">IFERROR(__xludf.DUMMYFUNCTION("GOOGLETRANSLATE(A10663, ""en"", ""fr"")"),"TOLÉRANT")</f>
        <v>TOLÉRANT</v>
      </c>
      <c r="C10663" s="1" t="s">
        <v>185</v>
      </c>
      <c r="D10663" s="1" t="s">
        <v>16612</v>
      </c>
      <c r="F10663" s="1" t="s">
        <v>2</v>
      </c>
      <c r="G10663" s="1" t="s">
        <v>3</v>
      </c>
      <c r="U10663" s="1" t="s">
        <v>17</v>
      </c>
      <c r="CN10663" s="1" t="s">
        <v>88</v>
      </c>
      <c r="EM10663" s="1" t="s">
        <v>139</v>
      </c>
      <c r="EN10663" s="1" t="s">
        <v>140</v>
      </c>
      <c r="GD10663" s="1" t="s">
        <v>202</v>
      </c>
      <c r="GE10663" s="1" t="s">
        <v>190</v>
      </c>
    </row>
    <row r="10664" spans="1:187" ht="11.25" customHeight="1">
      <c r="A10664" s="1" t="s">
        <v>15052</v>
      </c>
      <c r="B10664" s="1" t="str">
        <f ca="1">IFERROR(__xludf.DUMMYFUNCTION("GOOGLETRANSLATE(A10664, ""en"", ""fr"")"),"TOLÉRER")</f>
        <v>TOLÉRER</v>
      </c>
      <c r="C10664" s="1" t="s">
        <v>185</v>
      </c>
      <c r="D10664" s="1" t="s">
        <v>16612</v>
      </c>
      <c r="G10664" s="1" t="s">
        <v>3</v>
      </c>
      <c r="N10664" s="1" t="s">
        <v>10</v>
      </c>
      <c r="DN10664" s="1" t="s">
        <v>114</v>
      </c>
      <c r="EF10664" s="1" t="s">
        <v>132</v>
      </c>
      <c r="EJ10664" s="1" t="s">
        <v>136</v>
      </c>
      <c r="GD10664" s="1" t="s">
        <v>189</v>
      </c>
      <c r="GE10664" s="1" t="s">
        <v>190</v>
      </c>
    </row>
    <row r="10665" spans="1:187" ht="11.25" customHeight="1">
      <c r="A10665" s="1" t="s">
        <v>15053</v>
      </c>
      <c r="B10665" s="1" t="str">
        <f ca="1">IFERROR(__xludf.DUMMYFUNCTION("GOOGLETRANSLATE(A10665, ""en"", ""fr"")"),"TOLÉRANCE")</f>
        <v>TOLÉRANCE</v>
      </c>
      <c r="C10665" s="1" t="s">
        <v>185</v>
      </c>
      <c r="D10665" s="1" t="s">
        <v>16612</v>
      </c>
      <c r="G10665" s="1" t="s">
        <v>3</v>
      </c>
      <c r="U10665" s="1" t="s">
        <v>17</v>
      </c>
      <c r="EF10665" s="1" t="s">
        <v>132</v>
      </c>
      <c r="EJ10665" s="1" t="s">
        <v>136</v>
      </c>
      <c r="GD10665" s="1" t="s">
        <v>193</v>
      </c>
      <c r="GE10665" s="1" t="s">
        <v>190</v>
      </c>
    </row>
    <row r="10666" spans="1:187" ht="11.25" customHeight="1">
      <c r="A10666" s="1" t="s">
        <v>15054</v>
      </c>
      <c r="B10666" s="1" t="str">
        <f ca="1">IFERROR(__xludf.DUMMYFUNCTION("GOOGLETRANSLATE(A10666, ""en"", ""fr"")"),"SONNER")</f>
        <v>SONNER</v>
      </c>
      <c r="C10666" s="1" t="s">
        <v>185</v>
      </c>
      <c r="AA10666" s="1" t="s">
        <v>23</v>
      </c>
      <c r="AC10666" s="1" t="s">
        <v>25</v>
      </c>
      <c r="BK10666" s="1" t="s">
        <v>59</v>
      </c>
      <c r="BL10666" s="1" t="s">
        <v>60</v>
      </c>
      <c r="GC10666" s="1" t="s">
        <v>181</v>
      </c>
      <c r="GD10666" s="1" t="s">
        <v>193</v>
      </c>
      <c r="GE10666" s="1" t="s">
        <v>190</v>
      </c>
    </row>
    <row r="10667" spans="1:187" ht="11.25" customHeight="1">
      <c r="A10667" s="1" t="s">
        <v>15055</v>
      </c>
      <c r="B10667" s="1" t="str">
        <f ca="1">IFERROR(__xludf.DUMMYFUNCTION("GOOGLETRANSLATE(A10667, ""en"", ""fr"")"),"DEMAIN")</f>
        <v>DEMAIN</v>
      </c>
      <c r="C10667" s="1" t="s">
        <v>185</v>
      </c>
      <c r="CY10667" s="1" t="s">
        <v>99</v>
      </c>
      <c r="GB10667" s="1" t="s">
        <v>180</v>
      </c>
      <c r="GD10667" s="1" t="s">
        <v>236</v>
      </c>
      <c r="GE10667" s="1" t="s">
        <v>15056</v>
      </c>
    </row>
    <row r="10668" spans="1:187" ht="11.25" customHeight="1">
      <c r="A10668" s="1" t="s">
        <v>15057</v>
      </c>
      <c r="B10668" s="1" t="str">
        <f ca="1">IFERROR(__xludf.DUMMYFUNCTION("GOOGLETRANSLATE(A10668, ""en"", ""fr"")"),"TONNE")</f>
        <v>TONNE</v>
      </c>
      <c r="C10668" s="1" t="s">
        <v>185</v>
      </c>
      <c r="CS10668" s="1" t="s">
        <v>93</v>
      </c>
      <c r="GD10668" s="1" t="s">
        <v>193</v>
      </c>
      <c r="GE10668" s="1" t="s">
        <v>190</v>
      </c>
    </row>
    <row r="10669" spans="1:187" ht="11.25" customHeight="1">
      <c r="A10669" s="1" t="s">
        <v>15058</v>
      </c>
      <c r="B10669" s="1" t="str">
        <f ca="1">IFERROR(__xludf.DUMMYFUNCTION("GOOGLETRANSLATE(A10669, ""en"", ""fr"")"),"TON")</f>
        <v>TON</v>
      </c>
      <c r="C10669" s="1" t="s">
        <v>185</v>
      </c>
      <c r="CR10669" s="1" t="s">
        <v>92</v>
      </c>
      <c r="GD10669" s="1" t="s">
        <v>193</v>
      </c>
      <c r="GE10669" s="1" t="s">
        <v>190</v>
      </c>
    </row>
    <row r="10670" spans="1:187" ht="11.25" customHeight="1">
      <c r="A10670" s="1" t="s">
        <v>15059</v>
      </c>
      <c r="B10670" s="1" t="str">
        <f ca="1">IFERROR(__xludf.DUMMYFUNCTION("GOOGLETRANSLATE(A10670, ""en"", ""fr"")"),"LANGUE")</f>
        <v>LANGUE</v>
      </c>
      <c r="C10670" s="1" t="s">
        <v>185</v>
      </c>
      <c r="BJ10670" s="1" t="s">
        <v>58</v>
      </c>
      <c r="EZ10670" s="1" t="s">
        <v>152</v>
      </c>
      <c r="FC10670" s="1" t="s">
        <v>155</v>
      </c>
      <c r="GD10670" s="1" t="s">
        <v>193</v>
      </c>
      <c r="GE10670" s="1" t="s">
        <v>190</v>
      </c>
    </row>
    <row r="10671" spans="1:187" ht="11.25" customHeight="1">
      <c r="A10671" s="1" t="s">
        <v>15060</v>
      </c>
      <c r="B10671" s="1" t="str">
        <f ca="1">IFERROR(__xludf.DUMMYFUNCTION("GOOGLETRANSLATE(A10671, ""en"", ""fr"")"),"CE SOIR")</f>
        <v>CE SOIR</v>
      </c>
      <c r="C10671" s="1" t="s">
        <v>185</v>
      </c>
      <c r="CY10671" s="1" t="s">
        <v>99</v>
      </c>
      <c r="GB10671" s="1" t="s">
        <v>180</v>
      </c>
      <c r="GD10671" s="1" t="s">
        <v>236</v>
      </c>
      <c r="GE10671" s="1" t="s">
        <v>15061</v>
      </c>
    </row>
    <row r="10672" spans="1:187" ht="11.25" customHeight="1">
      <c r="A10672" s="1" t="s">
        <v>15062</v>
      </c>
      <c r="B10672" s="1" t="str">
        <f ca="1">IFERROR(__xludf.DUMMYFUNCTION("GOOGLETRANSLATE(A10672, ""en"", ""fr"")"),"Aussi # 1")</f>
        <v>Aussi # 1</v>
      </c>
      <c r="C10672" s="1" t="s">
        <v>185</v>
      </c>
      <c r="W10672" s="1" t="s">
        <v>19</v>
      </c>
      <c r="CS10672" s="1" t="s">
        <v>93</v>
      </c>
      <c r="GD10672" s="1" t="s">
        <v>236</v>
      </c>
      <c r="GE10672" s="1" t="s">
        <v>15063</v>
      </c>
    </row>
    <row r="10673" spans="1:187" ht="11.25" customHeight="1">
      <c r="A10673" s="1" t="s">
        <v>15064</v>
      </c>
      <c r="B10673" s="1" t="str">
        <f ca="1">IFERROR(__xludf.DUMMYFUNCTION("GOOGLETRANSLATE(A10673, ""en"", ""fr"")"),"Aussi # 2")</f>
        <v>Aussi # 2</v>
      </c>
      <c r="C10673" s="1" t="s">
        <v>185</v>
      </c>
      <c r="V10673" s="1" t="s">
        <v>18</v>
      </c>
      <c r="W10673" s="1" t="s">
        <v>19</v>
      </c>
      <c r="GD10673" s="1" t="s">
        <v>236</v>
      </c>
      <c r="GE10673" s="1" t="s">
        <v>15065</v>
      </c>
    </row>
    <row r="10674" spans="1:187" ht="11.25" customHeight="1">
      <c r="A10674" s="1" t="s">
        <v>15066</v>
      </c>
      <c r="B10674" s="1" t="str">
        <f ca="1">IFERROR(__xludf.DUMMYFUNCTION("GOOGLETRANSLATE(A10674, ""en"", ""fr"")"),"Aussi # 3")</f>
        <v>Aussi # 3</v>
      </c>
      <c r="C10674" s="1" t="s">
        <v>185</v>
      </c>
      <c r="E10674" s="1" t="s">
        <v>16613</v>
      </c>
      <c r="H10674" s="1" t="s">
        <v>4</v>
      </c>
      <c r="V10674" s="1" t="s">
        <v>18</v>
      </c>
      <c r="CN10674" s="1" t="s">
        <v>88</v>
      </c>
      <c r="GD10674" s="1" t="s">
        <v>202</v>
      </c>
      <c r="GE10674" s="1" t="s">
        <v>15067</v>
      </c>
    </row>
    <row r="10675" spans="1:187" ht="11.25" customHeight="1">
      <c r="A10675" s="1" t="s">
        <v>15068</v>
      </c>
      <c r="B10675" s="1" t="str">
        <f ca="1">IFERROR(__xludf.DUMMYFUNCTION("GOOGLETRANSLATE(A10675, ""en"", ""fr"")"),"A pris le n ° 1")</f>
        <v>A pris le n ° 1</v>
      </c>
      <c r="C10675" s="1" t="s">
        <v>192</v>
      </c>
      <c r="GD10675" s="1" t="s">
        <v>1085</v>
      </c>
      <c r="GE10675" s="1" t="s">
        <v>190</v>
      </c>
    </row>
    <row r="10676" spans="1:187" ht="11.25" customHeight="1">
      <c r="A10676" s="1" t="s">
        <v>15069</v>
      </c>
      <c r="B10676" s="1" t="str">
        <f ca="1">IFERROR(__xludf.DUMMYFUNCTION("GOOGLETRANSLATE(A10676, ""en"", ""fr"")"),"DENT")</f>
        <v>DENT</v>
      </c>
      <c r="C10676" s="1" t="s">
        <v>185</v>
      </c>
      <c r="BJ10676" s="1" t="s">
        <v>58</v>
      </c>
      <c r="GD10676" s="1" t="s">
        <v>193</v>
      </c>
      <c r="GE10676" s="1" t="s">
        <v>190</v>
      </c>
    </row>
    <row r="10677" spans="1:187" ht="11.25" customHeight="1">
      <c r="A10677" s="1" t="s">
        <v>15070</v>
      </c>
      <c r="B10677" s="1" t="str">
        <f ca="1">IFERROR(__xludf.DUMMYFUNCTION("GOOGLETRANSLATE(A10677, ""en"", ""fr"")"),"TOP 1")</f>
        <v>TOP 1</v>
      </c>
      <c r="C10677" s="1" t="s">
        <v>192</v>
      </c>
      <c r="DA10677" s="1" t="s">
        <v>101</v>
      </c>
      <c r="GD10677" s="1" t="s">
        <v>849</v>
      </c>
      <c r="GE10677" s="1" t="s">
        <v>15071</v>
      </c>
    </row>
    <row r="10678" spans="1:187" ht="11.25" customHeight="1">
      <c r="A10678" s="1" t="s">
        <v>15072</v>
      </c>
      <c r="B10678" s="1" t="str">
        <f ca="1">IFERROR(__xludf.DUMMYFUNCTION("GOOGLETRANSLATE(A10678, ""en"", ""fr"")"),"Top # 2")</f>
        <v>Top # 2</v>
      </c>
      <c r="C10678" s="1" t="s">
        <v>192</v>
      </c>
      <c r="BS10678" s="1" t="s">
        <v>67</v>
      </c>
      <c r="DN10678" s="1" t="s">
        <v>114</v>
      </c>
      <c r="GD10678" s="1" t="s">
        <v>189</v>
      </c>
      <c r="GE10678" s="1" t="s">
        <v>15073</v>
      </c>
    </row>
    <row r="10679" spans="1:187" ht="11.25" customHeight="1">
      <c r="A10679" s="1" t="s">
        <v>15074</v>
      </c>
      <c r="B10679" s="1" t="str">
        <f ca="1">IFERROR(__xludf.DUMMYFUNCTION("GOOGLETRANSLATE(A10679, ""en"", ""fr"")"),"SUJET")</f>
        <v>SUJET</v>
      </c>
      <c r="C10679" s="1" t="s">
        <v>185</v>
      </c>
      <c r="BK10679" s="1" t="s">
        <v>59</v>
      </c>
      <c r="BL10679" s="1" t="s">
        <v>60</v>
      </c>
      <c r="GC10679" s="1" t="s">
        <v>181</v>
      </c>
      <c r="GD10679" s="1" t="s">
        <v>193</v>
      </c>
      <c r="GE10679" s="1" t="s">
        <v>15075</v>
      </c>
    </row>
    <row r="10680" spans="1:187" ht="11.25" customHeight="1">
      <c r="A10680" s="1" t="s">
        <v>15076</v>
      </c>
      <c r="B10680" s="1" t="str">
        <f ca="1">IFERROR(__xludf.DUMMYFUNCTION("GOOGLETRANSLATE(A10680, ""en"", ""fr"")"),"LE PLUS HAUT")</f>
        <v>LE PLUS HAUT</v>
      </c>
      <c r="C10680" s="1" t="s">
        <v>192</v>
      </c>
      <c r="D10680" s="1" t="s">
        <v>16612</v>
      </c>
      <c r="CR10680" s="1" t="s">
        <v>92</v>
      </c>
      <c r="DR10680" s="1" t="s">
        <v>118</v>
      </c>
      <c r="GD10680" s="1" t="s">
        <v>202</v>
      </c>
      <c r="GE10680" s="1" t="s">
        <v>190</v>
      </c>
    </row>
    <row r="10681" spans="1:187" ht="11.25" customHeight="1">
      <c r="A10681" s="1" t="s">
        <v>15077</v>
      </c>
      <c r="B10681" s="1" t="str">
        <f ca="1">IFERROR(__xludf.DUMMYFUNCTION("GOOGLETRANSLATE(A10681, ""en"", ""fr"")"),"RENVERSER")</f>
        <v>RENVERSER</v>
      </c>
      <c r="C10681" s="1" t="s">
        <v>192</v>
      </c>
      <c r="E10681" s="1" t="s">
        <v>16613</v>
      </c>
      <c r="CF10681" s="1" t="s">
        <v>80</v>
      </c>
      <c r="DN10681" s="1" t="s">
        <v>114</v>
      </c>
      <c r="GD10681" s="1" t="s">
        <v>189</v>
      </c>
      <c r="GE10681" s="1" t="s">
        <v>190</v>
      </c>
    </row>
    <row r="10682" spans="1:187" ht="11.25" customHeight="1">
      <c r="A10682" s="1" t="s">
        <v>15078</v>
      </c>
      <c r="B10682" s="1" t="str">
        <f ca="1">IFERROR(__xludf.DUMMYFUNCTION("GOOGLETRANSLATE(A10682, ""en"", ""fr"")"),"Tore n ° 1")</f>
        <v>Tore n ° 1</v>
      </c>
      <c r="C10682" s="1" t="s">
        <v>192</v>
      </c>
      <c r="GD10682" s="1" t="s">
        <v>1085</v>
      </c>
      <c r="GE10682" s="1" t="s">
        <v>190</v>
      </c>
    </row>
    <row r="10683" spans="1:187" ht="11.25" customHeight="1">
      <c r="A10683" s="1" t="s">
        <v>15079</v>
      </c>
      <c r="B10683" s="1" t="str">
        <f ca="1">IFERROR(__xludf.DUMMYFUNCTION("GOOGLETRANSLATE(A10683, ""en"", ""fr"")"),"TOURMENTER")</f>
        <v>TOURMENTER</v>
      </c>
      <c r="C10683" s="1" t="s">
        <v>192</v>
      </c>
      <c r="E10683" s="1" t="s">
        <v>16613</v>
      </c>
      <c r="I10683" s="1" t="s">
        <v>5</v>
      </c>
      <c r="N10683" s="1" t="s">
        <v>10</v>
      </c>
      <c r="CC10683" s="1" t="s">
        <v>77</v>
      </c>
      <c r="DN10683" s="1" t="s">
        <v>114</v>
      </c>
      <c r="GD10683" s="1" t="s">
        <v>670</v>
      </c>
      <c r="GE10683" s="1" t="s">
        <v>190</v>
      </c>
    </row>
    <row r="10684" spans="1:187" ht="11.25" customHeight="1">
      <c r="A10684" s="1" t="s">
        <v>15080</v>
      </c>
      <c r="B10684" s="1" t="str">
        <f ca="1">IFERROR(__xludf.DUMMYFUNCTION("GOOGLETRANSLATE(A10684, ""en"", ""fr"")"),"Déchiré # 1")</f>
        <v>Déchiré # 1</v>
      </c>
      <c r="C10684" s="1" t="s">
        <v>192</v>
      </c>
      <c r="GD10684" s="1" t="s">
        <v>1085</v>
      </c>
      <c r="GE10684" s="1" t="s">
        <v>190</v>
      </c>
    </row>
    <row r="10685" spans="1:187" ht="11.25" customHeight="1">
      <c r="A10685" s="1" t="s">
        <v>15081</v>
      </c>
      <c r="B10685" s="1" t="str">
        <f ca="1">IFERROR(__xludf.DUMMYFUNCTION("GOOGLETRANSLATE(A10685, ""en"", ""fr"")"),"TORRENT")</f>
        <v>TORRENT</v>
      </c>
      <c r="C10685" s="1" t="s">
        <v>192</v>
      </c>
      <c r="E10685" s="1" t="s">
        <v>16613</v>
      </c>
      <c r="W10685" s="1" t="s">
        <v>19</v>
      </c>
      <c r="CF10685" s="1" t="s">
        <v>80</v>
      </c>
      <c r="GD10685" s="1" t="s">
        <v>193</v>
      </c>
      <c r="GE10685" s="1" t="s">
        <v>190</v>
      </c>
    </row>
    <row r="10686" spans="1:187" ht="11.25" customHeight="1">
      <c r="A10686" s="1" t="s">
        <v>15082</v>
      </c>
      <c r="B10686" s="1" t="str">
        <f ca="1">IFERROR(__xludf.DUMMYFUNCTION("GOOGLETRANSLATE(A10686, ""en"", ""fr"")"),"Tortueux")</f>
        <v>Tortueux</v>
      </c>
      <c r="C10686" s="1" t="s">
        <v>192</v>
      </c>
      <c r="E10686" s="1" t="s">
        <v>16613</v>
      </c>
      <c r="Q10686" s="1" t="s">
        <v>13</v>
      </c>
      <c r="T10686" s="1" t="s">
        <v>16</v>
      </c>
      <c r="DR10686" s="1" t="s">
        <v>118</v>
      </c>
      <c r="GD10686" s="1" t="s">
        <v>202</v>
      </c>
      <c r="GE10686" s="1" t="s">
        <v>190</v>
      </c>
    </row>
    <row r="10687" spans="1:187" ht="11.25" customHeight="1">
      <c r="A10687" s="1" t="s">
        <v>15083</v>
      </c>
      <c r="B10687" s="1" t="str">
        <f ca="1">IFERROR(__xludf.DUMMYFUNCTION("GOOGLETRANSLATE(A10687, ""en"", ""fr"")"),"TORY")</f>
        <v>TORY</v>
      </c>
      <c r="C10687" s="1" t="s">
        <v>185</v>
      </c>
      <c r="AG10687" s="1" t="s">
        <v>29</v>
      </c>
      <c r="AH10687" s="1" t="s">
        <v>30</v>
      </c>
      <c r="DI10687" s="1" t="s">
        <v>109</v>
      </c>
      <c r="DZ10687" s="1" t="s">
        <v>126</v>
      </c>
      <c r="ED10687" s="1" t="s">
        <v>130</v>
      </c>
      <c r="GD10687" s="1" t="s">
        <v>15084</v>
      </c>
      <c r="GE10687" s="1" t="s">
        <v>190</v>
      </c>
    </row>
    <row r="10688" spans="1:187" ht="11.25" customHeight="1">
      <c r="A10688" s="1" t="s">
        <v>15085</v>
      </c>
      <c r="B10688" s="1" t="str">
        <f ca="1">IFERROR(__xludf.DUMMYFUNCTION("GOOGLETRANSLATE(A10688, ""en"", ""fr"")"),"LANCER")</f>
        <v>LANCER</v>
      </c>
      <c r="C10688" s="1" t="s">
        <v>196</v>
      </c>
      <c r="FP10688" s="1" t="s">
        <v>168</v>
      </c>
      <c r="GD10688" s="1" t="s">
        <v>189</v>
      </c>
    </row>
    <row r="10689" spans="1:187" ht="11.25" customHeight="1">
      <c r="A10689" s="1" t="s">
        <v>15086</v>
      </c>
      <c r="B10689" s="1" t="str">
        <f ca="1">IFERROR(__xludf.DUMMYFUNCTION("GOOGLETRANSLATE(A10689, ""en"", ""fr"")"),"Total n ° 1")</f>
        <v>Total n ° 1</v>
      </c>
      <c r="C10689" s="1" t="s">
        <v>185</v>
      </c>
      <c r="CS10689" s="1" t="s">
        <v>93</v>
      </c>
      <c r="GD10689" s="1" t="s">
        <v>193</v>
      </c>
      <c r="GE10689" s="1" t="s">
        <v>15087</v>
      </c>
    </row>
    <row r="10690" spans="1:187" ht="11.25" customHeight="1">
      <c r="A10690" s="1" t="s">
        <v>15088</v>
      </c>
      <c r="B10690" s="1" t="str">
        <f ca="1">IFERROR(__xludf.DUMMYFUNCTION("GOOGLETRANSLATE(A10690, ""en"", ""fr"")"),"Total n ° 2")</f>
        <v>Total n ° 2</v>
      </c>
      <c r="C10690" s="1" t="s">
        <v>185</v>
      </c>
      <c r="N10690" s="1" t="s">
        <v>10</v>
      </c>
      <c r="CO10690" s="1" t="s">
        <v>89</v>
      </c>
      <c r="DO10690" s="1" t="s">
        <v>115</v>
      </c>
      <c r="FP10690" s="1" t="s">
        <v>168</v>
      </c>
      <c r="GD10690" s="1" t="s">
        <v>189</v>
      </c>
      <c r="GE10690" s="1" t="s">
        <v>15089</v>
      </c>
    </row>
    <row r="10691" spans="1:187" ht="11.25" customHeight="1">
      <c r="A10691" s="1" t="s">
        <v>15090</v>
      </c>
      <c r="B10691" s="1" t="str">
        <f ca="1">IFERROR(__xludf.DUMMYFUNCTION("GOOGLETRANSLATE(A10691, ""en"", ""fr"")"),"Total # 3")</f>
        <v>Total # 3</v>
      </c>
      <c r="C10691" s="1" t="s">
        <v>185</v>
      </c>
      <c r="J10691" s="1" t="s">
        <v>6</v>
      </c>
      <c r="W10691" s="1" t="s">
        <v>19</v>
      </c>
      <c r="CS10691" s="1" t="s">
        <v>93</v>
      </c>
      <c r="GD10691" s="1" t="s">
        <v>202</v>
      </c>
      <c r="GE10691" s="1" t="s">
        <v>15091</v>
      </c>
    </row>
    <row r="10692" spans="1:187" ht="11.25" customHeight="1">
      <c r="A10692" s="1" t="s">
        <v>15092</v>
      </c>
      <c r="B10692" s="1" t="str">
        <f ca="1">IFERROR(__xludf.DUMMYFUNCTION("GOOGLETRANSLATE(A10692, ""en"", ""fr"")"),"Total n ° 4")</f>
        <v>Total n ° 4</v>
      </c>
      <c r="C10692" s="1" t="s">
        <v>185</v>
      </c>
      <c r="W10692" s="1" t="s">
        <v>19</v>
      </c>
      <c r="CS10692" s="1" t="s">
        <v>93</v>
      </c>
      <c r="GD10692" s="1" t="s">
        <v>236</v>
      </c>
      <c r="GE10692" s="1" t="s">
        <v>15093</v>
      </c>
    </row>
    <row r="10693" spans="1:187" ht="11.25" customHeight="1">
      <c r="A10693" s="1" t="s">
        <v>15094</v>
      </c>
      <c r="B10693" s="1" t="str">
        <f ca="1">IFERROR(__xludf.DUMMYFUNCTION("GOOGLETRANSLATE(A10693, ""en"", ""fr"")"),"TOTALITAIRE")</f>
        <v>TOTALITAIRE</v>
      </c>
      <c r="C10693" s="1" t="s">
        <v>196</v>
      </c>
      <c r="EC10693" s="1" t="s">
        <v>129</v>
      </c>
      <c r="ED10693" s="1" t="s">
        <v>130</v>
      </c>
      <c r="GD10693" s="1" t="s">
        <v>202</v>
      </c>
    </row>
    <row r="10694" spans="1:187" ht="11.25" customHeight="1">
      <c r="A10694" s="1" t="s">
        <v>15095</v>
      </c>
      <c r="B10694" s="1" t="str">
        <f ca="1">IFERROR(__xludf.DUMMYFUNCTION("GOOGLETRANSLATE(A10694, ""en"", ""fr"")"),"Totalitarisme")</f>
        <v>Totalitarisme</v>
      </c>
      <c r="C10694" s="1" t="s">
        <v>196</v>
      </c>
      <c r="EA10694" s="1" t="s">
        <v>127</v>
      </c>
      <c r="ED10694" s="1" t="s">
        <v>130</v>
      </c>
      <c r="GD10694" s="1" t="s">
        <v>193</v>
      </c>
    </row>
    <row r="10695" spans="1:187" ht="11.25" customHeight="1">
      <c r="A10695" s="1" t="s">
        <v>15096</v>
      </c>
      <c r="B10695" s="1" t="str">
        <f ca="1">IFERROR(__xludf.DUMMYFUNCTION("GOOGLETRANSLATE(A10695, ""en"", ""fr"")"),"TOTEM")</f>
        <v>TOTEM</v>
      </c>
      <c r="C10695" s="1" t="s">
        <v>196</v>
      </c>
      <c r="GD10695" s="1" t="s">
        <v>193</v>
      </c>
    </row>
    <row r="10696" spans="1:187" ht="11.25" customHeight="1">
      <c r="A10696" s="1" t="s">
        <v>15097</v>
      </c>
      <c r="B10696" s="1" t="str">
        <f ca="1">IFERROR(__xludf.DUMMYFUNCTION("GOOGLETRANSLATE(A10696, ""en"", ""fr"")"),"Toucher # 1")</f>
        <v>Toucher # 1</v>
      </c>
      <c r="C10696" s="1" t="s">
        <v>185</v>
      </c>
      <c r="N10696" s="1" t="s">
        <v>10</v>
      </c>
      <c r="DD10696" s="1" t="s">
        <v>104</v>
      </c>
      <c r="DO10696" s="1" t="s">
        <v>115</v>
      </c>
      <c r="FP10696" s="1" t="s">
        <v>168</v>
      </c>
      <c r="GD10696" s="1" t="s">
        <v>189</v>
      </c>
      <c r="GE10696" s="1" t="s">
        <v>15098</v>
      </c>
    </row>
    <row r="10697" spans="1:187" ht="11.25" customHeight="1">
      <c r="A10697" s="1" t="s">
        <v>15099</v>
      </c>
      <c r="B10697" s="1" t="str">
        <f ca="1">IFERROR(__xludf.DUMMYFUNCTION("GOOGLETRANSLATE(A10697, ""en"", ""fr"")"),"Touche # 10")</f>
        <v>Touche # 10</v>
      </c>
      <c r="C10697" s="1" t="s">
        <v>196</v>
      </c>
      <c r="FP10697" s="1" t="s">
        <v>168</v>
      </c>
      <c r="GD10697" s="1" t="s">
        <v>189</v>
      </c>
    </row>
    <row r="10698" spans="1:187" ht="11.25" customHeight="1">
      <c r="A10698" s="1" t="s">
        <v>15100</v>
      </c>
      <c r="B10698" s="1" t="str">
        <f ca="1">IFERROR(__xludf.DUMMYFUNCTION("GOOGLETRANSLATE(A10698, ""en"", ""fr"")"),"Touche # 11")</f>
        <v>Touche # 11</v>
      </c>
      <c r="C10698" s="1" t="s">
        <v>196</v>
      </c>
      <c r="GD10698" s="1" t="s">
        <v>2573</v>
      </c>
    </row>
    <row r="10699" spans="1:187" ht="11.25" customHeight="1">
      <c r="A10699" s="1" t="s">
        <v>15101</v>
      </c>
      <c r="B10699" s="1" t="str">
        <f ca="1">IFERROR(__xludf.DUMMYFUNCTION("GOOGLETRANSLATE(A10699, ""en"", ""fr"")"),"Touche # 12")</f>
        <v>Touche # 12</v>
      </c>
      <c r="C10699" s="1" t="s">
        <v>196</v>
      </c>
      <c r="GD10699" s="1" t="s">
        <v>202</v>
      </c>
    </row>
    <row r="10700" spans="1:187" ht="11.25" customHeight="1">
      <c r="A10700" s="1" t="s">
        <v>15102</v>
      </c>
      <c r="B10700" s="1" t="str">
        <f ca="1">IFERROR(__xludf.DUMMYFUNCTION("GOOGLETRANSLATE(A10700, ""en"", ""fr"")"),"Touche # 2")</f>
        <v>Touche # 2</v>
      </c>
      <c r="C10700" s="1" t="s">
        <v>185</v>
      </c>
      <c r="N10700" s="1" t="s">
        <v>10</v>
      </c>
      <c r="BK10700" s="1" t="s">
        <v>59</v>
      </c>
      <c r="GD10700" s="1" t="s">
        <v>193</v>
      </c>
      <c r="GE10700" s="1" t="s">
        <v>15103</v>
      </c>
    </row>
    <row r="10701" spans="1:187" ht="11.25" customHeight="1">
      <c r="A10701" s="1" t="s">
        <v>15104</v>
      </c>
      <c r="B10701" s="1" t="str">
        <f ca="1">IFERROR(__xludf.DUMMYFUNCTION("GOOGLETRANSLATE(A10701, ""en"", ""fr"")"),"Touche # 3")</f>
        <v>Touche # 3</v>
      </c>
      <c r="C10701" s="1" t="s">
        <v>185</v>
      </c>
      <c r="G10701" s="1" t="s">
        <v>3</v>
      </c>
      <c r="N10701" s="1" t="s">
        <v>10</v>
      </c>
      <c r="BK10701" s="1" t="s">
        <v>59</v>
      </c>
      <c r="BL10701" s="1" t="s">
        <v>60</v>
      </c>
      <c r="FH10701" s="1" t="s">
        <v>160</v>
      </c>
      <c r="FI10701" s="1" t="s">
        <v>161</v>
      </c>
      <c r="GC10701" s="1" t="s">
        <v>181</v>
      </c>
      <c r="GD10701" s="1" t="s">
        <v>193</v>
      </c>
      <c r="GE10701" s="1" t="s">
        <v>15105</v>
      </c>
    </row>
    <row r="10702" spans="1:187" ht="11.25" customHeight="1">
      <c r="A10702" s="1" t="s">
        <v>15106</v>
      </c>
      <c r="B10702" s="1" t="str">
        <f ca="1">IFERROR(__xludf.DUMMYFUNCTION("GOOGLETRANSLATE(A10702, ""en"", ""fr"")"),"Touche # 4")</f>
        <v>Touche # 4</v>
      </c>
      <c r="C10702" s="1" t="s">
        <v>185</v>
      </c>
      <c r="N10702" s="1" t="s">
        <v>10</v>
      </c>
      <c r="BK10702" s="1" t="s">
        <v>59</v>
      </c>
      <c r="DN10702" s="1" t="s">
        <v>114</v>
      </c>
      <c r="FH10702" s="1" t="s">
        <v>160</v>
      </c>
      <c r="FI10702" s="1" t="s">
        <v>161</v>
      </c>
      <c r="GD10702" s="1" t="s">
        <v>189</v>
      </c>
      <c r="GE10702" s="1" t="s">
        <v>15107</v>
      </c>
    </row>
    <row r="10703" spans="1:187" ht="11.25" customHeight="1">
      <c r="A10703" s="1" t="s">
        <v>15108</v>
      </c>
      <c r="B10703" s="1" t="str">
        <f ca="1">IFERROR(__xludf.DUMMYFUNCTION("GOOGLETRANSLATE(A10703, ""en"", ""fr"")"),"Touche # 5")</f>
        <v>Touche # 5</v>
      </c>
      <c r="C10703" s="1" t="s">
        <v>185</v>
      </c>
      <c r="X10703" s="1" t="s">
        <v>20</v>
      </c>
      <c r="CS10703" s="1" t="s">
        <v>93</v>
      </c>
      <c r="GD10703" s="1" t="s">
        <v>193</v>
      </c>
      <c r="GE10703" s="1" t="s">
        <v>15109</v>
      </c>
    </row>
    <row r="10704" spans="1:187" ht="11.25" customHeight="1">
      <c r="A10704" s="1" t="s">
        <v>15110</v>
      </c>
      <c r="B10704" s="1" t="str">
        <f ca="1">IFERROR(__xludf.DUMMYFUNCTION("GOOGLETRANSLATE(A10704, ""en"", ""fr"")"),"Touche # 6")</f>
        <v>Touche # 6</v>
      </c>
      <c r="C10704" s="1" t="s">
        <v>185</v>
      </c>
      <c r="BQ10704" s="1" t="s">
        <v>65</v>
      </c>
      <c r="FL10704" s="1" t="s">
        <v>164</v>
      </c>
      <c r="FM10704" s="1" t="s">
        <v>418</v>
      </c>
      <c r="GD10704" s="1" t="s">
        <v>193</v>
      </c>
      <c r="GE10704" s="1" t="s">
        <v>15111</v>
      </c>
    </row>
    <row r="10705" spans="1:187" ht="11.25" customHeight="1">
      <c r="A10705" s="1" t="s">
        <v>15112</v>
      </c>
      <c r="B10705" s="1" t="str">
        <f ca="1">IFERROR(__xludf.DUMMYFUNCTION("GOOGLETRANSLATE(A10705, ""en"", ""fr"")"),"Touche # 7")</f>
        <v>Touche # 7</v>
      </c>
      <c r="C10705" s="1" t="s">
        <v>185</v>
      </c>
      <c r="V10705" s="1" t="s">
        <v>18</v>
      </c>
      <c r="FZ10705" s="1" t="s">
        <v>178</v>
      </c>
      <c r="GD10705" s="1" t="s">
        <v>202</v>
      </c>
      <c r="GE10705" s="1" t="s">
        <v>15113</v>
      </c>
    </row>
    <row r="10706" spans="1:187" ht="11.25" customHeight="1">
      <c r="A10706" s="1" t="s">
        <v>15114</v>
      </c>
      <c r="B10706" s="1" t="str">
        <f ca="1">IFERROR(__xludf.DUMMYFUNCTION("GOOGLETRANSLATE(A10706, ""en"", ""fr"")"),"Touche # 8")</f>
        <v>Touche # 8</v>
      </c>
      <c r="C10706" s="1" t="s">
        <v>185</v>
      </c>
      <c r="AD10706" s="1" t="s">
        <v>26</v>
      </c>
      <c r="AM10706" s="1" t="s">
        <v>35</v>
      </c>
      <c r="GD10706" s="1" t="s">
        <v>193</v>
      </c>
      <c r="GE10706" s="1" t="s">
        <v>15115</v>
      </c>
    </row>
    <row r="10707" spans="1:187" ht="11.25" customHeight="1">
      <c r="A10707" s="1" t="s">
        <v>15116</v>
      </c>
      <c r="B10707" s="1" t="str">
        <f ca="1">IFERROR(__xludf.DUMMYFUNCTION("GOOGLETRANSLATE(A10707, ""en"", ""fr"")"),"Touche # 9")</f>
        <v>Touche # 9</v>
      </c>
      <c r="C10707" s="1" t="s">
        <v>185</v>
      </c>
      <c r="V10707" s="1" t="s">
        <v>18</v>
      </c>
      <c r="GD10707" s="1" t="s">
        <v>193</v>
      </c>
      <c r="GE10707" s="1" t="s">
        <v>15117</v>
      </c>
    </row>
    <row r="10708" spans="1:187" ht="11.25" customHeight="1">
      <c r="A10708" s="1" t="s">
        <v>15118</v>
      </c>
      <c r="B10708" s="1" t="str">
        <f ca="1">IFERROR(__xludf.DUMMYFUNCTION("GOOGLETRANSLATE(A10708, ""en"", ""fr"")"),"Toucher # _10")</f>
        <v>Toucher # _10</v>
      </c>
      <c r="C10708" s="1" t="s">
        <v>192</v>
      </c>
      <c r="AL10708" s="1" t="s">
        <v>34</v>
      </c>
      <c r="DN10708" s="1" t="s">
        <v>114</v>
      </c>
      <c r="GD10708" s="1" t="s">
        <v>189</v>
      </c>
      <c r="GE10708" s="1" t="s">
        <v>15119</v>
      </c>
    </row>
    <row r="10709" spans="1:187" ht="11.25" customHeight="1">
      <c r="A10709" s="1" t="s">
        <v>15120</v>
      </c>
      <c r="B10709" s="1" t="str">
        <f ca="1">IFERROR(__xludf.DUMMYFUNCTION("GOOGLETRANSLATE(A10709, ""en"", ""fr"")"),"Toucher # _11")</f>
        <v>Toucher # _11</v>
      </c>
      <c r="C10709" s="1" t="s">
        <v>192</v>
      </c>
      <c r="O10709" s="1" t="s">
        <v>11</v>
      </c>
      <c r="S10709" s="1" t="s">
        <v>15</v>
      </c>
      <c r="T10709" s="1" t="s">
        <v>16</v>
      </c>
      <c r="GD10709" s="1" t="s">
        <v>202</v>
      </c>
      <c r="GE10709" s="1" t="s">
        <v>15121</v>
      </c>
    </row>
    <row r="10710" spans="1:187" ht="11.25" customHeight="1">
      <c r="A10710" s="1" t="s">
        <v>15122</v>
      </c>
      <c r="B10710" s="1" t="str">
        <f ca="1">IFERROR(__xludf.DUMMYFUNCTION("GOOGLETRANSLATE(A10710, ""en"", ""fr"")"),"Toucher # _12")</f>
        <v>Toucher # _12</v>
      </c>
      <c r="C10710" s="1" t="s">
        <v>192</v>
      </c>
      <c r="N10710" s="1" t="s">
        <v>10</v>
      </c>
      <c r="O10710" s="1" t="s">
        <v>11</v>
      </c>
      <c r="S10710" s="1" t="s">
        <v>15</v>
      </c>
      <c r="GD10710" s="1" t="s">
        <v>202</v>
      </c>
      <c r="GE10710" s="1" t="s">
        <v>15123</v>
      </c>
    </row>
    <row r="10711" spans="1:187" ht="11.25" customHeight="1">
      <c r="A10711" s="1" t="s">
        <v>15124</v>
      </c>
      <c r="B10711" s="1" t="str">
        <f ca="1">IFERROR(__xludf.DUMMYFUNCTION("GOOGLETRANSLATE(A10711, ""en"", ""fr"")"),"SUCEPTIBLE")</f>
        <v>SUCEPTIBLE</v>
      </c>
      <c r="C10711" s="1" t="s">
        <v>192</v>
      </c>
      <c r="E10711" s="1" t="s">
        <v>16613</v>
      </c>
      <c r="Q10711" s="1" t="s">
        <v>13</v>
      </c>
      <c r="T10711" s="1" t="s">
        <v>16</v>
      </c>
      <c r="V10711" s="1" t="s">
        <v>18</v>
      </c>
      <c r="DR10711" s="1" t="s">
        <v>118</v>
      </c>
      <c r="GD10711" s="1" t="s">
        <v>202</v>
      </c>
      <c r="GE10711" s="1" t="s">
        <v>190</v>
      </c>
    </row>
    <row r="10712" spans="1:187" ht="11.25" customHeight="1">
      <c r="A10712" s="1" t="s">
        <v>15125</v>
      </c>
      <c r="B10712" s="1" t="str">
        <f ca="1">IFERROR(__xludf.DUMMYFUNCTION("GOOGLETRANSLATE(A10712, ""en"", ""fr"")"),"DIFFICILE")</f>
        <v>DIFFICILE</v>
      </c>
      <c r="C10712" s="1" t="s">
        <v>185</v>
      </c>
      <c r="I10712" s="1" t="s">
        <v>5</v>
      </c>
      <c r="J10712" s="1" t="s">
        <v>6</v>
      </c>
      <c r="CN10712" s="1" t="s">
        <v>88</v>
      </c>
      <c r="CR10712" s="1" t="s">
        <v>92</v>
      </c>
      <c r="GD10712" s="1" t="s">
        <v>202</v>
      </c>
      <c r="GE10712" s="1" t="s">
        <v>190</v>
      </c>
    </row>
    <row r="10713" spans="1:187" ht="11.25" customHeight="1">
      <c r="A10713" s="1" t="s">
        <v>15126</v>
      </c>
      <c r="B10713" s="1" t="str">
        <f ca="1">IFERROR(__xludf.DUMMYFUNCTION("GOOGLETRANSLATE(A10713, ""en"", ""fr"")"),"Tour n ° 1")</f>
        <v>Tour n ° 1</v>
      </c>
      <c r="C10713" s="1" t="s">
        <v>185</v>
      </c>
      <c r="AM10713" s="1" t="s">
        <v>35</v>
      </c>
      <c r="GD10713" s="1" t="s">
        <v>193</v>
      </c>
      <c r="GE10713" s="1" t="s">
        <v>190</v>
      </c>
    </row>
    <row r="10714" spans="1:187" ht="11.25" customHeight="1">
      <c r="A10714" s="1" t="s">
        <v>15127</v>
      </c>
      <c r="B10714" s="1" t="str">
        <f ca="1">IFERROR(__xludf.DUMMYFUNCTION("GOOGLETRANSLATE(A10714, ""en"", ""fr"")"),"Tour n ° 2")</f>
        <v>Tour n ° 2</v>
      </c>
      <c r="C10714" s="1" t="s">
        <v>185</v>
      </c>
      <c r="CE10714" s="1" t="s">
        <v>79</v>
      </c>
      <c r="DN10714" s="1" t="s">
        <v>114</v>
      </c>
      <c r="GD10714" s="1" t="s">
        <v>189</v>
      </c>
      <c r="GE10714" s="1" t="s">
        <v>190</v>
      </c>
    </row>
    <row r="10715" spans="1:187" ht="11.25" customHeight="1">
      <c r="A10715" s="1" t="s">
        <v>15128</v>
      </c>
      <c r="B10715" s="1" t="str">
        <f ca="1">IFERROR(__xludf.DUMMYFUNCTION("GOOGLETRANSLATE(A10715, ""en"", ""fr"")"),"TOURISTIQUE")</f>
        <v>TOURISTIQUE</v>
      </c>
      <c r="C10715" s="1" t="s">
        <v>185</v>
      </c>
      <c r="AA10715" s="1" t="s">
        <v>23</v>
      </c>
      <c r="AC10715" s="1" t="s">
        <v>25</v>
      </c>
      <c r="AD10715" s="1" t="s">
        <v>26</v>
      </c>
      <c r="AJ10715" s="1" t="s">
        <v>32</v>
      </c>
      <c r="AT10715" s="1" t="s">
        <v>42</v>
      </c>
      <c r="ET10715" s="1" t="s">
        <v>146</v>
      </c>
      <c r="EW10715" s="1" t="s">
        <v>149</v>
      </c>
      <c r="GD10715" s="1" t="s">
        <v>193</v>
      </c>
      <c r="GE10715" s="1" t="s">
        <v>190</v>
      </c>
    </row>
    <row r="10716" spans="1:187" ht="11.25" customHeight="1">
      <c r="A10716" s="1" t="s">
        <v>15129</v>
      </c>
      <c r="B10716" s="1" t="str">
        <f ca="1">IFERROR(__xludf.DUMMYFUNCTION("GOOGLETRANSLATE(A10716, ""en"", ""fr"")"),"Vers # 1")</f>
        <v>Vers # 1</v>
      </c>
      <c r="C10716" s="1" t="s">
        <v>185</v>
      </c>
      <c r="DA10716" s="1" t="s">
        <v>101</v>
      </c>
      <c r="GB10716" s="1" t="s">
        <v>180</v>
      </c>
      <c r="GD10716" s="1" t="s">
        <v>215</v>
      </c>
      <c r="GE10716" s="1" t="s">
        <v>15130</v>
      </c>
    </row>
    <row r="10717" spans="1:187" ht="11.25" customHeight="1">
      <c r="A10717" s="1" t="s">
        <v>15131</v>
      </c>
      <c r="B10717" s="1" t="str">
        <f ca="1">IFERROR(__xludf.DUMMYFUNCTION("GOOGLETRANSLATE(A10717, ""en"", ""fr"")"),"Vers # 2")</f>
        <v>Vers # 2</v>
      </c>
      <c r="C10717" s="1" t="s">
        <v>185</v>
      </c>
      <c r="DD10717" s="1" t="s">
        <v>104</v>
      </c>
      <c r="GD10717" s="1" t="s">
        <v>215</v>
      </c>
      <c r="GE10717" s="1" t="s">
        <v>15132</v>
      </c>
    </row>
    <row r="10718" spans="1:187" ht="11.25" customHeight="1">
      <c r="A10718" s="1" t="s">
        <v>15133</v>
      </c>
      <c r="B10718" s="1" t="str">
        <f ca="1">IFERROR(__xludf.DUMMYFUNCTION("GOOGLETRANSLATE(A10718, ""en"", ""fr"")"),"LA TOUR")</f>
        <v>LA TOUR</v>
      </c>
      <c r="C10718" s="1" t="s">
        <v>185</v>
      </c>
      <c r="BC10718" s="1" t="s">
        <v>51</v>
      </c>
      <c r="BG10718" s="1" t="s">
        <v>55</v>
      </c>
      <c r="GD10718" s="1" t="s">
        <v>193</v>
      </c>
      <c r="GE10718" s="1" t="s">
        <v>190</v>
      </c>
    </row>
    <row r="10719" spans="1:187" ht="11.25" customHeight="1">
      <c r="A10719" s="1" t="s">
        <v>15134</v>
      </c>
      <c r="B10719" s="1" t="str">
        <f ca="1">IFERROR(__xludf.DUMMYFUNCTION("GOOGLETRANSLATE(A10719, ""en"", ""fr"")"),"IMPOSANT")</f>
        <v>IMPOSANT</v>
      </c>
      <c r="C10719" s="1" t="s">
        <v>185</v>
      </c>
      <c r="W10719" s="1" t="s">
        <v>19</v>
      </c>
      <c r="DA10719" s="1" t="s">
        <v>101</v>
      </c>
      <c r="DC10719" s="1" t="s">
        <v>103</v>
      </c>
      <c r="GD10719" s="1" t="s">
        <v>202</v>
      </c>
      <c r="GE10719" s="1" t="s">
        <v>190</v>
      </c>
    </row>
    <row r="10720" spans="1:187" ht="11.25" customHeight="1">
      <c r="A10720" s="1" t="s">
        <v>15135</v>
      </c>
      <c r="B10720" s="1" t="str">
        <f ca="1">IFERROR(__xludf.DUMMYFUNCTION("GOOGLETRANSLATE(A10720, ""en"", ""fr"")"),"VILLE")</f>
        <v>VILLE</v>
      </c>
      <c r="C10720" s="1" t="s">
        <v>185</v>
      </c>
      <c r="AH10720" s="1" t="s">
        <v>30</v>
      </c>
      <c r="AV10720" s="1" t="s">
        <v>44</v>
      </c>
      <c r="AW10720" s="1" t="s">
        <v>45</v>
      </c>
      <c r="GD10720" s="1" t="s">
        <v>193</v>
      </c>
      <c r="GE10720" s="1" t="s">
        <v>15136</v>
      </c>
    </row>
    <row r="10721" spans="1:187" ht="11.25" customHeight="1">
      <c r="A10721" s="1" t="s">
        <v>15137</v>
      </c>
      <c r="B10721" s="1" t="str">
        <f ca="1">IFERROR(__xludf.DUMMYFUNCTION("GOOGLETRANSLATE(A10721, ""en"", ""fr"")"),"CANTON")</f>
        <v>CANTON</v>
      </c>
      <c r="C10721" s="1" t="s">
        <v>185</v>
      </c>
      <c r="AC10721" s="1" t="s">
        <v>25</v>
      </c>
      <c r="AH10721" s="1" t="s">
        <v>30</v>
      </c>
      <c r="AV10721" s="1" t="s">
        <v>44</v>
      </c>
      <c r="AX10721" s="1" t="s">
        <v>46</v>
      </c>
      <c r="GD10721" s="1" t="s">
        <v>193</v>
      </c>
      <c r="GE10721" s="1" t="s">
        <v>190</v>
      </c>
    </row>
    <row r="10722" spans="1:187" ht="11.25" customHeight="1">
      <c r="A10722" s="1" t="s">
        <v>15138</v>
      </c>
      <c r="B10722" s="1" t="str">
        <f ca="1">IFERROR(__xludf.DUMMYFUNCTION("GOOGLETRANSLATE(A10722, ""en"", ""fr"")"),"Trace n ° 1")</f>
        <v>Trace n ° 1</v>
      </c>
      <c r="C10722" s="1" t="s">
        <v>185</v>
      </c>
      <c r="CH10722" s="1" t="s">
        <v>82</v>
      </c>
      <c r="FH10722" s="1" t="s">
        <v>160</v>
      </c>
      <c r="FI10722" s="1" t="s">
        <v>161</v>
      </c>
      <c r="GD10722" s="1" t="s">
        <v>193</v>
      </c>
      <c r="GE10722" s="1" t="s">
        <v>190</v>
      </c>
    </row>
    <row r="10723" spans="1:187" ht="11.25" customHeight="1">
      <c r="A10723" s="1" t="s">
        <v>15139</v>
      </c>
      <c r="B10723" s="1" t="str">
        <f ca="1">IFERROR(__xludf.DUMMYFUNCTION("GOOGLETRANSLATE(A10723, ""en"", ""fr"")"),"Trace n ° 2")</f>
        <v>Trace n ° 2</v>
      </c>
      <c r="C10723" s="1" t="s">
        <v>185</v>
      </c>
      <c r="CO10723" s="1" t="s">
        <v>89</v>
      </c>
      <c r="DN10723" s="1" t="s">
        <v>114</v>
      </c>
      <c r="FH10723" s="1" t="s">
        <v>160</v>
      </c>
      <c r="FI10723" s="1" t="s">
        <v>161</v>
      </c>
      <c r="GD10723" s="1" t="s">
        <v>189</v>
      </c>
      <c r="GE10723" s="1" t="s">
        <v>190</v>
      </c>
    </row>
    <row r="10724" spans="1:187" ht="11.25" customHeight="1">
      <c r="A10724" s="1" t="s">
        <v>15140</v>
      </c>
      <c r="B10724" s="1" t="str">
        <f ca="1">IFERROR(__xludf.DUMMYFUNCTION("GOOGLETRANSLATE(A10724, ""en"", ""fr"")"),"PISTE 1")</f>
        <v>PISTE 1</v>
      </c>
      <c r="C10724" s="1" t="s">
        <v>185</v>
      </c>
      <c r="AV10724" s="1" t="s">
        <v>44</v>
      </c>
      <c r="AY10724" s="1" t="s">
        <v>47</v>
      </c>
      <c r="GD10724" s="1" t="s">
        <v>193</v>
      </c>
      <c r="GE10724" s="1" t="s">
        <v>190</v>
      </c>
    </row>
    <row r="10725" spans="1:187" ht="11.25" customHeight="1">
      <c r="A10725" s="1" t="s">
        <v>15141</v>
      </c>
      <c r="B10725" s="1" t="str">
        <f ca="1">IFERROR(__xludf.DUMMYFUNCTION("GOOGLETRANSLATE(A10725, ""en"", ""fr"")"),"Piste n ° 2")</f>
        <v>Piste n ° 2</v>
      </c>
      <c r="C10725" s="1" t="s">
        <v>185</v>
      </c>
      <c r="CO10725" s="1" t="s">
        <v>89</v>
      </c>
      <c r="DN10725" s="1" t="s">
        <v>114</v>
      </c>
      <c r="FP10725" s="1" t="s">
        <v>168</v>
      </c>
      <c r="GD10725" s="1" t="s">
        <v>189</v>
      </c>
      <c r="GE10725" s="1" t="s">
        <v>190</v>
      </c>
    </row>
    <row r="10726" spans="1:187" ht="11.25" customHeight="1">
      <c r="A10726" s="1" t="s">
        <v>15142</v>
      </c>
      <c r="B10726" s="1" t="str">
        <f ca="1">IFERROR(__xludf.DUMMYFUNCTION("GOOGLETRANSLATE(A10726, ""en"", ""fr"")"),"TRACTEUR")</f>
        <v>TRACTEUR</v>
      </c>
      <c r="C10726" s="1" t="s">
        <v>185</v>
      </c>
      <c r="AA10726" s="1" t="s">
        <v>23</v>
      </c>
      <c r="AC10726" s="1" t="s">
        <v>25</v>
      </c>
      <c r="BC10726" s="1" t="s">
        <v>51</v>
      </c>
      <c r="BF10726" s="1" t="s">
        <v>54</v>
      </c>
      <c r="GD10726" s="1" t="s">
        <v>193</v>
      </c>
      <c r="GE10726" s="1" t="s">
        <v>190</v>
      </c>
    </row>
    <row r="10727" spans="1:187" ht="11.25" customHeight="1">
      <c r="A10727" s="1" t="s">
        <v>15143</v>
      </c>
      <c r="B10727" s="1" t="str">
        <f ca="1">IFERROR(__xludf.DUMMYFUNCTION("GOOGLETRANSLATE(A10727, ""en"", ""fr"")"),"Commerce n ° 1")</f>
        <v>Commerce n ° 1</v>
      </c>
      <c r="C10727" s="1" t="s">
        <v>185</v>
      </c>
      <c r="Z10727" s="1" t="s">
        <v>22</v>
      </c>
      <c r="AA10727" s="1" t="s">
        <v>23</v>
      </c>
      <c r="AC10727" s="1" t="s">
        <v>25</v>
      </c>
      <c r="EU10727" s="1" t="s">
        <v>147</v>
      </c>
      <c r="EW10727" s="1" t="s">
        <v>149</v>
      </c>
      <c r="GD10727" s="1" t="s">
        <v>849</v>
      </c>
      <c r="GE10727" s="1" t="s">
        <v>15144</v>
      </c>
    </row>
    <row r="10728" spans="1:187" ht="11.25" customHeight="1">
      <c r="A10728" s="1" t="s">
        <v>15145</v>
      </c>
      <c r="B10728" s="1" t="str">
        <f ca="1">IFERROR(__xludf.DUMMYFUNCTION("GOOGLETRANSLATE(A10728, ""en"", ""fr"")"),"Commerce n ° 2")</f>
        <v>Commerce n ° 2</v>
      </c>
      <c r="C10728" s="1" t="s">
        <v>185</v>
      </c>
      <c r="N10728" s="1" t="s">
        <v>10</v>
      </c>
      <c r="AA10728" s="1" t="s">
        <v>23</v>
      </c>
      <c r="AB10728" s="1" t="s">
        <v>24</v>
      </c>
      <c r="DN10728" s="1" t="s">
        <v>114</v>
      </c>
      <c r="EU10728" s="1" t="s">
        <v>147</v>
      </c>
      <c r="EW10728" s="1" t="s">
        <v>149</v>
      </c>
      <c r="GD10728" s="1" t="s">
        <v>189</v>
      </c>
      <c r="GE10728" s="1" t="s">
        <v>15146</v>
      </c>
    </row>
    <row r="10729" spans="1:187" ht="11.25" customHeight="1">
      <c r="A10729" s="1" t="s">
        <v>15147</v>
      </c>
      <c r="B10729" s="1" t="str">
        <f ca="1">IFERROR(__xludf.DUMMYFUNCTION("GOOGLETRANSLATE(A10729, ""en"", ""fr"")"),"COMMERÇANT")</f>
        <v>COMMERÇANT</v>
      </c>
      <c r="C10729" s="1" t="s">
        <v>185</v>
      </c>
      <c r="AA10729" s="1" t="s">
        <v>23</v>
      </c>
      <c r="AC10729" s="1" t="s">
        <v>25</v>
      </c>
      <c r="AJ10729" s="1" t="s">
        <v>32</v>
      </c>
      <c r="AT10729" s="1" t="s">
        <v>42</v>
      </c>
      <c r="ET10729" s="1" t="s">
        <v>146</v>
      </c>
      <c r="EW10729" s="1" t="s">
        <v>149</v>
      </c>
      <c r="GD10729" s="1" t="s">
        <v>193</v>
      </c>
      <c r="GE10729" s="1" t="s">
        <v>190</v>
      </c>
    </row>
    <row r="10730" spans="1:187" ht="11.25" customHeight="1">
      <c r="A10730" s="1" t="s">
        <v>15148</v>
      </c>
      <c r="B10730" s="1" t="str">
        <f ca="1">IFERROR(__xludf.DUMMYFUNCTION("GOOGLETRANSLATE(A10730, ""en"", ""fr"")"),"TRADITION")</f>
        <v>TRADITION</v>
      </c>
      <c r="C10730" s="1" t="s">
        <v>185</v>
      </c>
      <c r="D10730" s="1" t="s">
        <v>16612</v>
      </c>
      <c r="F10730" s="1" t="s">
        <v>2</v>
      </c>
      <c r="J10730" s="1" t="s">
        <v>6</v>
      </c>
      <c r="Z10730" s="1" t="s">
        <v>22</v>
      </c>
      <c r="CP10730" s="1" t="s">
        <v>90</v>
      </c>
      <c r="CQ10730" s="1" t="s">
        <v>91</v>
      </c>
      <c r="EM10730" s="1" t="s">
        <v>139</v>
      </c>
      <c r="EN10730" s="1" t="s">
        <v>140</v>
      </c>
      <c r="GD10730" s="1" t="s">
        <v>193</v>
      </c>
      <c r="GE10730" s="1" t="s">
        <v>190</v>
      </c>
    </row>
    <row r="10731" spans="1:187" ht="11.25" customHeight="1">
      <c r="A10731" s="1" t="s">
        <v>15149</v>
      </c>
      <c r="B10731" s="1" t="str">
        <f ca="1">IFERROR(__xludf.DUMMYFUNCTION("GOOGLETRANSLATE(A10731, ""en"", ""fr"")"),"TRADITIONNEL")</f>
        <v>TRADITIONNEL</v>
      </c>
      <c r="C10731" s="1" t="s">
        <v>185</v>
      </c>
      <c r="D10731" s="1" t="s">
        <v>16612</v>
      </c>
      <c r="F10731" s="1" t="s">
        <v>2</v>
      </c>
      <c r="J10731" s="1" t="s">
        <v>6</v>
      </c>
      <c r="Z10731" s="1" t="s">
        <v>22</v>
      </c>
      <c r="EM10731" s="1" t="s">
        <v>139</v>
      </c>
      <c r="EN10731" s="1" t="s">
        <v>140</v>
      </c>
      <c r="GD10731" s="1" t="s">
        <v>202</v>
      </c>
      <c r="GE10731" s="1" t="s">
        <v>190</v>
      </c>
    </row>
    <row r="10732" spans="1:187" ht="11.25" customHeight="1">
      <c r="A10732" s="1" t="s">
        <v>15150</v>
      </c>
      <c r="B10732" s="1" t="str">
        <f ca="1">IFERROR(__xludf.DUMMYFUNCTION("GOOGLETRANSLATE(A10732, ""en"", ""fr"")"),"TRADITIONALISTE")</f>
        <v>TRADITIONALISTE</v>
      </c>
      <c r="C10732" s="1" t="s">
        <v>185</v>
      </c>
      <c r="AJ10732" s="1" t="s">
        <v>32</v>
      </c>
      <c r="AT10732" s="1" t="s">
        <v>42</v>
      </c>
      <c r="GD10732" s="1" t="s">
        <v>193</v>
      </c>
      <c r="GE10732" s="1" t="s">
        <v>190</v>
      </c>
    </row>
    <row r="10733" spans="1:187" ht="11.25" customHeight="1">
      <c r="A10733" s="1" t="s">
        <v>15151</v>
      </c>
      <c r="B10733" s="1" t="str">
        <f ca="1">IFERROR(__xludf.DUMMYFUNCTION("GOOGLETRANSLATE(A10733, ""en"", ""fr"")"),"TRAFIC")</f>
        <v>TRAFIC</v>
      </c>
      <c r="C10733" s="1" t="s">
        <v>185</v>
      </c>
      <c r="CE10733" s="1" t="s">
        <v>79</v>
      </c>
      <c r="GD10733" s="1" t="s">
        <v>193</v>
      </c>
      <c r="GE10733" s="1" t="s">
        <v>190</v>
      </c>
    </row>
    <row r="10734" spans="1:187" ht="11.25" customHeight="1">
      <c r="A10734" s="1" t="s">
        <v>15152</v>
      </c>
      <c r="B10734" s="1" t="str">
        <f ca="1">IFERROR(__xludf.DUMMYFUNCTION("GOOGLETRANSLATE(A10734, ""en"", ""fr"")"),"LA TRAGÉDIE")</f>
        <v>LA TRAGÉDIE</v>
      </c>
      <c r="C10734" s="1" t="s">
        <v>185</v>
      </c>
      <c r="E10734" s="1" t="s">
        <v>16613</v>
      </c>
      <c r="Q10734" s="1" t="s">
        <v>13</v>
      </c>
      <c r="T10734" s="1" t="s">
        <v>16</v>
      </c>
      <c r="FO10734" s="1" t="s">
        <v>167</v>
      </c>
      <c r="GD10734" s="1" t="s">
        <v>193</v>
      </c>
      <c r="GE10734" s="1" t="s">
        <v>190</v>
      </c>
    </row>
    <row r="10735" spans="1:187" ht="11.25" customHeight="1">
      <c r="A10735" s="1" t="s">
        <v>15153</v>
      </c>
      <c r="B10735" s="1" t="str">
        <f ca="1">IFERROR(__xludf.DUMMYFUNCTION("GOOGLETRANSLATE(A10735, ""en"", ""fr"")"),"TRAGIQUE")</f>
        <v>TRAGIQUE</v>
      </c>
      <c r="C10735" s="1" t="s">
        <v>185</v>
      </c>
      <c r="E10735" s="1" t="s">
        <v>16613</v>
      </c>
      <c r="H10735" s="1" t="s">
        <v>4</v>
      </c>
      <c r="V10735" s="1" t="s">
        <v>18</v>
      </c>
      <c r="CN10735" s="1" t="s">
        <v>88</v>
      </c>
      <c r="DR10735" s="1" t="s">
        <v>118</v>
      </c>
      <c r="FA10735" s="1" t="s">
        <v>153</v>
      </c>
      <c r="FC10735" s="1" t="s">
        <v>155</v>
      </c>
      <c r="GD10735" s="1" t="s">
        <v>202</v>
      </c>
      <c r="GE10735" s="1" t="s">
        <v>190</v>
      </c>
    </row>
    <row r="10736" spans="1:187" ht="11.25" customHeight="1">
      <c r="A10736" s="1" t="s">
        <v>15154</v>
      </c>
      <c r="B10736" s="1" t="str">
        <f ca="1">IFERROR(__xludf.DUMMYFUNCTION("GOOGLETRANSLATE(A10736, ""en"", ""fr"")"),"Trail n ° 1")</f>
        <v>Trail n ° 1</v>
      </c>
      <c r="C10736" s="1" t="s">
        <v>185</v>
      </c>
      <c r="AV10736" s="1" t="s">
        <v>44</v>
      </c>
      <c r="AY10736" s="1" t="s">
        <v>47</v>
      </c>
      <c r="GD10736" s="1" t="s">
        <v>193</v>
      </c>
      <c r="GE10736" s="1" t="s">
        <v>190</v>
      </c>
    </row>
    <row r="10737" spans="1:187" ht="11.25" customHeight="1">
      <c r="A10737" s="1" t="s">
        <v>15155</v>
      </c>
      <c r="B10737" s="1" t="str">
        <f ca="1">IFERROR(__xludf.DUMMYFUNCTION("GOOGLETRANSLATE(A10737, ""en"", ""fr"")"),"Trail n ° 2")</f>
        <v>Trail n ° 2</v>
      </c>
      <c r="C10737" s="1" t="s">
        <v>185</v>
      </c>
      <c r="N10737" s="1" t="s">
        <v>10</v>
      </c>
      <c r="CE10737" s="1" t="s">
        <v>79</v>
      </c>
      <c r="DN10737" s="1" t="s">
        <v>114</v>
      </c>
      <c r="GD10737" s="1" t="s">
        <v>189</v>
      </c>
      <c r="GE10737" s="1" t="s">
        <v>190</v>
      </c>
    </row>
    <row r="10738" spans="1:187" ht="11.25" customHeight="1">
      <c r="A10738" s="1" t="s">
        <v>15156</v>
      </c>
      <c r="B10738" s="1" t="str">
        <f ca="1">IFERROR(__xludf.DUMMYFUNCTION("GOOGLETRANSLATE(A10738, ""en"", ""fr"")"),"Train n ° 1")</f>
        <v>Train n ° 1</v>
      </c>
      <c r="C10738" s="1" t="s">
        <v>185</v>
      </c>
      <c r="BC10738" s="1" t="s">
        <v>51</v>
      </c>
      <c r="BF10738" s="1" t="s">
        <v>54</v>
      </c>
      <c r="EV10738" s="1" t="s">
        <v>148</v>
      </c>
      <c r="EW10738" s="1" t="s">
        <v>149</v>
      </c>
      <c r="GD10738" s="1" t="s">
        <v>193</v>
      </c>
      <c r="GE10738" s="1" t="s">
        <v>15157</v>
      </c>
    </row>
    <row r="10739" spans="1:187" ht="11.25" customHeight="1">
      <c r="A10739" s="1" t="s">
        <v>15158</v>
      </c>
      <c r="B10739" s="1" t="str">
        <f ca="1">IFERROR(__xludf.DUMMYFUNCTION("GOOGLETRANSLATE(A10739, ""en"", ""fr"")"),"Train n ° 2")</f>
        <v>Train n ° 2</v>
      </c>
      <c r="C10739" s="1" t="s">
        <v>196</v>
      </c>
      <c r="FD10739" s="1" t="s">
        <v>156</v>
      </c>
      <c r="FI10739" s="1" t="s">
        <v>161</v>
      </c>
      <c r="GD10739" s="1" t="s">
        <v>189</v>
      </c>
    </row>
    <row r="10740" spans="1:187" ht="11.25" customHeight="1">
      <c r="A10740" s="1" t="s">
        <v>15159</v>
      </c>
      <c r="B10740" s="1" t="str">
        <f ca="1">IFERROR(__xludf.DUMMYFUNCTION("GOOGLETRANSLATE(A10740, ""en"", ""fr"")"),"Train n ° 3")</f>
        <v>Train n ° 3</v>
      </c>
      <c r="C10740" s="1" t="s">
        <v>196</v>
      </c>
      <c r="FH10740" s="1" t="s">
        <v>160</v>
      </c>
      <c r="FI10740" s="1" t="s">
        <v>161</v>
      </c>
      <c r="GD10740" s="1" t="s">
        <v>193</v>
      </c>
    </row>
    <row r="10741" spans="1:187" ht="11.25" customHeight="1">
      <c r="A10741" s="1" t="s">
        <v>15160</v>
      </c>
      <c r="B10741" s="1" t="str">
        <f ca="1">IFERROR(__xludf.DUMMYFUNCTION("GOOGLETRANSLATE(A10741, ""en"", ""fr"")"),"Train n ° 4")</f>
        <v>Train n ° 4</v>
      </c>
      <c r="C10741" s="1" t="s">
        <v>185</v>
      </c>
      <c r="D10741" s="1" t="s">
        <v>16612</v>
      </c>
      <c r="F10741" s="1" t="s">
        <v>2</v>
      </c>
      <c r="U10741" s="1" t="s">
        <v>17</v>
      </c>
      <c r="FL10741" s="1" t="s">
        <v>164</v>
      </c>
      <c r="FM10741" s="1" t="s">
        <v>418</v>
      </c>
      <c r="GD10741" s="1" t="s">
        <v>202</v>
      </c>
      <c r="GE10741" s="1" t="s">
        <v>15161</v>
      </c>
    </row>
    <row r="10742" spans="1:187" ht="11.25" customHeight="1">
      <c r="A10742" s="1" t="s">
        <v>15162</v>
      </c>
      <c r="B10742" s="1" t="str">
        <f ca="1">IFERROR(__xludf.DUMMYFUNCTION("GOOGLETRANSLATE(A10742, ""en"", ""fr"")"),"Train n ° 5")</f>
        <v>Train n ° 5</v>
      </c>
      <c r="C10742" s="1" t="s">
        <v>185</v>
      </c>
      <c r="CH10742" s="1" t="s">
        <v>82</v>
      </c>
      <c r="FH10742" s="1" t="s">
        <v>160</v>
      </c>
      <c r="FI10742" s="1" t="s">
        <v>161</v>
      </c>
      <c r="GD10742" s="1" t="s">
        <v>193</v>
      </c>
      <c r="GE10742" s="1" t="s">
        <v>15163</v>
      </c>
    </row>
    <row r="10743" spans="1:187" ht="11.25" customHeight="1">
      <c r="A10743" s="1" t="s">
        <v>15164</v>
      </c>
      <c r="B10743" s="1" t="str">
        <f ca="1">IFERROR(__xludf.DUMMYFUNCTION("GOOGLETRANSLATE(A10743, ""en"", ""fr"")"),"TRAIT")</f>
        <v>TRAIT</v>
      </c>
      <c r="C10743" s="1" t="s">
        <v>185</v>
      </c>
      <c r="CH10743" s="1" t="s">
        <v>82</v>
      </c>
      <c r="GD10743" s="1" t="s">
        <v>193</v>
      </c>
      <c r="GE10743" s="1" t="s">
        <v>190</v>
      </c>
    </row>
    <row r="10744" spans="1:187" ht="11.25" customHeight="1">
      <c r="A10744" s="1" t="s">
        <v>15165</v>
      </c>
      <c r="B10744" s="1" t="str">
        <f ca="1">IFERROR(__xludf.DUMMYFUNCTION("GOOGLETRANSLATE(A10744, ""en"", ""fr"")"),"TRAITRE")</f>
        <v>TRAITRE</v>
      </c>
      <c r="C10744" s="1" t="s">
        <v>192</v>
      </c>
      <c r="E10744" s="1" t="s">
        <v>16613</v>
      </c>
      <c r="G10744" s="1" t="s">
        <v>3</v>
      </c>
      <c r="I10744" s="1" t="s">
        <v>5</v>
      </c>
      <c r="W10744" s="1" t="s">
        <v>19</v>
      </c>
      <c r="AJ10744" s="1" t="s">
        <v>32</v>
      </c>
      <c r="AT10744" s="1" t="s">
        <v>42</v>
      </c>
      <c r="BT10744" s="1" t="s">
        <v>68</v>
      </c>
      <c r="GD10744" s="1" t="s">
        <v>193</v>
      </c>
      <c r="GE10744" s="1" t="s">
        <v>190</v>
      </c>
    </row>
    <row r="10745" spans="1:187" ht="11.25" customHeight="1">
      <c r="A10745" s="1" t="s">
        <v>15166</v>
      </c>
      <c r="B10745" s="1" t="str">
        <f ca="1">IFERROR(__xludf.DUMMYFUNCTION("GOOGLETRANSLATE(A10745, ""en"", ""fr"")"),"CLOCHARD")</f>
        <v>CLOCHARD</v>
      </c>
      <c r="C10745" s="1" t="s">
        <v>192</v>
      </c>
      <c r="E10745" s="1" t="s">
        <v>16613</v>
      </c>
      <c r="L10745" s="1" t="s">
        <v>8</v>
      </c>
      <c r="AJ10745" s="1" t="s">
        <v>32</v>
      </c>
      <c r="AT10745" s="1" t="s">
        <v>42</v>
      </c>
      <c r="BN10745" s="1" t="s">
        <v>62</v>
      </c>
      <c r="GD10745" s="1" t="s">
        <v>193</v>
      </c>
      <c r="GE10745" s="1" t="s">
        <v>190</v>
      </c>
    </row>
    <row r="10746" spans="1:187" ht="11.25" customHeight="1">
      <c r="A10746" s="1" t="s">
        <v>15167</v>
      </c>
      <c r="B10746" s="1" t="str">
        <f ca="1">IFERROR(__xludf.DUMMYFUNCTION("GOOGLETRANSLATE(A10746, ""en"", ""fr"")"),"PIÉTINER")</f>
        <v>PIÉTINER</v>
      </c>
      <c r="C10746" s="1" t="s">
        <v>192</v>
      </c>
      <c r="E10746" s="1" t="s">
        <v>16613</v>
      </c>
      <c r="I10746" s="1" t="s">
        <v>5</v>
      </c>
      <c r="N10746" s="1" t="s">
        <v>10</v>
      </c>
      <c r="DN10746" s="1" t="s">
        <v>114</v>
      </c>
      <c r="GD10746" s="1" t="s">
        <v>189</v>
      </c>
      <c r="GE10746" s="1" t="s">
        <v>190</v>
      </c>
    </row>
    <row r="10747" spans="1:187" ht="11.25" customHeight="1">
      <c r="A10747" s="1" t="s">
        <v>15168</v>
      </c>
      <c r="B10747" s="1" t="str">
        <f ca="1">IFERROR(__xludf.DUMMYFUNCTION("GOOGLETRANSLATE(A10747, ""en"", ""fr"")"),"TRANQUILLE")</f>
        <v>TRANQUILLE</v>
      </c>
      <c r="C10747" s="1" t="s">
        <v>185</v>
      </c>
      <c r="D10747" s="1" t="s">
        <v>16612</v>
      </c>
      <c r="F10747" s="1" t="s">
        <v>2</v>
      </c>
      <c r="O10747" s="1" t="s">
        <v>11</v>
      </c>
      <c r="CR10747" s="1" t="s">
        <v>92</v>
      </c>
      <c r="GD10747" s="1" t="s">
        <v>202</v>
      </c>
      <c r="GE10747" s="1" t="s">
        <v>190</v>
      </c>
    </row>
    <row r="10748" spans="1:187" ht="11.25" customHeight="1">
      <c r="A10748" s="1" t="s">
        <v>15169</v>
      </c>
      <c r="B10748" s="1" t="str">
        <f ca="1">IFERROR(__xludf.DUMMYFUNCTION("GOOGLETRANSLATE(A10748, ""en"", ""fr"")"),"TRANQUILLITÉ")</f>
        <v>TRANQUILLITÉ</v>
      </c>
      <c r="C10748" s="1" t="s">
        <v>192</v>
      </c>
      <c r="D10748" s="1" t="s">
        <v>16612</v>
      </c>
      <c r="P10748" s="1" t="s">
        <v>12</v>
      </c>
      <c r="GD10748" s="1" t="s">
        <v>193</v>
      </c>
      <c r="GE10748" s="1" t="s">
        <v>190</v>
      </c>
    </row>
    <row r="10749" spans="1:187" ht="11.25" customHeight="1">
      <c r="A10749" s="1" t="s">
        <v>15170</v>
      </c>
      <c r="B10749" s="1" t="str">
        <f ca="1">IFERROR(__xludf.DUMMYFUNCTION("GOOGLETRANSLATE(A10749, ""en"", ""fr"")"),"TRANQUILLITÉ")</f>
        <v>TRANQUILLITÉ</v>
      </c>
      <c r="C10749" s="1" t="s">
        <v>196</v>
      </c>
      <c r="DW10749" s="1" t="s">
        <v>123</v>
      </c>
      <c r="ED10749" s="1" t="s">
        <v>130</v>
      </c>
      <c r="GD10749" s="1" t="s">
        <v>193</v>
      </c>
    </row>
    <row r="10750" spans="1:187" ht="11.25" customHeight="1">
      <c r="A10750" s="1" t="s">
        <v>15171</v>
      </c>
      <c r="B10750" s="1" t="str">
        <f ca="1">IFERROR(__xludf.DUMMYFUNCTION("GOOGLETRANSLATE(A10750, ""en"", ""fr"")"),"TRANSACTION")</f>
        <v>TRANSACTION</v>
      </c>
      <c r="C10750" s="1" t="s">
        <v>185</v>
      </c>
      <c r="N10750" s="1" t="s">
        <v>10</v>
      </c>
      <c r="AN10750" s="1" t="s">
        <v>36</v>
      </c>
      <c r="GD10750" s="1" t="s">
        <v>193</v>
      </c>
      <c r="GE10750" s="1" t="s">
        <v>190</v>
      </c>
    </row>
    <row r="10751" spans="1:187" ht="11.25" customHeight="1">
      <c r="A10751" s="1" t="s">
        <v>15172</v>
      </c>
      <c r="B10751" s="1" t="str">
        <f ca="1">IFERROR(__xludf.DUMMYFUNCTION("GOOGLETRANSLATE(A10751, ""en"", ""fr"")"),"Transcendant")</f>
        <v>Transcendant</v>
      </c>
      <c r="C10751" s="1" t="s">
        <v>196</v>
      </c>
      <c r="EF10751" s="1" t="s">
        <v>132</v>
      </c>
      <c r="EJ10751" s="1" t="s">
        <v>136</v>
      </c>
      <c r="GD10751" s="1" t="s">
        <v>202</v>
      </c>
    </row>
    <row r="10752" spans="1:187" ht="11.25" customHeight="1">
      <c r="A10752" s="1" t="s">
        <v>15173</v>
      </c>
      <c r="B10752" s="1" t="str">
        <f ca="1">IFERROR(__xludf.DUMMYFUNCTION("GOOGLETRANSLATE(A10752, ""en"", ""fr"")"),"Transfert n ° 1")</f>
        <v>Transfert n ° 1</v>
      </c>
      <c r="C10752" s="1" t="s">
        <v>185</v>
      </c>
      <c r="N10752" s="1" t="s">
        <v>10</v>
      </c>
      <c r="DD10752" s="1" t="s">
        <v>104</v>
      </c>
      <c r="EC10752" s="1" t="s">
        <v>129</v>
      </c>
      <c r="ED10752" s="1" t="s">
        <v>130</v>
      </c>
      <c r="GD10752" s="1" t="s">
        <v>193</v>
      </c>
      <c r="GE10752" s="1" t="s">
        <v>190</v>
      </c>
    </row>
    <row r="10753" spans="1:187" ht="11.25" customHeight="1">
      <c r="A10753" s="1" t="s">
        <v>15174</v>
      </c>
      <c r="B10753" s="1" t="str">
        <f ca="1">IFERROR(__xludf.DUMMYFUNCTION("GOOGLETRANSLATE(A10753, ""en"", ""fr"")"),"Transfert n ° 2")</f>
        <v>Transfert n ° 2</v>
      </c>
      <c r="C10753" s="1" t="s">
        <v>185</v>
      </c>
      <c r="N10753" s="1" t="s">
        <v>10</v>
      </c>
      <c r="CE10753" s="1" t="s">
        <v>79</v>
      </c>
      <c r="DN10753" s="1" t="s">
        <v>114</v>
      </c>
      <c r="EC10753" s="1" t="s">
        <v>129</v>
      </c>
      <c r="ED10753" s="1" t="s">
        <v>130</v>
      </c>
      <c r="GD10753" s="1" t="s">
        <v>189</v>
      </c>
      <c r="GE10753" s="1" t="s">
        <v>190</v>
      </c>
    </row>
    <row r="10754" spans="1:187" ht="11.25" customHeight="1">
      <c r="A10754" s="1" t="s">
        <v>15175</v>
      </c>
      <c r="B10754" s="1" t="str">
        <f ca="1">IFERROR(__xludf.DUMMYFUNCTION("GOOGLETRANSLATE(A10754, ""en"", ""fr"")"),"TRANSFERT")</f>
        <v>TRANSFERT</v>
      </c>
      <c r="C10754" s="1" t="s">
        <v>196</v>
      </c>
      <c r="GD10754" s="1" t="s">
        <v>193</v>
      </c>
    </row>
    <row r="10755" spans="1:187" ht="11.25" customHeight="1">
      <c r="A10755" s="1" t="s">
        <v>15176</v>
      </c>
      <c r="B10755" s="1" t="str">
        <f ca="1">IFERROR(__xludf.DUMMYFUNCTION("GOOGLETRANSLATE(A10755, ""en"", ""fr"")"),"TRANSFORMER")</f>
        <v>TRANSFORMER</v>
      </c>
      <c r="C10755" s="1" t="s">
        <v>185</v>
      </c>
      <c r="J10755" s="1" t="s">
        <v>6</v>
      </c>
      <c r="N10755" s="1" t="s">
        <v>10</v>
      </c>
      <c r="BW10755" s="1" t="s">
        <v>71</v>
      </c>
      <c r="DN10755" s="1" t="s">
        <v>114</v>
      </c>
      <c r="EC10755" s="1" t="s">
        <v>129</v>
      </c>
      <c r="ED10755" s="1" t="s">
        <v>130</v>
      </c>
      <c r="GD10755" s="1" t="s">
        <v>189</v>
      </c>
      <c r="GE10755" s="1" t="s">
        <v>190</v>
      </c>
    </row>
    <row r="10756" spans="1:187" ht="11.25" customHeight="1">
      <c r="A10756" s="1" t="s">
        <v>15177</v>
      </c>
      <c r="B10756" s="1" t="str">
        <f ca="1">IFERROR(__xludf.DUMMYFUNCTION("GOOGLETRANSLATE(A10756, ""en"", ""fr"")"),"TRANSFORMATION")</f>
        <v>TRANSFORMATION</v>
      </c>
      <c r="C10756" s="1" t="s">
        <v>185</v>
      </c>
      <c r="J10756" s="1" t="s">
        <v>6</v>
      </c>
      <c r="N10756" s="1" t="s">
        <v>10</v>
      </c>
      <c r="BW10756" s="1" t="s">
        <v>71</v>
      </c>
      <c r="GD10756" s="1" t="s">
        <v>193</v>
      </c>
      <c r="GE10756" s="1" t="s">
        <v>190</v>
      </c>
    </row>
    <row r="10757" spans="1:187" ht="11.25" customHeight="1">
      <c r="A10757" s="1" t="s">
        <v>15178</v>
      </c>
      <c r="B10757" s="1" t="str">
        <f ca="1">IFERROR(__xludf.DUMMYFUNCTION("GOOGLETRANSLATE(A10757, ""en"", ""fr"")"),"TRANSGRESSER")</f>
        <v>TRANSGRESSER</v>
      </c>
      <c r="C10757" s="1" t="s">
        <v>192</v>
      </c>
      <c r="E10757" s="1" t="s">
        <v>16613</v>
      </c>
      <c r="N10757" s="1" t="s">
        <v>10</v>
      </c>
      <c r="BK10757" s="1" t="s">
        <v>59</v>
      </c>
      <c r="DN10757" s="1" t="s">
        <v>114</v>
      </c>
      <c r="GD10757" s="1" t="s">
        <v>189</v>
      </c>
      <c r="GE10757" s="1" t="s">
        <v>190</v>
      </c>
    </row>
    <row r="10758" spans="1:187" ht="11.25" customHeight="1">
      <c r="A10758" s="1" t="s">
        <v>15179</v>
      </c>
      <c r="B10758" s="1" t="str">
        <f ca="1">IFERROR(__xludf.DUMMYFUNCTION("GOOGLETRANSLATE(A10758, ""en"", ""fr"")"),"TRANSIT")</f>
        <v>TRANSIT</v>
      </c>
      <c r="C10758" s="1" t="s">
        <v>185</v>
      </c>
      <c r="CE10758" s="1" t="s">
        <v>79</v>
      </c>
      <c r="GD10758" s="1" t="s">
        <v>193</v>
      </c>
      <c r="GE10758" s="1" t="s">
        <v>190</v>
      </c>
    </row>
    <row r="10759" spans="1:187" ht="11.25" customHeight="1">
      <c r="A10759" s="1" t="s">
        <v>15180</v>
      </c>
      <c r="B10759" s="1" t="str">
        <f ca="1">IFERROR(__xludf.DUMMYFUNCTION("GOOGLETRANSLATE(A10759, ""en"", ""fr"")"),"TRANSITION")</f>
        <v>TRANSITION</v>
      </c>
      <c r="C10759" s="1" t="s">
        <v>185</v>
      </c>
      <c r="BW10759" s="1" t="s">
        <v>71</v>
      </c>
      <c r="CP10759" s="1" t="s">
        <v>90</v>
      </c>
      <c r="CQ10759" s="1" t="s">
        <v>91</v>
      </c>
      <c r="GD10759" s="1" t="s">
        <v>193</v>
      </c>
      <c r="GE10759" s="1" t="s">
        <v>190</v>
      </c>
    </row>
    <row r="10760" spans="1:187" ht="11.25" customHeight="1">
      <c r="A10760" s="1" t="s">
        <v>15181</v>
      </c>
      <c r="B10760" s="1" t="str">
        <f ca="1">IFERROR(__xludf.DUMMYFUNCTION("GOOGLETRANSLATE(A10760, ""en"", ""fr"")"),"TRADUIRE")</f>
        <v>TRADUIRE</v>
      </c>
      <c r="C10760" s="1" t="s">
        <v>185</v>
      </c>
      <c r="N10760" s="1" t="s">
        <v>10</v>
      </c>
      <c r="BK10760" s="1" t="s">
        <v>59</v>
      </c>
      <c r="DN10760" s="1" t="s">
        <v>114</v>
      </c>
      <c r="FH10760" s="1" t="s">
        <v>160</v>
      </c>
      <c r="FI10760" s="1" t="s">
        <v>161</v>
      </c>
      <c r="GD10760" s="1" t="s">
        <v>189</v>
      </c>
      <c r="GE10760" s="1" t="s">
        <v>190</v>
      </c>
    </row>
    <row r="10761" spans="1:187" ht="11.25" customHeight="1">
      <c r="A10761" s="1" t="s">
        <v>15182</v>
      </c>
      <c r="B10761" s="1" t="str">
        <f ca="1">IFERROR(__xludf.DUMMYFUNCTION("GOOGLETRANSLATE(A10761, ""en"", ""fr"")"),"TRANSMETTRE")</f>
        <v>TRANSMETTRE</v>
      </c>
      <c r="C10761" s="1" t="s">
        <v>196</v>
      </c>
      <c r="FP10761" s="1" t="s">
        <v>168</v>
      </c>
      <c r="GD10761" s="1" t="s">
        <v>189</v>
      </c>
    </row>
    <row r="10762" spans="1:187" ht="11.25" customHeight="1">
      <c r="A10762" s="1" t="s">
        <v>15183</v>
      </c>
      <c r="B10762" s="1" t="str">
        <f ca="1">IFERROR(__xludf.DUMMYFUNCTION("GOOGLETRANSLATE(A10762, ""en"", ""fr"")"),"TRAVERSE")</f>
        <v>TRAVERSE</v>
      </c>
      <c r="C10762" s="1" t="s">
        <v>185</v>
      </c>
      <c r="BC10762" s="1" t="s">
        <v>51</v>
      </c>
      <c r="BD10762" s="1" t="s">
        <v>52</v>
      </c>
      <c r="GD10762" s="1" t="s">
        <v>193</v>
      </c>
      <c r="GE10762" s="1" t="s">
        <v>190</v>
      </c>
    </row>
    <row r="10763" spans="1:187" ht="11.25" customHeight="1">
      <c r="A10763" s="1" t="s">
        <v>15184</v>
      </c>
      <c r="B10763" s="1" t="str">
        <f ca="1">IFERROR(__xludf.DUMMYFUNCTION("GOOGLETRANSLATE(A10763, ""en"", ""fr"")"),"Transport n ° 1")</f>
        <v>Transport n ° 1</v>
      </c>
      <c r="C10763" s="1" t="s">
        <v>185</v>
      </c>
      <c r="N10763" s="1" t="s">
        <v>10</v>
      </c>
      <c r="BC10763" s="1" t="s">
        <v>51</v>
      </c>
      <c r="BF10763" s="1" t="s">
        <v>54</v>
      </c>
      <c r="EV10763" s="1" t="s">
        <v>148</v>
      </c>
      <c r="EW10763" s="1" t="s">
        <v>149</v>
      </c>
      <c r="GD10763" s="1" t="s">
        <v>193</v>
      </c>
      <c r="GE10763" s="1" t="s">
        <v>190</v>
      </c>
    </row>
    <row r="10764" spans="1:187" ht="11.25" customHeight="1">
      <c r="A10764" s="1" t="s">
        <v>15185</v>
      </c>
      <c r="B10764" s="1" t="str">
        <f ca="1">IFERROR(__xludf.DUMMYFUNCTION("GOOGLETRANSLATE(A10764, ""en"", ""fr"")"),"Transport n ° 2")</f>
        <v>Transport n ° 2</v>
      </c>
      <c r="C10764" s="1" t="s">
        <v>185</v>
      </c>
      <c r="N10764" s="1" t="s">
        <v>10</v>
      </c>
      <c r="CE10764" s="1" t="s">
        <v>79</v>
      </c>
      <c r="DN10764" s="1" t="s">
        <v>114</v>
      </c>
      <c r="EU10764" s="1" t="s">
        <v>147</v>
      </c>
      <c r="EW10764" s="1" t="s">
        <v>149</v>
      </c>
      <c r="GD10764" s="1" t="s">
        <v>189</v>
      </c>
      <c r="GE10764" s="1" t="s">
        <v>190</v>
      </c>
    </row>
    <row r="10765" spans="1:187" ht="11.25" customHeight="1">
      <c r="A10765" s="1" t="s">
        <v>15186</v>
      </c>
      <c r="B10765" s="1" t="str">
        <f ca="1">IFERROR(__xludf.DUMMYFUNCTION("GOOGLETRANSLATE(A10765, ""en"", ""fr"")"),"TRANSPORT")</f>
        <v>TRANSPORT</v>
      </c>
      <c r="C10765" s="1" t="s">
        <v>185</v>
      </c>
      <c r="CE10765" s="1" t="s">
        <v>79</v>
      </c>
      <c r="EV10765" s="1" t="s">
        <v>148</v>
      </c>
      <c r="EW10765" s="1" t="s">
        <v>149</v>
      </c>
      <c r="GD10765" s="1" t="s">
        <v>193</v>
      </c>
      <c r="GE10765" s="1" t="s">
        <v>190</v>
      </c>
    </row>
    <row r="10766" spans="1:187" ht="11.25" customHeight="1">
      <c r="A10766" s="1" t="s">
        <v>15187</v>
      </c>
      <c r="B10766" s="1" t="str">
        <f ca="1">IFERROR(__xludf.DUMMYFUNCTION("GOOGLETRANSLATE(A10766, ""en"", ""fr"")"),"Trap n ° 1")</f>
        <v>Trap n ° 1</v>
      </c>
      <c r="C10766" s="1" t="s">
        <v>185</v>
      </c>
      <c r="E10766" s="1" t="s">
        <v>16613</v>
      </c>
      <c r="H10766" s="1" t="s">
        <v>4</v>
      </c>
      <c r="J10766" s="1" t="s">
        <v>6</v>
      </c>
      <c r="BC10766" s="1" t="s">
        <v>51</v>
      </c>
      <c r="BD10766" s="1" t="s">
        <v>52</v>
      </c>
      <c r="GD10766" s="1" t="s">
        <v>193</v>
      </c>
      <c r="GE10766" s="1" t="s">
        <v>15188</v>
      </c>
    </row>
    <row r="10767" spans="1:187" ht="11.25" customHeight="1">
      <c r="A10767" s="1" t="s">
        <v>15189</v>
      </c>
      <c r="B10767" s="1" t="str">
        <f ca="1">IFERROR(__xludf.DUMMYFUNCTION("GOOGLETRANSLATE(A10767, ""en"", ""fr"")"),"Trap n ° 2")</f>
        <v>Trap n ° 2</v>
      </c>
      <c r="C10767" s="1" t="s">
        <v>185</v>
      </c>
      <c r="E10767" s="1" t="s">
        <v>16613</v>
      </c>
      <c r="H10767" s="1" t="s">
        <v>4</v>
      </c>
      <c r="I10767" s="1" t="s">
        <v>5</v>
      </c>
      <c r="J10767" s="1" t="s">
        <v>6</v>
      </c>
      <c r="K10767" s="1" t="s">
        <v>7</v>
      </c>
      <c r="N10767" s="1" t="s">
        <v>10</v>
      </c>
      <c r="AN10767" s="1" t="s">
        <v>36</v>
      </c>
      <c r="DO10767" s="1" t="s">
        <v>115</v>
      </c>
      <c r="DT10767" s="1" t="s">
        <v>120</v>
      </c>
      <c r="ED10767" s="1" t="s">
        <v>130</v>
      </c>
      <c r="GD10767" s="1" t="s">
        <v>189</v>
      </c>
      <c r="GE10767" s="1" t="s">
        <v>15190</v>
      </c>
    </row>
    <row r="10768" spans="1:187" ht="11.25" customHeight="1">
      <c r="A10768" s="1" t="s">
        <v>15191</v>
      </c>
      <c r="B10768" s="1" t="str">
        <f ca="1">IFERROR(__xludf.DUMMYFUNCTION("GOOGLETRANSLATE(A10768, ""en"", ""fr"")"),"TRAUMATISME")</f>
        <v>TRAUMATISME</v>
      </c>
      <c r="C10768" s="1" t="s">
        <v>185</v>
      </c>
      <c r="E10768" s="1" t="s">
        <v>16613</v>
      </c>
      <c r="H10768" s="1" t="s">
        <v>4</v>
      </c>
      <c r="O10768" s="1" t="s">
        <v>11</v>
      </c>
      <c r="V10768" s="1" t="s">
        <v>18</v>
      </c>
      <c r="FA10768" s="1" t="s">
        <v>153</v>
      </c>
      <c r="FC10768" s="1" t="s">
        <v>155</v>
      </c>
      <c r="GD10768" s="1" t="s">
        <v>193</v>
      </c>
      <c r="GE10768" s="1" t="s">
        <v>190</v>
      </c>
    </row>
    <row r="10769" spans="1:187" ht="11.25" customHeight="1">
      <c r="A10769" s="1" t="s">
        <v>15192</v>
      </c>
      <c r="B10769" s="1" t="str">
        <f ca="1">IFERROR(__xludf.DUMMYFUNCTION("GOOGLETRANSLATE(A10769, ""en"", ""fr"")"),"TRAUMATIQUE")</f>
        <v>TRAUMATIQUE</v>
      </c>
      <c r="C10769" s="1" t="s">
        <v>185</v>
      </c>
      <c r="E10769" s="1" t="s">
        <v>16613</v>
      </c>
      <c r="Q10769" s="1" t="s">
        <v>13</v>
      </c>
      <c r="T10769" s="1" t="s">
        <v>16</v>
      </c>
      <c r="DR10769" s="1" t="s">
        <v>118</v>
      </c>
      <c r="FA10769" s="1" t="s">
        <v>153</v>
      </c>
      <c r="FC10769" s="1" t="s">
        <v>155</v>
      </c>
      <c r="GD10769" s="1" t="s">
        <v>202</v>
      </c>
      <c r="GE10769" s="1" t="s">
        <v>190</v>
      </c>
    </row>
    <row r="10770" spans="1:187" ht="11.25" customHeight="1">
      <c r="A10770" s="1" t="s">
        <v>15193</v>
      </c>
      <c r="B10770" s="1" t="str">
        <f ca="1">IFERROR(__xludf.DUMMYFUNCTION("GOOGLETRANSLATE(A10770, ""en"", ""fr"")"),"Voyage n ° 1")</f>
        <v>Voyage n ° 1</v>
      </c>
      <c r="C10770" s="1" t="s">
        <v>185</v>
      </c>
      <c r="N10770" s="1" t="s">
        <v>10</v>
      </c>
      <c r="CE10770" s="1" t="s">
        <v>79</v>
      </c>
      <c r="DO10770" s="1" t="s">
        <v>115</v>
      </c>
      <c r="FP10770" s="1" t="s">
        <v>168</v>
      </c>
      <c r="GD10770" s="1" t="s">
        <v>189</v>
      </c>
      <c r="GE10770" s="1" t="s">
        <v>15194</v>
      </c>
    </row>
    <row r="10771" spans="1:187" ht="11.25" customHeight="1">
      <c r="A10771" s="1" t="s">
        <v>15195</v>
      </c>
      <c r="B10771" s="1" t="str">
        <f ca="1">IFERROR(__xludf.DUMMYFUNCTION("GOOGLETRANSLATE(A10771, ""en"", ""fr"")"),"Voyage n ° 2")</f>
        <v>Voyage n ° 2</v>
      </c>
      <c r="C10771" s="1" t="s">
        <v>185</v>
      </c>
      <c r="N10771" s="1" t="s">
        <v>10</v>
      </c>
      <c r="CE10771" s="1" t="s">
        <v>79</v>
      </c>
      <c r="GD10771" s="1" t="s">
        <v>193</v>
      </c>
      <c r="GE10771" s="1" t="s">
        <v>15196</v>
      </c>
    </row>
    <row r="10772" spans="1:187" ht="11.25" customHeight="1">
      <c r="A10772" s="1" t="s">
        <v>15197</v>
      </c>
      <c r="B10772" s="1" t="str">
        <f ca="1">IFERROR(__xludf.DUMMYFUNCTION("GOOGLETRANSLATE(A10772, ""en"", ""fr"")"),"Voyage n ° 3")</f>
        <v>Voyage n ° 3</v>
      </c>
      <c r="C10772" s="1" t="s">
        <v>185</v>
      </c>
      <c r="N10772" s="1" t="s">
        <v>10</v>
      </c>
      <c r="CE10772" s="1" t="s">
        <v>79</v>
      </c>
      <c r="GD10772" s="1" t="s">
        <v>202</v>
      </c>
      <c r="GE10772" s="1" t="s">
        <v>15198</v>
      </c>
    </row>
    <row r="10773" spans="1:187" ht="11.25" customHeight="1">
      <c r="A10773" s="1" t="s">
        <v>15199</v>
      </c>
      <c r="B10773" s="1" t="str">
        <f ca="1">IFERROR(__xludf.DUMMYFUNCTION("GOOGLETRANSLATE(A10773, ""en"", ""fr"")"),"Voyage n ° 4")</f>
        <v>Voyage n ° 4</v>
      </c>
      <c r="C10773" s="1" t="s">
        <v>185</v>
      </c>
      <c r="D10773" s="1" t="s">
        <v>16612</v>
      </c>
      <c r="F10773" s="1" t="s">
        <v>2</v>
      </c>
      <c r="CE10773" s="1" t="s">
        <v>79</v>
      </c>
      <c r="GD10773" s="1" t="s">
        <v>202</v>
      </c>
      <c r="GE10773" s="1" t="s">
        <v>15200</v>
      </c>
    </row>
    <row r="10774" spans="1:187" ht="11.25" customHeight="1">
      <c r="A10774" s="1" t="s">
        <v>15201</v>
      </c>
      <c r="B10774" s="1" t="str">
        <f ca="1">IFERROR(__xludf.DUMMYFUNCTION("GOOGLETRANSLATE(A10774, ""en"", ""fr"")"),"VOYAGEUR")</f>
        <v>VOYAGEUR</v>
      </c>
      <c r="C10774" s="1" t="s">
        <v>185</v>
      </c>
      <c r="AD10774" s="1" t="s">
        <v>26</v>
      </c>
      <c r="AJ10774" s="1" t="s">
        <v>32</v>
      </c>
      <c r="AT10774" s="1" t="s">
        <v>42</v>
      </c>
      <c r="FT10774" s="1" t="s">
        <v>172</v>
      </c>
      <c r="GD10774" s="1" t="s">
        <v>193</v>
      </c>
      <c r="GE10774" s="1" t="s">
        <v>190</v>
      </c>
    </row>
    <row r="10775" spans="1:187" ht="11.25" customHeight="1">
      <c r="A10775" s="1" t="s">
        <v>15202</v>
      </c>
      <c r="B10775" s="1" t="str">
        <f ca="1">IFERROR(__xludf.DUMMYFUNCTION("GOOGLETRANSLATE(A10775, ""en"", ""fr"")"),"Voyageur # 1")</f>
        <v>Voyageur # 1</v>
      </c>
      <c r="C10775" s="1" t="s">
        <v>192</v>
      </c>
      <c r="GE10775" s="1" t="s">
        <v>190</v>
      </c>
    </row>
    <row r="10776" spans="1:187" ht="11.25" customHeight="1">
      <c r="A10776" s="1" t="s">
        <v>15203</v>
      </c>
      <c r="B10776" s="1" t="str">
        <f ca="1">IFERROR(__xludf.DUMMYFUNCTION("GOOGLETRANSLATE(A10776, ""en"", ""fr"")"),"TRAVERSER")</f>
        <v>TRAVERSER</v>
      </c>
      <c r="C10776" s="1" t="s">
        <v>185</v>
      </c>
      <c r="N10776" s="1" t="s">
        <v>10</v>
      </c>
      <c r="CE10776" s="1" t="s">
        <v>79</v>
      </c>
      <c r="DN10776" s="1" t="s">
        <v>114</v>
      </c>
      <c r="GD10776" s="1" t="s">
        <v>189</v>
      </c>
      <c r="GE10776" s="1" t="s">
        <v>190</v>
      </c>
    </row>
    <row r="10777" spans="1:187" ht="11.25" customHeight="1">
      <c r="A10777" s="1" t="s">
        <v>15204</v>
      </c>
      <c r="B10777" s="1" t="str">
        <f ca="1">IFERROR(__xludf.DUMMYFUNCTION("GOOGLETRANSLATE(A10777, ""en"", ""fr"")"),"PLATEAU")</f>
        <v>PLATEAU</v>
      </c>
      <c r="C10777" s="1" t="s">
        <v>185</v>
      </c>
      <c r="BC10777" s="1" t="s">
        <v>51</v>
      </c>
      <c r="BD10777" s="1" t="s">
        <v>52</v>
      </c>
      <c r="GD10777" s="1" t="s">
        <v>193</v>
      </c>
      <c r="GE10777" s="1" t="s">
        <v>190</v>
      </c>
    </row>
    <row r="10778" spans="1:187" ht="11.25" customHeight="1">
      <c r="A10778" s="1" t="s">
        <v>15205</v>
      </c>
      <c r="B10778" s="1" t="str">
        <f ca="1">IFERROR(__xludf.DUMMYFUNCTION("GOOGLETRANSLATE(A10778, ""en"", ""fr"")"),"PERFIDE")</f>
        <v>PERFIDE</v>
      </c>
      <c r="C10778" s="1" t="s">
        <v>185</v>
      </c>
      <c r="E10778" s="1" t="s">
        <v>16613</v>
      </c>
      <c r="H10778" s="1" t="s">
        <v>4</v>
      </c>
      <c r="I10778" s="1" t="s">
        <v>5</v>
      </c>
      <c r="V10778" s="1" t="s">
        <v>18</v>
      </c>
      <c r="GD10778" s="1" t="s">
        <v>202</v>
      </c>
      <c r="GE10778" s="1" t="s">
        <v>190</v>
      </c>
    </row>
    <row r="10779" spans="1:187" ht="11.25" customHeight="1">
      <c r="A10779" s="1" t="s">
        <v>15206</v>
      </c>
      <c r="B10779" s="1" t="str">
        <f ca="1">IFERROR(__xludf.DUMMYFUNCTION("GOOGLETRANSLATE(A10779, ""en"", ""fr"")"),"TRAÎTRISE")</f>
        <v>TRAÎTRISE</v>
      </c>
      <c r="C10779" s="1" t="s">
        <v>192</v>
      </c>
      <c r="E10779" s="1" t="s">
        <v>16613</v>
      </c>
      <c r="I10779" s="1" t="s">
        <v>5</v>
      </c>
      <c r="GD10779" s="1" t="s">
        <v>193</v>
      </c>
      <c r="GE10779" s="1" t="s">
        <v>190</v>
      </c>
    </row>
    <row r="10780" spans="1:187" ht="11.25" customHeight="1">
      <c r="A10780" s="1" t="s">
        <v>15207</v>
      </c>
      <c r="B10780" s="1" t="str">
        <f ca="1">IFERROR(__xludf.DUMMYFUNCTION("GOOGLETRANSLATE(A10780, ""en"", ""fr"")"),"TRAHISON")</f>
        <v>TRAHISON</v>
      </c>
      <c r="C10780" s="1" t="s">
        <v>185</v>
      </c>
      <c r="E10780" s="1" t="s">
        <v>16613</v>
      </c>
      <c r="I10780" s="1" t="s">
        <v>5</v>
      </c>
      <c r="AG10780" s="1" t="s">
        <v>29</v>
      </c>
      <c r="EE10780" s="1" t="s">
        <v>131</v>
      </c>
      <c r="EJ10780" s="1" t="s">
        <v>136</v>
      </c>
      <c r="GD10780" s="1" t="s">
        <v>193</v>
      </c>
      <c r="GE10780" s="1" t="s">
        <v>190</v>
      </c>
    </row>
    <row r="10781" spans="1:187" ht="11.25" customHeight="1">
      <c r="A10781" s="1" t="s">
        <v>15208</v>
      </c>
      <c r="B10781" s="1" t="str">
        <f ca="1">IFERROR(__xludf.DUMMYFUNCTION("GOOGLETRANSLATE(A10781, ""en"", ""fr"")"),"Trahison")</f>
        <v>Trahison</v>
      </c>
      <c r="C10781" s="1" t="s">
        <v>192</v>
      </c>
      <c r="E10781" s="1" t="s">
        <v>16613</v>
      </c>
      <c r="I10781" s="1" t="s">
        <v>5</v>
      </c>
      <c r="AG10781" s="1" t="s">
        <v>29</v>
      </c>
      <c r="DQ10781" s="1" t="s">
        <v>117</v>
      </c>
      <c r="GD10781" s="1" t="s">
        <v>202</v>
      </c>
      <c r="GE10781" s="1" t="s">
        <v>190</v>
      </c>
    </row>
    <row r="10782" spans="1:187" ht="11.25" customHeight="1">
      <c r="A10782" s="1" t="s">
        <v>15209</v>
      </c>
      <c r="B10782" s="1" t="str">
        <f ca="1">IFERROR(__xludf.DUMMYFUNCTION("GOOGLETRANSLATE(A10782, ""en"", ""fr"")"),"Trésor # 1")</f>
        <v>Trésor # 1</v>
      </c>
      <c r="C10782" s="1" t="s">
        <v>185</v>
      </c>
      <c r="D10782" s="1" t="s">
        <v>16612</v>
      </c>
      <c r="F10782" s="1" t="s">
        <v>2</v>
      </c>
      <c r="U10782" s="1" t="s">
        <v>17</v>
      </c>
      <c r="AA10782" s="1" t="s">
        <v>23</v>
      </c>
      <c r="AC10782" s="1" t="s">
        <v>25</v>
      </c>
      <c r="EV10782" s="1" t="s">
        <v>148</v>
      </c>
      <c r="EW10782" s="1" t="s">
        <v>149</v>
      </c>
      <c r="GD10782" s="1" t="s">
        <v>193</v>
      </c>
      <c r="GE10782" s="1" t="s">
        <v>190</v>
      </c>
    </row>
    <row r="10783" spans="1:187" ht="11.25" customHeight="1">
      <c r="A10783" s="1" t="s">
        <v>15210</v>
      </c>
      <c r="B10783" s="1" t="str">
        <f ca="1">IFERROR(__xludf.DUMMYFUNCTION("GOOGLETRANSLATE(A10783, ""en"", ""fr"")"),"Trésor # 2")</f>
        <v>Trésor # 2</v>
      </c>
      <c r="C10783" s="1" t="s">
        <v>185</v>
      </c>
      <c r="D10783" s="1" t="s">
        <v>16612</v>
      </c>
      <c r="F10783" s="1" t="s">
        <v>2</v>
      </c>
      <c r="G10783" s="1" t="s">
        <v>3</v>
      </c>
      <c r="AN10783" s="1" t="s">
        <v>36</v>
      </c>
      <c r="DN10783" s="1" t="s">
        <v>114</v>
      </c>
      <c r="EO10783" s="1" t="s">
        <v>141</v>
      </c>
      <c r="GD10783" s="1" t="s">
        <v>189</v>
      </c>
      <c r="GE10783" s="1" t="s">
        <v>190</v>
      </c>
    </row>
    <row r="10784" spans="1:187" ht="11.25" customHeight="1">
      <c r="A10784" s="1" t="s">
        <v>15211</v>
      </c>
      <c r="B10784" s="1" t="str">
        <f ca="1">IFERROR(__xludf.DUMMYFUNCTION("GOOGLETRANSLATE(A10784, ""en"", ""fr"")"),"TRÉSORIER")</f>
        <v>TRÉSORIER</v>
      </c>
      <c r="C10784" s="1" t="s">
        <v>185</v>
      </c>
      <c r="K10784" s="1" t="s">
        <v>7</v>
      </c>
      <c r="AA10784" s="1" t="s">
        <v>23</v>
      </c>
      <c r="AC10784" s="1" t="s">
        <v>25</v>
      </c>
      <c r="AJ10784" s="1" t="s">
        <v>32</v>
      </c>
      <c r="AT10784" s="1" t="s">
        <v>42</v>
      </c>
      <c r="EV10784" s="1" t="s">
        <v>148</v>
      </c>
      <c r="EW10784" s="1" t="s">
        <v>149</v>
      </c>
      <c r="GD10784" s="1" t="s">
        <v>193</v>
      </c>
      <c r="GE10784" s="1" t="s">
        <v>190</v>
      </c>
    </row>
    <row r="10785" spans="1:187" ht="11.25" customHeight="1">
      <c r="A10785" s="1" t="s">
        <v>15212</v>
      </c>
      <c r="B10785" s="1" t="str">
        <f ca="1">IFERROR(__xludf.DUMMYFUNCTION("GOOGLETRANSLATE(A10785, ""en"", ""fr"")"),"TRÉSORERIE")</f>
        <v>TRÉSORERIE</v>
      </c>
      <c r="C10785" s="1" t="s">
        <v>185</v>
      </c>
      <c r="AA10785" s="1" t="s">
        <v>23</v>
      </c>
      <c r="AC10785" s="1" t="s">
        <v>25</v>
      </c>
      <c r="AH10785" s="1" t="s">
        <v>30</v>
      </c>
      <c r="AV10785" s="1" t="s">
        <v>44</v>
      </c>
      <c r="AW10785" s="1" t="s">
        <v>45</v>
      </c>
      <c r="EV10785" s="1" t="s">
        <v>148</v>
      </c>
      <c r="EW10785" s="1" t="s">
        <v>149</v>
      </c>
      <c r="GD10785" s="1" t="s">
        <v>193</v>
      </c>
      <c r="GE10785" s="1" t="s">
        <v>190</v>
      </c>
    </row>
    <row r="10786" spans="1:187" ht="11.25" customHeight="1">
      <c r="A10786" s="1" t="s">
        <v>15213</v>
      </c>
      <c r="B10786" s="1" t="str">
        <f ca="1">IFERROR(__xludf.DUMMYFUNCTION("GOOGLETRANSLATE(A10786, ""en"", ""fr"")"),"Traiter n ° 1")</f>
        <v>Traiter n ° 1</v>
      </c>
      <c r="C10786" s="1" t="s">
        <v>185</v>
      </c>
      <c r="N10786" s="1" t="s">
        <v>10</v>
      </c>
      <c r="AL10786" s="1" t="s">
        <v>34</v>
      </c>
      <c r="DN10786" s="1" t="s">
        <v>114</v>
      </c>
      <c r="FP10786" s="1" t="s">
        <v>168</v>
      </c>
      <c r="GD10786" s="1" t="s">
        <v>400</v>
      </c>
      <c r="GE10786" s="1" t="s">
        <v>15214</v>
      </c>
    </row>
    <row r="10787" spans="1:187" ht="11.25" customHeight="1">
      <c r="A10787" s="1" t="s">
        <v>15215</v>
      </c>
      <c r="B10787" s="1" t="str">
        <f ca="1">IFERROR(__xludf.DUMMYFUNCTION("GOOGLETRANSLATE(A10787, ""en"", ""fr"")"),"Traiter # 2")</f>
        <v>Traiter # 2</v>
      </c>
      <c r="C10787" s="1" t="s">
        <v>185</v>
      </c>
      <c r="D10787" s="1" t="s">
        <v>16612</v>
      </c>
      <c r="F10787" s="1" t="s">
        <v>2</v>
      </c>
      <c r="U10787" s="1" t="s">
        <v>17</v>
      </c>
      <c r="FX10787" s="1" t="s">
        <v>176</v>
      </c>
      <c r="GD10787" s="1" t="s">
        <v>193</v>
      </c>
      <c r="GE10787" s="1" t="s">
        <v>15216</v>
      </c>
    </row>
    <row r="10788" spans="1:187" ht="11.25" customHeight="1">
      <c r="A10788" s="1" t="s">
        <v>15217</v>
      </c>
      <c r="B10788" s="1" t="str">
        <f ca="1">IFERROR(__xludf.DUMMYFUNCTION("GOOGLETRANSLATE(A10788, ""en"", ""fr"")"),"TRAITÉ")</f>
        <v>TRAITÉ</v>
      </c>
      <c r="C10788" s="1" t="s">
        <v>192</v>
      </c>
      <c r="D10788" s="1" t="s">
        <v>16612</v>
      </c>
      <c r="Z10788" s="1" t="s">
        <v>22</v>
      </c>
      <c r="AE10788" s="1" t="s">
        <v>27</v>
      </c>
      <c r="AG10788" s="1" t="s">
        <v>29</v>
      </c>
      <c r="BC10788" s="1" t="s">
        <v>51</v>
      </c>
      <c r="GD10788" s="1" t="s">
        <v>193</v>
      </c>
      <c r="GE10788" s="1" t="s">
        <v>190</v>
      </c>
    </row>
    <row r="10789" spans="1:187" ht="11.25" customHeight="1">
      <c r="A10789" s="1" t="s">
        <v>15218</v>
      </c>
      <c r="B10789" s="1" t="str">
        <f ca="1">IFERROR(__xludf.DUMMYFUNCTION("GOOGLETRANSLATE(A10789, ""en"", ""fr"")"),"TRAITEMENT")</f>
        <v>TRAITEMENT</v>
      </c>
      <c r="C10789" s="1" t="s">
        <v>185</v>
      </c>
      <c r="BQ10789" s="1" t="s">
        <v>65</v>
      </c>
      <c r="GD10789" s="1" t="s">
        <v>193</v>
      </c>
      <c r="GE10789" s="1" t="s">
        <v>190</v>
      </c>
    </row>
    <row r="10790" spans="1:187" ht="11.25" customHeight="1">
      <c r="A10790" s="1" t="s">
        <v>15219</v>
      </c>
      <c r="B10790" s="1" t="str">
        <f ca="1">IFERROR(__xludf.DUMMYFUNCTION("GOOGLETRANSLATE(A10790, ""en"", ""fr"")"),"TRAITÉ")</f>
        <v>TRAITÉ</v>
      </c>
      <c r="C10790" s="1" t="s">
        <v>185</v>
      </c>
      <c r="D10790" s="1" t="s">
        <v>16612</v>
      </c>
      <c r="F10790" s="1" t="s">
        <v>2</v>
      </c>
      <c r="AG10790" s="1" t="s">
        <v>29</v>
      </c>
      <c r="AH10790" s="1" t="s">
        <v>30</v>
      </c>
      <c r="BK10790" s="1" t="s">
        <v>59</v>
      </c>
      <c r="BL10790" s="1" t="s">
        <v>60</v>
      </c>
      <c r="EB10790" s="1" t="s">
        <v>128</v>
      </c>
      <c r="ED10790" s="1" t="s">
        <v>130</v>
      </c>
      <c r="GD10790" s="1" t="s">
        <v>193</v>
      </c>
      <c r="GE10790" s="1" t="s">
        <v>15220</v>
      </c>
    </row>
    <row r="10791" spans="1:187" ht="11.25" customHeight="1">
      <c r="A10791" s="1" t="s">
        <v>15221</v>
      </c>
      <c r="B10791" s="1" t="str">
        <f ca="1">IFERROR(__xludf.DUMMYFUNCTION("GOOGLETRANSLATE(A10791, ""en"", ""fr"")"),"ARBRE")</f>
        <v>ARBRE</v>
      </c>
      <c r="C10791" s="1" t="s">
        <v>185</v>
      </c>
      <c r="BC10791" s="1" t="s">
        <v>51</v>
      </c>
      <c r="BI10791" s="1" t="s">
        <v>57</v>
      </c>
      <c r="GD10791" s="1" t="s">
        <v>193</v>
      </c>
      <c r="GE10791" s="1" t="s">
        <v>15222</v>
      </c>
    </row>
    <row r="10792" spans="1:187" ht="11.25" customHeight="1">
      <c r="A10792" s="1" t="s">
        <v>15223</v>
      </c>
      <c r="B10792" s="1" t="str">
        <f ca="1">IFERROR(__xludf.DUMMYFUNCTION("GOOGLETRANSLATE(A10792, ""en"", ""fr"")"),"TREMBLER")</f>
        <v>TREMBLER</v>
      </c>
      <c r="C10792" s="1" t="s">
        <v>185</v>
      </c>
      <c r="L10792" s="1" t="s">
        <v>8</v>
      </c>
      <c r="M10792" s="1" t="s">
        <v>9</v>
      </c>
      <c r="O10792" s="1" t="s">
        <v>11</v>
      </c>
      <c r="BK10792" s="1" t="s">
        <v>59</v>
      </c>
      <c r="DN10792" s="1" t="s">
        <v>114</v>
      </c>
      <c r="FW10792" s="1" t="s">
        <v>175</v>
      </c>
      <c r="GD10792" s="1" t="s">
        <v>189</v>
      </c>
      <c r="GE10792" s="1" t="s">
        <v>190</v>
      </c>
    </row>
    <row r="10793" spans="1:187" ht="11.25" customHeight="1">
      <c r="A10793" s="1" t="s">
        <v>15224</v>
      </c>
      <c r="B10793" s="1" t="str">
        <f ca="1">IFERROR(__xludf.DUMMYFUNCTION("GOOGLETRANSLATE(A10793, ""en"", ""fr"")"),"Formidable # 1")</f>
        <v>Formidable # 1</v>
      </c>
      <c r="C10793" s="1" t="s">
        <v>185</v>
      </c>
      <c r="D10793" s="1" t="s">
        <v>16612</v>
      </c>
      <c r="F10793" s="1" t="s">
        <v>2</v>
      </c>
      <c r="J10793" s="1" t="s">
        <v>6</v>
      </c>
      <c r="U10793" s="1" t="s">
        <v>17</v>
      </c>
      <c r="W10793" s="1" t="s">
        <v>19</v>
      </c>
      <c r="CN10793" s="1" t="s">
        <v>88</v>
      </c>
      <c r="DC10793" s="1" t="s">
        <v>103</v>
      </c>
      <c r="GD10793" s="1" t="s">
        <v>202</v>
      </c>
      <c r="GE10793" s="1" t="s">
        <v>15225</v>
      </c>
    </row>
    <row r="10794" spans="1:187" ht="11.25" customHeight="1">
      <c r="A10794" s="1" t="s">
        <v>15226</v>
      </c>
      <c r="B10794" s="1" t="str">
        <f ca="1">IFERROR(__xludf.DUMMYFUNCTION("GOOGLETRANSLATE(A10794, ""en"", ""fr"")"),"Énorme # 2")</f>
        <v>Énorme # 2</v>
      </c>
      <c r="C10794" s="1" t="s">
        <v>185</v>
      </c>
      <c r="D10794" s="1" t="s">
        <v>16612</v>
      </c>
      <c r="F10794" s="1" t="s">
        <v>2</v>
      </c>
      <c r="J10794" s="1" t="s">
        <v>6</v>
      </c>
      <c r="U10794" s="1" t="s">
        <v>17</v>
      </c>
      <c r="W10794" s="1" t="s">
        <v>19</v>
      </c>
      <c r="GD10794" s="1" t="s">
        <v>236</v>
      </c>
      <c r="GE10794" s="1" t="s">
        <v>15227</v>
      </c>
    </row>
    <row r="10795" spans="1:187" ht="11.25" customHeight="1">
      <c r="A10795" s="1" t="s">
        <v>15228</v>
      </c>
      <c r="B10795" s="1" t="str">
        <f ca="1">IFERROR(__xludf.DUMMYFUNCTION("GOOGLETRANSLATE(A10795, ""en"", ""fr"")"),"S'ORIENTER")</f>
        <v>S'ORIENTER</v>
      </c>
      <c r="C10795" s="1" t="s">
        <v>185</v>
      </c>
      <c r="CI10795" s="1" t="s">
        <v>83</v>
      </c>
      <c r="CP10795" s="1" t="s">
        <v>90</v>
      </c>
      <c r="CQ10795" s="1" t="s">
        <v>91</v>
      </c>
      <c r="FR10795" s="1" t="s">
        <v>170</v>
      </c>
      <c r="GD10795" s="1" t="s">
        <v>193</v>
      </c>
      <c r="GE10795" s="1" t="s">
        <v>190</v>
      </c>
    </row>
    <row r="10796" spans="1:187" ht="11.25" customHeight="1">
      <c r="A10796" s="1" t="s">
        <v>15229</v>
      </c>
      <c r="B10796" s="1" t="str">
        <f ca="1">IFERROR(__xludf.DUMMYFUNCTION("GOOGLETRANSLATE(A10796, ""en"", ""fr"")"),"INTRUSION")</f>
        <v>INTRUSION</v>
      </c>
      <c r="C10796" s="1" t="s">
        <v>192</v>
      </c>
      <c r="E10796" s="1" t="s">
        <v>16613</v>
      </c>
      <c r="N10796" s="1" t="s">
        <v>10</v>
      </c>
      <c r="DN10796" s="1" t="s">
        <v>114</v>
      </c>
      <c r="GD10796" s="1" t="s">
        <v>189</v>
      </c>
      <c r="GE10796" s="1" t="s">
        <v>190</v>
      </c>
    </row>
    <row r="10797" spans="1:187" ht="11.25" customHeight="1">
      <c r="A10797" s="1" t="s">
        <v>15230</v>
      </c>
      <c r="B10797" s="1" t="str">
        <f ca="1">IFERROR(__xludf.DUMMYFUNCTION("GOOGLETRANSLATE(A10797, ""en"", ""fr"")"),"PROCÈS")</f>
        <v>PROCÈS</v>
      </c>
      <c r="C10797" s="1" t="s">
        <v>185</v>
      </c>
      <c r="AE10797" s="1" t="s">
        <v>27</v>
      </c>
      <c r="AH10797" s="1" t="s">
        <v>30</v>
      </c>
      <c r="AM10797" s="1" t="s">
        <v>35</v>
      </c>
      <c r="GD10797" s="1" t="s">
        <v>193</v>
      </c>
      <c r="GE10797" s="1" t="s">
        <v>190</v>
      </c>
    </row>
    <row r="10798" spans="1:187" ht="11.25" customHeight="1">
      <c r="A10798" s="1" t="s">
        <v>15231</v>
      </c>
      <c r="B10798" s="1" t="str">
        <f ca="1">IFERROR(__xludf.DUMMYFUNCTION("GOOGLETRANSLATE(A10798, ""en"", ""fr"")"),"TRIBAL")</f>
        <v>TRIBAL</v>
      </c>
      <c r="C10798" s="1" t="s">
        <v>185</v>
      </c>
      <c r="AG10798" s="1" t="s">
        <v>29</v>
      </c>
      <c r="AK10798" s="1" t="s">
        <v>33</v>
      </c>
      <c r="AT10798" s="1" t="s">
        <v>42</v>
      </c>
      <c r="GD10798" s="1" t="s">
        <v>421</v>
      </c>
      <c r="GE10798" s="1" t="s">
        <v>15232</v>
      </c>
    </row>
    <row r="10799" spans="1:187" ht="11.25" customHeight="1">
      <c r="A10799" s="1" t="s">
        <v>15233</v>
      </c>
      <c r="B10799" s="1" t="str">
        <f ca="1">IFERROR(__xludf.DUMMYFUNCTION("GOOGLETRANSLATE(A10799, ""en"", ""fr"")"),"TRIBU")</f>
        <v>TRIBU</v>
      </c>
      <c r="C10799" s="1" t="s">
        <v>185</v>
      </c>
      <c r="AG10799" s="1" t="s">
        <v>29</v>
      </c>
      <c r="AH10799" s="1" t="s">
        <v>30</v>
      </c>
      <c r="AK10799" s="1" t="s">
        <v>33</v>
      </c>
      <c r="AT10799" s="1" t="s">
        <v>42</v>
      </c>
      <c r="GD10799" s="1" t="s">
        <v>193</v>
      </c>
      <c r="GE10799" s="1" t="s">
        <v>15234</v>
      </c>
    </row>
    <row r="10800" spans="1:187" ht="11.25" customHeight="1">
      <c r="A10800" s="1" t="s">
        <v>15235</v>
      </c>
      <c r="B10800" s="1" t="str">
        <f ca="1">IFERROR(__xludf.DUMMYFUNCTION("GOOGLETRANSLATE(A10800, ""en"", ""fr"")"),"TRIBUNAL")</f>
        <v>TRIBUNAL</v>
      </c>
      <c r="C10800" s="1" t="s">
        <v>196</v>
      </c>
      <c r="DY10800" s="1" t="s">
        <v>125</v>
      </c>
      <c r="ED10800" s="1" t="s">
        <v>130</v>
      </c>
      <c r="GD10800" s="1" t="s">
        <v>3617</v>
      </c>
    </row>
    <row r="10801" spans="1:187" ht="11.25" customHeight="1">
      <c r="A10801" s="1" t="s">
        <v>15236</v>
      </c>
      <c r="B10801" s="1" t="str">
        <f ca="1">IFERROR(__xludf.DUMMYFUNCTION("GOOGLETRANSLATE(A10801, ""en"", ""fr"")"),"HOMMAGE")</f>
        <v>HOMMAGE</v>
      </c>
      <c r="C10801" s="1" t="s">
        <v>185</v>
      </c>
      <c r="D10801" s="1" t="s">
        <v>16612</v>
      </c>
      <c r="G10801" s="1" t="s">
        <v>3</v>
      </c>
      <c r="M10801" s="1" t="s">
        <v>9</v>
      </c>
      <c r="BK10801" s="1" t="s">
        <v>59</v>
      </c>
      <c r="BL10801" s="1" t="s">
        <v>60</v>
      </c>
      <c r="EM10801" s="1" t="s">
        <v>139</v>
      </c>
      <c r="EN10801" s="1" t="s">
        <v>140</v>
      </c>
      <c r="GC10801" s="1" t="s">
        <v>181</v>
      </c>
      <c r="GD10801" s="1" t="s">
        <v>193</v>
      </c>
      <c r="GE10801" s="1" t="s">
        <v>190</v>
      </c>
    </row>
    <row r="10802" spans="1:187" ht="11.25" customHeight="1">
      <c r="A10802" s="1" t="s">
        <v>15237</v>
      </c>
      <c r="B10802" s="1" t="str">
        <f ca="1">IFERROR(__xludf.DUMMYFUNCTION("GOOGLETRANSLATE(A10802, ""en"", ""fr"")"),"Trick # 1")</f>
        <v>Trick # 1</v>
      </c>
      <c r="C10802" s="1" t="s">
        <v>185</v>
      </c>
      <c r="E10802" s="1" t="s">
        <v>16613</v>
      </c>
      <c r="H10802" s="1" t="s">
        <v>4</v>
      </c>
      <c r="I10802" s="1" t="s">
        <v>5</v>
      </c>
      <c r="N10802" s="1" t="s">
        <v>10</v>
      </c>
      <c r="V10802" s="1" t="s">
        <v>18</v>
      </c>
      <c r="FL10802" s="1" t="s">
        <v>164</v>
      </c>
      <c r="FM10802" s="1" t="s">
        <v>418</v>
      </c>
      <c r="GD10802" s="1" t="s">
        <v>193</v>
      </c>
      <c r="GE10802" s="1" t="s">
        <v>190</v>
      </c>
    </row>
    <row r="10803" spans="1:187" ht="11.25" customHeight="1">
      <c r="A10803" s="1" t="s">
        <v>15238</v>
      </c>
      <c r="B10803" s="1" t="str">
        <f ca="1">IFERROR(__xludf.DUMMYFUNCTION("GOOGLETRANSLATE(A10803, ""en"", ""fr"")"),"Trick # 2")</f>
        <v>Trick # 2</v>
      </c>
      <c r="C10803" s="1" t="s">
        <v>185</v>
      </c>
      <c r="E10803" s="1" t="s">
        <v>16613</v>
      </c>
      <c r="H10803" s="1" t="s">
        <v>4</v>
      </c>
      <c r="I10803" s="1" t="s">
        <v>5</v>
      </c>
      <c r="N10803" s="1" t="s">
        <v>10</v>
      </c>
      <c r="AN10803" s="1" t="s">
        <v>36</v>
      </c>
      <c r="DN10803" s="1" t="s">
        <v>114</v>
      </c>
      <c r="FP10803" s="1" t="s">
        <v>168</v>
      </c>
      <c r="GD10803" s="1" t="s">
        <v>189</v>
      </c>
      <c r="GE10803" s="1" t="s">
        <v>190</v>
      </c>
    </row>
    <row r="10804" spans="1:187" ht="11.25" customHeight="1">
      <c r="A10804" s="1" t="s">
        <v>15239</v>
      </c>
      <c r="B10804" s="1" t="str">
        <f ca="1">IFERROR(__xludf.DUMMYFUNCTION("GOOGLETRANSLATE(A10804, ""en"", ""fr"")"),"BAGATELLE")</f>
        <v>BAGATELLE</v>
      </c>
      <c r="C10804" s="1" t="s">
        <v>185</v>
      </c>
      <c r="L10804" s="1" t="s">
        <v>8</v>
      </c>
      <c r="X10804" s="1" t="s">
        <v>20</v>
      </c>
      <c r="CS10804" s="1" t="s">
        <v>93</v>
      </c>
      <c r="GD10804" s="1" t="s">
        <v>202</v>
      </c>
      <c r="GE10804" s="1" t="s">
        <v>190</v>
      </c>
    </row>
    <row r="10805" spans="1:187" ht="11.25" customHeight="1">
      <c r="A10805" s="1" t="s">
        <v>15240</v>
      </c>
      <c r="B10805" s="1" t="str">
        <f ca="1">IFERROR(__xludf.DUMMYFUNCTION("GOOGLETRANSLATE(A10805, ""en"", ""fr"")"),"DÉCLENCHEMENT")</f>
        <v>DÉCLENCHEMENT</v>
      </c>
      <c r="C10805" s="1" t="s">
        <v>185</v>
      </c>
      <c r="I10805" s="1" t="s">
        <v>5</v>
      </c>
      <c r="AF10805" s="1" t="s">
        <v>28</v>
      </c>
      <c r="BC10805" s="1" t="s">
        <v>51</v>
      </c>
      <c r="BD10805" s="1" t="s">
        <v>52</v>
      </c>
      <c r="GD10805" s="1" t="s">
        <v>193</v>
      </c>
      <c r="GE10805" s="1" t="s">
        <v>190</v>
      </c>
    </row>
    <row r="10806" spans="1:187" ht="11.25" customHeight="1">
      <c r="A10806" s="1" t="s">
        <v>15241</v>
      </c>
      <c r="B10806" s="1" t="str">
        <f ca="1">IFERROR(__xludf.DUMMYFUNCTION("GOOGLETRANSLATE(A10806, ""en"", ""fr"")"),"MILLE MILLIARDS")</f>
        <v>MILLE MILLIARDS</v>
      </c>
      <c r="C10806" s="1" t="s">
        <v>185</v>
      </c>
      <c r="W10806" s="1" t="s">
        <v>19</v>
      </c>
      <c r="AC10806" s="1" t="s">
        <v>25</v>
      </c>
      <c r="CS10806" s="1" t="s">
        <v>93</v>
      </c>
      <c r="CT10806" s="1" t="s">
        <v>94</v>
      </c>
      <c r="CV10806" s="1" t="s">
        <v>96</v>
      </c>
      <c r="EV10806" s="1" t="s">
        <v>148</v>
      </c>
      <c r="EW10806" s="1" t="s">
        <v>149</v>
      </c>
      <c r="GD10806" s="1" t="s">
        <v>1756</v>
      </c>
      <c r="GE10806" s="1" t="s">
        <v>190</v>
      </c>
    </row>
    <row r="10807" spans="1:187" ht="11.25" customHeight="1">
      <c r="A10807" s="1" t="s">
        <v>15242</v>
      </c>
      <c r="B10807" s="1" t="str">
        <f ca="1">IFERROR(__xludf.DUMMYFUNCTION("GOOGLETRANSLATE(A10807, ""en"", ""fr"")"),"GARNITURE")</f>
        <v>GARNITURE</v>
      </c>
      <c r="C10807" s="1" t="s">
        <v>196</v>
      </c>
      <c r="GD10807" s="1" t="s">
        <v>189</v>
      </c>
    </row>
    <row r="10808" spans="1:187" ht="11.25" customHeight="1">
      <c r="A10808" s="1" t="s">
        <v>15243</v>
      </c>
      <c r="B10808" s="1" t="str">
        <f ca="1">IFERROR(__xludf.DUMMYFUNCTION("GOOGLETRANSLATE(A10808, ""en"", ""fr"")"),"Trinidad")</f>
        <v>Trinidad</v>
      </c>
      <c r="C10808" s="1" t="s">
        <v>196</v>
      </c>
      <c r="FU10808" s="1" t="s">
        <v>173</v>
      </c>
      <c r="GD10808" s="1" t="s">
        <v>545</v>
      </c>
    </row>
    <row r="10809" spans="1:187" ht="11.25" customHeight="1">
      <c r="A10809" s="1" t="s">
        <v>15244</v>
      </c>
      <c r="B10809" s="1" t="str">
        <f ca="1">IFERROR(__xludf.DUMMYFUNCTION("GOOGLETRANSLATE(A10809, ""en"", ""fr"")"),"Voyage n ° 1")</f>
        <v>Voyage n ° 1</v>
      </c>
      <c r="C10809" s="1" t="s">
        <v>185</v>
      </c>
      <c r="CE10809" s="1" t="s">
        <v>79</v>
      </c>
      <c r="GD10809" s="1" t="s">
        <v>849</v>
      </c>
      <c r="GE10809" s="1" t="s">
        <v>15245</v>
      </c>
    </row>
    <row r="10810" spans="1:187" ht="11.25" customHeight="1">
      <c r="A10810" s="1" t="s">
        <v>15246</v>
      </c>
      <c r="B10810" s="1" t="str">
        <f ca="1">IFERROR(__xludf.DUMMYFUNCTION("GOOGLETRANSLATE(A10810, ""en"", ""fr"")"),"Voyage n ° 2")</f>
        <v>Voyage n ° 2</v>
      </c>
      <c r="C10810" s="1" t="s">
        <v>185</v>
      </c>
      <c r="CF10810" s="1" t="s">
        <v>80</v>
      </c>
      <c r="DO10810" s="1" t="s">
        <v>115</v>
      </c>
      <c r="FO10810" s="1" t="s">
        <v>167</v>
      </c>
      <c r="GD10810" s="1" t="s">
        <v>189</v>
      </c>
      <c r="GE10810" s="1" t="s">
        <v>15247</v>
      </c>
    </row>
    <row r="10811" spans="1:187" ht="11.25" customHeight="1">
      <c r="A10811" s="1" t="s">
        <v>15248</v>
      </c>
      <c r="B10811" s="1" t="str">
        <f ca="1">IFERROR(__xludf.DUMMYFUNCTION("GOOGLETRANSLATE(A10811, ""en"", ""fr"")"),"Triomphe # 1")</f>
        <v>Triomphe # 1</v>
      </c>
      <c r="C10811" s="1" t="s">
        <v>185</v>
      </c>
      <c r="D10811" s="1" t="s">
        <v>16612</v>
      </c>
      <c r="F10811" s="1" t="s">
        <v>2</v>
      </c>
      <c r="J10811" s="1" t="s">
        <v>6</v>
      </c>
      <c r="K10811" s="1" t="s">
        <v>7</v>
      </c>
      <c r="BO10811" s="1" t="s">
        <v>63</v>
      </c>
      <c r="FX10811" s="1" t="s">
        <v>176</v>
      </c>
      <c r="GD10811" s="1" t="s">
        <v>193</v>
      </c>
      <c r="GE10811" s="1" t="s">
        <v>190</v>
      </c>
    </row>
    <row r="10812" spans="1:187" ht="11.25" customHeight="1">
      <c r="A10812" s="1" t="s">
        <v>15249</v>
      </c>
      <c r="B10812" s="1" t="str">
        <f ca="1">IFERROR(__xludf.DUMMYFUNCTION("GOOGLETRANSLATE(A10812, ""en"", ""fr"")"),"Triomphe # 2")</f>
        <v>Triomphe # 2</v>
      </c>
      <c r="C10812" s="1" t="s">
        <v>185</v>
      </c>
      <c r="D10812" s="1" t="s">
        <v>16612</v>
      </c>
      <c r="F10812" s="1" t="s">
        <v>2</v>
      </c>
      <c r="J10812" s="1" t="s">
        <v>6</v>
      </c>
      <c r="K10812" s="1" t="s">
        <v>7</v>
      </c>
      <c r="BS10812" s="1" t="s">
        <v>67</v>
      </c>
      <c r="DN10812" s="1" t="s">
        <v>114</v>
      </c>
      <c r="FX10812" s="1" t="s">
        <v>176</v>
      </c>
      <c r="GD10812" s="1" t="s">
        <v>189</v>
      </c>
      <c r="GE10812" s="1" t="s">
        <v>190</v>
      </c>
    </row>
    <row r="10813" spans="1:187" ht="11.25" customHeight="1">
      <c r="A10813" s="1" t="s">
        <v>15250</v>
      </c>
      <c r="B10813" s="1" t="str">
        <f ca="1">IFERROR(__xludf.DUMMYFUNCTION("GOOGLETRANSLATE(A10813, ""en"", ""fr"")"),"TRIOMPHAL")</f>
        <v>TRIOMPHAL</v>
      </c>
      <c r="C10813" s="1" t="s">
        <v>192</v>
      </c>
      <c r="D10813" s="1" t="s">
        <v>16612</v>
      </c>
      <c r="J10813" s="1" t="s">
        <v>6</v>
      </c>
      <c r="K10813" s="1" t="s">
        <v>7</v>
      </c>
      <c r="DR10813" s="1" t="s">
        <v>118</v>
      </c>
      <c r="GD10813" s="1" t="s">
        <v>202</v>
      </c>
      <c r="GE10813" s="1" t="s">
        <v>190</v>
      </c>
    </row>
    <row r="10814" spans="1:187" ht="11.25" customHeight="1">
      <c r="A10814" s="1" t="s">
        <v>15251</v>
      </c>
      <c r="B10814" s="1" t="str">
        <f ca="1">IFERROR(__xludf.DUMMYFUNCTION("GOOGLETRANSLATE(A10814, ""en"", ""fr"")"),"TRIOMPHANT")</f>
        <v>TRIOMPHANT</v>
      </c>
      <c r="C10814" s="1" t="s">
        <v>185</v>
      </c>
      <c r="D10814" s="1" t="s">
        <v>16612</v>
      </c>
      <c r="F10814" s="1" t="s">
        <v>2</v>
      </c>
      <c r="J10814" s="1" t="s">
        <v>6</v>
      </c>
      <c r="K10814" s="1" t="s">
        <v>7</v>
      </c>
      <c r="P10814" s="1" t="s">
        <v>12</v>
      </c>
      <c r="T10814" s="1" t="s">
        <v>16</v>
      </c>
      <c r="FX10814" s="1" t="s">
        <v>176</v>
      </c>
      <c r="GD10814" s="1" t="s">
        <v>202</v>
      </c>
      <c r="GE10814" s="1" t="s">
        <v>190</v>
      </c>
    </row>
    <row r="10815" spans="1:187" ht="11.25" customHeight="1">
      <c r="A10815" s="1" t="s">
        <v>15252</v>
      </c>
      <c r="B10815" s="1" t="str">
        <f ca="1">IFERROR(__xludf.DUMMYFUNCTION("GOOGLETRANSLATE(A10815, ""en"", ""fr"")"),"BANAL")</f>
        <v>BANAL</v>
      </c>
      <c r="C10815" s="1" t="s">
        <v>192</v>
      </c>
      <c r="E10815" s="1" t="s">
        <v>16613</v>
      </c>
      <c r="L10815" s="1" t="s">
        <v>8</v>
      </c>
      <c r="X10815" s="1" t="s">
        <v>20</v>
      </c>
      <c r="DR10815" s="1" t="s">
        <v>118</v>
      </c>
      <c r="GD10815" s="1" t="s">
        <v>202</v>
      </c>
      <c r="GE10815" s="1" t="s">
        <v>190</v>
      </c>
    </row>
    <row r="10816" spans="1:187" ht="11.25" customHeight="1">
      <c r="A10816" s="1" t="s">
        <v>15253</v>
      </c>
      <c r="B10816" s="1" t="str">
        <f ca="1">IFERROR(__xludf.DUMMYFUNCTION("GOOGLETRANSLATE(A10816, ""en"", ""fr"")"),"TROUPE")</f>
        <v>TROUPE</v>
      </c>
      <c r="C10816" s="1" t="s">
        <v>185</v>
      </c>
      <c r="J10816" s="1" t="s">
        <v>6</v>
      </c>
      <c r="AF10816" s="1" t="s">
        <v>28</v>
      </c>
      <c r="AH10816" s="1" t="s">
        <v>30</v>
      </c>
      <c r="AK10816" s="1" t="s">
        <v>33</v>
      </c>
      <c r="AT10816" s="1" t="s">
        <v>42</v>
      </c>
      <c r="DY10816" s="1" t="s">
        <v>125</v>
      </c>
      <c r="ED10816" s="1" t="s">
        <v>130</v>
      </c>
      <c r="GD10816" s="1" t="s">
        <v>193</v>
      </c>
      <c r="GE10816" s="1" t="s">
        <v>190</v>
      </c>
    </row>
    <row r="10817" spans="1:187" ht="11.25" customHeight="1">
      <c r="A10817" s="1" t="s">
        <v>15254</v>
      </c>
      <c r="B10817" s="1" t="str">
        <f ca="1">IFERROR(__xludf.DUMMYFUNCTION("GOOGLETRANSLATE(A10817, ""en"", ""fr"")"),"TROPHÉE")</f>
        <v>TROPHÉE</v>
      </c>
      <c r="C10817" s="1" t="s">
        <v>192</v>
      </c>
      <c r="D10817" s="1" t="s">
        <v>16612</v>
      </c>
      <c r="K10817" s="1" t="s">
        <v>7</v>
      </c>
      <c r="BC10817" s="1" t="s">
        <v>51</v>
      </c>
      <c r="GD10817" s="1" t="s">
        <v>193</v>
      </c>
      <c r="GE10817" s="1" t="s">
        <v>190</v>
      </c>
    </row>
    <row r="10818" spans="1:187" ht="11.25" customHeight="1">
      <c r="A10818" s="1" t="s">
        <v>15255</v>
      </c>
      <c r="B10818" s="1" t="str">
        <f ca="1">IFERROR(__xludf.DUMMYFUNCTION("GOOGLETRANSLATE(A10818, ""en"", ""fr"")"),"TROPICAL")</f>
        <v>TROPICAL</v>
      </c>
      <c r="C10818" s="1" t="s">
        <v>185</v>
      </c>
      <c r="AV10818" s="1" t="s">
        <v>44</v>
      </c>
      <c r="AX10818" s="1" t="s">
        <v>46</v>
      </c>
      <c r="GD10818" s="1" t="s">
        <v>202</v>
      </c>
      <c r="GE10818" s="1" t="s">
        <v>190</v>
      </c>
    </row>
    <row r="10819" spans="1:187" ht="11.25" customHeight="1">
      <c r="A10819" s="1" t="s">
        <v>15256</v>
      </c>
      <c r="B10819" s="1" t="str">
        <f ca="1">IFERROR(__xludf.DUMMYFUNCTION("GOOGLETRANSLATE(A10819, ""en"", ""fr"")"),"Trot # 1")</f>
        <v>Trot # 1</v>
      </c>
      <c r="C10819" s="1" t="s">
        <v>185</v>
      </c>
      <c r="N10819" s="1" t="s">
        <v>10</v>
      </c>
      <c r="CE10819" s="1" t="s">
        <v>79</v>
      </c>
      <c r="GD10819" s="1" t="s">
        <v>193</v>
      </c>
      <c r="GE10819" s="1" t="s">
        <v>190</v>
      </c>
    </row>
    <row r="10820" spans="1:187" ht="11.25" customHeight="1">
      <c r="A10820" s="1" t="s">
        <v>15257</v>
      </c>
      <c r="B10820" s="1" t="str">
        <f ca="1">IFERROR(__xludf.DUMMYFUNCTION("GOOGLETRANSLATE(A10820, ""en"", ""fr"")"),"Trot # 2")</f>
        <v>Trot # 2</v>
      </c>
      <c r="C10820" s="1" t="s">
        <v>185</v>
      </c>
      <c r="N10820" s="1" t="s">
        <v>10</v>
      </c>
      <c r="CE10820" s="1" t="s">
        <v>79</v>
      </c>
      <c r="DN10820" s="1" t="s">
        <v>114</v>
      </c>
      <c r="GD10820" s="1" t="s">
        <v>189</v>
      </c>
      <c r="GE10820" s="1" t="s">
        <v>190</v>
      </c>
    </row>
    <row r="10821" spans="1:187" ht="11.25" customHeight="1">
      <c r="A10821" s="1" t="s">
        <v>15258</v>
      </c>
      <c r="B10821" s="1" t="str">
        <f ca="1">IFERROR(__xludf.DUMMYFUNCTION("GOOGLETRANSLATE(A10821, ""en"", ""fr"")"),"Problème n ° 1")</f>
        <v>Problème n ° 1</v>
      </c>
      <c r="C10821" s="1" t="s">
        <v>185</v>
      </c>
      <c r="E10821" s="1" t="s">
        <v>16613</v>
      </c>
      <c r="H10821" s="1" t="s">
        <v>4</v>
      </c>
      <c r="V10821" s="1" t="s">
        <v>18</v>
      </c>
      <c r="FW10821" s="1" t="s">
        <v>175</v>
      </c>
      <c r="GD10821" s="1" t="s">
        <v>849</v>
      </c>
      <c r="GE10821" s="1" t="s">
        <v>15259</v>
      </c>
    </row>
    <row r="10822" spans="1:187" ht="11.25" customHeight="1">
      <c r="A10822" s="1" t="s">
        <v>15260</v>
      </c>
      <c r="B10822" s="1" t="str">
        <f ca="1">IFERROR(__xludf.DUMMYFUNCTION("GOOGLETRANSLATE(A10822, ""en"", ""fr"")"),"Problème n ° 2")</f>
        <v>Problème n ° 2</v>
      </c>
      <c r="C10822" s="1" t="s">
        <v>185</v>
      </c>
      <c r="E10822" s="1" t="s">
        <v>16613</v>
      </c>
      <c r="H10822" s="1" t="s">
        <v>4</v>
      </c>
      <c r="Q10822" s="1" t="s">
        <v>13</v>
      </c>
      <c r="DN10822" s="1" t="s">
        <v>114</v>
      </c>
      <c r="FO10822" s="1" t="s">
        <v>167</v>
      </c>
      <c r="GD10822" s="1" t="s">
        <v>189</v>
      </c>
      <c r="GE10822" s="1" t="s">
        <v>15261</v>
      </c>
    </row>
    <row r="10823" spans="1:187" ht="11.25" customHeight="1">
      <c r="A10823" s="1" t="s">
        <v>15262</v>
      </c>
      <c r="B10823" s="1" t="str">
        <f ca="1">IFERROR(__xludf.DUMMYFUNCTION("GOOGLETRANSLATE(A10823, ""en"", ""fr"")"),"Trouble # 3")</f>
        <v>Trouble # 3</v>
      </c>
      <c r="C10823" s="1" t="s">
        <v>185</v>
      </c>
      <c r="E10823" s="1" t="s">
        <v>16613</v>
      </c>
      <c r="H10823" s="1" t="s">
        <v>4</v>
      </c>
      <c r="O10823" s="1" t="s">
        <v>11</v>
      </c>
      <c r="Q10823" s="1" t="s">
        <v>13</v>
      </c>
      <c r="T10823" s="1" t="s">
        <v>16</v>
      </c>
      <c r="FW10823" s="1" t="s">
        <v>175</v>
      </c>
      <c r="GD10823" s="1" t="s">
        <v>202</v>
      </c>
      <c r="GE10823" s="1" t="s">
        <v>15263</v>
      </c>
    </row>
    <row r="10824" spans="1:187" ht="11.25" customHeight="1">
      <c r="A10824" s="1" t="s">
        <v>15264</v>
      </c>
      <c r="B10824" s="1" t="str">
        <f ca="1">IFERROR(__xludf.DUMMYFUNCTION("GOOGLETRANSLATE(A10824, ""en"", ""fr"")"),"Problème n ° 4")</f>
        <v>Problème n ° 4</v>
      </c>
      <c r="C10824" s="1" t="s">
        <v>185</v>
      </c>
      <c r="E10824" s="1" t="s">
        <v>16613</v>
      </c>
      <c r="H10824" s="1" t="s">
        <v>4</v>
      </c>
      <c r="Q10824" s="1" t="s">
        <v>13</v>
      </c>
      <c r="FW10824" s="1" t="s">
        <v>175</v>
      </c>
      <c r="GD10824" s="1" t="s">
        <v>202</v>
      </c>
      <c r="GE10824" s="1" t="s">
        <v>15265</v>
      </c>
    </row>
    <row r="10825" spans="1:187" ht="11.25" customHeight="1">
      <c r="A10825" s="1" t="s">
        <v>15266</v>
      </c>
      <c r="B10825" s="1" t="str">
        <f ca="1">IFERROR(__xludf.DUMMYFUNCTION("GOOGLETRANSLATE(A10825, ""en"", ""fr"")"),"GÊNANT")</f>
        <v>GÊNANT</v>
      </c>
      <c r="C10825" s="1" t="s">
        <v>185</v>
      </c>
      <c r="E10825" s="1" t="s">
        <v>16613</v>
      </c>
      <c r="H10825" s="1" t="s">
        <v>4</v>
      </c>
      <c r="V10825" s="1" t="s">
        <v>18</v>
      </c>
      <c r="FW10825" s="1" t="s">
        <v>175</v>
      </c>
      <c r="GD10825" s="1" t="s">
        <v>202</v>
      </c>
      <c r="GE10825" s="1" t="s">
        <v>190</v>
      </c>
    </row>
    <row r="10826" spans="1:187" ht="11.25" customHeight="1">
      <c r="A10826" s="1" t="s">
        <v>15267</v>
      </c>
      <c r="B10826" s="1" t="str">
        <f ca="1">IFERROR(__xludf.DUMMYFUNCTION("GOOGLETRANSLATE(A10826, ""en"", ""fr"")"),"TRUITE")</f>
        <v>TRUITE</v>
      </c>
      <c r="C10826" s="1" t="s">
        <v>185</v>
      </c>
      <c r="AU10826" s="1" t="s">
        <v>43</v>
      </c>
      <c r="GD10826" s="1" t="s">
        <v>193</v>
      </c>
      <c r="GE10826" s="1" t="s">
        <v>190</v>
      </c>
    </row>
    <row r="10827" spans="1:187" ht="11.25" customHeight="1">
      <c r="A10827" s="1" t="s">
        <v>15268</v>
      </c>
      <c r="B10827" s="1" t="str">
        <f ca="1">IFERROR(__xludf.DUMMYFUNCTION("GOOGLETRANSLATE(A10827, ""en"", ""fr"")"),"Abondant")</f>
        <v>Abondant</v>
      </c>
      <c r="C10827" s="1" t="s">
        <v>192</v>
      </c>
      <c r="E10827" s="1" t="s">
        <v>16613</v>
      </c>
      <c r="AE10827" s="1" t="s">
        <v>27</v>
      </c>
      <c r="BT10827" s="1" t="s">
        <v>68</v>
      </c>
      <c r="DR10827" s="1" t="s">
        <v>118</v>
      </c>
      <c r="GD10827" s="1" t="s">
        <v>202</v>
      </c>
      <c r="GE10827" s="1" t="s">
        <v>190</v>
      </c>
    </row>
    <row r="10828" spans="1:187" ht="11.25" customHeight="1">
      <c r="A10828" s="1" t="s">
        <v>15269</v>
      </c>
      <c r="B10828" s="1" t="str">
        <f ca="1">IFERROR(__xludf.DUMMYFUNCTION("GOOGLETRANSLATE(A10828, ""en"", ""fr"")"),"CAMION")</f>
        <v>CAMION</v>
      </c>
      <c r="C10828" s="1" t="s">
        <v>185</v>
      </c>
      <c r="BC10828" s="1" t="s">
        <v>51</v>
      </c>
      <c r="BF10828" s="1" t="s">
        <v>54</v>
      </c>
      <c r="GD10828" s="1" t="s">
        <v>193</v>
      </c>
      <c r="GE10828" s="1" t="s">
        <v>190</v>
      </c>
    </row>
    <row r="10829" spans="1:187" ht="11.25" customHeight="1">
      <c r="A10829" s="1" t="s">
        <v>15270</v>
      </c>
      <c r="B10829" s="1" t="str">
        <f ca="1">IFERROR(__xludf.DUMMYFUNCTION("GOOGLETRANSLATE(A10829, ""en"", ""fr"")"),"MARCHE PÉNIBLE")</f>
        <v>MARCHE PÉNIBLE</v>
      </c>
      <c r="C10829" s="1" t="s">
        <v>192</v>
      </c>
      <c r="E10829" s="1" t="s">
        <v>16613</v>
      </c>
      <c r="N10829" s="1" t="s">
        <v>10</v>
      </c>
      <c r="BP10829" s="1" t="s">
        <v>64</v>
      </c>
      <c r="DN10829" s="1" t="s">
        <v>114</v>
      </c>
      <c r="GD10829" s="1" t="s">
        <v>189</v>
      </c>
      <c r="GE10829" s="1" t="s">
        <v>190</v>
      </c>
    </row>
    <row r="10830" spans="1:187" ht="11.25" customHeight="1">
      <c r="A10830" s="1" t="s">
        <v>15271</v>
      </c>
      <c r="B10830" s="1" t="str">
        <f ca="1">IFERROR(__xludf.DUMMYFUNCTION("GOOGLETRANSLATE(A10830, ""en"", ""fr"")"),"Vrai # 1")</f>
        <v>Vrai # 1</v>
      </c>
      <c r="C10830" s="1" t="s">
        <v>185</v>
      </c>
      <c r="D10830" s="1" t="s">
        <v>16612</v>
      </c>
      <c r="F10830" s="1" t="s">
        <v>2</v>
      </c>
      <c r="U10830" s="1" t="s">
        <v>17</v>
      </c>
      <c r="W10830" s="1" t="s">
        <v>19</v>
      </c>
      <c r="CN10830" s="1" t="s">
        <v>88</v>
      </c>
      <c r="FY10830" s="1" t="s">
        <v>177</v>
      </c>
      <c r="GD10830" s="1" t="s">
        <v>202</v>
      </c>
      <c r="GE10830" s="1" t="s">
        <v>15272</v>
      </c>
    </row>
    <row r="10831" spans="1:187" ht="11.25" customHeight="1">
      <c r="A10831" s="1" t="s">
        <v>15273</v>
      </c>
      <c r="B10831" s="1" t="str">
        <f ca="1">IFERROR(__xludf.DUMMYFUNCTION("GOOGLETRANSLATE(A10831, ""en"", ""fr"")"),"Vrai # 2")</f>
        <v>Vrai # 2</v>
      </c>
      <c r="C10831" s="1" t="s">
        <v>185</v>
      </c>
      <c r="D10831" s="1" t="s">
        <v>16612</v>
      </c>
      <c r="F10831" s="1" t="s">
        <v>2</v>
      </c>
      <c r="U10831" s="1" t="s">
        <v>17</v>
      </c>
      <c r="W10831" s="1" t="s">
        <v>19</v>
      </c>
      <c r="FY10831" s="1" t="s">
        <v>177</v>
      </c>
      <c r="GD10831" s="1" t="s">
        <v>236</v>
      </c>
      <c r="GE10831" s="1" t="s">
        <v>15274</v>
      </c>
    </row>
    <row r="10832" spans="1:187" ht="11.25" customHeight="1">
      <c r="A10832" s="1" t="s">
        <v>15275</v>
      </c>
      <c r="B10832" s="1" t="str">
        <f ca="1">IFERROR(__xludf.DUMMYFUNCTION("GOOGLETRANSLATE(A10832, ""en"", ""fr"")"),"Vrai # 3")</f>
        <v>Vrai # 3</v>
      </c>
      <c r="C10832" s="1" t="s">
        <v>185</v>
      </c>
      <c r="D10832" s="1" t="s">
        <v>16612</v>
      </c>
      <c r="F10832" s="1" t="s">
        <v>2</v>
      </c>
      <c r="G10832" s="1" t="s">
        <v>3</v>
      </c>
      <c r="M10832" s="1" t="s">
        <v>9</v>
      </c>
      <c r="S10832" s="1" t="s">
        <v>15</v>
      </c>
      <c r="ER10832" s="1" t="s">
        <v>144</v>
      </c>
      <c r="ES10832" s="1" t="s">
        <v>145</v>
      </c>
      <c r="GD10832" s="1" t="s">
        <v>202</v>
      </c>
      <c r="GE10832" s="1" t="s">
        <v>15276</v>
      </c>
    </row>
    <row r="10833" spans="1:187" ht="11.25" customHeight="1">
      <c r="A10833" s="1" t="s">
        <v>15277</v>
      </c>
      <c r="B10833" s="1" t="str">
        <f ca="1">IFERROR(__xludf.DUMMYFUNCTION("GOOGLETRANSLATE(A10833, ""en"", ""fr"")"),"Vrai # 4")</f>
        <v>Vrai # 4</v>
      </c>
      <c r="C10833" s="1" t="s">
        <v>185</v>
      </c>
      <c r="D10833" s="1" t="s">
        <v>16612</v>
      </c>
      <c r="F10833" s="1" t="s">
        <v>2</v>
      </c>
      <c r="U10833" s="1" t="s">
        <v>17</v>
      </c>
      <c r="W10833" s="1" t="s">
        <v>19</v>
      </c>
      <c r="CN10833" s="1" t="s">
        <v>88</v>
      </c>
      <c r="FY10833" s="1" t="s">
        <v>177</v>
      </c>
      <c r="GD10833" s="1" t="s">
        <v>202</v>
      </c>
      <c r="GE10833" s="1" t="s">
        <v>15278</v>
      </c>
    </row>
    <row r="10834" spans="1:187" ht="11.25" customHeight="1">
      <c r="A10834" s="1" t="s">
        <v>15279</v>
      </c>
      <c r="B10834" s="1" t="str">
        <f ca="1">IFERROR(__xludf.DUMMYFUNCTION("GOOGLETRANSLATE(A10834, ""en"", ""fr"")"),"Vrai # 5")</f>
        <v>Vrai # 5</v>
      </c>
      <c r="C10834" s="1" t="s">
        <v>185</v>
      </c>
      <c r="D10834" s="1" t="s">
        <v>16612</v>
      </c>
      <c r="F10834" s="1" t="s">
        <v>2</v>
      </c>
      <c r="U10834" s="1" t="s">
        <v>17</v>
      </c>
      <c r="W10834" s="1" t="s">
        <v>19</v>
      </c>
      <c r="CN10834" s="1" t="s">
        <v>88</v>
      </c>
      <c r="FY10834" s="1" t="s">
        <v>177</v>
      </c>
      <c r="GD10834" s="1" t="s">
        <v>202</v>
      </c>
      <c r="GE10834" s="1" t="s">
        <v>15280</v>
      </c>
    </row>
    <row r="10835" spans="1:187" ht="11.25" customHeight="1">
      <c r="A10835" s="1" t="s">
        <v>15281</v>
      </c>
      <c r="B10835" s="1" t="str">
        <f ca="1">IFERROR(__xludf.DUMMYFUNCTION("GOOGLETRANSLATE(A10835, ""en"", ""fr"")"),"TROMPETTE")</f>
        <v>TROMPETTE</v>
      </c>
      <c r="C10835" s="1" t="s">
        <v>185</v>
      </c>
      <c r="AD10835" s="1" t="s">
        <v>26</v>
      </c>
      <c r="BC10835" s="1" t="s">
        <v>51</v>
      </c>
      <c r="BD10835" s="1" t="s">
        <v>52</v>
      </c>
      <c r="GD10835" s="1" t="s">
        <v>193</v>
      </c>
      <c r="GE10835" s="1" t="s">
        <v>190</v>
      </c>
    </row>
    <row r="10836" spans="1:187" ht="11.25" customHeight="1">
      <c r="A10836" s="1" t="s">
        <v>15282</v>
      </c>
      <c r="B10836" s="1" t="str">
        <f ca="1">IFERROR(__xludf.DUMMYFUNCTION("GOOGLETRANSLATE(A10836, ""en"", ""fr"")"),"TRONC")</f>
        <v>TRONC</v>
      </c>
      <c r="C10836" s="1" t="s">
        <v>185</v>
      </c>
      <c r="BC10836" s="1" t="s">
        <v>51</v>
      </c>
      <c r="BD10836" s="1" t="s">
        <v>52</v>
      </c>
      <c r="GD10836" s="1" t="s">
        <v>193</v>
      </c>
      <c r="GE10836" s="1" t="s">
        <v>190</v>
      </c>
    </row>
    <row r="10837" spans="1:187" ht="11.25" customHeight="1">
      <c r="A10837" s="1" t="s">
        <v>15283</v>
      </c>
      <c r="B10837" s="1" t="str">
        <f ca="1">IFERROR(__xludf.DUMMYFUNCTION("GOOGLETRANSLATE(A10837, ""en"", ""fr"")"),"Trust n ° 1")</f>
        <v>Trust n ° 1</v>
      </c>
      <c r="C10837" s="1" t="s">
        <v>185</v>
      </c>
      <c r="D10837" s="1" t="s">
        <v>16612</v>
      </c>
      <c r="F10837" s="1" t="s">
        <v>2</v>
      </c>
      <c r="G10837" s="1" t="s">
        <v>3</v>
      </c>
      <c r="M10837" s="1" t="s">
        <v>9</v>
      </c>
      <c r="O10837" s="1" t="s">
        <v>11</v>
      </c>
      <c r="AN10837" s="1" t="s">
        <v>36</v>
      </c>
      <c r="DN10837" s="1" t="s">
        <v>114</v>
      </c>
      <c r="EG10837" s="1" t="s">
        <v>133</v>
      </c>
      <c r="EJ10837" s="1" t="s">
        <v>136</v>
      </c>
      <c r="GD10837" s="1" t="s">
        <v>189</v>
      </c>
      <c r="GE10837" s="1" t="s">
        <v>15284</v>
      </c>
    </row>
    <row r="10838" spans="1:187" ht="11.25" customHeight="1">
      <c r="A10838" s="1" t="s">
        <v>15285</v>
      </c>
      <c r="B10838" s="1" t="str">
        <f ca="1">IFERROR(__xludf.DUMMYFUNCTION("GOOGLETRANSLATE(A10838, ""en"", ""fr"")"),"Trust n ° 2")</f>
        <v>Trust n ° 2</v>
      </c>
      <c r="C10838" s="1" t="s">
        <v>185</v>
      </c>
      <c r="D10838" s="1" t="s">
        <v>16612</v>
      </c>
      <c r="F10838" s="1" t="s">
        <v>2</v>
      </c>
      <c r="G10838" s="1" t="s">
        <v>3</v>
      </c>
      <c r="M10838" s="1" t="s">
        <v>9</v>
      </c>
      <c r="O10838" s="1" t="s">
        <v>11</v>
      </c>
      <c r="S10838" s="1" t="s">
        <v>15</v>
      </c>
      <c r="EE10838" s="1" t="s">
        <v>131</v>
      </c>
      <c r="EJ10838" s="1" t="s">
        <v>136</v>
      </c>
      <c r="GD10838" s="1" t="s">
        <v>202</v>
      </c>
      <c r="GE10838" s="1" t="s">
        <v>15286</v>
      </c>
    </row>
    <row r="10839" spans="1:187" ht="11.25" customHeight="1">
      <c r="A10839" s="1" t="s">
        <v>15287</v>
      </c>
      <c r="B10839" s="1" t="str">
        <f ca="1">IFERROR(__xludf.DUMMYFUNCTION("GOOGLETRANSLATE(A10839, ""en"", ""fr"")"),"Trust n ° 3")</f>
        <v>Trust n ° 3</v>
      </c>
      <c r="C10839" s="1" t="s">
        <v>185</v>
      </c>
      <c r="D10839" s="1" t="s">
        <v>16612</v>
      </c>
      <c r="F10839" s="1" t="s">
        <v>2</v>
      </c>
      <c r="G10839" s="1" t="s">
        <v>3</v>
      </c>
      <c r="J10839" s="1" t="s">
        <v>6</v>
      </c>
      <c r="O10839" s="1" t="s">
        <v>11</v>
      </c>
      <c r="U10839" s="1" t="s">
        <v>17</v>
      </c>
      <c r="FX10839" s="1" t="s">
        <v>176</v>
      </c>
      <c r="GD10839" s="1" t="s">
        <v>202</v>
      </c>
      <c r="GE10839" s="1" t="s">
        <v>15288</v>
      </c>
    </row>
    <row r="10840" spans="1:187" ht="11.25" customHeight="1">
      <c r="A10840" s="1" t="s">
        <v>15289</v>
      </c>
      <c r="B10840" s="1" t="str">
        <f ca="1">IFERROR(__xludf.DUMMYFUNCTION("GOOGLETRANSLATE(A10840, ""en"", ""fr"")"),"Trust n ° 4")</f>
        <v>Trust n ° 4</v>
      </c>
      <c r="C10840" s="1" t="s">
        <v>185</v>
      </c>
      <c r="D10840" s="1" t="s">
        <v>16612</v>
      </c>
      <c r="F10840" s="1" t="s">
        <v>2</v>
      </c>
      <c r="G10840" s="1" t="s">
        <v>3</v>
      </c>
      <c r="T10840" s="1" t="s">
        <v>16</v>
      </c>
      <c r="AN10840" s="1" t="s">
        <v>36</v>
      </c>
      <c r="ER10840" s="1" t="s">
        <v>144</v>
      </c>
      <c r="ES10840" s="1" t="s">
        <v>145</v>
      </c>
      <c r="GD10840" s="1" t="s">
        <v>193</v>
      </c>
      <c r="GE10840" s="1" t="s">
        <v>15290</v>
      </c>
    </row>
    <row r="10841" spans="1:187" ht="11.25" customHeight="1">
      <c r="A10841" s="1" t="s">
        <v>15291</v>
      </c>
      <c r="B10841" s="1" t="str">
        <f ca="1">IFERROR(__xludf.DUMMYFUNCTION("GOOGLETRANSLATE(A10841, ""en"", ""fr"")"),"Trust n ° 5")</f>
        <v>Trust n ° 5</v>
      </c>
      <c r="C10841" s="1" t="s">
        <v>185</v>
      </c>
      <c r="AA10841" s="1" t="s">
        <v>23</v>
      </c>
      <c r="AC10841" s="1" t="s">
        <v>25</v>
      </c>
      <c r="BQ10841" s="1" t="s">
        <v>65</v>
      </c>
      <c r="EV10841" s="1" t="s">
        <v>148</v>
      </c>
      <c r="EW10841" s="1" t="s">
        <v>149</v>
      </c>
      <c r="GD10841" s="1" t="s">
        <v>193</v>
      </c>
      <c r="GE10841" s="1" t="s">
        <v>15292</v>
      </c>
    </row>
    <row r="10842" spans="1:187" ht="11.25" customHeight="1">
      <c r="A10842" s="1" t="s">
        <v>15293</v>
      </c>
      <c r="B10842" s="1" t="str">
        <f ca="1">IFERROR(__xludf.DUMMYFUNCTION("GOOGLETRANSLATE(A10842, ""en"", ""fr"")"),"Trust n ° 6")</f>
        <v>Trust n ° 6</v>
      </c>
      <c r="C10842" s="1" t="s">
        <v>185</v>
      </c>
      <c r="D10842" s="1" t="s">
        <v>16612</v>
      </c>
      <c r="F10842" s="1" t="s">
        <v>2</v>
      </c>
      <c r="BQ10842" s="1" t="s">
        <v>65</v>
      </c>
      <c r="FX10842" s="1" t="s">
        <v>176</v>
      </c>
      <c r="GD10842" s="1" t="s">
        <v>193</v>
      </c>
      <c r="GE10842" s="1" t="s">
        <v>15294</v>
      </c>
    </row>
    <row r="10843" spans="1:187" ht="11.25" customHeight="1">
      <c r="A10843" s="1" t="s">
        <v>15295</v>
      </c>
      <c r="B10843" s="1" t="str">
        <f ca="1">IFERROR(__xludf.DUMMYFUNCTION("GOOGLETRANSLATE(A10843, ""en"", ""fr"")"),"Trust n ° 7")</f>
        <v>Trust n ° 7</v>
      </c>
      <c r="C10843" s="1" t="s">
        <v>185</v>
      </c>
      <c r="D10843" s="1" t="s">
        <v>16612</v>
      </c>
      <c r="F10843" s="1" t="s">
        <v>2</v>
      </c>
      <c r="G10843" s="1" t="s">
        <v>3</v>
      </c>
      <c r="M10843" s="1" t="s">
        <v>9</v>
      </c>
      <c r="S10843" s="1" t="s">
        <v>15</v>
      </c>
      <c r="FX10843" s="1" t="s">
        <v>176</v>
      </c>
      <c r="GD10843" s="1" t="s">
        <v>236</v>
      </c>
      <c r="GE10843" s="1" t="s">
        <v>15296</v>
      </c>
    </row>
    <row r="10844" spans="1:187" ht="11.25" customHeight="1">
      <c r="A10844" s="1" t="s">
        <v>15297</v>
      </c>
      <c r="B10844" s="1" t="str">
        <f ca="1">IFERROR(__xludf.DUMMYFUNCTION("GOOGLETRANSLATE(A10844, ""en"", ""fr"")"),"Trust n ° 8")</f>
        <v>Trust n ° 8</v>
      </c>
      <c r="C10844" s="1" t="s">
        <v>185</v>
      </c>
      <c r="J10844" s="1" t="s">
        <v>6</v>
      </c>
      <c r="K10844" s="1" t="s">
        <v>7</v>
      </c>
      <c r="AA10844" s="1" t="s">
        <v>23</v>
      </c>
      <c r="AK10844" s="1" t="s">
        <v>33</v>
      </c>
      <c r="AT10844" s="1" t="s">
        <v>42</v>
      </c>
      <c r="ET10844" s="1" t="s">
        <v>146</v>
      </c>
      <c r="EW10844" s="1" t="s">
        <v>149</v>
      </c>
      <c r="GD10844" s="1" t="s">
        <v>193</v>
      </c>
      <c r="GE10844" s="1" t="s">
        <v>15298</v>
      </c>
    </row>
    <row r="10845" spans="1:187" ht="11.25" customHeight="1">
      <c r="A10845" s="1" t="s">
        <v>15299</v>
      </c>
      <c r="B10845" s="1" t="str">
        <f ca="1">IFERROR(__xludf.DUMMYFUNCTION("GOOGLETRANSLATE(A10845, ""en"", ""fr"")"),"FIABILITÉ")</f>
        <v>FIABILITÉ</v>
      </c>
      <c r="C10845" s="1" t="s">
        <v>192</v>
      </c>
      <c r="D10845" s="1" t="s">
        <v>16612</v>
      </c>
      <c r="U10845" s="1" t="s">
        <v>17</v>
      </c>
      <c r="GD10845" s="1" t="s">
        <v>193</v>
      </c>
      <c r="GE10845" s="1" t="s">
        <v>190</v>
      </c>
    </row>
    <row r="10846" spans="1:187" ht="11.25" customHeight="1">
      <c r="A10846" s="1" t="s">
        <v>15300</v>
      </c>
      <c r="B10846" s="1" t="str">
        <f ca="1">IFERROR(__xludf.DUMMYFUNCTION("GOOGLETRANSLATE(A10846, ""en"", ""fr"")"),"DIGNE DE CONFIANCE")</f>
        <v>DIGNE DE CONFIANCE</v>
      </c>
      <c r="C10846" s="1" t="s">
        <v>185</v>
      </c>
      <c r="D10846" s="1" t="s">
        <v>16612</v>
      </c>
      <c r="F10846" s="1" t="s">
        <v>2</v>
      </c>
      <c r="G10846" s="1" t="s">
        <v>3</v>
      </c>
      <c r="J10846" s="1" t="s">
        <v>6</v>
      </c>
      <c r="O10846" s="1" t="s">
        <v>11</v>
      </c>
      <c r="U10846" s="1" t="s">
        <v>17</v>
      </c>
      <c r="CN10846" s="1" t="s">
        <v>88</v>
      </c>
      <c r="EM10846" s="1" t="s">
        <v>139</v>
      </c>
      <c r="EN10846" s="1" t="s">
        <v>140</v>
      </c>
      <c r="GD10846" s="1" t="s">
        <v>202</v>
      </c>
      <c r="GE10846" s="1" t="s">
        <v>190</v>
      </c>
    </row>
    <row r="10847" spans="1:187" ht="11.25" customHeight="1">
      <c r="A10847" s="1" t="s">
        <v>15301</v>
      </c>
      <c r="B10847" s="1" t="str">
        <f ca="1">IFERROR(__xludf.DUMMYFUNCTION("GOOGLETRANSLATE(A10847, ""en"", ""fr"")"),"VÉRITÉ")</f>
        <v>VÉRITÉ</v>
      </c>
      <c r="C10847" s="1" t="s">
        <v>185</v>
      </c>
      <c r="D10847" s="1" t="s">
        <v>16612</v>
      </c>
      <c r="F10847" s="1" t="s">
        <v>2</v>
      </c>
      <c r="U10847" s="1" t="s">
        <v>17</v>
      </c>
      <c r="W10847" s="1" t="s">
        <v>19</v>
      </c>
      <c r="CP10847" s="1" t="s">
        <v>90</v>
      </c>
      <c r="CQ10847" s="1" t="s">
        <v>91</v>
      </c>
      <c r="FH10847" s="1" t="s">
        <v>160</v>
      </c>
      <c r="FI10847" s="1" t="s">
        <v>161</v>
      </c>
      <c r="GD10847" s="1" t="s">
        <v>193</v>
      </c>
      <c r="GE10847" s="1" t="s">
        <v>15302</v>
      </c>
    </row>
    <row r="10848" spans="1:187" ht="11.25" customHeight="1">
      <c r="A10848" s="1" t="s">
        <v>15303</v>
      </c>
      <c r="B10848" s="1" t="str">
        <f ca="1">IFERROR(__xludf.DUMMYFUNCTION("GOOGLETRANSLATE(A10848, ""en"", ""fr"")"),"VÉRIDIQUE")</f>
        <v>VÉRIDIQUE</v>
      </c>
      <c r="C10848" s="1" t="s">
        <v>185</v>
      </c>
      <c r="D10848" s="1" t="s">
        <v>16612</v>
      </c>
      <c r="F10848" s="1" t="s">
        <v>2</v>
      </c>
      <c r="U10848" s="1" t="s">
        <v>17</v>
      </c>
      <c r="W10848" s="1" t="s">
        <v>19</v>
      </c>
      <c r="EE10848" s="1" t="s">
        <v>131</v>
      </c>
      <c r="EJ10848" s="1" t="s">
        <v>136</v>
      </c>
      <c r="GD10848" s="1" t="s">
        <v>202</v>
      </c>
      <c r="GE10848" s="1" t="s">
        <v>190</v>
      </c>
    </row>
    <row r="10849" spans="1:187" ht="11.25" customHeight="1">
      <c r="A10849" s="1" t="s">
        <v>15304</v>
      </c>
      <c r="B10849" s="1" t="str">
        <f ca="1">IFERROR(__xludf.DUMMYFUNCTION("GOOGLETRANSLATE(A10849, ""en"", ""fr"")"),"Essayez n ° 1")</f>
        <v>Essayez n ° 1</v>
      </c>
      <c r="C10849" s="1" t="s">
        <v>185</v>
      </c>
      <c r="N10849" s="1" t="s">
        <v>10</v>
      </c>
      <c r="BP10849" s="1" t="s">
        <v>64</v>
      </c>
      <c r="DN10849" s="1" t="s">
        <v>114</v>
      </c>
      <c r="FP10849" s="1" t="s">
        <v>168</v>
      </c>
      <c r="GD10849" s="1" t="s">
        <v>400</v>
      </c>
      <c r="GE10849" s="1" t="s">
        <v>15305</v>
      </c>
    </row>
    <row r="10850" spans="1:187" ht="11.25" customHeight="1">
      <c r="A10850" s="1" t="s">
        <v>15306</v>
      </c>
      <c r="B10850" s="1" t="str">
        <f ca="1">IFERROR(__xludf.DUMMYFUNCTION("GOOGLETRANSLATE(A10850, ""en"", ""fr"")"),"Essayez n ° 2")</f>
        <v>Essayez n ° 2</v>
      </c>
      <c r="C10850" s="1" t="s">
        <v>185</v>
      </c>
      <c r="I10850" s="1" t="s">
        <v>5</v>
      </c>
      <c r="K10850" s="1" t="s">
        <v>7</v>
      </c>
      <c r="N10850" s="1" t="s">
        <v>10</v>
      </c>
      <c r="AE10850" s="1" t="s">
        <v>27</v>
      </c>
      <c r="AN10850" s="1" t="s">
        <v>36</v>
      </c>
      <c r="DN10850" s="1" t="s">
        <v>114</v>
      </c>
      <c r="EC10850" s="1" t="s">
        <v>129</v>
      </c>
      <c r="ED10850" s="1" t="s">
        <v>130</v>
      </c>
      <c r="GD10850" s="1" t="s">
        <v>189</v>
      </c>
      <c r="GE10850" s="1" t="s">
        <v>15307</v>
      </c>
    </row>
    <row r="10851" spans="1:187" ht="11.25" customHeight="1">
      <c r="A10851" s="1" t="s">
        <v>15308</v>
      </c>
      <c r="B10851" s="1" t="str">
        <f ca="1">IFERROR(__xludf.DUMMYFUNCTION("GOOGLETRANSLATE(A10851, ""en"", ""fr"")"),"Essayez # 3")</f>
        <v>Essayez # 3</v>
      </c>
      <c r="C10851" s="1" t="s">
        <v>192</v>
      </c>
      <c r="N10851" s="1" t="s">
        <v>10</v>
      </c>
      <c r="BQ10851" s="1" t="s">
        <v>65</v>
      </c>
      <c r="GD10851" s="1" t="s">
        <v>193</v>
      </c>
      <c r="GE10851" s="1" t="s">
        <v>15309</v>
      </c>
    </row>
    <row r="10852" spans="1:187" ht="11.25" customHeight="1">
      <c r="A10852" s="1" t="s">
        <v>15310</v>
      </c>
      <c r="B10852" s="1" t="str">
        <f ca="1">IFERROR(__xludf.DUMMYFUNCTION("GOOGLETRANSLATE(A10852, ""en"", ""fr"")"),"Essayez n ° 4")</f>
        <v>Essayez n ° 4</v>
      </c>
      <c r="C10852" s="1" t="s">
        <v>192</v>
      </c>
      <c r="E10852" s="1" t="s">
        <v>16613</v>
      </c>
      <c r="H10852" s="1" t="s">
        <v>4</v>
      </c>
      <c r="O10852" s="1" t="s">
        <v>11</v>
      </c>
      <c r="S10852" s="1" t="s">
        <v>15</v>
      </c>
      <c r="DN10852" s="1" t="s">
        <v>114</v>
      </c>
      <c r="GD10852" s="1" t="s">
        <v>189</v>
      </c>
      <c r="GE10852" s="1" t="s">
        <v>15311</v>
      </c>
    </row>
    <row r="10853" spans="1:187" ht="11.25" customHeight="1">
      <c r="A10853" s="1" t="s">
        <v>15312</v>
      </c>
      <c r="B10853" s="1" t="str">
        <f ca="1">IFERROR(__xludf.DUMMYFUNCTION("GOOGLETRANSLATE(A10853, ""en"", ""fr"")"),"Essayez # 5")</f>
        <v>Essayez # 5</v>
      </c>
      <c r="C10853" s="1" t="s">
        <v>192</v>
      </c>
      <c r="E10853" s="1" t="s">
        <v>16613</v>
      </c>
      <c r="H10853" s="1" t="s">
        <v>4</v>
      </c>
      <c r="S10853" s="1" t="s">
        <v>15</v>
      </c>
      <c r="GD10853" s="1" t="s">
        <v>202</v>
      </c>
      <c r="GE10853" s="1" t="s">
        <v>15313</v>
      </c>
    </row>
    <row r="10854" spans="1:187" ht="11.25" customHeight="1">
      <c r="A10854" s="1" t="s">
        <v>15314</v>
      </c>
      <c r="B10854" s="1" t="str">
        <f ca="1">IFERROR(__xludf.DUMMYFUNCTION("GOOGLETRANSLATE(A10854, ""en"", ""fr"")"),"Essayez # 6")</f>
        <v>Essayez # 6</v>
      </c>
      <c r="C10854" s="1" t="s">
        <v>192</v>
      </c>
      <c r="N10854" s="1" t="s">
        <v>10</v>
      </c>
      <c r="BP10854" s="1" t="s">
        <v>64</v>
      </c>
      <c r="DN10854" s="1" t="s">
        <v>114</v>
      </c>
      <c r="GD10854" s="1" t="s">
        <v>189</v>
      </c>
      <c r="GE10854" s="1" t="s">
        <v>15315</v>
      </c>
    </row>
    <row r="10855" spans="1:187" ht="11.25" customHeight="1">
      <c r="A10855" s="1" t="s">
        <v>15316</v>
      </c>
      <c r="B10855" s="1" t="str">
        <f ca="1">IFERROR(__xludf.DUMMYFUNCTION("GOOGLETRANSLATE(A10855, ""en"", ""fr"")"),"TUBE")</f>
        <v>TUBE</v>
      </c>
      <c r="C10855" s="1" t="s">
        <v>196</v>
      </c>
      <c r="GD10855" s="1" t="s">
        <v>193</v>
      </c>
    </row>
    <row r="10856" spans="1:187" ht="11.25" customHeight="1">
      <c r="A10856" s="1" t="s">
        <v>15317</v>
      </c>
      <c r="B10856" s="1" t="str">
        <f ca="1">IFERROR(__xludf.DUMMYFUNCTION("GOOGLETRANSLATE(A10856, ""en"", ""fr"")"),"MARDI")</f>
        <v>MARDI</v>
      </c>
      <c r="C10856" s="1" t="s">
        <v>185</v>
      </c>
      <c r="CQ10856" s="1" t="s">
        <v>91</v>
      </c>
      <c r="CY10856" s="1" t="s">
        <v>99</v>
      </c>
      <c r="CZ10856" s="1" t="s">
        <v>100</v>
      </c>
      <c r="GB10856" s="1" t="s">
        <v>180</v>
      </c>
      <c r="GD10856" s="1" t="s">
        <v>193</v>
      </c>
      <c r="GE10856" s="1" t="s">
        <v>190</v>
      </c>
    </row>
    <row r="10857" spans="1:187" ht="11.25" customHeight="1">
      <c r="A10857" s="1" t="s">
        <v>15318</v>
      </c>
      <c r="B10857" s="1" t="str">
        <f ca="1">IFERROR(__xludf.DUMMYFUNCTION("GOOGLETRANSLATE(A10857, ""en"", ""fr"")"),"Tumble # 1")</f>
        <v>Tumble # 1</v>
      </c>
      <c r="C10857" s="1" t="s">
        <v>185</v>
      </c>
      <c r="O10857" s="1" t="s">
        <v>11</v>
      </c>
      <c r="CF10857" s="1" t="s">
        <v>80</v>
      </c>
      <c r="GD10857" s="1" t="s">
        <v>193</v>
      </c>
      <c r="GE10857" s="1" t="s">
        <v>190</v>
      </c>
    </row>
    <row r="10858" spans="1:187" ht="11.25" customHeight="1">
      <c r="A10858" s="1" t="s">
        <v>15319</v>
      </c>
      <c r="B10858" s="1" t="str">
        <f ca="1">IFERROR(__xludf.DUMMYFUNCTION("GOOGLETRANSLATE(A10858, ""en"", ""fr"")"),"Tumble # 2")</f>
        <v>Tumble # 2</v>
      </c>
      <c r="C10858" s="1" t="s">
        <v>185</v>
      </c>
      <c r="O10858" s="1" t="s">
        <v>11</v>
      </c>
      <c r="CF10858" s="1" t="s">
        <v>80</v>
      </c>
      <c r="DN10858" s="1" t="s">
        <v>114</v>
      </c>
      <c r="FP10858" s="1" t="s">
        <v>168</v>
      </c>
      <c r="GD10858" s="1" t="s">
        <v>189</v>
      </c>
      <c r="GE10858" s="1" t="s">
        <v>190</v>
      </c>
    </row>
    <row r="10859" spans="1:187" ht="11.25" customHeight="1">
      <c r="A10859" s="1" t="s">
        <v>15320</v>
      </c>
      <c r="B10859" s="1" t="str">
        <f ca="1">IFERROR(__xludf.DUMMYFUNCTION("GOOGLETRANSLATE(A10859, ""en"", ""fr"")"),"RÉGLER")</f>
        <v>RÉGLER</v>
      </c>
      <c r="C10859" s="1" t="s">
        <v>185</v>
      </c>
      <c r="AD10859" s="1" t="s">
        <v>26</v>
      </c>
      <c r="BK10859" s="1" t="s">
        <v>59</v>
      </c>
      <c r="BL10859" s="1" t="s">
        <v>60</v>
      </c>
      <c r="GC10859" s="1" t="s">
        <v>181</v>
      </c>
      <c r="GD10859" s="1" t="s">
        <v>193</v>
      </c>
      <c r="GE10859" s="1" t="s">
        <v>190</v>
      </c>
    </row>
    <row r="10860" spans="1:187" ht="11.25" customHeight="1">
      <c r="A10860" s="1" t="s">
        <v>15321</v>
      </c>
      <c r="B10860" s="1" t="str">
        <f ca="1">IFERROR(__xludf.DUMMYFUNCTION("GOOGLETRANSLATE(A10860, ""en"", ""fr"")"),"TUNISIE")</f>
        <v>TUNISIE</v>
      </c>
      <c r="C10860" s="1" t="s">
        <v>196</v>
      </c>
      <c r="FU10860" s="1" t="s">
        <v>173</v>
      </c>
      <c r="GD10860" s="1" t="s">
        <v>545</v>
      </c>
    </row>
    <row r="10861" spans="1:187" ht="11.25" customHeight="1">
      <c r="A10861" s="1" t="s">
        <v>15322</v>
      </c>
      <c r="B10861" s="1" t="str">
        <f ca="1">IFERROR(__xludf.DUMMYFUNCTION("GOOGLETRANSLATE(A10861, ""en"", ""fr"")"),"TUNNEL")</f>
        <v>TUNNEL</v>
      </c>
      <c r="C10861" s="1" t="s">
        <v>185</v>
      </c>
      <c r="AV10861" s="1" t="s">
        <v>44</v>
      </c>
      <c r="AY10861" s="1" t="s">
        <v>47</v>
      </c>
      <c r="GD10861" s="1" t="s">
        <v>193</v>
      </c>
      <c r="GE10861" s="1" t="s">
        <v>190</v>
      </c>
    </row>
    <row r="10862" spans="1:187" ht="11.25" customHeight="1">
      <c r="A10862" s="1" t="s">
        <v>15323</v>
      </c>
      <c r="B10862" s="1" t="str">
        <f ca="1">IFERROR(__xludf.DUMMYFUNCTION("GOOGLETRANSLATE(A10862, ""en"", ""fr"")"),"TURBULENT")</f>
        <v>TURBULENT</v>
      </c>
      <c r="C10862" s="1" t="s">
        <v>192</v>
      </c>
      <c r="E10862" s="1" t="s">
        <v>16613</v>
      </c>
      <c r="I10862" s="1" t="s">
        <v>5</v>
      </c>
      <c r="BW10862" s="1" t="s">
        <v>71</v>
      </c>
      <c r="DR10862" s="1" t="s">
        <v>118</v>
      </c>
      <c r="GD10862" s="1" t="s">
        <v>202</v>
      </c>
      <c r="GE10862" s="1" t="s">
        <v>190</v>
      </c>
    </row>
    <row r="10863" spans="1:187" ht="11.25" customHeight="1">
      <c r="A10863" s="1" t="s">
        <v>15324</v>
      </c>
      <c r="B10863" s="1" t="str">
        <f ca="1">IFERROR(__xludf.DUMMYFUNCTION("GOOGLETRANSLATE(A10863, ""en"", ""fr"")"),"DINDE")</f>
        <v>DINDE</v>
      </c>
      <c r="C10863" s="1" t="s">
        <v>185</v>
      </c>
      <c r="AC10863" s="1" t="s">
        <v>25</v>
      </c>
      <c r="AH10863" s="1" t="s">
        <v>30</v>
      </c>
      <c r="DI10863" s="1" t="s">
        <v>109</v>
      </c>
      <c r="FU10863" s="1" t="s">
        <v>173</v>
      </c>
      <c r="GD10863" s="1" t="s">
        <v>193</v>
      </c>
      <c r="GE10863" s="1" t="s">
        <v>190</v>
      </c>
    </row>
    <row r="10864" spans="1:187" ht="11.25" customHeight="1">
      <c r="A10864" s="1" t="s">
        <v>15325</v>
      </c>
      <c r="B10864" s="1" t="str">
        <f ca="1">IFERROR(__xludf.DUMMYFUNCTION("GOOGLETRANSLATE(A10864, ""en"", ""fr"")"),"TURC")</f>
        <v>TURC</v>
      </c>
      <c r="C10864" s="1" t="s">
        <v>196</v>
      </c>
      <c r="FU10864" s="1" t="s">
        <v>173</v>
      </c>
      <c r="GD10864" s="1" t="s">
        <v>1049</v>
      </c>
    </row>
    <row r="10865" spans="1:187" ht="11.25" customHeight="1">
      <c r="A10865" s="1" t="s">
        <v>15326</v>
      </c>
      <c r="B10865" s="1" t="str">
        <f ca="1">IFERROR(__xludf.DUMMYFUNCTION("GOOGLETRANSLATE(A10865, ""en"", ""fr"")"),"LA TOURMENTE")</f>
        <v>LA TOURMENTE</v>
      </c>
      <c r="C10865" s="1" t="s">
        <v>185</v>
      </c>
      <c r="E10865" s="1" t="s">
        <v>16613</v>
      </c>
      <c r="H10865" s="1" t="s">
        <v>4</v>
      </c>
      <c r="V10865" s="1" t="s">
        <v>18</v>
      </c>
      <c r="GD10865" s="1" t="s">
        <v>193</v>
      </c>
      <c r="GE10865" s="1" t="s">
        <v>190</v>
      </c>
    </row>
    <row r="10866" spans="1:187" ht="11.25" customHeight="1">
      <c r="A10866" s="1" t="s">
        <v>15327</v>
      </c>
      <c r="B10866" s="1" t="str">
        <f ca="1">IFERROR(__xludf.DUMMYFUNCTION("GOOGLETRANSLATE(A10866, ""en"", ""fr"")"),"Tourner n ° 1")</f>
        <v>Tourner n ° 1</v>
      </c>
      <c r="C10866" s="1" t="s">
        <v>185</v>
      </c>
      <c r="N10866" s="1" t="s">
        <v>10</v>
      </c>
      <c r="AL10866" s="1" t="s">
        <v>34</v>
      </c>
      <c r="DO10866" s="1" t="s">
        <v>115</v>
      </c>
      <c r="FP10866" s="1" t="s">
        <v>168</v>
      </c>
      <c r="GD10866" s="1" t="s">
        <v>189</v>
      </c>
      <c r="GE10866" s="1" t="s">
        <v>15328</v>
      </c>
    </row>
    <row r="10867" spans="1:187" ht="11.25" customHeight="1">
      <c r="A10867" s="1" t="s">
        <v>15329</v>
      </c>
      <c r="B10867" s="1" t="str">
        <f ca="1">IFERROR(__xludf.DUMMYFUNCTION("GOOGLETRANSLATE(A10867, ""en"", ""fr"")"),"Tourner n ° 2")</f>
        <v>Tourner n ° 2</v>
      </c>
      <c r="C10867" s="1" t="s">
        <v>185</v>
      </c>
      <c r="N10867" s="1" t="s">
        <v>10</v>
      </c>
      <c r="DD10867" s="1" t="s">
        <v>104</v>
      </c>
      <c r="DN10867" s="1" t="s">
        <v>114</v>
      </c>
      <c r="FP10867" s="1" t="s">
        <v>168</v>
      </c>
      <c r="GD10867" s="1" t="s">
        <v>189</v>
      </c>
      <c r="GE10867" s="1" t="s">
        <v>15330</v>
      </c>
    </row>
    <row r="10868" spans="1:187" ht="11.25" customHeight="1">
      <c r="A10868" s="1" t="s">
        <v>15331</v>
      </c>
      <c r="B10868" s="1" t="str">
        <f ca="1">IFERROR(__xludf.DUMMYFUNCTION("GOOGLETRANSLATE(A10868, ""en"", ""fr"")"),"Tourner # 3")</f>
        <v>Tourner # 3</v>
      </c>
      <c r="C10868" s="1" t="s">
        <v>185</v>
      </c>
      <c r="BW10868" s="1" t="s">
        <v>71</v>
      </c>
      <c r="DN10868" s="1" t="s">
        <v>114</v>
      </c>
      <c r="FP10868" s="1" t="s">
        <v>168</v>
      </c>
      <c r="GD10868" s="1" t="s">
        <v>1601</v>
      </c>
      <c r="GE10868" s="1" t="s">
        <v>15332</v>
      </c>
    </row>
    <row r="10869" spans="1:187" ht="11.25" customHeight="1">
      <c r="A10869" s="1" t="s">
        <v>15333</v>
      </c>
      <c r="B10869" s="1" t="str">
        <f ca="1">IFERROR(__xludf.DUMMYFUNCTION("GOOGLETRANSLATE(A10869, ""en"", ""fr"")"),"Tourner # 4")</f>
        <v>Tourner # 4</v>
      </c>
      <c r="C10869" s="1" t="s">
        <v>185</v>
      </c>
      <c r="N10869" s="1" t="s">
        <v>10</v>
      </c>
      <c r="BZ10869" s="1" t="s">
        <v>74</v>
      </c>
      <c r="DN10869" s="1" t="s">
        <v>114</v>
      </c>
      <c r="FP10869" s="1" t="s">
        <v>168</v>
      </c>
      <c r="GD10869" s="1" t="s">
        <v>189</v>
      </c>
      <c r="GE10869" s="1" t="s">
        <v>15334</v>
      </c>
    </row>
    <row r="10870" spans="1:187" ht="11.25" customHeight="1">
      <c r="A10870" s="1" t="s">
        <v>15335</v>
      </c>
      <c r="B10870" s="1" t="str">
        <f ca="1">IFERROR(__xludf.DUMMYFUNCTION("GOOGLETRANSLATE(A10870, ""en"", ""fr"")"),"Turn # 5")</f>
        <v>Turn # 5</v>
      </c>
      <c r="C10870" s="1" t="s">
        <v>185</v>
      </c>
      <c r="E10870" s="1" t="s">
        <v>16613</v>
      </c>
      <c r="H10870" s="1" t="s">
        <v>4</v>
      </c>
      <c r="I10870" s="1" t="s">
        <v>5</v>
      </c>
      <c r="N10870" s="1" t="s">
        <v>10</v>
      </c>
      <c r="AN10870" s="1" t="s">
        <v>36</v>
      </c>
      <c r="DN10870" s="1" t="s">
        <v>114</v>
      </c>
      <c r="FW10870" s="1" t="s">
        <v>175</v>
      </c>
      <c r="GD10870" s="1" t="s">
        <v>189</v>
      </c>
      <c r="GE10870" s="1" t="s">
        <v>15336</v>
      </c>
    </row>
    <row r="10871" spans="1:187" ht="11.25" customHeight="1">
      <c r="A10871" s="1" t="s">
        <v>15337</v>
      </c>
      <c r="B10871" s="1" t="str">
        <f ca="1">IFERROR(__xludf.DUMMYFUNCTION("GOOGLETRANSLATE(A10871, ""en"", ""fr"")"),"Turn # 6")</f>
        <v>Turn # 6</v>
      </c>
      <c r="C10871" s="1" t="s">
        <v>185</v>
      </c>
      <c r="DD10871" s="1" t="s">
        <v>104</v>
      </c>
      <c r="GD10871" s="1" t="s">
        <v>193</v>
      </c>
      <c r="GE10871" s="1" t="s">
        <v>15338</v>
      </c>
    </row>
    <row r="10872" spans="1:187" ht="11.25" customHeight="1">
      <c r="A10872" s="1" t="s">
        <v>15339</v>
      </c>
      <c r="B10872" s="1" t="str">
        <f ca="1">IFERROR(__xludf.DUMMYFUNCTION("GOOGLETRANSLATE(A10872, ""en"", ""fr"")"),"Turn # 7")</f>
        <v>Turn # 7</v>
      </c>
      <c r="C10872" s="1" t="s">
        <v>185</v>
      </c>
      <c r="M10872" s="1" t="s">
        <v>9</v>
      </c>
      <c r="O10872" s="1" t="s">
        <v>11</v>
      </c>
      <c r="AN10872" s="1" t="s">
        <v>36</v>
      </c>
      <c r="DN10872" s="1" t="s">
        <v>114</v>
      </c>
      <c r="FP10872" s="1" t="s">
        <v>168</v>
      </c>
      <c r="GD10872" s="1" t="s">
        <v>189</v>
      </c>
      <c r="GE10872" s="1" t="s">
        <v>15340</v>
      </c>
    </row>
    <row r="10873" spans="1:187" ht="11.25" customHeight="1">
      <c r="A10873" s="1" t="s">
        <v>15341</v>
      </c>
      <c r="B10873" s="1" t="str">
        <f ca="1">IFERROR(__xludf.DUMMYFUNCTION("GOOGLETRANSLATE(A10873, ""en"", ""fr"")"),"Turn # 8")</f>
        <v>Turn # 8</v>
      </c>
      <c r="C10873" s="1" t="s">
        <v>185</v>
      </c>
      <c r="E10873" s="1" t="s">
        <v>16613</v>
      </c>
      <c r="H10873" s="1" t="s">
        <v>4</v>
      </c>
      <c r="I10873" s="1" t="s">
        <v>5</v>
      </c>
      <c r="N10873" s="1" t="s">
        <v>10</v>
      </c>
      <c r="AN10873" s="1" t="s">
        <v>36</v>
      </c>
      <c r="DN10873" s="1" t="s">
        <v>114</v>
      </c>
      <c r="FO10873" s="1" t="s">
        <v>167</v>
      </c>
      <c r="GD10873" s="1" t="s">
        <v>189</v>
      </c>
      <c r="GE10873" s="1" t="s">
        <v>15342</v>
      </c>
    </row>
    <row r="10874" spans="1:187" ht="11.25" customHeight="1">
      <c r="A10874" s="1" t="s">
        <v>15343</v>
      </c>
      <c r="B10874" s="1" t="str">
        <f ca="1">IFERROR(__xludf.DUMMYFUNCTION("GOOGLETRANSLATE(A10874, ""en"", ""fr"")"),"TURQUOISE")</f>
        <v>TURQUOISE</v>
      </c>
      <c r="C10874" s="1" t="s">
        <v>185</v>
      </c>
      <c r="DE10874" s="1" t="s">
        <v>105</v>
      </c>
      <c r="GD10874" s="1" t="s">
        <v>202</v>
      </c>
      <c r="GE10874" s="1" t="s">
        <v>15344</v>
      </c>
    </row>
    <row r="10875" spans="1:187" ht="11.25" customHeight="1">
      <c r="A10875" s="1" t="s">
        <v>15345</v>
      </c>
      <c r="B10875" s="1" t="str">
        <f ca="1">IFERROR(__xludf.DUMMYFUNCTION("GOOGLETRANSLATE(A10875, ""en"", ""fr"")"),"TORTUE")</f>
        <v>TORTUE</v>
      </c>
      <c r="C10875" s="1" t="s">
        <v>185</v>
      </c>
      <c r="AU10875" s="1" t="s">
        <v>43</v>
      </c>
      <c r="GD10875" s="1" t="s">
        <v>193</v>
      </c>
      <c r="GE10875" s="1" t="s">
        <v>190</v>
      </c>
    </row>
    <row r="10876" spans="1:187" ht="11.25" customHeight="1">
      <c r="A10876" s="1" t="s">
        <v>15346</v>
      </c>
      <c r="B10876" s="1" t="str">
        <f ca="1">IFERROR(__xludf.DUMMYFUNCTION("GOOGLETRANSLATE(A10876, ""en"", ""fr"")"),"TUTELLE")</f>
        <v>TUTELLE</v>
      </c>
      <c r="C10876" s="1" t="s">
        <v>196</v>
      </c>
      <c r="FH10876" s="1" t="s">
        <v>160</v>
      </c>
      <c r="FI10876" s="1" t="s">
        <v>161</v>
      </c>
      <c r="GD10876" s="1" t="s">
        <v>193</v>
      </c>
    </row>
    <row r="10877" spans="1:187" ht="11.25" customHeight="1">
      <c r="A10877" s="1" t="s">
        <v>15347</v>
      </c>
      <c r="B10877" s="1" t="str">
        <f ca="1">IFERROR(__xludf.DUMMYFUNCTION("GOOGLETRANSLATE(A10877, ""en"", ""fr"")"),"Douzième n ° 1")</f>
        <v>Douzième n ° 1</v>
      </c>
      <c r="C10877" s="1" t="s">
        <v>192</v>
      </c>
      <c r="GE10877" s="1" t="s">
        <v>190</v>
      </c>
    </row>
    <row r="10878" spans="1:187" ht="11.25" customHeight="1">
      <c r="A10878" s="1" t="s">
        <v>15348</v>
      </c>
      <c r="B10878" s="1" t="str">
        <f ca="1">IFERROR(__xludf.DUMMYFUNCTION("GOOGLETRANSLATE(A10878, ""en"", ""fr"")"),"DOUZE")</f>
        <v>DOUZE</v>
      </c>
      <c r="C10878" s="1" t="s">
        <v>185</v>
      </c>
      <c r="CS10878" s="1" t="s">
        <v>93</v>
      </c>
      <c r="CT10878" s="1" t="s">
        <v>94</v>
      </c>
      <c r="CV10878" s="1" t="s">
        <v>96</v>
      </c>
      <c r="GD10878" s="1" t="s">
        <v>1756</v>
      </c>
      <c r="GE10878" s="1" t="s">
        <v>5862</v>
      </c>
    </row>
    <row r="10879" spans="1:187" ht="11.25" customHeight="1">
      <c r="A10879" s="1" t="s">
        <v>15349</v>
      </c>
      <c r="B10879" s="1" t="str">
        <f ca="1">IFERROR(__xludf.DUMMYFUNCTION("GOOGLETRANSLATE(A10879, ""en"", ""fr"")"),"Twentieth # 1")</f>
        <v>Twentieth # 1</v>
      </c>
      <c r="C10879" s="1" t="s">
        <v>192</v>
      </c>
      <c r="GE10879" s="1" t="s">
        <v>190</v>
      </c>
    </row>
    <row r="10880" spans="1:187" ht="11.25" customHeight="1">
      <c r="A10880" s="1" t="s">
        <v>15350</v>
      </c>
      <c r="B10880" s="1" t="str">
        <f ca="1">IFERROR(__xludf.DUMMYFUNCTION("GOOGLETRANSLATE(A10880, ""en"", ""fr"")"),"Vingtième siècle")</f>
        <v>Vingtième siècle</v>
      </c>
      <c r="C10880" s="1" t="s">
        <v>185</v>
      </c>
      <c r="CY10880" s="1" t="s">
        <v>99</v>
      </c>
      <c r="GD10880" s="1" t="s">
        <v>202</v>
      </c>
      <c r="GE10880" s="1" t="s">
        <v>190</v>
      </c>
    </row>
    <row r="10881" spans="1:187" ht="11.25" customHeight="1">
      <c r="A10881" s="1" t="s">
        <v>15351</v>
      </c>
      <c r="B10881" s="1" t="str">
        <f ca="1">IFERROR(__xludf.DUMMYFUNCTION("GOOGLETRANSLATE(A10881, ""en"", ""fr"")"),"VINGT")</f>
        <v>VINGT</v>
      </c>
      <c r="C10881" s="1" t="s">
        <v>185</v>
      </c>
      <c r="CS10881" s="1" t="s">
        <v>93</v>
      </c>
      <c r="CT10881" s="1" t="s">
        <v>94</v>
      </c>
      <c r="CV10881" s="1" t="s">
        <v>96</v>
      </c>
      <c r="GD10881" s="1" t="s">
        <v>1756</v>
      </c>
      <c r="GE10881" s="1" t="s">
        <v>5862</v>
      </c>
    </row>
    <row r="10882" spans="1:187" ht="11.25" customHeight="1">
      <c r="A10882" s="1" t="s">
        <v>15352</v>
      </c>
      <c r="B10882" s="1" t="str">
        <f ca="1">IFERROR(__xludf.DUMMYFUNCTION("GOOGLETRANSLATE(A10882, ""en"", ""fr"")"),"Deux fois n ° 1")</f>
        <v>Deux fois n ° 1</v>
      </c>
      <c r="C10882" s="1" t="s">
        <v>185</v>
      </c>
      <c r="CW10882" s="1" t="s">
        <v>97</v>
      </c>
      <c r="GD10882" s="1" t="s">
        <v>236</v>
      </c>
      <c r="GE10882" s="1" t="s">
        <v>15353</v>
      </c>
    </row>
    <row r="10883" spans="1:187" ht="11.25" customHeight="1">
      <c r="A10883" s="1" t="s">
        <v>15354</v>
      </c>
      <c r="B10883" s="1" t="str">
        <f ca="1">IFERROR(__xludf.DUMMYFUNCTION("GOOGLETRANSLATE(A10883, ""en"", ""fr"")"),"Deux fois n ° 2")</f>
        <v>Deux fois n ° 2</v>
      </c>
      <c r="C10883" s="1" t="s">
        <v>185</v>
      </c>
      <c r="CS10883" s="1" t="s">
        <v>93</v>
      </c>
      <c r="GD10883" s="1" t="s">
        <v>236</v>
      </c>
      <c r="GE10883" s="1" t="s">
        <v>15355</v>
      </c>
    </row>
    <row r="10884" spans="1:187" ht="11.25" customHeight="1">
      <c r="A10884" s="1" t="s">
        <v>15356</v>
      </c>
      <c r="B10884" s="1" t="str">
        <f ca="1">IFERROR(__xludf.DUMMYFUNCTION("GOOGLETRANSLATE(A10884, ""en"", ""fr"")"),"CRÉPUSCULE")</f>
        <v>CRÉPUSCULE</v>
      </c>
      <c r="C10884" s="1" t="s">
        <v>185</v>
      </c>
      <c r="CQ10884" s="1" t="s">
        <v>91</v>
      </c>
      <c r="CY10884" s="1" t="s">
        <v>99</v>
      </c>
      <c r="CZ10884" s="1" t="s">
        <v>100</v>
      </c>
      <c r="GD10884" s="1" t="s">
        <v>193</v>
      </c>
      <c r="GE10884" s="1" t="s">
        <v>190</v>
      </c>
    </row>
    <row r="10885" spans="1:187" ht="11.25" customHeight="1">
      <c r="A10885" s="1" t="s">
        <v>15357</v>
      </c>
      <c r="B10885" s="1" t="str">
        <f ca="1">IFERROR(__xludf.DUMMYFUNCTION("GOOGLETRANSLATE(A10885, ""en"", ""fr"")"),"DOUBLE")</f>
        <v>DOUBLE</v>
      </c>
      <c r="C10885" s="1" t="s">
        <v>185</v>
      </c>
      <c r="AJ10885" s="1" t="s">
        <v>32</v>
      </c>
      <c r="AP10885" s="1" t="s">
        <v>38</v>
      </c>
      <c r="AT10885" s="1" t="s">
        <v>42</v>
      </c>
      <c r="GD10885" s="1" t="s">
        <v>193</v>
      </c>
      <c r="GE10885" s="1" t="s">
        <v>190</v>
      </c>
    </row>
    <row r="10886" spans="1:187" ht="11.25" customHeight="1">
      <c r="A10886" s="1" t="s">
        <v>15358</v>
      </c>
      <c r="B10886" s="1" t="str">
        <f ca="1">IFERROR(__xludf.DUMMYFUNCTION("GOOGLETRANSLATE(A10886, ""en"", ""fr"")"),"Twist # 1")</f>
        <v>Twist # 1</v>
      </c>
      <c r="C10886" s="1" t="s">
        <v>185</v>
      </c>
      <c r="N10886" s="1" t="s">
        <v>10</v>
      </c>
      <c r="BW10886" s="1" t="s">
        <v>71</v>
      </c>
      <c r="GD10886" s="1" t="s">
        <v>193</v>
      </c>
      <c r="GE10886" s="1" t="s">
        <v>190</v>
      </c>
    </row>
    <row r="10887" spans="1:187" ht="11.25" customHeight="1">
      <c r="A10887" s="1" t="s">
        <v>15359</v>
      </c>
      <c r="B10887" s="1" t="str">
        <f ca="1">IFERROR(__xludf.DUMMYFUNCTION("GOOGLETRANSLATE(A10887, ""en"", ""fr"")"),"Twist # 2")</f>
        <v>Twist # 2</v>
      </c>
      <c r="C10887" s="1" t="s">
        <v>185</v>
      </c>
      <c r="N10887" s="1" t="s">
        <v>10</v>
      </c>
      <c r="AL10887" s="1" t="s">
        <v>34</v>
      </c>
      <c r="DO10887" s="1" t="s">
        <v>115</v>
      </c>
      <c r="FP10887" s="1" t="s">
        <v>168</v>
      </c>
      <c r="GD10887" s="1" t="s">
        <v>189</v>
      </c>
      <c r="GE10887" s="1" t="s">
        <v>190</v>
      </c>
    </row>
    <row r="10888" spans="1:187" ht="11.25" customHeight="1">
      <c r="A10888" s="1" t="s">
        <v>15360</v>
      </c>
      <c r="B10888" s="1" t="str">
        <f ca="1">IFERROR(__xludf.DUMMYFUNCTION("GOOGLETRANSLATE(A10888, ""en"", ""fr"")"),"TIC")</f>
        <v>TIC</v>
      </c>
      <c r="C10888" s="1" t="s">
        <v>192</v>
      </c>
      <c r="E10888" s="1" t="s">
        <v>16613</v>
      </c>
      <c r="O10888" s="1" t="s">
        <v>11</v>
      </c>
      <c r="BU10888" s="1" t="s">
        <v>69</v>
      </c>
      <c r="DN10888" s="1" t="s">
        <v>114</v>
      </c>
      <c r="GD10888" s="1" t="s">
        <v>189</v>
      </c>
      <c r="GE10888" s="1" t="s">
        <v>190</v>
      </c>
    </row>
    <row r="10889" spans="1:187" ht="11.25" customHeight="1">
      <c r="A10889" s="1" t="s">
        <v>15361</v>
      </c>
      <c r="B10889" s="1" t="str">
        <f ca="1">IFERROR(__xludf.DUMMYFUNCTION("GOOGLETRANSLATE(A10889, ""en"", ""fr"")"),"DEUX")</f>
        <v>DEUX</v>
      </c>
      <c r="C10889" s="1" t="s">
        <v>185</v>
      </c>
      <c r="CS10889" s="1" t="s">
        <v>93</v>
      </c>
      <c r="CT10889" s="1" t="s">
        <v>94</v>
      </c>
      <c r="CV10889" s="1" t="s">
        <v>96</v>
      </c>
      <c r="GD10889" s="1" t="s">
        <v>1756</v>
      </c>
      <c r="GE10889" s="1" t="s">
        <v>5862</v>
      </c>
    </row>
    <row r="10890" spans="1:187" ht="11.25" customHeight="1">
      <c r="A10890" s="1" t="s">
        <v>15362</v>
      </c>
      <c r="B10890" s="1" t="str">
        <f ca="1">IFERROR(__xludf.DUMMYFUNCTION("GOOGLETRANSLATE(A10890, ""en"", ""fr"")"),"Lier # 1")</f>
        <v>Lier # 1</v>
      </c>
      <c r="C10890" s="1" t="s">
        <v>185</v>
      </c>
      <c r="GD10890" s="1" t="s">
        <v>15363</v>
      </c>
      <c r="GE10890" s="1" t="s">
        <v>190</v>
      </c>
    </row>
    <row r="10891" spans="1:187" ht="11.25" customHeight="1">
      <c r="A10891" s="1" t="s">
        <v>15364</v>
      </c>
      <c r="B10891" s="1" t="str">
        <f ca="1">IFERROR(__xludf.DUMMYFUNCTION("GOOGLETRANSLATE(A10891, ""en"", ""fr"")"),"TYPE 1")</f>
        <v>TYPE 1</v>
      </c>
      <c r="C10891" s="1" t="s">
        <v>185</v>
      </c>
      <c r="CH10891" s="1" t="s">
        <v>82</v>
      </c>
      <c r="CP10891" s="1" t="s">
        <v>90</v>
      </c>
      <c r="CQ10891" s="1" t="s">
        <v>91</v>
      </c>
      <c r="GD10891" s="1" t="s">
        <v>849</v>
      </c>
      <c r="GE10891" s="1" t="s">
        <v>15365</v>
      </c>
    </row>
    <row r="10892" spans="1:187" ht="11.25" customHeight="1">
      <c r="A10892" s="1" t="s">
        <v>15366</v>
      </c>
      <c r="B10892" s="1" t="str">
        <f ca="1">IFERROR(__xludf.DUMMYFUNCTION("GOOGLETRANSLATE(A10892, ""en"", ""fr"")"),"TYPE 2")</f>
        <v>TYPE 2</v>
      </c>
      <c r="C10892" s="1" t="s">
        <v>185</v>
      </c>
      <c r="N10892" s="1" t="s">
        <v>10</v>
      </c>
      <c r="BK10892" s="1" t="s">
        <v>59</v>
      </c>
      <c r="DO10892" s="1" t="s">
        <v>115</v>
      </c>
      <c r="FH10892" s="1" t="s">
        <v>160</v>
      </c>
      <c r="FI10892" s="1" t="s">
        <v>161</v>
      </c>
      <c r="GD10892" s="1" t="s">
        <v>189</v>
      </c>
      <c r="GE10892" s="1" t="s">
        <v>15367</v>
      </c>
    </row>
    <row r="10893" spans="1:187" ht="11.25" customHeight="1">
      <c r="A10893" s="1" t="s">
        <v>15368</v>
      </c>
      <c r="B10893" s="1" t="str">
        <f ca="1">IFERROR(__xludf.DUMMYFUNCTION("GOOGLETRANSLATE(A10893, ""en"", ""fr"")"),"Type n ° 3")</f>
        <v>Type n ° 3</v>
      </c>
      <c r="C10893" s="1" t="s">
        <v>185</v>
      </c>
      <c r="N10893" s="1" t="s">
        <v>10</v>
      </c>
      <c r="CO10893" s="1" t="s">
        <v>89</v>
      </c>
      <c r="DN10893" s="1" t="s">
        <v>114</v>
      </c>
      <c r="FH10893" s="1" t="s">
        <v>160</v>
      </c>
      <c r="FI10893" s="1" t="s">
        <v>161</v>
      </c>
      <c r="GD10893" s="1" t="s">
        <v>189</v>
      </c>
      <c r="GE10893" s="1" t="s">
        <v>15369</v>
      </c>
    </row>
    <row r="10894" spans="1:187" ht="11.25" customHeight="1">
      <c r="A10894" s="1" t="s">
        <v>15370</v>
      </c>
      <c r="B10894" s="1" t="str">
        <f ca="1">IFERROR(__xludf.DUMMYFUNCTION("GOOGLETRANSLATE(A10894, ""en"", ""fr"")"),"Type n ° 4")</f>
        <v>Type n ° 4</v>
      </c>
      <c r="C10894" s="1" t="s">
        <v>185</v>
      </c>
      <c r="BK10894" s="1" t="s">
        <v>59</v>
      </c>
      <c r="FH10894" s="1" t="s">
        <v>160</v>
      </c>
      <c r="FI10894" s="1" t="s">
        <v>161</v>
      </c>
      <c r="GC10894" s="1" t="s">
        <v>181</v>
      </c>
      <c r="GD10894" s="1" t="s">
        <v>202</v>
      </c>
      <c r="GE10894" s="1" t="s">
        <v>15371</v>
      </c>
    </row>
    <row r="10895" spans="1:187" ht="11.25" customHeight="1">
      <c r="A10895" s="1" t="s">
        <v>15372</v>
      </c>
      <c r="B10895" s="1" t="str">
        <f ca="1">IFERROR(__xludf.DUMMYFUNCTION("GOOGLETRANSLATE(A10895, ""en"", ""fr"")"),"MACHINE À ÉCRIRE")</f>
        <v>MACHINE À ÉCRIRE</v>
      </c>
      <c r="C10895" s="1" t="s">
        <v>185</v>
      </c>
      <c r="BC10895" s="1" t="s">
        <v>51</v>
      </c>
      <c r="BH10895" s="1" t="s">
        <v>56</v>
      </c>
      <c r="BL10895" s="1" t="s">
        <v>60</v>
      </c>
      <c r="GD10895" s="1" t="s">
        <v>193</v>
      </c>
      <c r="GE10895" s="1" t="s">
        <v>190</v>
      </c>
    </row>
    <row r="10896" spans="1:187" ht="11.25" customHeight="1">
      <c r="A10896" s="1" t="s">
        <v>15373</v>
      </c>
      <c r="B10896" s="1" t="str">
        <f ca="1">IFERROR(__xludf.DUMMYFUNCTION("GOOGLETRANSLATE(A10896, ""en"", ""fr"")"),"TYPIQUE")</f>
        <v>TYPIQUE</v>
      </c>
      <c r="C10896" s="1" t="s">
        <v>185</v>
      </c>
      <c r="U10896" s="1" t="s">
        <v>17</v>
      </c>
      <c r="CN10896" s="1" t="s">
        <v>88</v>
      </c>
      <c r="GD10896" s="1" t="s">
        <v>421</v>
      </c>
      <c r="GE10896" s="1" t="s">
        <v>15374</v>
      </c>
    </row>
    <row r="10897" spans="1:187" ht="11.25" customHeight="1">
      <c r="A10897" s="1" t="s">
        <v>15375</v>
      </c>
      <c r="B10897" s="1" t="str">
        <f ca="1">IFERROR(__xludf.DUMMYFUNCTION("GOOGLETRANSLATE(A10897, ""en"", ""fr"")"),"TYPOGRAPHIE")</f>
        <v>TYPOGRAPHIE</v>
      </c>
      <c r="C10897" s="1" t="s">
        <v>185</v>
      </c>
      <c r="Y10897" s="1" t="s">
        <v>21</v>
      </c>
      <c r="Z10897" s="1" t="s">
        <v>22</v>
      </c>
      <c r="GD10897" s="1" t="s">
        <v>193</v>
      </c>
      <c r="GE10897" s="1" t="s">
        <v>190</v>
      </c>
    </row>
    <row r="10898" spans="1:187" ht="11.25" customHeight="1">
      <c r="A10898" s="1" t="s">
        <v>15376</v>
      </c>
      <c r="B10898" s="1" t="str">
        <f ca="1">IFERROR(__xludf.DUMMYFUNCTION("GOOGLETRANSLATE(A10898, ""en"", ""fr"")"),"TYRANNIQUE")</f>
        <v>TYRANNIQUE</v>
      </c>
      <c r="C10898" s="1" t="s">
        <v>196</v>
      </c>
      <c r="EB10898" s="1" t="s">
        <v>128</v>
      </c>
      <c r="ED10898" s="1" t="s">
        <v>130</v>
      </c>
      <c r="GD10898" s="1" t="s">
        <v>202</v>
      </c>
    </row>
    <row r="10899" spans="1:187" ht="11.25" customHeight="1">
      <c r="A10899" s="1" t="s">
        <v>15377</v>
      </c>
      <c r="B10899" s="1" t="str">
        <f ca="1">IFERROR(__xludf.DUMMYFUNCTION("GOOGLETRANSLATE(A10899, ""en"", ""fr"")"),"TYRANNIE")</f>
        <v>TYRANNIE</v>
      </c>
      <c r="C10899" s="1" t="s">
        <v>185</v>
      </c>
      <c r="E10899" s="1" t="s">
        <v>16613</v>
      </c>
      <c r="H10899" s="1" t="s">
        <v>4</v>
      </c>
      <c r="J10899" s="1" t="s">
        <v>6</v>
      </c>
      <c r="K10899" s="1" t="s">
        <v>7</v>
      </c>
      <c r="V10899" s="1" t="s">
        <v>18</v>
      </c>
      <c r="AG10899" s="1" t="s">
        <v>29</v>
      </c>
      <c r="AH10899" s="1" t="s">
        <v>30</v>
      </c>
      <c r="EB10899" s="1" t="s">
        <v>128</v>
      </c>
      <c r="ED10899" s="1" t="s">
        <v>130</v>
      </c>
      <c r="GD10899" s="1" t="s">
        <v>193</v>
      </c>
      <c r="GE10899" s="1" t="s">
        <v>190</v>
      </c>
    </row>
    <row r="10900" spans="1:187" ht="11.25" customHeight="1">
      <c r="A10900" s="1" t="s">
        <v>15378</v>
      </c>
      <c r="B10900" s="1" t="str">
        <f ca="1">IFERROR(__xludf.DUMMYFUNCTION("GOOGLETRANSLATE(A10900, ""en"", ""fr"")"),"OUGANDA")</f>
        <v>OUGANDA</v>
      </c>
      <c r="C10900" s="1" t="s">
        <v>196</v>
      </c>
      <c r="FU10900" s="1" t="s">
        <v>173</v>
      </c>
      <c r="GD10900" s="1" t="s">
        <v>269</v>
      </c>
    </row>
    <row r="10901" spans="1:187" ht="11.25" customHeight="1">
      <c r="A10901" s="1" t="s">
        <v>15379</v>
      </c>
      <c r="B10901" s="1" t="str">
        <f ca="1">IFERROR(__xludf.DUMMYFUNCTION("GOOGLETRANSLATE(A10901, ""en"", ""fr"")"),"POUAH")</f>
        <v>POUAH</v>
      </c>
      <c r="C10901" s="1" t="s">
        <v>192</v>
      </c>
      <c r="DK10901" s="1" t="s">
        <v>111</v>
      </c>
      <c r="DM10901" s="1" t="s">
        <v>113</v>
      </c>
      <c r="GE10901" s="1" t="s">
        <v>190</v>
      </c>
    </row>
    <row r="10902" spans="1:187" ht="11.25" customHeight="1">
      <c r="A10902" s="1" t="s">
        <v>15380</v>
      </c>
      <c r="B10902" s="1" t="str">
        <f ca="1">IFERROR(__xludf.DUMMYFUNCTION("GOOGLETRANSLATE(A10902, ""en"", ""fr"")"),"LAID")</f>
        <v>LAID</v>
      </c>
      <c r="C10902" s="1" t="s">
        <v>185</v>
      </c>
      <c r="E10902" s="1" t="s">
        <v>16613</v>
      </c>
      <c r="H10902" s="1" t="s">
        <v>4</v>
      </c>
      <c r="V10902" s="1" t="s">
        <v>18</v>
      </c>
      <c r="FW10902" s="1" t="s">
        <v>175</v>
      </c>
      <c r="GD10902" s="1" t="s">
        <v>202</v>
      </c>
      <c r="GE10902" s="1" t="s">
        <v>15381</v>
      </c>
    </row>
    <row r="10903" spans="1:187" ht="11.25" customHeight="1">
      <c r="A10903" s="1" t="s">
        <v>15382</v>
      </c>
      <c r="B10903" s="1" t="str">
        <f ca="1">IFERROR(__xludf.DUMMYFUNCTION("GOOGLETRANSLATE(A10903, ""en"", ""fr"")"),"Ultime # 1")</f>
        <v>Ultime # 1</v>
      </c>
      <c r="C10903" s="1" t="s">
        <v>185</v>
      </c>
      <c r="J10903" s="1" t="s">
        <v>6</v>
      </c>
      <c r="W10903" s="1" t="s">
        <v>19</v>
      </c>
      <c r="CL10903" s="1" t="s">
        <v>86</v>
      </c>
      <c r="CN10903" s="1" t="s">
        <v>88</v>
      </c>
      <c r="CY10903" s="1" t="s">
        <v>99</v>
      </c>
      <c r="GD10903" s="1" t="s">
        <v>8443</v>
      </c>
      <c r="GE10903" s="1" t="s">
        <v>15383</v>
      </c>
    </row>
    <row r="10904" spans="1:187" ht="11.25" customHeight="1">
      <c r="A10904" s="1" t="s">
        <v>15384</v>
      </c>
      <c r="B10904" s="1" t="str">
        <f ca="1">IFERROR(__xludf.DUMMYFUNCTION("GOOGLETRANSLATE(A10904, ""en"", ""fr"")"),"Ultime # 2")</f>
        <v>Ultime # 2</v>
      </c>
      <c r="C10904" s="1" t="s">
        <v>185</v>
      </c>
      <c r="J10904" s="1" t="s">
        <v>6</v>
      </c>
      <c r="W10904" s="1" t="s">
        <v>19</v>
      </c>
      <c r="CY10904" s="1" t="s">
        <v>99</v>
      </c>
      <c r="GD10904" s="1" t="s">
        <v>236</v>
      </c>
      <c r="GE10904" s="1" t="s">
        <v>15385</v>
      </c>
    </row>
    <row r="10905" spans="1:187" ht="11.25" customHeight="1">
      <c r="A10905" s="1" t="s">
        <v>15386</v>
      </c>
      <c r="B10905" s="1" t="str">
        <f ca="1">IFERROR(__xludf.DUMMYFUNCTION("GOOGLETRANSLATE(A10905, ""en"", ""fr"")"),"ULTIMATUM")</f>
        <v>ULTIMATUM</v>
      </c>
      <c r="C10905" s="1" t="s">
        <v>192</v>
      </c>
      <c r="E10905" s="1" t="s">
        <v>16613</v>
      </c>
      <c r="I10905" s="1" t="s">
        <v>5</v>
      </c>
      <c r="BK10905" s="1" t="s">
        <v>59</v>
      </c>
      <c r="GD10905" s="1" t="s">
        <v>193</v>
      </c>
      <c r="GE10905" s="1" t="s">
        <v>190</v>
      </c>
    </row>
    <row r="10906" spans="1:187" ht="11.25" customHeight="1">
      <c r="A10906" s="1" t="s">
        <v>15387</v>
      </c>
      <c r="B10906" s="1" t="str">
        <f ca="1">IFERROR(__xludf.DUMMYFUNCTION("GOOGLETRANSLATE(A10906, ""en"", ""fr"")"),"Sans relâche")</f>
        <v>Sans relâche</v>
      </c>
      <c r="C10906" s="1" t="s">
        <v>196</v>
      </c>
      <c r="GD10906" s="1" t="s">
        <v>202</v>
      </c>
    </row>
    <row r="10907" spans="1:187" ht="11.25" customHeight="1">
      <c r="A10907" s="1" t="s">
        <v>15388</v>
      </c>
      <c r="B10907" s="1" t="str">
        <f ca="1">IFERROR(__xludf.DUMMYFUNCTION("GOOGLETRANSLATE(A10907, ""en"", ""fr"")"),"INCAPABLE")</f>
        <v>INCAPABLE</v>
      </c>
      <c r="C10907" s="1" t="s">
        <v>185</v>
      </c>
      <c r="L10907" s="1" t="s">
        <v>8</v>
      </c>
      <c r="O10907" s="1" t="s">
        <v>11</v>
      </c>
      <c r="V10907" s="1" t="s">
        <v>18</v>
      </c>
      <c r="DL10907" s="1" t="s">
        <v>112</v>
      </c>
      <c r="FL10907" s="1" t="s">
        <v>164</v>
      </c>
      <c r="FM10907" s="1" t="s">
        <v>418</v>
      </c>
      <c r="GD10907" s="1" t="s">
        <v>202</v>
      </c>
      <c r="GE10907" s="1" t="s">
        <v>15389</v>
      </c>
    </row>
    <row r="10908" spans="1:187" ht="11.25" customHeight="1">
      <c r="A10908" s="1" t="s">
        <v>15390</v>
      </c>
      <c r="B10908" s="1" t="str">
        <f ca="1">IFERROR(__xludf.DUMMYFUNCTION("GOOGLETRANSLATE(A10908, ""en"", ""fr"")"),"INHABITUEL")</f>
        <v>INHABITUEL</v>
      </c>
      <c r="C10908" s="1" t="s">
        <v>192</v>
      </c>
      <c r="E10908" s="1" t="s">
        <v>16613</v>
      </c>
      <c r="L10908" s="1" t="s">
        <v>8</v>
      </c>
      <c r="DR10908" s="1" t="s">
        <v>118</v>
      </c>
      <c r="GD10908" s="1" t="s">
        <v>202</v>
      </c>
      <c r="GE10908" s="1" t="s">
        <v>190</v>
      </c>
    </row>
    <row r="10909" spans="1:187" ht="11.25" customHeight="1">
      <c r="A10909" s="1" t="s">
        <v>15391</v>
      </c>
      <c r="B10909" s="1" t="str">
        <f ca="1">IFERROR(__xludf.DUMMYFUNCTION("GOOGLETRANSLATE(A10909, ""en"", ""fr"")"),"Inchangé")</f>
        <v>Inchangé</v>
      </c>
      <c r="C10909" s="1" t="s">
        <v>196</v>
      </c>
      <c r="GD10909" s="1" t="s">
        <v>202</v>
      </c>
    </row>
    <row r="10910" spans="1:187" ht="11.25" customHeight="1">
      <c r="A10910" s="1" t="s">
        <v>15392</v>
      </c>
      <c r="B10910" s="1" t="str">
        <f ca="1">IFERROR(__xludf.DUMMYFUNCTION("GOOGLETRANSLATE(A10910, ""en"", ""fr"")"),"UNANIMITÉ")</f>
        <v>UNANIMITÉ</v>
      </c>
      <c r="C10910" s="1" t="s">
        <v>196</v>
      </c>
      <c r="DX10910" s="1" t="s">
        <v>124</v>
      </c>
      <c r="ED10910" s="1" t="s">
        <v>130</v>
      </c>
      <c r="GD10910" s="1" t="s">
        <v>193</v>
      </c>
    </row>
    <row r="10911" spans="1:187" ht="11.25" customHeight="1">
      <c r="A10911" s="1" t="s">
        <v>15393</v>
      </c>
      <c r="B10911" s="1" t="str">
        <f ca="1">IFERROR(__xludf.DUMMYFUNCTION("GOOGLETRANSLATE(A10911, ""en"", ""fr"")"),"UNANIME")</f>
        <v>UNANIME</v>
      </c>
      <c r="C10911" s="1" t="s">
        <v>185</v>
      </c>
      <c r="J10911" s="1" t="s">
        <v>6</v>
      </c>
      <c r="W10911" s="1" t="s">
        <v>19</v>
      </c>
      <c r="AK10911" s="1" t="s">
        <v>33</v>
      </c>
      <c r="AT10911" s="1" t="s">
        <v>42</v>
      </c>
      <c r="DX10911" s="1" t="s">
        <v>124</v>
      </c>
      <c r="ED10911" s="1" t="s">
        <v>130</v>
      </c>
      <c r="GD10911" s="1" t="s">
        <v>202</v>
      </c>
      <c r="GE10911" s="1" t="s">
        <v>190</v>
      </c>
    </row>
    <row r="10912" spans="1:187" ht="11.25" customHeight="1">
      <c r="A10912" s="1" t="s">
        <v>15394</v>
      </c>
      <c r="B10912" s="1" t="str">
        <f ca="1">IFERROR(__xludf.DUMMYFUNCTION("GOOGLETRANSLATE(A10912, ""en"", ""fr"")"),"Déshabiller")</f>
        <v>Déshabiller</v>
      </c>
      <c r="C10912" s="1" t="s">
        <v>192</v>
      </c>
      <c r="E10912" s="1" t="s">
        <v>16613</v>
      </c>
      <c r="L10912" s="1" t="s">
        <v>8</v>
      </c>
      <c r="DR10912" s="1" t="s">
        <v>118</v>
      </c>
      <c r="GD10912" s="1" t="s">
        <v>202</v>
      </c>
      <c r="GE10912" s="1" t="s">
        <v>190</v>
      </c>
    </row>
    <row r="10913" spans="1:187" ht="11.25" customHeight="1">
      <c r="A10913" s="1" t="s">
        <v>15395</v>
      </c>
      <c r="B10913" s="1" t="str">
        <f ca="1">IFERROR(__xludf.DUMMYFUNCTION("GOOGLETRANSLATE(A10913, ""en"", ""fr"")"),"Sans prétention")</f>
        <v>Sans prétention</v>
      </c>
      <c r="C10913" s="1" t="s">
        <v>185</v>
      </c>
      <c r="L10913" s="1" t="s">
        <v>8</v>
      </c>
      <c r="Q10913" s="1" t="s">
        <v>13</v>
      </c>
      <c r="DL10913" s="1" t="s">
        <v>112</v>
      </c>
      <c r="GD10913" s="1" t="s">
        <v>202</v>
      </c>
      <c r="GE10913" s="1" t="s">
        <v>190</v>
      </c>
    </row>
    <row r="10914" spans="1:187" ht="11.25" customHeight="1">
      <c r="A10914" s="1" t="s">
        <v>15396</v>
      </c>
      <c r="B10914" s="1" t="str">
        <f ca="1">IFERROR(__xludf.DUMMYFUNCTION("GOOGLETRANSLATE(A10914, ""en"", ""fr"")"),"PEU ATTRAYANT")</f>
        <v>PEU ATTRAYANT</v>
      </c>
      <c r="C10914" s="1" t="s">
        <v>185</v>
      </c>
      <c r="E10914" s="1" t="s">
        <v>16613</v>
      </c>
      <c r="V10914" s="1" t="s">
        <v>18</v>
      </c>
      <c r="CM10914" s="1" t="s">
        <v>87</v>
      </c>
      <c r="DR10914" s="1" t="s">
        <v>118</v>
      </c>
      <c r="FL10914" s="1" t="s">
        <v>164</v>
      </c>
      <c r="FM10914" s="1" t="s">
        <v>418</v>
      </c>
      <c r="GD10914" s="1" t="s">
        <v>202</v>
      </c>
      <c r="GE10914" s="1" t="s">
        <v>190</v>
      </c>
    </row>
    <row r="10915" spans="1:187" ht="11.25" customHeight="1">
      <c r="A10915" s="1" t="s">
        <v>15397</v>
      </c>
      <c r="B10915" s="1" t="str">
        <f ca="1">IFERROR(__xludf.DUMMYFUNCTION("GOOGLETRANSLATE(A10915, ""en"", ""fr"")"),"Non authentique")</f>
        <v>Non authentique</v>
      </c>
      <c r="C10915" s="1" t="s">
        <v>185</v>
      </c>
      <c r="E10915" s="1" t="s">
        <v>16613</v>
      </c>
      <c r="H10915" s="1" t="s">
        <v>4</v>
      </c>
      <c r="V10915" s="1" t="s">
        <v>18</v>
      </c>
      <c r="DL10915" s="1" t="s">
        <v>112</v>
      </c>
      <c r="GD10915" s="1" t="s">
        <v>202</v>
      </c>
      <c r="GE10915" s="1" t="s">
        <v>190</v>
      </c>
    </row>
    <row r="10916" spans="1:187" ht="11.25" customHeight="1">
      <c r="A10916" s="1" t="s">
        <v>15398</v>
      </c>
      <c r="B10916" s="1" t="str">
        <f ca="1">IFERROR(__xludf.DUMMYFUNCTION("GOOGLETRANSLATE(A10916, ""en"", ""fr"")"),"INÉVITABLE")</f>
        <v>INÉVITABLE</v>
      </c>
      <c r="C10916" s="1" t="s">
        <v>185</v>
      </c>
      <c r="E10916" s="1" t="s">
        <v>16613</v>
      </c>
      <c r="H10916" s="1" t="s">
        <v>4</v>
      </c>
      <c r="W10916" s="1" t="s">
        <v>19</v>
      </c>
      <c r="BQ10916" s="1" t="s">
        <v>65</v>
      </c>
      <c r="DL10916" s="1" t="s">
        <v>112</v>
      </c>
      <c r="FY10916" s="1" t="s">
        <v>177</v>
      </c>
      <c r="GD10916" s="1" t="s">
        <v>202</v>
      </c>
      <c r="GE10916" s="1" t="s">
        <v>190</v>
      </c>
    </row>
    <row r="10917" spans="1:187" ht="11.25" customHeight="1">
      <c r="A10917" s="1" t="s">
        <v>15399</v>
      </c>
      <c r="B10917" s="1" t="str">
        <f ca="1">IFERROR(__xludf.DUMMYFUNCTION("GOOGLETRANSLATE(A10917, ""en"", ""fr"")"),"IGNORANT")</f>
        <v>IGNORANT</v>
      </c>
      <c r="C10917" s="1" t="s">
        <v>185</v>
      </c>
      <c r="L10917" s="1" t="s">
        <v>8</v>
      </c>
      <c r="O10917" s="1" t="s">
        <v>11</v>
      </c>
      <c r="CH10917" s="1" t="s">
        <v>82</v>
      </c>
      <c r="DL10917" s="1" t="s">
        <v>112</v>
      </c>
      <c r="FH10917" s="1" t="s">
        <v>160</v>
      </c>
      <c r="FI10917" s="1" t="s">
        <v>161</v>
      </c>
      <c r="GD10917" s="1" t="s">
        <v>202</v>
      </c>
      <c r="GE10917" s="1" t="s">
        <v>190</v>
      </c>
    </row>
    <row r="10918" spans="1:187" ht="11.25" customHeight="1">
      <c r="A10918" s="1" t="s">
        <v>15400</v>
      </c>
      <c r="B10918" s="1" t="str">
        <f ca="1">IFERROR(__xludf.DUMMYFUNCTION("GOOGLETRANSLATE(A10918, ""en"", ""fr"")"),"INSUPPORTABLE")</f>
        <v>INSUPPORTABLE</v>
      </c>
      <c r="C10918" s="1" t="s">
        <v>192</v>
      </c>
      <c r="E10918" s="1" t="s">
        <v>16613</v>
      </c>
      <c r="Q10918" s="1" t="s">
        <v>13</v>
      </c>
      <c r="DQ10918" s="1" t="s">
        <v>117</v>
      </c>
      <c r="GD10918" s="1" t="s">
        <v>202</v>
      </c>
      <c r="GE10918" s="1" t="s">
        <v>190</v>
      </c>
    </row>
    <row r="10919" spans="1:187" ht="11.25" customHeight="1">
      <c r="A10919" s="1" t="s">
        <v>15401</v>
      </c>
      <c r="B10919" s="1" t="str">
        <f ca="1">IFERROR(__xludf.DUMMYFUNCTION("GOOGLETRANSLATE(A10919, ""en"", ""fr"")"),"INCROYABLE")</f>
        <v>INCROYABLE</v>
      </c>
      <c r="C10919" s="1" t="s">
        <v>185</v>
      </c>
      <c r="E10919" s="1" t="s">
        <v>16613</v>
      </c>
      <c r="H10919" s="1" t="s">
        <v>4</v>
      </c>
      <c r="V10919" s="1" t="s">
        <v>18</v>
      </c>
      <c r="W10919" s="1" t="s">
        <v>19</v>
      </c>
      <c r="DL10919" s="1" t="s">
        <v>112</v>
      </c>
      <c r="FH10919" s="1" t="s">
        <v>160</v>
      </c>
      <c r="FI10919" s="1" t="s">
        <v>161</v>
      </c>
      <c r="GD10919" s="1" t="s">
        <v>202</v>
      </c>
      <c r="GE10919" s="1" t="s">
        <v>190</v>
      </c>
    </row>
    <row r="10920" spans="1:187" ht="11.25" customHeight="1">
      <c r="A10920" s="1" t="s">
        <v>15402</v>
      </c>
      <c r="B10920" s="1" t="str">
        <f ca="1">IFERROR(__xludf.DUMMYFUNCTION("GOOGLETRANSLATE(A10920, ""en"", ""fr"")"),"DÉLIER")</f>
        <v>DÉLIER</v>
      </c>
      <c r="C10920" s="1" t="s">
        <v>196</v>
      </c>
      <c r="FP10920" s="1" t="s">
        <v>168</v>
      </c>
      <c r="GD10920" s="1" t="s">
        <v>189</v>
      </c>
    </row>
    <row r="10921" spans="1:187" ht="11.25" customHeight="1">
      <c r="A10921" s="1" t="s">
        <v>15403</v>
      </c>
      <c r="B10921" s="1" t="str">
        <f ca="1">IFERROR(__xludf.DUMMYFUNCTION("GOOGLETRANSLATE(A10921, ""en"", ""fr"")"),"NON LIÉ")</f>
        <v>NON LIÉ</v>
      </c>
      <c r="C10921" s="1" t="s">
        <v>192</v>
      </c>
      <c r="D10921" s="1" t="s">
        <v>16612</v>
      </c>
      <c r="CW10921" s="1" t="s">
        <v>97</v>
      </c>
      <c r="DL10921" s="1" t="s">
        <v>112</v>
      </c>
      <c r="DR10921" s="1" t="s">
        <v>118</v>
      </c>
      <c r="GD10921" s="1" t="s">
        <v>202</v>
      </c>
      <c r="GE10921" s="1" t="s">
        <v>190</v>
      </c>
    </row>
    <row r="10922" spans="1:187" ht="11.25" customHeight="1">
      <c r="A10922" s="1" t="s">
        <v>15404</v>
      </c>
      <c r="B10922" s="1" t="str">
        <f ca="1">IFERROR(__xludf.DUMMYFUNCTION("GOOGLETRANSLATE(A10922, ""en"", ""fr"")"),"ININTERROMPU")</f>
        <v>ININTERROMPU</v>
      </c>
      <c r="C10922" s="1" t="s">
        <v>192</v>
      </c>
      <c r="D10922" s="1" t="s">
        <v>16612</v>
      </c>
      <c r="U10922" s="1" t="s">
        <v>17</v>
      </c>
      <c r="DL10922" s="1" t="s">
        <v>112</v>
      </c>
      <c r="DR10922" s="1" t="s">
        <v>118</v>
      </c>
      <c r="GD10922" s="1" t="s">
        <v>202</v>
      </c>
      <c r="GE10922" s="1" t="s">
        <v>190</v>
      </c>
    </row>
    <row r="10923" spans="1:187" ht="11.25" customHeight="1">
      <c r="A10923" s="1" t="s">
        <v>15405</v>
      </c>
      <c r="B10923" s="1" t="str">
        <f ca="1">IFERROR(__xludf.DUMMYFUNCTION("GOOGLETRANSLATE(A10923, ""en"", ""fr"")"),"INCESSANT")</f>
        <v>INCESSANT</v>
      </c>
      <c r="C10923" s="1" t="s">
        <v>196</v>
      </c>
      <c r="GD10923" s="1" t="s">
        <v>202</v>
      </c>
    </row>
    <row r="10924" spans="1:187" ht="11.25" customHeight="1">
      <c r="A10924" s="1" t="s">
        <v>15406</v>
      </c>
      <c r="B10924" s="1" t="str">
        <f ca="1">IFERROR(__xludf.DUMMYFUNCTION("GOOGLETRANSLATE(A10924, ""en"", ""fr"")"),"INCERTAIN")</f>
        <v>INCERTAIN</v>
      </c>
      <c r="C10924" s="1" t="s">
        <v>185</v>
      </c>
      <c r="L10924" s="1" t="s">
        <v>8</v>
      </c>
      <c r="X10924" s="1" t="s">
        <v>20</v>
      </c>
      <c r="CH10924" s="1" t="s">
        <v>82</v>
      </c>
      <c r="DL10924" s="1" t="s">
        <v>112</v>
      </c>
      <c r="FZ10924" s="1" t="s">
        <v>178</v>
      </c>
      <c r="GD10924" s="1" t="s">
        <v>202</v>
      </c>
      <c r="GE10924" s="1" t="s">
        <v>190</v>
      </c>
    </row>
    <row r="10925" spans="1:187" ht="11.25" customHeight="1">
      <c r="A10925" s="1" t="s">
        <v>15407</v>
      </c>
      <c r="B10925" s="1" t="str">
        <f ca="1">IFERROR(__xludf.DUMMYFUNCTION("GOOGLETRANSLATE(A10925, ""en"", ""fr"")"),"INCERTITUDE")</f>
        <v>INCERTITUDE</v>
      </c>
      <c r="C10925" s="1" t="s">
        <v>185</v>
      </c>
      <c r="L10925" s="1" t="s">
        <v>8</v>
      </c>
      <c r="X10925" s="1" t="s">
        <v>20</v>
      </c>
      <c r="CH10925" s="1" t="s">
        <v>82</v>
      </c>
      <c r="DL10925" s="1" t="s">
        <v>112</v>
      </c>
      <c r="FH10925" s="1" t="s">
        <v>160</v>
      </c>
      <c r="FI10925" s="1" t="s">
        <v>161</v>
      </c>
      <c r="GD10925" s="1" t="s">
        <v>193</v>
      </c>
      <c r="GE10925" s="1" t="s">
        <v>190</v>
      </c>
    </row>
    <row r="10926" spans="1:187" ht="11.25" customHeight="1">
      <c r="A10926" s="1" t="s">
        <v>15408</v>
      </c>
      <c r="B10926" s="1" t="str">
        <f ca="1">IFERROR(__xludf.DUMMYFUNCTION("GOOGLETRANSLATE(A10926, ""en"", ""fr"")"),"INCHANGÉ")</f>
        <v>INCHANGÉ</v>
      </c>
      <c r="C10926" s="1" t="s">
        <v>185</v>
      </c>
      <c r="BR10926" s="1" t="s">
        <v>66</v>
      </c>
      <c r="DL10926" s="1" t="s">
        <v>112</v>
      </c>
      <c r="GD10926" s="1" t="s">
        <v>202</v>
      </c>
      <c r="GE10926" s="1" t="s">
        <v>190</v>
      </c>
    </row>
    <row r="10927" spans="1:187" ht="11.25" customHeight="1">
      <c r="A10927" s="1" t="s">
        <v>15409</v>
      </c>
      <c r="B10927" s="1" t="str">
        <f ca="1">IFERROR(__xludf.DUMMYFUNCTION("GOOGLETRANSLATE(A10927, ""en"", ""fr"")"),"Incontrôlé")</f>
        <v>Incontrôlé</v>
      </c>
      <c r="C10927" s="1" t="s">
        <v>185</v>
      </c>
      <c r="J10927" s="1" t="s">
        <v>6</v>
      </c>
      <c r="V10927" s="1" t="s">
        <v>18</v>
      </c>
      <c r="DL10927" s="1" t="s">
        <v>112</v>
      </c>
      <c r="GD10927" s="1" t="s">
        <v>202</v>
      </c>
      <c r="GE10927" s="1" t="s">
        <v>190</v>
      </c>
    </row>
    <row r="10928" spans="1:187" ht="11.25" customHeight="1">
      <c r="A10928" s="1" t="s">
        <v>15410</v>
      </c>
      <c r="B10928" s="1" t="str">
        <f ca="1">IFERROR(__xludf.DUMMYFUNCTION("GOOGLETRANSLATE(A10928, ""en"", ""fr"")"),"IMPOLI")</f>
        <v>IMPOLI</v>
      </c>
      <c r="C10928" s="1" t="s">
        <v>192</v>
      </c>
      <c r="E10928" s="1" t="s">
        <v>16613</v>
      </c>
      <c r="Z10928" s="1" t="s">
        <v>22</v>
      </c>
      <c r="BT10928" s="1" t="s">
        <v>68</v>
      </c>
      <c r="DR10928" s="1" t="s">
        <v>118</v>
      </c>
      <c r="GD10928" s="1" t="s">
        <v>202</v>
      </c>
      <c r="GE10928" s="1" t="s">
        <v>190</v>
      </c>
    </row>
    <row r="10929" spans="1:187" ht="11.25" customHeight="1">
      <c r="A10929" s="1" t="s">
        <v>15411</v>
      </c>
      <c r="B10929" s="1" t="str">
        <f ca="1">IFERROR(__xludf.DUMMYFUNCTION("GOOGLETRANSLATE(A10929, ""en"", ""fr"")"),"ONCLE")</f>
        <v>ONCLE</v>
      </c>
      <c r="C10929" s="1" t="s">
        <v>185</v>
      </c>
      <c r="AJ10929" s="1" t="s">
        <v>32</v>
      </c>
      <c r="AP10929" s="1" t="s">
        <v>38</v>
      </c>
      <c r="AQ10929" s="1" t="s">
        <v>39</v>
      </c>
      <c r="AT10929" s="1" t="s">
        <v>42</v>
      </c>
      <c r="EQ10929" s="1" t="s">
        <v>143</v>
      </c>
      <c r="ES10929" s="1" t="s">
        <v>145</v>
      </c>
      <c r="GD10929" s="1" t="s">
        <v>837</v>
      </c>
      <c r="GE10929" s="1" t="s">
        <v>15412</v>
      </c>
    </row>
    <row r="10930" spans="1:187" ht="11.25" customHeight="1">
      <c r="A10930" s="1" t="s">
        <v>15413</v>
      </c>
      <c r="B10930" s="1" t="str">
        <f ca="1">IFERROR(__xludf.DUMMYFUNCTION("GOOGLETRANSLATE(A10930, ""en"", ""fr"")"),"IMPUR")</f>
        <v>IMPUR</v>
      </c>
      <c r="C10930" s="1" t="s">
        <v>192</v>
      </c>
      <c r="E10930" s="1" t="s">
        <v>16613</v>
      </c>
      <c r="V10930" s="1" t="s">
        <v>18</v>
      </c>
      <c r="DR10930" s="1" t="s">
        <v>118</v>
      </c>
      <c r="GD10930" s="1" t="s">
        <v>202</v>
      </c>
      <c r="GE10930" s="1" t="s">
        <v>190</v>
      </c>
    </row>
    <row r="10931" spans="1:187" ht="11.25" customHeight="1">
      <c r="A10931" s="1" t="s">
        <v>15414</v>
      </c>
      <c r="B10931" s="1" t="str">
        <f ca="1">IFERROR(__xludf.DUMMYFUNCTION("GOOGLETRANSLATE(A10931, ""en"", ""fr"")"),"PAS CLAIR")</f>
        <v>PAS CLAIR</v>
      </c>
      <c r="C10931" s="1" t="s">
        <v>185</v>
      </c>
      <c r="E10931" s="1" t="s">
        <v>16613</v>
      </c>
      <c r="H10931" s="1" t="s">
        <v>4</v>
      </c>
      <c r="V10931" s="1" t="s">
        <v>18</v>
      </c>
      <c r="X10931" s="1" t="s">
        <v>20</v>
      </c>
      <c r="DL10931" s="1" t="s">
        <v>112</v>
      </c>
      <c r="FH10931" s="1" t="s">
        <v>160</v>
      </c>
      <c r="FI10931" s="1" t="s">
        <v>161</v>
      </c>
      <c r="GD10931" s="1" t="s">
        <v>202</v>
      </c>
      <c r="GE10931" s="1" t="s">
        <v>190</v>
      </c>
    </row>
    <row r="10932" spans="1:187" ht="11.25" customHeight="1">
      <c r="A10932" s="1" t="s">
        <v>15415</v>
      </c>
      <c r="B10932" s="1" t="str">
        <f ca="1">IFERROR(__xludf.DUMMYFUNCTION("GOOGLETRANSLATE(A10932, ""en"", ""fr"")"),"INCONFORTABLE")</f>
        <v>INCONFORTABLE</v>
      </c>
      <c r="C10932" s="1" t="s">
        <v>185</v>
      </c>
      <c r="E10932" s="1" t="s">
        <v>16613</v>
      </c>
      <c r="H10932" s="1" t="s">
        <v>4</v>
      </c>
      <c r="Q10932" s="1" t="s">
        <v>13</v>
      </c>
      <c r="T10932" s="1" t="s">
        <v>16</v>
      </c>
      <c r="DL10932" s="1" t="s">
        <v>112</v>
      </c>
      <c r="EZ10932" s="1" t="s">
        <v>152</v>
      </c>
      <c r="FC10932" s="1" t="s">
        <v>155</v>
      </c>
      <c r="GD10932" s="1" t="s">
        <v>202</v>
      </c>
      <c r="GE10932" s="1" t="s">
        <v>190</v>
      </c>
    </row>
    <row r="10933" spans="1:187" ht="11.25" customHeight="1">
      <c r="A10933" s="1" t="s">
        <v>15416</v>
      </c>
      <c r="B10933" s="1" t="str">
        <f ca="1">IFERROR(__xludf.DUMMYFUNCTION("GOOGLETRANSLATE(A10933, ""en"", ""fr"")"),"RARE")</f>
        <v>RARE</v>
      </c>
      <c r="C10933" s="1" t="s">
        <v>185</v>
      </c>
      <c r="D10933" s="1" t="s">
        <v>16612</v>
      </c>
      <c r="F10933" s="1" t="s">
        <v>2</v>
      </c>
      <c r="W10933" s="1" t="s">
        <v>19</v>
      </c>
      <c r="CW10933" s="1" t="s">
        <v>97</v>
      </c>
      <c r="DL10933" s="1" t="s">
        <v>112</v>
      </c>
      <c r="GD10933" s="1" t="s">
        <v>202</v>
      </c>
      <c r="GE10933" s="1" t="s">
        <v>190</v>
      </c>
    </row>
    <row r="10934" spans="1:187" ht="11.25" customHeight="1">
      <c r="A10934" s="1" t="s">
        <v>15417</v>
      </c>
      <c r="B10934" s="1" t="str">
        <f ca="1">IFERROR(__xludf.DUMMYFUNCTION("GOOGLETRANSLATE(A10934, ""en"", ""fr"")"),"INCONDITIONNEL")</f>
        <v>INCONDITIONNEL</v>
      </c>
      <c r="C10934" s="1" t="s">
        <v>185</v>
      </c>
      <c r="M10934" s="1" t="s">
        <v>9</v>
      </c>
      <c r="W10934" s="1" t="s">
        <v>19</v>
      </c>
      <c r="AN10934" s="1" t="s">
        <v>36</v>
      </c>
      <c r="DL10934" s="1" t="s">
        <v>112</v>
      </c>
      <c r="FY10934" s="1" t="s">
        <v>177</v>
      </c>
      <c r="GD10934" s="1" t="s">
        <v>202</v>
      </c>
      <c r="GE10934" s="1" t="s">
        <v>190</v>
      </c>
    </row>
    <row r="10935" spans="1:187" ht="11.25" customHeight="1">
      <c r="A10935" s="1" t="s">
        <v>15418</v>
      </c>
      <c r="B10935" s="1" t="str">
        <f ca="1">IFERROR(__xludf.DUMMYFUNCTION("GOOGLETRANSLATE(A10935, ""en"", ""fr"")"),"INVINCIBLE")</f>
        <v>INVINCIBLE</v>
      </c>
      <c r="C10935" s="1" t="s">
        <v>196</v>
      </c>
      <c r="EC10935" s="1" t="s">
        <v>129</v>
      </c>
      <c r="ED10935" s="1" t="s">
        <v>130</v>
      </c>
      <c r="GD10935" s="1" t="s">
        <v>212</v>
      </c>
    </row>
    <row r="10936" spans="1:187" ht="11.25" customHeight="1">
      <c r="A10936" s="1" t="s">
        <v>15419</v>
      </c>
      <c r="B10936" s="1" t="str">
        <f ca="1">IFERROR(__xludf.DUMMYFUNCTION("GOOGLETRANSLATE(A10936, ""en"", ""fr"")"),"INCONSCIENT")</f>
        <v>INCONSCIENT</v>
      </c>
      <c r="C10936" s="1" t="s">
        <v>185</v>
      </c>
      <c r="O10936" s="1" t="s">
        <v>11</v>
      </c>
      <c r="CH10936" s="1" t="s">
        <v>82</v>
      </c>
      <c r="DL10936" s="1" t="s">
        <v>112</v>
      </c>
      <c r="FH10936" s="1" t="s">
        <v>160</v>
      </c>
      <c r="FI10936" s="1" t="s">
        <v>161</v>
      </c>
      <c r="GD10936" s="1" t="s">
        <v>202</v>
      </c>
      <c r="GE10936" s="1" t="s">
        <v>190</v>
      </c>
    </row>
    <row r="10937" spans="1:187" ht="11.25" customHeight="1">
      <c r="A10937" s="1" t="s">
        <v>15420</v>
      </c>
      <c r="B10937" s="1" t="str">
        <f ca="1">IFERROR(__xludf.DUMMYFUNCTION("GOOGLETRANSLATE(A10937, ""en"", ""fr"")"),"Incontesté")</f>
        <v>Incontesté</v>
      </c>
      <c r="C10937" s="1" t="s">
        <v>185</v>
      </c>
      <c r="J10937" s="1" t="s">
        <v>6</v>
      </c>
      <c r="M10937" s="1" t="s">
        <v>9</v>
      </c>
      <c r="W10937" s="1" t="s">
        <v>19</v>
      </c>
      <c r="AN10937" s="1" t="s">
        <v>36</v>
      </c>
      <c r="DL10937" s="1" t="s">
        <v>112</v>
      </c>
      <c r="GD10937" s="1" t="s">
        <v>202</v>
      </c>
      <c r="GE10937" s="1" t="s">
        <v>190</v>
      </c>
    </row>
    <row r="10938" spans="1:187" ht="11.25" customHeight="1">
      <c r="A10938" s="1" t="s">
        <v>15421</v>
      </c>
      <c r="B10938" s="1" t="str">
        <f ca="1">IFERROR(__xludf.DUMMYFUNCTION("GOOGLETRANSLATE(A10938, ""en"", ""fr"")"),"GROSSIER")</f>
        <v>GROSSIER</v>
      </c>
      <c r="C10938" s="1" t="s">
        <v>192</v>
      </c>
      <c r="E10938" s="1" t="s">
        <v>16613</v>
      </c>
      <c r="V10938" s="1" t="s">
        <v>18</v>
      </c>
      <c r="DQ10938" s="1" t="s">
        <v>117</v>
      </c>
      <c r="GD10938" s="1" t="s">
        <v>202</v>
      </c>
      <c r="GE10938" s="1" t="s">
        <v>190</v>
      </c>
    </row>
    <row r="10939" spans="1:187" ht="11.25" customHeight="1">
      <c r="A10939" s="1" t="s">
        <v>15422</v>
      </c>
      <c r="B10939" s="1" t="str">
        <f ca="1">IFERROR(__xludf.DUMMYFUNCTION("GOOGLETRANSLATE(A10939, ""en"", ""fr"")"),"Inauguré")</f>
        <v>Inauguré</v>
      </c>
      <c r="C10939" s="1" t="s">
        <v>185</v>
      </c>
      <c r="J10939" s="1" t="s">
        <v>6</v>
      </c>
      <c r="K10939" s="1" t="s">
        <v>7</v>
      </c>
      <c r="U10939" s="1" t="s">
        <v>17</v>
      </c>
      <c r="DL10939" s="1" t="s">
        <v>112</v>
      </c>
      <c r="FX10939" s="1" t="s">
        <v>176</v>
      </c>
      <c r="GD10939" s="1" t="s">
        <v>202</v>
      </c>
      <c r="GE10939" s="1" t="s">
        <v>190</v>
      </c>
    </row>
    <row r="10940" spans="1:187" ht="11.25" customHeight="1">
      <c r="A10940" s="1" t="s">
        <v>15423</v>
      </c>
      <c r="B10940" s="1" t="str">
        <f ca="1">IFERROR(__xludf.DUMMYFUNCTION("GOOGLETRANSLATE(A10940, ""en"", ""fr"")"),"INDÉCIS")</f>
        <v>INDÉCIS</v>
      </c>
      <c r="C10940" s="1" t="s">
        <v>185</v>
      </c>
      <c r="L10940" s="1" t="s">
        <v>8</v>
      </c>
      <c r="O10940" s="1" t="s">
        <v>11</v>
      </c>
      <c r="X10940" s="1" t="s">
        <v>20</v>
      </c>
      <c r="CH10940" s="1" t="s">
        <v>82</v>
      </c>
      <c r="DL10940" s="1" t="s">
        <v>112</v>
      </c>
      <c r="FZ10940" s="1" t="s">
        <v>178</v>
      </c>
      <c r="GD10940" s="1" t="s">
        <v>202</v>
      </c>
      <c r="GE10940" s="1" t="s">
        <v>190</v>
      </c>
    </row>
    <row r="10941" spans="1:187" ht="11.25" customHeight="1">
      <c r="A10941" s="1" t="s">
        <v>15424</v>
      </c>
      <c r="B10941" s="1" t="str">
        <f ca="1">IFERROR(__xludf.DUMMYFUNCTION("GOOGLETRANSLATE(A10941, ""en"", ""fr"")"),"INDÉFINI")</f>
        <v>INDÉFINI</v>
      </c>
      <c r="C10941" s="1" t="s">
        <v>185</v>
      </c>
      <c r="X10941" s="1" t="s">
        <v>20</v>
      </c>
      <c r="CH10941" s="1" t="s">
        <v>82</v>
      </c>
      <c r="DL10941" s="1" t="s">
        <v>112</v>
      </c>
      <c r="FZ10941" s="1" t="s">
        <v>178</v>
      </c>
      <c r="GD10941" s="1" t="s">
        <v>202</v>
      </c>
      <c r="GE10941" s="1" t="s">
        <v>190</v>
      </c>
    </row>
    <row r="10942" spans="1:187" ht="11.25" customHeight="1">
      <c r="A10942" s="1" t="s">
        <v>15425</v>
      </c>
      <c r="B10942" s="1" t="str">
        <f ca="1">IFERROR(__xludf.DUMMYFUNCTION("GOOGLETRANSLATE(A10942, ""en"", ""fr"")"),"INDÉNIABLE")</f>
        <v>INDÉNIABLE</v>
      </c>
      <c r="C10942" s="1" t="s">
        <v>185</v>
      </c>
      <c r="J10942" s="1" t="s">
        <v>6</v>
      </c>
      <c r="W10942" s="1" t="s">
        <v>19</v>
      </c>
      <c r="CH10942" s="1" t="s">
        <v>82</v>
      </c>
      <c r="DL10942" s="1" t="s">
        <v>112</v>
      </c>
      <c r="FY10942" s="1" t="s">
        <v>177</v>
      </c>
      <c r="GD10942" s="1" t="s">
        <v>202</v>
      </c>
      <c r="GE10942" s="1" t="s">
        <v>190</v>
      </c>
    </row>
    <row r="10943" spans="1:187" ht="11.25" customHeight="1">
      <c r="A10943" s="1" t="s">
        <v>15426</v>
      </c>
      <c r="B10943" s="1" t="str">
        <f ca="1">IFERROR(__xludf.DUMMYFUNCTION("GOOGLETRANSLATE(A10943, ""en"", ""fr"")"),"Indépendabilité")</f>
        <v>Indépendabilité</v>
      </c>
      <c r="C10943" s="1" t="s">
        <v>185</v>
      </c>
      <c r="E10943" s="1" t="s">
        <v>16613</v>
      </c>
      <c r="H10943" s="1" t="s">
        <v>4</v>
      </c>
      <c r="L10943" s="1" t="s">
        <v>8</v>
      </c>
      <c r="V10943" s="1" t="s">
        <v>18</v>
      </c>
      <c r="X10943" s="1" t="s">
        <v>20</v>
      </c>
      <c r="DL10943" s="1" t="s">
        <v>112</v>
      </c>
      <c r="GD10943" s="1" t="s">
        <v>193</v>
      </c>
      <c r="GE10943" s="1" t="s">
        <v>190</v>
      </c>
    </row>
    <row r="10944" spans="1:187" ht="11.25" customHeight="1">
      <c r="A10944" s="1" t="s">
        <v>15427</v>
      </c>
      <c r="B10944" s="1" t="str">
        <f ca="1">IFERROR(__xludf.DUMMYFUNCTION("GOOGLETRANSLATE(A10944, ""en"", ""fr"")"),"Indépendable")</f>
        <v>Indépendable</v>
      </c>
      <c r="C10944" s="1" t="s">
        <v>185</v>
      </c>
      <c r="E10944" s="1" t="s">
        <v>16613</v>
      </c>
      <c r="H10944" s="1" t="s">
        <v>4</v>
      </c>
      <c r="L10944" s="1" t="s">
        <v>8</v>
      </c>
      <c r="V10944" s="1" t="s">
        <v>18</v>
      </c>
      <c r="X10944" s="1" t="s">
        <v>20</v>
      </c>
      <c r="DL10944" s="1" t="s">
        <v>112</v>
      </c>
      <c r="GD10944" s="1" t="s">
        <v>202</v>
      </c>
      <c r="GE10944" s="1" t="s">
        <v>190</v>
      </c>
    </row>
    <row r="10945" spans="1:187" ht="11.25" customHeight="1">
      <c r="A10945" s="1" t="s">
        <v>15428</v>
      </c>
      <c r="B10945" s="1" t="str">
        <f ca="1">IFERROR(__xludf.DUMMYFUNCTION("GOOGLETRANSLATE(A10945, ""en"", ""fr"")"),"Sous le n ° 1")</f>
        <v>Sous le n ° 1</v>
      </c>
      <c r="C10945" s="1" t="s">
        <v>185</v>
      </c>
      <c r="K10945" s="1" t="s">
        <v>7</v>
      </c>
      <c r="M10945" s="1" t="s">
        <v>9</v>
      </c>
      <c r="AN10945" s="1" t="s">
        <v>36</v>
      </c>
      <c r="EC10945" s="1" t="s">
        <v>129</v>
      </c>
      <c r="ED10945" s="1" t="s">
        <v>130</v>
      </c>
      <c r="GD10945" s="1" t="s">
        <v>215</v>
      </c>
      <c r="GE10945" s="1" t="s">
        <v>15429</v>
      </c>
    </row>
    <row r="10946" spans="1:187" ht="11.25" customHeight="1">
      <c r="A10946" s="1" t="s">
        <v>15430</v>
      </c>
      <c r="B10946" s="1" t="str">
        <f ca="1">IFERROR(__xludf.DUMMYFUNCTION("GOOGLETRANSLATE(A10946, ""en"", ""fr"")"),"Sous # 2")</f>
        <v>Sous # 2</v>
      </c>
      <c r="C10946" s="1" t="s">
        <v>185</v>
      </c>
      <c r="DD10946" s="1" t="s">
        <v>104</v>
      </c>
      <c r="GB10946" s="1" t="s">
        <v>180</v>
      </c>
      <c r="GD10946" s="1" t="s">
        <v>215</v>
      </c>
      <c r="GE10946" s="1" t="s">
        <v>15431</v>
      </c>
    </row>
    <row r="10947" spans="1:187" ht="11.25" customHeight="1">
      <c r="A10947" s="1" t="s">
        <v>15432</v>
      </c>
      <c r="B10947" s="1" t="str">
        <f ca="1">IFERROR(__xludf.DUMMYFUNCTION("GOOGLETRANSLATE(A10947, ""en"", ""fr"")"),"Sous # 3")</f>
        <v>Sous # 3</v>
      </c>
      <c r="C10947" s="1" t="s">
        <v>185</v>
      </c>
      <c r="GD10947" s="1" t="s">
        <v>225</v>
      </c>
      <c r="GE10947" s="1" t="s">
        <v>15433</v>
      </c>
    </row>
    <row r="10948" spans="1:187" ht="11.25" customHeight="1">
      <c r="A10948" s="1" t="s">
        <v>15434</v>
      </c>
      <c r="B10948" s="1" t="str">
        <f ca="1">IFERROR(__xludf.DUMMYFUNCTION("GOOGLETRANSLATE(A10948, ""en"", ""fr"")"),"Sous-développé")</f>
        <v>Sous-développé</v>
      </c>
      <c r="C10948" s="1" t="s">
        <v>196</v>
      </c>
      <c r="EV10948" s="1" t="s">
        <v>148</v>
      </c>
      <c r="EW10948" s="1" t="s">
        <v>149</v>
      </c>
      <c r="GD10948" s="1" t="s">
        <v>202</v>
      </c>
    </row>
    <row r="10949" spans="1:187" ht="11.25" customHeight="1">
      <c r="A10949" s="1" t="s">
        <v>15435</v>
      </c>
      <c r="B10949" s="1" t="str">
        <f ca="1">IFERROR(__xludf.DUMMYFUNCTION("GOOGLETRANSLATE(A10949, ""en"", ""fr"")"),"SUBIR")</f>
        <v>SUBIR</v>
      </c>
      <c r="C10949" s="1" t="s">
        <v>185</v>
      </c>
      <c r="M10949" s="1" t="s">
        <v>9</v>
      </c>
      <c r="O10949" s="1" t="s">
        <v>11</v>
      </c>
      <c r="AN10949" s="1" t="s">
        <v>36</v>
      </c>
      <c r="DN10949" s="1" t="s">
        <v>114</v>
      </c>
      <c r="FP10949" s="1" t="s">
        <v>168</v>
      </c>
      <c r="GD10949" s="1" t="s">
        <v>189</v>
      </c>
      <c r="GE10949" s="1" t="s">
        <v>190</v>
      </c>
    </row>
    <row r="10950" spans="1:187" ht="11.25" customHeight="1">
      <c r="A10950" s="1" t="s">
        <v>15436</v>
      </c>
      <c r="B10950" s="1" t="str">
        <f ca="1">IFERROR(__xludf.DUMMYFUNCTION("GOOGLETRANSLATE(A10950, ""en"", ""fr"")"),"Subir")</f>
        <v>Subir</v>
      </c>
      <c r="C10950" s="1" t="s">
        <v>185</v>
      </c>
      <c r="M10950" s="1" t="s">
        <v>9</v>
      </c>
      <c r="O10950" s="1" t="s">
        <v>11</v>
      </c>
      <c r="AN10950" s="1" t="s">
        <v>36</v>
      </c>
      <c r="DN10950" s="1" t="s">
        <v>114</v>
      </c>
      <c r="GD10950" s="1" t="s">
        <v>189</v>
      </c>
      <c r="GE10950" s="1" t="s">
        <v>190</v>
      </c>
    </row>
    <row r="10951" spans="1:187" ht="11.25" customHeight="1">
      <c r="A10951" s="1" t="s">
        <v>15437</v>
      </c>
      <c r="B10951" s="1" t="str">
        <f ca="1">IFERROR(__xludf.DUMMYFUNCTION("GOOGLETRANSLATE(A10951, ""en"", ""fr"")"),"Premier cycle")</f>
        <v>Premier cycle</v>
      </c>
      <c r="C10951" s="1" t="s">
        <v>185</v>
      </c>
      <c r="M10951" s="1" t="s">
        <v>9</v>
      </c>
      <c r="Y10951" s="1" t="s">
        <v>21</v>
      </c>
      <c r="AJ10951" s="1" t="s">
        <v>32</v>
      </c>
      <c r="AT10951" s="1" t="s">
        <v>42</v>
      </c>
      <c r="FG10951" s="1" t="s">
        <v>159</v>
      </c>
      <c r="FI10951" s="1" t="s">
        <v>161</v>
      </c>
      <c r="GD10951" s="1" t="s">
        <v>193</v>
      </c>
      <c r="GE10951" s="1" t="s">
        <v>190</v>
      </c>
    </row>
    <row r="10952" spans="1:187" ht="11.25" customHeight="1">
      <c r="A10952" s="1" t="s">
        <v>15438</v>
      </c>
      <c r="B10952" s="1" t="str">
        <f ca="1">IFERROR(__xludf.DUMMYFUNCTION("GOOGLETRANSLATE(A10952, ""en"", ""fr"")"),"SOUTERRAIN")</f>
        <v>SOUTERRAIN</v>
      </c>
      <c r="C10952" s="1" t="s">
        <v>196</v>
      </c>
      <c r="GD10952" s="1" t="s">
        <v>193</v>
      </c>
    </row>
    <row r="10953" spans="1:187" ht="11.25" customHeight="1">
      <c r="A10953" s="1" t="s">
        <v>15439</v>
      </c>
      <c r="B10953" s="1" t="str">
        <f ca="1">IFERROR(__xludf.DUMMYFUNCTION("GOOGLETRANSLATE(A10953, ""en"", ""fr"")"),"SAPER")</f>
        <v>SAPER</v>
      </c>
      <c r="C10953" s="1" t="s">
        <v>185</v>
      </c>
      <c r="E10953" s="1" t="s">
        <v>16613</v>
      </c>
      <c r="H10953" s="1" t="s">
        <v>4</v>
      </c>
      <c r="I10953" s="1" t="s">
        <v>5</v>
      </c>
      <c r="J10953" s="1" t="s">
        <v>6</v>
      </c>
      <c r="N10953" s="1" t="s">
        <v>10</v>
      </c>
      <c r="AN10953" s="1" t="s">
        <v>36</v>
      </c>
      <c r="DN10953" s="1" t="s">
        <v>114</v>
      </c>
      <c r="DT10953" s="1" t="s">
        <v>120</v>
      </c>
      <c r="ED10953" s="1" t="s">
        <v>130</v>
      </c>
      <c r="GD10953" s="1" t="s">
        <v>189</v>
      </c>
      <c r="GE10953" s="1" t="s">
        <v>190</v>
      </c>
    </row>
    <row r="10954" spans="1:187" ht="11.25" customHeight="1">
      <c r="A10954" s="1" t="s">
        <v>15440</v>
      </c>
      <c r="B10954" s="1" t="str">
        <f ca="1">IFERROR(__xludf.DUMMYFUNCTION("GOOGLETRANSLATE(A10954, ""en"", ""fr"")"),"Comprendre # 1")</f>
        <v>Comprendre # 1</v>
      </c>
      <c r="C10954" s="1" t="s">
        <v>185</v>
      </c>
      <c r="D10954" s="1" t="s">
        <v>16612</v>
      </c>
      <c r="F10954" s="1" t="s">
        <v>2</v>
      </c>
      <c r="CO10954" s="1" t="s">
        <v>89</v>
      </c>
      <c r="DN10954" s="1" t="s">
        <v>114</v>
      </c>
      <c r="FD10954" s="1" t="s">
        <v>156</v>
      </c>
      <c r="FI10954" s="1" t="s">
        <v>161</v>
      </c>
      <c r="GD10954" s="1" t="s">
        <v>1076</v>
      </c>
      <c r="GE10954" s="1" t="s">
        <v>15441</v>
      </c>
    </row>
    <row r="10955" spans="1:187" ht="11.25" customHeight="1">
      <c r="A10955" s="1" t="s">
        <v>15442</v>
      </c>
      <c r="B10955" s="1" t="str">
        <f ca="1">IFERROR(__xludf.DUMMYFUNCTION("GOOGLETRANSLATE(A10955, ""en"", ""fr"")"),"Comprendre # 2")</f>
        <v>Comprendre # 2</v>
      </c>
      <c r="C10955" s="1" t="s">
        <v>185</v>
      </c>
      <c r="D10955" s="1" t="s">
        <v>16612</v>
      </c>
      <c r="F10955" s="1" t="s">
        <v>2</v>
      </c>
      <c r="G10955" s="1" t="s">
        <v>3</v>
      </c>
      <c r="S10955" s="1" t="s">
        <v>15</v>
      </c>
      <c r="T10955" s="1" t="s">
        <v>16</v>
      </c>
      <c r="FH10955" s="1" t="s">
        <v>160</v>
      </c>
      <c r="FI10955" s="1" t="s">
        <v>161</v>
      </c>
      <c r="GD10955" s="1" t="s">
        <v>193</v>
      </c>
      <c r="GE10955" s="1" t="s">
        <v>15443</v>
      </c>
    </row>
    <row r="10956" spans="1:187" ht="11.25" customHeight="1">
      <c r="A10956" s="1" t="s">
        <v>15444</v>
      </c>
      <c r="B10956" s="1" t="str">
        <f ca="1">IFERROR(__xludf.DUMMYFUNCTION("GOOGLETRANSLATE(A10956, ""en"", ""fr"")"),"COMPRÉHENSIBLE")</f>
        <v>COMPRÉHENSIBLE</v>
      </c>
      <c r="C10956" s="1" t="s">
        <v>185</v>
      </c>
      <c r="D10956" s="1" t="s">
        <v>16612</v>
      </c>
      <c r="U10956" s="1" t="s">
        <v>17</v>
      </c>
      <c r="BK10956" s="1" t="s">
        <v>59</v>
      </c>
      <c r="CM10956" s="1" t="s">
        <v>87</v>
      </c>
      <c r="DR10956" s="1" t="s">
        <v>118</v>
      </c>
      <c r="FH10956" s="1" t="s">
        <v>160</v>
      </c>
      <c r="FI10956" s="1" t="s">
        <v>161</v>
      </c>
      <c r="GD10956" s="1" t="s">
        <v>202</v>
      </c>
      <c r="GE10956" s="1" t="s">
        <v>190</v>
      </c>
    </row>
    <row r="10957" spans="1:187" ht="11.25" customHeight="1">
      <c r="A10957" s="1" t="s">
        <v>15445</v>
      </c>
      <c r="B10957" s="1" t="str">
        <f ca="1">IFERROR(__xludf.DUMMYFUNCTION("GOOGLETRANSLATE(A10957, ""en"", ""fr"")"),"COMPRIS")</f>
        <v>COMPRIS</v>
      </c>
      <c r="C10957" s="1" t="s">
        <v>185</v>
      </c>
      <c r="D10957" s="1" t="s">
        <v>16612</v>
      </c>
      <c r="F10957" s="1" t="s">
        <v>2</v>
      </c>
      <c r="CO10957" s="1" t="s">
        <v>89</v>
      </c>
      <c r="DN10957" s="1" t="s">
        <v>114</v>
      </c>
      <c r="FD10957" s="1" t="s">
        <v>156</v>
      </c>
      <c r="FI10957" s="1" t="s">
        <v>161</v>
      </c>
      <c r="GD10957" s="1" t="s">
        <v>1076</v>
      </c>
      <c r="GE10957" s="1" t="s">
        <v>15446</v>
      </c>
    </row>
    <row r="10958" spans="1:187" ht="11.25" customHeight="1">
      <c r="A10958" s="1" t="s">
        <v>15447</v>
      </c>
      <c r="B10958" s="1" t="str">
        <f ca="1">IFERROR(__xludf.DUMMYFUNCTION("GOOGLETRANSLATE(A10958, ""en"", ""fr"")"),"Entreprendre le n ° 1")</f>
        <v>Entreprendre le n ° 1</v>
      </c>
      <c r="C10958" s="1" t="s">
        <v>185</v>
      </c>
      <c r="J10958" s="1" t="s">
        <v>6</v>
      </c>
      <c r="N10958" s="1" t="s">
        <v>10</v>
      </c>
      <c r="BQ10958" s="1" t="s">
        <v>65</v>
      </c>
      <c r="FR10958" s="1" t="s">
        <v>170</v>
      </c>
      <c r="GD10958" s="1" t="s">
        <v>193</v>
      </c>
      <c r="GE10958" s="1" t="s">
        <v>190</v>
      </c>
    </row>
    <row r="10959" spans="1:187" ht="11.25" customHeight="1">
      <c r="A10959" s="1" t="s">
        <v>15448</v>
      </c>
      <c r="B10959" s="1" t="str">
        <f ca="1">IFERROR(__xludf.DUMMYFUNCTION("GOOGLETRANSLATE(A10959, ""en"", ""fr"")"),"Entreprendre le n ° 2")</f>
        <v>Entreprendre le n ° 2</v>
      </c>
      <c r="C10959" s="1" t="s">
        <v>185</v>
      </c>
      <c r="J10959" s="1" t="s">
        <v>6</v>
      </c>
      <c r="N10959" s="1" t="s">
        <v>10</v>
      </c>
      <c r="BP10959" s="1" t="s">
        <v>64</v>
      </c>
      <c r="DN10959" s="1" t="s">
        <v>114</v>
      </c>
      <c r="FR10959" s="1" t="s">
        <v>170</v>
      </c>
      <c r="GD10959" s="1" t="s">
        <v>189</v>
      </c>
      <c r="GE10959" s="1" t="s">
        <v>190</v>
      </c>
    </row>
    <row r="10960" spans="1:187" ht="11.25" customHeight="1">
      <c r="A10960" s="1" t="s">
        <v>15449</v>
      </c>
      <c r="B10960" s="1" t="str">
        <f ca="1">IFERROR(__xludf.DUMMYFUNCTION("GOOGLETRANSLATE(A10960, ""en"", ""fr"")"),"Entrepris")</f>
        <v>Entrepris</v>
      </c>
      <c r="C10960" s="1" t="s">
        <v>185</v>
      </c>
      <c r="J10960" s="1" t="s">
        <v>6</v>
      </c>
      <c r="N10960" s="1" t="s">
        <v>10</v>
      </c>
      <c r="BP10960" s="1" t="s">
        <v>64</v>
      </c>
      <c r="DN10960" s="1" t="s">
        <v>114</v>
      </c>
      <c r="FR10960" s="1" t="s">
        <v>170</v>
      </c>
      <c r="GD10960" s="1" t="s">
        <v>1076</v>
      </c>
      <c r="GE10960" s="1" t="s">
        <v>190</v>
      </c>
    </row>
    <row r="10961" spans="1:187" ht="11.25" customHeight="1">
      <c r="A10961" s="1" t="s">
        <v>15450</v>
      </c>
      <c r="B10961" s="1" t="str">
        <f ca="1">IFERROR(__xludf.DUMMYFUNCTION("GOOGLETRANSLATE(A10961, ""en"", ""fr"")"),"POMPES FUNÈBRES")</f>
        <v>POMPES FUNÈBRES</v>
      </c>
      <c r="C10961" s="1" t="s">
        <v>185</v>
      </c>
      <c r="AA10961" s="1" t="s">
        <v>23</v>
      </c>
      <c r="AJ10961" s="1" t="s">
        <v>32</v>
      </c>
      <c r="AT10961" s="1" t="s">
        <v>42</v>
      </c>
      <c r="GD10961" s="1" t="s">
        <v>193</v>
      </c>
      <c r="GE10961" s="1" t="s">
        <v>190</v>
      </c>
    </row>
    <row r="10962" spans="1:187" ht="11.25" customHeight="1">
      <c r="A10962" s="1" t="s">
        <v>15451</v>
      </c>
      <c r="B10962" s="1" t="str">
        <f ca="1">IFERROR(__xludf.DUMMYFUNCTION("GOOGLETRANSLATE(A10962, ""en"", ""fr"")"),"Entrepris")</f>
        <v>Entrepris</v>
      </c>
      <c r="C10962" s="1" t="s">
        <v>185</v>
      </c>
      <c r="J10962" s="1" t="s">
        <v>6</v>
      </c>
      <c r="N10962" s="1" t="s">
        <v>10</v>
      </c>
      <c r="BV10962" s="1" t="s">
        <v>70</v>
      </c>
      <c r="DN10962" s="1" t="s">
        <v>114</v>
      </c>
      <c r="FR10962" s="1" t="s">
        <v>170</v>
      </c>
      <c r="GD10962" s="1" t="s">
        <v>189</v>
      </c>
      <c r="GE10962" s="1" t="s">
        <v>190</v>
      </c>
    </row>
    <row r="10963" spans="1:187" ht="11.25" customHeight="1">
      <c r="A10963" s="1" t="s">
        <v>15452</v>
      </c>
      <c r="B10963" s="1" t="str">
        <f ca="1">IFERROR(__xludf.DUMMYFUNCTION("GOOGLETRANSLATE(A10963, ""en"", ""fr"")"),"En cours")</f>
        <v>En cours</v>
      </c>
      <c r="C10963" s="1" t="s">
        <v>185</v>
      </c>
      <c r="BR10963" s="1" t="s">
        <v>66</v>
      </c>
      <c r="GD10963" s="1" t="s">
        <v>202</v>
      </c>
      <c r="GE10963" s="1" t="s">
        <v>190</v>
      </c>
    </row>
    <row r="10964" spans="1:187" ht="11.25" customHeight="1">
      <c r="A10964" s="1" t="s">
        <v>15453</v>
      </c>
      <c r="B10964" s="1" t="str">
        <f ca="1">IFERROR(__xludf.DUMMYFUNCTION("GOOGLETRANSLATE(A10964, ""en"", ""fr"")"),"Subi")</f>
        <v>Subi</v>
      </c>
      <c r="C10964" s="1" t="s">
        <v>185</v>
      </c>
      <c r="M10964" s="1" t="s">
        <v>9</v>
      </c>
      <c r="O10964" s="1" t="s">
        <v>11</v>
      </c>
      <c r="AN10964" s="1" t="s">
        <v>36</v>
      </c>
      <c r="DN10964" s="1" t="s">
        <v>114</v>
      </c>
      <c r="GD10964" s="1" t="s">
        <v>189</v>
      </c>
      <c r="GE10964" s="1" t="s">
        <v>190</v>
      </c>
    </row>
    <row r="10965" spans="1:187" ht="11.25" customHeight="1">
      <c r="A10965" s="1" t="s">
        <v>15454</v>
      </c>
      <c r="B10965" s="1" t="str">
        <f ca="1">IFERROR(__xludf.DUMMYFUNCTION("GOOGLETRANSLATE(A10965, ""en"", ""fr"")"),"MONDE SOUTERRAIN")</f>
        <v>MONDE SOUTERRAIN</v>
      </c>
      <c r="C10965" s="1" t="s">
        <v>192</v>
      </c>
      <c r="E10965" s="1" t="s">
        <v>16613</v>
      </c>
      <c r="AA10965" s="1" t="s">
        <v>23</v>
      </c>
      <c r="AG10965" s="1" t="s">
        <v>29</v>
      </c>
      <c r="GD10965" s="1" t="s">
        <v>193</v>
      </c>
      <c r="GE10965" s="1" t="s">
        <v>190</v>
      </c>
    </row>
    <row r="10966" spans="1:187" ht="11.25" customHeight="1">
      <c r="A10966" s="1" t="s">
        <v>15455</v>
      </c>
      <c r="B10966" s="1" t="str">
        <f ca="1">IFERROR(__xludf.DUMMYFUNCTION("GOOGLETRANSLATE(A10966, ""en"", ""fr"")"),"INDÉSIRABLE")</f>
        <v>INDÉSIRABLE</v>
      </c>
      <c r="C10966" s="1" t="s">
        <v>192</v>
      </c>
      <c r="E10966" s="1" t="s">
        <v>16613</v>
      </c>
      <c r="V10966" s="1" t="s">
        <v>18</v>
      </c>
      <c r="CM10966" s="1" t="s">
        <v>87</v>
      </c>
      <c r="DR10966" s="1" t="s">
        <v>118</v>
      </c>
      <c r="GD10966" s="1" t="s">
        <v>202</v>
      </c>
      <c r="GE10966" s="1" t="s">
        <v>190</v>
      </c>
    </row>
    <row r="10967" spans="1:187" ht="11.25" customHeight="1">
      <c r="A10967" s="1" t="s">
        <v>15456</v>
      </c>
      <c r="B10967" s="1" t="str">
        <f ca="1">IFERROR(__xludf.DUMMYFUNCTION("GOOGLETRANSLATE(A10967, ""en"", ""fr"")"),"INDÉTERMINÉ")</f>
        <v>INDÉTERMINÉ</v>
      </c>
      <c r="C10967" s="1" t="s">
        <v>185</v>
      </c>
      <c r="X10967" s="1" t="s">
        <v>20</v>
      </c>
      <c r="CH10967" s="1" t="s">
        <v>82</v>
      </c>
      <c r="DL10967" s="1" t="s">
        <v>112</v>
      </c>
      <c r="FH10967" s="1" t="s">
        <v>160</v>
      </c>
      <c r="FI10967" s="1" t="s">
        <v>161</v>
      </c>
      <c r="GD10967" s="1" t="s">
        <v>202</v>
      </c>
      <c r="GE10967" s="1" t="s">
        <v>190</v>
      </c>
    </row>
    <row r="10968" spans="1:187" ht="11.25" customHeight="1">
      <c r="A10968" s="1" t="s">
        <v>15457</v>
      </c>
      <c r="B10968" s="1" t="str">
        <f ca="1">IFERROR(__xludf.DUMMYFUNCTION("GOOGLETRANSLATE(A10968, ""en"", ""fr"")"),"Non")</f>
        <v>Non</v>
      </c>
      <c r="C10968" s="1" t="s">
        <v>185</v>
      </c>
      <c r="E10968" s="1" t="s">
        <v>16613</v>
      </c>
      <c r="H10968" s="1" t="s">
        <v>4</v>
      </c>
      <c r="I10968" s="1" t="s">
        <v>5</v>
      </c>
      <c r="N10968" s="1" t="s">
        <v>10</v>
      </c>
      <c r="AL10968" s="1" t="s">
        <v>34</v>
      </c>
      <c r="DL10968" s="1" t="s">
        <v>112</v>
      </c>
      <c r="DN10968" s="1" t="s">
        <v>114</v>
      </c>
      <c r="FO10968" s="1" t="s">
        <v>167</v>
      </c>
      <c r="GD10968" s="1" t="s">
        <v>1076</v>
      </c>
      <c r="GE10968" s="1" t="s">
        <v>190</v>
      </c>
    </row>
    <row r="10969" spans="1:187" ht="11.25" customHeight="1">
      <c r="A10969" s="1" t="s">
        <v>15458</v>
      </c>
      <c r="B10969" s="1" t="str">
        <f ca="1">IFERROR(__xludf.DUMMYFUNCTION("GOOGLETRANSLATE(A10969, ""en"", ""fr"")"),"INDIGNE")</f>
        <v>INDIGNE</v>
      </c>
      <c r="C10969" s="1" t="s">
        <v>192</v>
      </c>
      <c r="E10969" s="1" t="s">
        <v>16613</v>
      </c>
      <c r="V10969" s="1" t="s">
        <v>18</v>
      </c>
      <c r="CM10969" s="1" t="s">
        <v>87</v>
      </c>
      <c r="DR10969" s="1" t="s">
        <v>118</v>
      </c>
      <c r="GD10969" s="1" t="s">
        <v>202</v>
      </c>
      <c r="GE10969" s="1" t="s">
        <v>190</v>
      </c>
    </row>
    <row r="10970" spans="1:187" ht="11.25" customHeight="1">
      <c r="A10970" s="1" t="s">
        <v>15459</v>
      </c>
      <c r="B10970" s="1" t="str">
        <f ca="1">IFERROR(__xludf.DUMMYFUNCTION("GOOGLETRANSLATE(A10970, ""en"", ""fr"")"),"INCONTESTÉ")</f>
        <v>INCONTESTÉ</v>
      </c>
      <c r="C10970" s="1" t="s">
        <v>185</v>
      </c>
      <c r="J10970" s="1" t="s">
        <v>6</v>
      </c>
      <c r="K10970" s="1" t="s">
        <v>7</v>
      </c>
      <c r="W10970" s="1" t="s">
        <v>19</v>
      </c>
      <c r="AN10970" s="1" t="s">
        <v>36</v>
      </c>
      <c r="DL10970" s="1" t="s">
        <v>112</v>
      </c>
      <c r="FY10970" s="1" t="s">
        <v>177</v>
      </c>
      <c r="GD10970" s="1" t="s">
        <v>202</v>
      </c>
      <c r="GE10970" s="1" t="s">
        <v>190</v>
      </c>
    </row>
    <row r="10971" spans="1:187" ht="11.25" customHeight="1">
      <c r="A10971" s="1" t="s">
        <v>15460</v>
      </c>
      <c r="B10971" s="1" t="str">
        <f ca="1">IFERROR(__xludf.DUMMYFUNCTION("GOOGLETRANSLATE(A10971, ""en"", ""fr"")"),"PAISIBLE")</f>
        <v>PAISIBLE</v>
      </c>
      <c r="C10971" s="1" t="s">
        <v>196</v>
      </c>
      <c r="GD10971" s="1" t="s">
        <v>202</v>
      </c>
    </row>
    <row r="10972" spans="1:187" ht="11.25" customHeight="1">
      <c r="A10972" s="1" t="s">
        <v>15461</v>
      </c>
      <c r="B10972" s="1" t="str">
        <f ca="1">IFERROR(__xludf.DUMMYFUNCTION("GOOGLETRANSLATE(A10972, ""en"", ""fr"")"),"Indivis")</f>
        <v>Indivis</v>
      </c>
      <c r="C10972" s="1" t="s">
        <v>196</v>
      </c>
      <c r="GD10972" s="1" t="s">
        <v>202</v>
      </c>
    </row>
    <row r="10973" spans="1:187" ht="11.25" customHeight="1">
      <c r="A10973" s="1" t="s">
        <v>15462</v>
      </c>
      <c r="B10973" s="1" t="str">
        <f ca="1">IFERROR(__xludf.DUMMYFUNCTION("GOOGLETRANSLATE(A10973, ""en"", ""fr"")"),"ANNULER")</f>
        <v>ANNULER</v>
      </c>
      <c r="C10973" s="1" t="s">
        <v>185</v>
      </c>
      <c r="E10973" s="1" t="s">
        <v>16613</v>
      </c>
      <c r="H10973" s="1" t="s">
        <v>4</v>
      </c>
      <c r="I10973" s="1" t="s">
        <v>5</v>
      </c>
      <c r="N10973" s="1" t="s">
        <v>10</v>
      </c>
      <c r="AL10973" s="1" t="s">
        <v>34</v>
      </c>
      <c r="DL10973" s="1" t="s">
        <v>112</v>
      </c>
      <c r="DN10973" s="1" t="s">
        <v>114</v>
      </c>
      <c r="FO10973" s="1" t="s">
        <v>167</v>
      </c>
      <c r="GD10973" s="1" t="s">
        <v>189</v>
      </c>
      <c r="GE10973" s="1" t="s">
        <v>190</v>
      </c>
    </row>
    <row r="10974" spans="1:187" ht="11.25" customHeight="1">
      <c r="A10974" s="1" t="s">
        <v>15463</v>
      </c>
      <c r="B10974" s="1" t="str">
        <f ca="1">IFERROR(__xludf.DUMMYFUNCTION("GOOGLETRANSLATE(A10974, ""en"", ""fr"")"),"DÉFAIT")</f>
        <v>DÉFAIT</v>
      </c>
      <c r="C10974" s="1" t="s">
        <v>185</v>
      </c>
      <c r="E10974" s="1" t="s">
        <v>16613</v>
      </c>
      <c r="H10974" s="1" t="s">
        <v>4</v>
      </c>
      <c r="I10974" s="1" t="s">
        <v>5</v>
      </c>
      <c r="O10974" s="1" t="s">
        <v>11</v>
      </c>
      <c r="AL10974" s="1" t="s">
        <v>34</v>
      </c>
      <c r="DL10974" s="1" t="s">
        <v>112</v>
      </c>
      <c r="DN10974" s="1" t="s">
        <v>114</v>
      </c>
      <c r="FO10974" s="1" t="s">
        <v>167</v>
      </c>
      <c r="GD10974" s="1" t="s">
        <v>1076</v>
      </c>
      <c r="GE10974" s="1" t="s">
        <v>190</v>
      </c>
    </row>
    <row r="10975" spans="1:187" ht="11.25" customHeight="1">
      <c r="A10975" s="1" t="s">
        <v>15464</v>
      </c>
      <c r="B10975" s="1" t="str">
        <f ca="1">IFERROR(__xludf.DUMMYFUNCTION("GOOGLETRANSLATE(A10975, ""en"", ""fr"")"),"Sans aucun doute")</f>
        <v>Sans aucun doute</v>
      </c>
      <c r="C10975" s="1" t="s">
        <v>196</v>
      </c>
      <c r="FY10975" s="1" t="s">
        <v>177</v>
      </c>
      <c r="GD10975" s="1" t="s">
        <v>236</v>
      </c>
    </row>
    <row r="10976" spans="1:187" ht="11.25" customHeight="1">
      <c r="A10976" s="1" t="s">
        <v>15465</v>
      </c>
      <c r="B10976" s="1" t="str">
        <f ca="1">IFERROR(__xludf.DUMMYFUNCTION("GOOGLETRANSLATE(A10976, ""en"", ""fr"")"),"INDUBITABLE")</f>
        <v>INDUBITABLE</v>
      </c>
      <c r="C10976" s="1" t="s">
        <v>185</v>
      </c>
      <c r="D10976" s="1" t="s">
        <v>16612</v>
      </c>
      <c r="F10976" s="1" t="s">
        <v>2</v>
      </c>
      <c r="J10976" s="1" t="s">
        <v>6</v>
      </c>
      <c r="U10976" s="1" t="s">
        <v>17</v>
      </c>
      <c r="W10976" s="1" t="s">
        <v>19</v>
      </c>
      <c r="DL10976" s="1" t="s">
        <v>112</v>
      </c>
      <c r="FY10976" s="1" t="s">
        <v>177</v>
      </c>
      <c r="GD10976" s="1" t="s">
        <v>202</v>
      </c>
      <c r="GE10976" s="1" t="s">
        <v>190</v>
      </c>
    </row>
    <row r="10977" spans="1:187" ht="11.25" customHeight="1">
      <c r="A10977" s="1" t="s">
        <v>15466</v>
      </c>
      <c r="B10977" s="1" t="str">
        <f ca="1">IFERROR(__xludf.DUMMYFUNCTION("GOOGLETRANSLATE(A10977, ""en"", ""fr"")"),"INDUBITABLEMENT")</f>
        <v>INDUBITABLEMENT</v>
      </c>
      <c r="C10977" s="1" t="s">
        <v>192</v>
      </c>
      <c r="D10977" s="1" t="s">
        <v>16612</v>
      </c>
      <c r="F10977" s="1" t="s">
        <v>2</v>
      </c>
      <c r="J10977" s="1" t="s">
        <v>6</v>
      </c>
      <c r="U10977" s="1" t="s">
        <v>17</v>
      </c>
      <c r="W10977" s="1" t="s">
        <v>19</v>
      </c>
      <c r="DL10977" s="1" t="s">
        <v>112</v>
      </c>
      <c r="GD10977" s="1" t="s">
        <v>236</v>
      </c>
      <c r="GE10977" s="1" t="s">
        <v>190</v>
      </c>
    </row>
    <row r="10978" spans="1:187" ht="11.25" customHeight="1">
      <c r="A10978" s="1" t="s">
        <v>15467</v>
      </c>
      <c r="B10978" s="1" t="str">
        <f ca="1">IFERROR(__xludf.DUMMYFUNCTION("GOOGLETRANSLATE(A10978, ""en"", ""fr"")"),"INDU")</f>
        <v>INDU</v>
      </c>
      <c r="C10978" s="1" t="s">
        <v>185</v>
      </c>
      <c r="E10978" s="1" t="s">
        <v>16613</v>
      </c>
      <c r="H10978" s="1" t="s">
        <v>4</v>
      </c>
      <c r="V10978" s="1" t="s">
        <v>18</v>
      </c>
      <c r="CN10978" s="1" t="s">
        <v>88</v>
      </c>
      <c r="DL10978" s="1" t="s">
        <v>112</v>
      </c>
      <c r="GD10978" s="1" t="s">
        <v>202</v>
      </c>
      <c r="GE10978" s="1" t="s">
        <v>190</v>
      </c>
    </row>
    <row r="10979" spans="1:187" ht="11.25" customHeight="1">
      <c r="A10979" s="1" t="s">
        <v>15468</v>
      </c>
      <c r="B10979" s="1" t="str">
        <f ca="1">IFERROR(__xludf.DUMMYFUNCTION("GOOGLETRANSLATE(A10979, ""en"", ""fr"")"),"INQUIÉTUDE")</f>
        <v>INQUIÉTUDE</v>
      </c>
      <c r="C10979" s="1" t="s">
        <v>185</v>
      </c>
      <c r="E10979" s="1" t="s">
        <v>16613</v>
      </c>
      <c r="Q10979" s="1" t="s">
        <v>13</v>
      </c>
      <c r="T10979" s="1" t="s">
        <v>16</v>
      </c>
      <c r="FZ10979" s="1" t="s">
        <v>178</v>
      </c>
      <c r="GD10979" s="1" t="s">
        <v>193</v>
      </c>
      <c r="GE10979" s="1" t="s">
        <v>190</v>
      </c>
    </row>
    <row r="10980" spans="1:187" ht="11.25" customHeight="1">
      <c r="A10980" s="1" t="s">
        <v>15469</v>
      </c>
      <c r="B10980" s="1" t="str">
        <f ca="1">IFERROR(__xludf.DUMMYFUNCTION("GOOGLETRANSLATE(A10980, ""en"", ""fr"")"),"INQUIET")</f>
        <v>INQUIET</v>
      </c>
      <c r="C10980" s="1" t="s">
        <v>185</v>
      </c>
      <c r="E10980" s="1" t="s">
        <v>16613</v>
      </c>
      <c r="H10980" s="1" t="s">
        <v>4</v>
      </c>
      <c r="L10980" s="1" t="s">
        <v>8</v>
      </c>
      <c r="Q10980" s="1" t="s">
        <v>13</v>
      </c>
      <c r="T10980" s="1" t="s">
        <v>16</v>
      </c>
      <c r="DL10980" s="1" t="s">
        <v>112</v>
      </c>
      <c r="DR10980" s="1" t="s">
        <v>118</v>
      </c>
      <c r="FZ10980" s="1" t="s">
        <v>178</v>
      </c>
      <c r="GD10980" s="1" t="s">
        <v>202</v>
      </c>
      <c r="GE10980" s="1" t="s">
        <v>190</v>
      </c>
    </row>
    <row r="10981" spans="1:187" ht="11.25" customHeight="1">
      <c r="A10981" s="1" t="s">
        <v>15470</v>
      </c>
      <c r="B10981" s="1" t="str">
        <f ca="1">IFERROR(__xludf.DUMMYFUNCTION("GOOGLETRANSLATE(A10981, ""en"", ""fr"")"),"PEU RENTABLE")</f>
        <v>PEU RENTABLE</v>
      </c>
      <c r="C10981" s="1" t="s">
        <v>192</v>
      </c>
      <c r="E10981" s="1" t="s">
        <v>16613</v>
      </c>
      <c r="V10981" s="1" t="s">
        <v>18</v>
      </c>
      <c r="AA10981" s="1" t="s">
        <v>23</v>
      </c>
      <c r="CM10981" s="1" t="s">
        <v>87</v>
      </c>
      <c r="DR10981" s="1" t="s">
        <v>118</v>
      </c>
      <c r="GD10981" s="1" t="s">
        <v>202</v>
      </c>
      <c r="GE10981" s="1" t="s">
        <v>190</v>
      </c>
    </row>
    <row r="10982" spans="1:187" ht="11.25" customHeight="1">
      <c r="A10982" s="1" t="s">
        <v>15471</v>
      </c>
      <c r="B10982" s="1" t="str">
        <f ca="1">IFERROR(__xludf.DUMMYFUNCTION("GOOGLETRANSLATE(A10982, ""en"", ""fr"")"),"SANS EMPLOI")</f>
        <v>SANS EMPLOI</v>
      </c>
      <c r="C10982" s="1" t="s">
        <v>185</v>
      </c>
      <c r="E10982" s="1" t="s">
        <v>16613</v>
      </c>
      <c r="L10982" s="1" t="s">
        <v>8</v>
      </c>
      <c r="V10982" s="1" t="s">
        <v>18</v>
      </c>
      <c r="AA10982" s="1" t="s">
        <v>23</v>
      </c>
      <c r="DR10982" s="1" t="s">
        <v>118</v>
      </c>
      <c r="EV10982" s="1" t="s">
        <v>148</v>
      </c>
      <c r="EW10982" s="1" t="s">
        <v>149</v>
      </c>
      <c r="GD10982" s="1" t="s">
        <v>202</v>
      </c>
      <c r="GE10982" s="1" t="s">
        <v>190</v>
      </c>
    </row>
    <row r="10983" spans="1:187" ht="11.25" customHeight="1">
      <c r="A10983" s="1" t="s">
        <v>15472</v>
      </c>
      <c r="B10983" s="1" t="str">
        <f ca="1">IFERROR(__xludf.DUMMYFUNCTION("GOOGLETRANSLATE(A10983, ""en"", ""fr"")"),"CHÔMAGE")</f>
        <v>CHÔMAGE</v>
      </c>
      <c r="C10983" s="1" t="s">
        <v>185</v>
      </c>
      <c r="V10983" s="1" t="s">
        <v>18</v>
      </c>
      <c r="AA10983" s="1" t="s">
        <v>23</v>
      </c>
      <c r="AC10983" s="1" t="s">
        <v>25</v>
      </c>
      <c r="AH10983" s="1" t="s">
        <v>30</v>
      </c>
      <c r="DL10983" s="1" t="s">
        <v>112</v>
      </c>
      <c r="EV10983" s="1" t="s">
        <v>148</v>
      </c>
      <c r="EW10983" s="1" t="s">
        <v>149</v>
      </c>
      <c r="GD10983" s="1" t="s">
        <v>193</v>
      </c>
      <c r="GE10983" s="1" t="s">
        <v>190</v>
      </c>
    </row>
    <row r="10984" spans="1:187" ht="11.25" customHeight="1">
      <c r="A10984" s="1" t="s">
        <v>15473</v>
      </c>
      <c r="B10984" s="1" t="str">
        <f ca="1">IFERROR(__xludf.DUMMYFUNCTION("GOOGLETRANSLATE(A10984, ""en"", ""fr"")"),"INÉGAL")</f>
        <v>INÉGAL</v>
      </c>
      <c r="C10984" s="1" t="s">
        <v>185</v>
      </c>
      <c r="E10984" s="1" t="s">
        <v>16613</v>
      </c>
      <c r="H10984" s="1" t="s">
        <v>4</v>
      </c>
      <c r="CS10984" s="1" t="s">
        <v>93</v>
      </c>
      <c r="DL10984" s="1" t="s">
        <v>112</v>
      </c>
      <c r="EC10984" s="1" t="s">
        <v>129</v>
      </c>
      <c r="ED10984" s="1" t="s">
        <v>130</v>
      </c>
      <c r="GD10984" s="1" t="s">
        <v>202</v>
      </c>
      <c r="GE10984" s="1" t="s">
        <v>190</v>
      </c>
    </row>
    <row r="10985" spans="1:187" ht="11.25" customHeight="1">
      <c r="A10985" s="1" t="s">
        <v>15474</v>
      </c>
      <c r="B10985" s="1" t="str">
        <f ca="1">IFERROR(__xludf.DUMMYFUNCTION("GOOGLETRANSLATE(A10985, ""en"", ""fr"")"),"SANS ÉQUIVOQUE")</f>
        <v>SANS ÉQUIVOQUE</v>
      </c>
      <c r="C10985" s="1" t="s">
        <v>185</v>
      </c>
      <c r="J10985" s="1" t="s">
        <v>6</v>
      </c>
      <c r="W10985" s="1" t="s">
        <v>19</v>
      </c>
      <c r="BK10985" s="1" t="s">
        <v>59</v>
      </c>
      <c r="DL10985" s="1" t="s">
        <v>112</v>
      </c>
      <c r="FY10985" s="1" t="s">
        <v>177</v>
      </c>
      <c r="GD10985" s="1" t="s">
        <v>202</v>
      </c>
      <c r="GE10985" s="1" t="s">
        <v>190</v>
      </c>
    </row>
    <row r="10986" spans="1:187" ht="11.25" customHeight="1">
      <c r="A10986" s="1" t="s">
        <v>15475</v>
      </c>
      <c r="B10986" s="1" t="str">
        <f ca="1">IFERROR(__xludf.DUMMYFUNCTION("GOOGLETRANSLATE(A10986, ""en"", ""fr"")"),"UNESCO")</f>
        <v>UNESCO</v>
      </c>
      <c r="C10986" s="1" t="s">
        <v>196</v>
      </c>
      <c r="GD10986" s="1" t="s">
        <v>2981</v>
      </c>
    </row>
    <row r="10987" spans="1:187" ht="11.25" customHeight="1">
      <c r="A10987" s="1" t="s">
        <v>15476</v>
      </c>
      <c r="B10987" s="1" t="str">
        <f ca="1">IFERROR(__xludf.DUMMYFUNCTION("GOOGLETRANSLATE(A10987, ""en"", ""fr"")"),"INÉGAL")</f>
        <v>INÉGAL</v>
      </c>
      <c r="C10987" s="1" t="s">
        <v>185</v>
      </c>
      <c r="E10987" s="1" t="s">
        <v>16613</v>
      </c>
      <c r="H10987" s="1" t="s">
        <v>4</v>
      </c>
      <c r="CR10987" s="1" t="s">
        <v>92</v>
      </c>
      <c r="DL10987" s="1" t="s">
        <v>112</v>
      </c>
      <c r="GD10987" s="1" t="s">
        <v>202</v>
      </c>
      <c r="GE10987" s="1" t="s">
        <v>190</v>
      </c>
    </row>
    <row r="10988" spans="1:187" ht="11.25" customHeight="1">
      <c r="A10988" s="1" t="s">
        <v>15477</v>
      </c>
      <c r="B10988" s="1" t="str">
        <f ca="1">IFERROR(__xludf.DUMMYFUNCTION("GOOGLETRANSLATE(A10988, ""en"", ""fr"")"),"INATTENDU")</f>
        <v>INATTENDU</v>
      </c>
      <c r="C10988" s="1" t="s">
        <v>185</v>
      </c>
      <c r="S10988" s="1" t="s">
        <v>15</v>
      </c>
      <c r="DL10988" s="1" t="s">
        <v>112</v>
      </c>
      <c r="FZ10988" s="1" t="s">
        <v>178</v>
      </c>
      <c r="GD10988" s="1" t="s">
        <v>202</v>
      </c>
      <c r="GE10988" s="1" t="s">
        <v>190</v>
      </c>
    </row>
    <row r="10989" spans="1:187" ht="11.25" customHeight="1">
      <c r="A10989" s="1" t="s">
        <v>15478</v>
      </c>
      <c r="B10989" s="1" t="str">
        <f ca="1">IFERROR(__xludf.DUMMYFUNCTION("GOOGLETRANSLATE(A10989, ""en"", ""fr"")"),"De façon inattendue")</f>
        <v>De façon inattendue</v>
      </c>
      <c r="C10989" s="1" t="s">
        <v>192</v>
      </c>
      <c r="E10989" s="1" t="s">
        <v>16613</v>
      </c>
      <c r="V10989" s="1" t="s">
        <v>18</v>
      </c>
      <c r="CM10989" s="1" t="s">
        <v>87</v>
      </c>
      <c r="GD10989" s="1" t="s">
        <v>202</v>
      </c>
      <c r="GE10989" s="1" t="s">
        <v>190</v>
      </c>
    </row>
    <row r="10990" spans="1:187" ht="11.25" customHeight="1">
      <c r="A10990" s="1" t="s">
        <v>15479</v>
      </c>
      <c r="B10990" s="1" t="str">
        <f ca="1">IFERROR(__xludf.DUMMYFUNCTION("GOOGLETRANSLATE(A10990, ""en"", ""fr"")"),"Inébranlable")</f>
        <v>Inébranlable</v>
      </c>
      <c r="C10990" s="1" t="s">
        <v>185</v>
      </c>
      <c r="J10990" s="1" t="s">
        <v>6</v>
      </c>
      <c r="W10990" s="1" t="s">
        <v>19</v>
      </c>
      <c r="BR10990" s="1" t="s">
        <v>66</v>
      </c>
      <c r="DL10990" s="1" t="s">
        <v>112</v>
      </c>
      <c r="FY10990" s="1" t="s">
        <v>177</v>
      </c>
      <c r="GD10990" s="1" t="s">
        <v>202</v>
      </c>
      <c r="GE10990" s="1" t="s">
        <v>190</v>
      </c>
    </row>
    <row r="10991" spans="1:187" ht="11.25" customHeight="1">
      <c r="A10991" s="1" t="s">
        <v>15480</v>
      </c>
      <c r="B10991" s="1" t="str">
        <f ca="1">IFERROR(__xludf.DUMMYFUNCTION("GOOGLETRANSLATE(A10991, ""en"", ""fr"")"),"INJUSTE")</f>
        <v>INJUSTE</v>
      </c>
      <c r="C10991" s="1" t="s">
        <v>185</v>
      </c>
      <c r="E10991" s="1" t="s">
        <v>16613</v>
      </c>
      <c r="H10991" s="1" t="s">
        <v>4</v>
      </c>
      <c r="I10991" s="1" t="s">
        <v>5</v>
      </c>
      <c r="V10991" s="1" t="s">
        <v>18</v>
      </c>
      <c r="CN10991" s="1" t="s">
        <v>88</v>
      </c>
      <c r="DL10991" s="1" t="s">
        <v>112</v>
      </c>
      <c r="EE10991" s="1" t="s">
        <v>131</v>
      </c>
      <c r="EJ10991" s="1" t="s">
        <v>136</v>
      </c>
      <c r="GD10991" s="1" t="s">
        <v>202</v>
      </c>
      <c r="GE10991" s="1" t="s">
        <v>190</v>
      </c>
    </row>
    <row r="10992" spans="1:187" ht="11.25" customHeight="1">
      <c r="A10992" s="1" t="s">
        <v>15481</v>
      </c>
      <c r="B10992" s="1" t="str">
        <f ca="1">IFERROR(__xludf.DUMMYFUNCTION("GOOGLETRANSLATE(A10992, ""en"", ""fr"")"),"INFIDÈLE")</f>
        <v>INFIDÈLE</v>
      </c>
      <c r="C10992" s="1" t="s">
        <v>192</v>
      </c>
      <c r="E10992" s="1" t="s">
        <v>16613</v>
      </c>
      <c r="L10992" s="1" t="s">
        <v>8</v>
      </c>
      <c r="V10992" s="1" t="s">
        <v>18</v>
      </c>
      <c r="BT10992" s="1" t="s">
        <v>68</v>
      </c>
      <c r="DQ10992" s="1" t="s">
        <v>117</v>
      </c>
      <c r="GD10992" s="1" t="s">
        <v>202</v>
      </c>
      <c r="GE10992" s="1" t="s">
        <v>190</v>
      </c>
    </row>
    <row r="10993" spans="1:187" ht="11.25" customHeight="1">
      <c r="A10993" s="1" t="s">
        <v>15482</v>
      </c>
      <c r="B10993" s="1" t="str">
        <f ca="1">IFERROR(__xludf.DUMMYFUNCTION("GOOGLETRANSLATE(A10993, ""en"", ""fr"")"),"INCONNU")</f>
        <v>INCONNU</v>
      </c>
      <c r="C10993" s="1" t="s">
        <v>192</v>
      </c>
      <c r="E10993" s="1" t="s">
        <v>16613</v>
      </c>
      <c r="L10993" s="1" t="s">
        <v>8</v>
      </c>
      <c r="V10993" s="1" t="s">
        <v>18</v>
      </c>
      <c r="CM10993" s="1" t="s">
        <v>87</v>
      </c>
      <c r="DR10993" s="1" t="s">
        <v>118</v>
      </c>
      <c r="GD10993" s="1" t="s">
        <v>202</v>
      </c>
      <c r="GE10993" s="1" t="s">
        <v>190</v>
      </c>
    </row>
    <row r="10994" spans="1:187" ht="11.25" customHeight="1">
      <c r="A10994" s="1" t="s">
        <v>15483</v>
      </c>
      <c r="B10994" s="1" t="str">
        <f ca="1">IFERROR(__xludf.DUMMYFUNCTION("GOOGLETRANSLATE(A10994, ""en"", ""fr"")"),"DÉFAVORABLE")</f>
        <v>DÉFAVORABLE</v>
      </c>
      <c r="C10994" s="1" t="s">
        <v>185</v>
      </c>
      <c r="E10994" s="1" t="s">
        <v>16613</v>
      </c>
      <c r="H10994" s="1" t="s">
        <v>4</v>
      </c>
      <c r="V10994" s="1" t="s">
        <v>18</v>
      </c>
      <c r="X10994" s="1" t="s">
        <v>20</v>
      </c>
      <c r="DL10994" s="1" t="s">
        <v>112</v>
      </c>
      <c r="FW10994" s="1" t="s">
        <v>175</v>
      </c>
      <c r="GD10994" s="1" t="s">
        <v>202</v>
      </c>
      <c r="GE10994" s="1" t="s">
        <v>190</v>
      </c>
    </row>
    <row r="10995" spans="1:187" ht="11.25" customHeight="1">
      <c r="A10995" s="1" t="s">
        <v>15484</v>
      </c>
      <c r="B10995" s="1" t="str">
        <f ca="1">IFERROR(__xludf.DUMMYFUNCTION("GOOGLETRANSLATE(A10995, ""en"", ""fr"")"),"Défavorable n ° 1")</f>
        <v>Défavorable n ° 1</v>
      </c>
      <c r="C10995" s="1" t="s">
        <v>192</v>
      </c>
      <c r="GE10995" s="1" t="s">
        <v>190</v>
      </c>
    </row>
    <row r="10996" spans="1:187" ht="11.25" customHeight="1">
      <c r="A10996" s="1" t="s">
        <v>15485</v>
      </c>
      <c r="B10996" s="1" t="str">
        <f ca="1">IFERROR(__xludf.DUMMYFUNCTION("GOOGLETRANSLATE(A10996, ""en"", ""fr"")"),"INSENSIBLE")</f>
        <v>INSENSIBLE</v>
      </c>
      <c r="C10996" s="1" t="s">
        <v>192</v>
      </c>
      <c r="E10996" s="1" t="s">
        <v>16613</v>
      </c>
      <c r="R10996" s="1" t="s">
        <v>14</v>
      </c>
      <c r="V10996" s="1" t="s">
        <v>18</v>
      </c>
      <c r="DR10996" s="1" t="s">
        <v>118</v>
      </c>
      <c r="GD10996" s="1" t="s">
        <v>202</v>
      </c>
      <c r="GE10996" s="1" t="s">
        <v>190</v>
      </c>
    </row>
    <row r="10997" spans="1:187" ht="11.25" customHeight="1">
      <c r="A10997" s="1" t="s">
        <v>15486</v>
      </c>
      <c r="B10997" s="1" t="str">
        <f ca="1">IFERROR(__xludf.DUMMYFUNCTION("GOOGLETRANSLATE(A10997, ""en"", ""fr"")"),"SANS ENTRAVE")</f>
        <v>SANS ENTRAVE</v>
      </c>
      <c r="C10997" s="1" t="s">
        <v>196</v>
      </c>
      <c r="DS10997" s="1" t="s">
        <v>119</v>
      </c>
      <c r="ED10997" s="1" t="s">
        <v>130</v>
      </c>
      <c r="GD10997" s="1" t="s">
        <v>212</v>
      </c>
    </row>
    <row r="10998" spans="1:187" ht="11.25" customHeight="1">
      <c r="A10998" s="1" t="s">
        <v>15487</v>
      </c>
      <c r="B10998" s="1" t="str">
        <f ca="1">IFERROR(__xludf.DUMMYFUNCTION("GOOGLETRANSLATE(A10998, ""en"", ""fr"")"),"INACHEVÉ")</f>
        <v>INACHEVÉ</v>
      </c>
      <c r="C10998" s="1" t="s">
        <v>185</v>
      </c>
      <c r="L10998" s="1" t="s">
        <v>8</v>
      </c>
      <c r="BZ10998" s="1" t="s">
        <v>74</v>
      </c>
      <c r="DL10998" s="1" t="s">
        <v>112</v>
      </c>
      <c r="DN10998" s="1" t="s">
        <v>114</v>
      </c>
      <c r="GD10998" s="1" t="s">
        <v>189</v>
      </c>
      <c r="GE10998" s="1" t="s">
        <v>190</v>
      </c>
    </row>
    <row r="10999" spans="1:187" ht="11.25" customHeight="1">
      <c r="A10999" s="1" t="s">
        <v>15488</v>
      </c>
      <c r="B10999" s="1" t="str">
        <f ca="1">IFERROR(__xludf.DUMMYFUNCTION("GOOGLETRANSLATE(A10999, ""en"", ""fr"")"),"INAPTE")</f>
        <v>INAPTE</v>
      </c>
      <c r="C10999" s="1" t="s">
        <v>185</v>
      </c>
      <c r="E10999" s="1" t="s">
        <v>16613</v>
      </c>
      <c r="H10999" s="1" t="s">
        <v>4</v>
      </c>
      <c r="L10999" s="1" t="s">
        <v>8</v>
      </c>
      <c r="V10999" s="1" t="s">
        <v>18</v>
      </c>
      <c r="DL10999" s="1" t="s">
        <v>112</v>
      </c>
      <c r="FW10999" s="1" t="s">
        <v>175</v>
      </c>
      <c r="GD10999" s="1" t="s">
        <v>202</v>
      </c>
      <c r="GE10999" s="1" t="s">
        <v>190</v>
      </c>
    </row>
    <row r="11000" spans="1:187" ht="11.25" customHeight="1">
      <c r="A11000" s="1" t="s">
        <v>15489</v>
      </c>
      <c r="B11000" s="1" t="str">
        <f ca="1">IFERROR(__xludf.DUMMYFUNCTION("GOOGLETRANSLATE(A11000, ""en"", ""fr"")"),"IMPRÉVU")</f>
        <v>IMPRÉVU</v>
      </c>
      <c r="C11000" s="1" t="s">
        <v>192</v>
      </c>
      <c r="E11000" s="1" t="s">
        <v>16613</v>
      </c>
      <c r="BT11000" s="1" t="s">
        <v>68</v>
      </c>
      <c r="CK11000" s="1" t="s">
        <v>85</v>
      </c>
      <c r="DR11000" s="1" t="s">
        <v>118</v>
      </c>
      <c r="GD11000" s="1" t="s">
        <v>202</v>
      </c>
      <c r="GE11000" s="1" t="s">
        <v>190</v>
      </c>
    </row>
    <row r="11001" spans="1:187" ht="11.25" customHeight="1">
      <c r="A11001" s="1" t="s">
        <v>15490</v>
      </c>
      <c r="B11001" s="1" t="str">
        <f ca="1">IFERROR(__xludf.DUMMYFUNCTION("GOOGLETRANSLATE(A11001, ""en"", ""fr"")"),"INOUBLIABLE")</f>
        <v>INOUBLIABLE</v>
      </c>
      <c r="C11001" s="1" t="s">
        <v>192</v>
      </c>
      <c r="D11001" s="1" t="s">
        <v>16612</v>
      </c>
      <c r="CM11001" s="1" t="s">
        <v>87</v>
      </c>
      <c r="CR11001" s="1" t="s">
        <v>92</v>
      </c>
      <c r="DL11001" s="1" t="s">
        <v>112</v>
      </c>
      <c r="DR11001" s="1" t="s">
        <v>118</v>
      </c>
      <c r="GD11001" s="1" t="s">
        <v>202</v>
      </c>
      <c r="GE11001" s="1" t="s">
        <v>190</v>
      </c>
    </row>
    <row r="11002" spans="1:187" ht="11.25" customHeight="1">
      <c r="A11002" s="1" t="s">
        <v>15491</v>
      </c>
      <c r="B11002" s="1" t="str">
        <f ca="1">IFERROR(__xludf.DUMMYFUNCTION("GOOGLETRANSLATE(A11002, ""en"", ""fr"")"),"Malheureux # 1")</f>
        <v>Malheureux # 1</v>
      </c>
      <c r="C11002" s="1" t="s">
        <v>185</v>
      </c>
      <c r="E11002" s="1" t="s">
        <v>16613</v>
      </c>
      <c r="H11002" s="1" t="s">
        <v>4</v>
      </c>
      <c r="L11002" s="1" t="s">
        <v>8</v>
      </c>
      <c r="V11002" s="1" t="s">
        <v>18</v>
      </c>
      <c r="X11002" s="1" t="s">
        <v>20</v>
      </c>
      <c r="CN11002" s="1" t="s">
        <v>88</v>
      </c>
      <c r="DL11002" s="1" t="s">
        <v>112</v>
      </c>
      <c r="FR11002" s="1" t="s">
        <v>170</v>
      </c>
      <c r="GD11002" s="1" t="s">
        <v>202</v>
      </c>
      <c r="GE11002" s="1" t="s">
        <v>15492</v>
      </c>
    </row>
    <row r="11003" spans="1:187" ht="11.25" customHeight="1">
      <c r="A11003" s="1" t="s">
        <v>15493</v>
      </c>
      <c r="B11003" s="1" t="str">
        <f ca="1">IFERROR(__xludf.DUMMYFUNCTION("GOOGLETRANSLATE(A11003, ""en"", ""fr"")"),"Malheureux # 2")</f>
        <v>Malheureux # 2</v>
      </c>
      <c r="C11003" s="1" t="s">
        <v>185</v>
      </c>
      <c r="E11003" s="1" t="s">
        <v>16613</v>
      </c>
      <c r="H11003" s="1" t="s">
        <v>4</v>
      </c>
      <c r="V11003" s="1" t="s">
        <v>18</v>
      </c>
      <c r="X11003" s="1" t="s">
        <v>20</v>
      </c>
      <c r="DL11003" s="1" t="s">
        <v>112</v>
      </c>
      <c r="FR11003" s="1" t="s">
        <v>170</v>
      </c>
      <c r="GD11003" s="1" t="s">
        <v>236</v>
      </c>
      <c r="GE11003" s="1" t="s">
        <v>15494</v>
      </c>
    </row>
    <row r="11004" spans="1:187" ht="11.25" customHeight="1">
      <c r="A11004" s="1" t="s">
        <v>15495</v>
      </c>
      <c r="B11004" s="1" t="str">
        <f ca="1">IFERROR(__xludf.DUMMYFUNCTION("GOOGLETRANSLATE(A11004, ""en"", ""fr"")"),"Malheureux # 3")</f>
        <v>Malheureux # 3</v>
      </c>
      <c r="C11004" s="1" t="s">
        <v>185</v>
      </c>
      <c r="E11004" s="1" t="s">
        <v>16613</v>
      </c>
      <c r="H11004" s="1" t="s">
        <v>4</v>
      </c>
      <c r="L11004" s="1" t="s">
        <v>8</v>
      </c>
      <c r="M11004" s="1" t="s">
        <v>9</v>
      </c>
      <c r="AK11004" s="1" t="s">
        <v>33</v>
      </c>
      <c r="AT11004" s="1" t="s">
        <v>42</v>
      </c>
      <c r="DL11004" s="1" t="s">
        <v>112</v>
      </c>
      <c r="EM11004" s="1" t="s">
        <v>139</v>
      </c>
      <c r="EN11004" s="1" t="s">
        <v>140</v>
      </c>
      <c r="GD11004" s="1" t="s">
        <v>193</v>
      </c>
      <c r="GE11004" s="1" t="s">
        <v>15496</v>
      </c>
    </row>
    <row r="11005" spans="1:187" ht="11.25" customHeight="1">
      <c r="A11005" s="1" t="s">
        <v>15497</v>
      </c>
      <c r="B11005" s="1" t="str">
        <f ca="1">IFERROR(__xludf.DUMMYFUNCTION("GOOGLETRANSLATE(A11005, ""en"", ""fr"")"),"HOSTILE")</f>
        <v>HOSTILE</v>
      </c>
      <c r="C11005" s="1" t="s">
        <v>192</v>
      </c>
      <c r="E11005" s="1" t="s">
        <v>16613</v>
      </c>
      <c r="V11005" s="1" t="s">
        <v>18</v>
      </c>
      <c r="CM11005" s="1" t="s">
        <v>87</v>
      </c>
      <c r="DQ11005" s="1" t="s">
        <v>117</v>
      </c>
      <c r="GD11005" s="1" t="s">
        <v>202</v>
      </c>
      <c r="GE11005" s="1" t="s">
        <v>190</v>
      </c>
    </row>
    <row r="11006" spans="1:187" ht="11.25" customHeight="1">
      <c r="A11006" s="1" t="s">
        <v>15498</v>
      </c>
      <c r="B11006" s="1" t="str">
        <f ca="1">IFERROR(__xludf.DUMMYFUNCTION("GOOGLETRANSLATE(A11006, ""en"", ""fr"")"),"INGRAT")</f>
        <v>INGRAT</v>
      </c>
      <c r="C11006" s="1" t="s">
        <v>185</v>
      </c>
      <c r="E11006" s="1" t="s">
        <v>16613</v>
      </c>
      <c r="V11006" s="1" t="s">
        <v>18</v>
      </c>
      <c r="CM11006" s="1" t="s">
        <v>87</v>
      </c>
      <c r="DQ11006" s="1" t="s">
        <v>117</v>
      </c>
      <c r="EE11006" s="1" t="s">
        <v>131</v>
      </c>
      <c r="EJ11006" s="1" t="s">
        <v>136</v>
      </c>
      <c r="GD11006" s="1" t="s">
        <v>202</v>
      </c>
      <c r="GE11006" s="1" t="s">
        <v>190</v>
      </c>
    </row>
    <row r="11007" spans="1:187" ht="11.25" customHeight="1">
      <c r="A11007" s="1" t="s">
        <v>15499</v>
      </c>
      <c r="B11007" s="1" t="str">
        <f ca="1">IFERROR(__xludf.DUMMYFUNCTION("GOOGLETRANSLATE(A11007, ""en"", ""fr"")"),"NON GARDÉ")</f>
        <v>NON GARDÉ</v>
      </c>
      <c r="C11007" s="1" t="s">
        <v>192</v>
      </c>
      <c r="E11007" s="1" t="s">
        <v>16613</v>
      </c>
      <c r="L11007" s="1" t="s">
        <v>8</v>
      </c>
      <c r="DR11007" s="1" t="s">
        <v>118</v>
      </c>
      <c r="GD11007" s="1" t="s">
        <v>202</v>
      </c>
      <c r="GE11007" s="1" t="s">
        <v>190</v>
      </c>
    </row>
    <row r="11008" spans="1:187" ht="11.25" customHeight="1">
      <c r="A11008" s="1" t="s">
        <v>15500</v>
      </c>
      <c r="B11008" s="1" t="str">
        <f ca="1">IFERROR(__xludf.DUMMYFUNCTION("GOOGLETRANSLATE(A11008, ""en"", ""fr"")"),"MALHEUREUSEMENT")</f>
        <v>MALHEUREUSEMENT</v>
      </c>
      <c r="C11008" s="1" t="s">
        <v>196</v>
      </c>
      <c r="FA11008" s="1" t="s">
        <v>153</v>
      </c>
      <c r="FC11008" s="1" t="s">
        <v>155</v>
      </c>
      <c r="GD11008" s="1" t="s">
        <v>2573</v>
      </c>
    </row>
    <row r="11009" spans="1:187" ht="11.25" customHeight="1">
      <c r="A11009" s="1" t="s">
        <v>15501</v>
      </c>
      <c r="B11009" s="1" t="str">
        <f ca="1">IFERROR(__xludf.DUMMYFUNCTION("GOOGLETRANSLATE(A11009, ""en"", ""fr"")"),"LE MALHEUR")</f>
        <v>LE MALHEUR</v>
      </c>
      <c r="C11009" s="1" t="s">
        <v>185</v>
      </c>
      <c r="E11009" s="1" t="s">
        <v>16613</v>
      </c>
      <c r="Q11009" s="1" t="s">
        <v>13</v>
      </c>
      <c r="T11009" s="1" t="s">
        <v>16</v>
      </c>
      <c r="FA11009" s="1" t="s">
        <v>153</v>
      </c>
      <c r="FC11009" s="1" t="s">
        <v>155</v>
      </c>
      <c r="GD11009" s="1" t="s">
        <v>193</v>
      </c>
      <c r="GE11009" s="1" t="s">
        <v>190</v>
      </c>
    </row>
    <row r="11010" spans="1:187" ht="11.25" customHeight="1">
      <c r="A11010" s="1" t="s">
        <v>15502</v>
      </c>
      <c r="B11010" s="1" t="str">
        <f ca="1">IFERROR(__xludf.DUMMYFUNCTION("GOOGLETRANSLATE(A11010, ""en"", ""fr"")"),"MALHEUREUX")</f>
        <v>MALHEUREUX</v>
      </c>
      <c r="C11010" s="1" t="s">
        <v>185</v>
      </c>
      <c r="E11010" s="1" t="s">
        <v>16613</v>
      </c>
      <c r="H11010" s="1" t="s">
        <v>4</v>
      </c>
      <c r="Q11010" s="1" t="s">
        <v>13</v>
      </c>
      <c r="T11010" s="1" t="s">
        <v>16</v>
      </c>
      <c r="DL11010" s="1" t="s">
        <v>112</v>
      </c>
      <c r="DR11010" s="1" t="s">
        <v>118</v>
      </c>
      <c r="FA11010" s="1" t="s">
        <v>153</v>
      </c>
      <c r="FC11010" s="1" t="s">
        <v>155</v>
      </c>
      <c r="GD11010" s="1" t="s">
        <v>202</v>
      </c>
      <c r="GE11010" s="1" t="s">
        <v>15503</v>
      </c>
    </row>
    <row r="11011" spans="1:187" ht="11.25" customHeight="1">
      <c r="A11011" s="1" t="s">
        <v>15504</v>
      </c>
      <c r="B11011" s="1" t="str">
        <f ca="1">IFERROR(__xludf.DUMMYFUNCTION("GOOGLETRANSLATE(A11011, ""en"", ""fr"")"),"MAUVAIS POUR LA SANTÉ")</f>
        <v>MAUVAIS POUR LA SANTÉ</v>
      </c>
      <c r="C11011" s="1" t="s">
        <v>192</v>
      </c>
      <c r="E11011" s="1" t="s">
        <v>16613</v>
      </c>
      <c r="L11011" s="1" t="s">
        <v>8</v>
      </c>
      <c r="BU11011" s="1" t="s">
        <v>69</v>
      </c>
      <c r="DR11011" s="1" t="s">
        <v>118</v>
      </c>
      <c r="GD11011" s="1" t="s">
        <v>202</v>
      </c>
      <c r="GE11011" s="1" t="s">
        <v>190</v>
      </c>
    </row>
    <row r="11012" spans="1:187" ht="11.25" customHeight="1">
      <c r="A11012" s="1" t="s">
        <v>15505</v>
      </c>
      <c r="B11012" s="1" t="str">
        <f ca="1">IFERROR(__xludf.DUMMYFUNCTION("GOOGLETRANSLATE(A11012, ""en"", ""fr"")"),"Indemne")</f>
        <v>Indemne</v>
      </c>
      <c r="C11012" s="1" t="s">
        <v>192</v>
      </c>
      <c r="D11012" s="1" t="s">
        <v>16612</v>
      </c>
      <c r="W11012" s="1" t="s">
        <v>19</v>
      </c>
      <c r="DL11012" s="1" t="s">
        <v>112</v>
      </c>
      <c r="DR11012" s="1" t="s">
        <v>118</v>
      </c>
      <c r="GD11012" s="1" t="s">
        <v>202</v>
      </c>
      <c r="GE11012" s="1" t="s">
        <v>190</v>
      </c>
    </row>
    <row r="11013" spans="1:187" ht="11.25" customHeight="1">
      <c r="A11013" s="1" t="s">
        <v>15506</v>
      </c>
      <c r="B11013" s="1" t="str">
        <f ca="1">IFERROR(__xludf.DUMMYFUNCTION("GOOGLETRANSLATE(A11013, ""en"", ""fr"")"),"UNICEF")</f>
        <v>UNICEF</v>
      </c>
      <c r="C11013" s="1" t="s">
        <v>196</v>
      </c>
      <c r="GD11013" s="1" t="s">
        <v>2981</v>
      </c>
    </row>
    <row r="11014" spans="1:187" ht="11.25" customHeight="1">
      <c r="A11014" s="1" t="s">
        <v>15507</v>
      </c>
      <c r="B11014" s="1" t="str">
        <f ca="1">IFERROR(__xludf.DUMMYFUNCTION("GOOGLETRANSLATE(A11014, ""en"", ""fr"")"),"UNIFICATION")</f>
        <v>UNIFICATION</v>
      </c>
      <c r="C11014" s="1" t="s">
        <v>185</v>
      </c>
      <c r="J11014" s="1" t="s">
        <v>6</v>
      </c>
      <c r="AH11014" s="1" t="s">
        <v>30</v>
      </c>
      <c r="DD11014" s="1" t="s">
        <v>104</v>
      </c>
      <c r="DX11014" s="1" t="s">
        <v>124</v>
      </c>
      <c r="ED11014" s="1" t="s">
        <v>130</v>
      </c>
      <c r="GD11014" s="1" t="s">
        <v>193</v>
      </c>
      <c r="GE11014" s="1" t="s">
        <v>190</v>
      </c>
    </row>
    <row r="11015" spans="1:187" ht="11.25" customHeight="1">
      <c r="A11015" s="1" t="s">
        <v>15508</v>
      </c>
      <c r="B11015" s="1" t="str">
        <f ca="1">IFERROR(__xludf.DUMMYFUNCTION("GOOGLETRANSLATE(A11015, ""en"", ""fr"")"),"UNIFORME")</f>
        <v>UNIFORME</v>
      </c>
      <c r="C11015" s="1" t="s">
        <v>196</v>
      </c>
      <c r="GD11015" s="1" t="s">
        <v>193</v>
      </c>
    </row>
    <row r="11016" spans="1:187" ht="11.25" customHeight="1">
      <c r="A11016" s="1" t="s">
        <v>15509</v>
      </c>
      <c r="B11016" s="1" t="str">
        <f ca="1">IFERROR(__xludf.DUMMYFUNCTION("GOOGLETRANSLATE(A11016, ""en"", ""fr"")"),"UNIFIER")</f>
        <v>UNIFIER</v>
      </c>
      <c r="C11016" s="1" t="s">
        <v>185</v>
      </c>
      <c r="G11016" s="1" t="s">
        <v>3</v>
      </c>
      <c r="J11016" s="1" t="s">
        <v>6</v>
      </c>
      <c r="N11016" s="1" t="s">
        <v>10</v>
      </c>
      <c r="AN11016" s="1" t="s">
        <v>36</v>
      </c>
      <c r="DN11016" s="1" t="s">
        <v>114</v>
      </c>
      <c r="DX11016" s="1" t="s">
        <v>124</v>
      </c>
      <c r="ED11016" s="1" t="s">
        <v>130</v>
      </c>
      <c r="GD11016" s="1" t="s">
        <v>189</v>
      </c>
      <c r="GE11016" s="1" t="s">
        <v>190</v>
      </c>
    </row>
    <row r="11017" spans="1:187" ht="11.25" customHeight="1">
      <c r="A11017" s="1" t="s">
        <v>15510</v>
      </c>
      <c r="B11017" s="1" t="str">
        <f ca="1">IFERROR(__xludf.DUMMYFUNCTION("GOOGLETRANSLATE(A11017, ""en"", ""fr"")"),"Peu mordant")</f>
        <v>Peu mordant</v>
      </c>
      <c r="C11017" s="1" t="s">
        <v>196</v>
      </c>
      <c r="GD11017" s="1" t="s">
        <v>202</v>
      </c>
    </row>
    <row r="11018" spans="1:187" ht="11.25" customHeight="1">
      <c r="A11018" s="1" t="s">
        <v>15511</v>
      </c>
      <c r="B11018" s="1" t="str">
        <f ca="1">IFERROR(__xludf.DUMMYFUNCTION("GOOGLETRANSLATE(A11018, ""en"", ""fr"")"),"IRRÉPROCHABLE")</f>
        <v>IRRÉPROCHABLE</v>
      </c>
      <c r="C11018" s="1" t="s">
        <v>192</v>
      </c>
      <c r="D11018" s="1" t="s">
        <v>16612</v>
      </c>
      <c r="U11018" s="1" t="s">
        <v>17</v>
      </c>
      <c r="AG11018" s="1" t="s">
        <v>29</v>
      </c>
      <c r="DL11018" s="1" t="s">
        <v>112</v>
      </c>
      <c r="DR11018" s="1" t="s">
        <v>118</v>
      </c>
      <c r="GD11018" s="1" t="s">
        <v>202</v>
      </c>
      <c r="GE11018" s="1" t="s">
        <v>190</v>
      </c>
    </row>
    <row r="11019" spans="1:187" ht="11.25" customHeight="1">
      <c r="A11019" s="1" t="s">
        <v>15512</v>
      </c>
      <c r="B11019" s="1" t="str">
        <f ca="1">IFERROR(__xludf.DUMMYFUNCTION("GOOGLETRANSLATE(A11019, ""en"", ""fr"")"),"SANS IMPORTANCE")</f>
        <v>SANS IMPORTANCE</v>
      </c>
      <c r="C11019" s="1" t="s">
        <v>185</v>
      </c>
      <c r="E11019" s="1" t="s">
        <v>16613</v>
      </c>
      <c r="H11019" s="1" t="s">
        <v>4</v>
      </c>
      <c r="V11019" s="1" t="s">
        <v>18</v>
      </c>
      <c r="X11019" s="1" t="s">
        <v>20</v>
      </c>
      <c r="CN11019" s="1" t="s">
        <v>88</v>
      </c>
      <c r="DL11019" s="1" t="s">
        <v>112</v>
      </c>
      <c r="GD11019" s="1" t="s">
        <v>202</v>
      </c>
      <c r="GE11019" s="1" t="s">
        <v>190</v>
      </c>
    </row>
    <row r="11020" spans="1:187" ht="11.25" customHeight="1">
      <c r="A11020" s="1" t="s">
        <v>15513</v>
      </c>
      <c r="B11020" s="1" t="str">
        <f ca="1">IFERROR(__xludf.DUMMYFUNCTION("GOOGLETRANSLATE(A11020, ""en"", ""fr"")"),"Non informé")</f>
        <v>Non informé</v>
      </c>
      <c r="C11020" s="1" t="s">
        <v>192</v>
      </c>
      <c r="E11020" s="1" t="s">
        <v>16613</v>
      </c>
      <c r="L11020" s="1" t="s">
        <v>8</v>
      </c>
      <c r="DR11020" s="1" t="s">
        <v>118</v>
      </c>
      <c r="GD11020" s="1" t="s">
        <v>202</v>
      </c>
      <c r="GE11020" s="1" t="s">
        <v>190</v>
      </c>
    </row>
    <row r="11021" spans="1:187" ht="11.25" customHeight="1">
      <c r="A11021" s="1" t="s">
        <v>15514</v>
      </c>
      <c r="B11021" s="1" t="str">
        <f ca="1">IFERROR(__xludf.DUMMYFUNCTION("GOOGLETRANSLATE(A11021, ""en"", ""fr"")"),"ININTERROMPU")</f>
        <v>ININTERROMPU</v>
      </c>
      <c r="C11021" s="1" t="s">
        <v>196</v>
      </c>
      <c r="GD11021" s="1" t="s">
        <v>202</v>
      </c>
    </row>
    <row r="11022" spans="1:187" ht="11.25" customHeight="1">
      <c r="A11022" s="1" t="s">
        <v>15515</v>
      </c>
      <c r="B11022" s="1" t="str">
        <f ca="1">IFERROR(__xludf.DUMMYFUNCTION("GOOGLETRANSLATE(A11022, ""en"", ""fr"")"),"Union n ° 1")</f>
        <v>Union n ° 1</v>
      </c>
      <c r="C11022" s="1" t="s">
        <v>185</v>
      </c>
      <c r="AA11022" s="1" t="s">
        <v>23</v>
      </c>
      <c r="AC11022" s="1" t="s">
        <v>25</v>
      </c>
      <c r="AG11022" s="1" t="s">
        <v>29</v>
      </c>
      <c r="AH11022" s="1" t="s">
        <v>30</v>
      </c>
      <c r="AK11022" s="1" t="s">
        <v>33</v>
      </c>
      <c r="AT11022" s="1" t="s">
        <v>42</v>
      </c>
      <c r="DX11022" s="1" t="s">
        <v>124</v>
      </c>
      <c r="ED11022" s="1" t="s">
        <v>130</v>
      </c>
      <c r="GD11022" s="1" t="s">
        <v>193</v>
      </c>
      <c r="GE11022" s="1" t="s">
        <v>15516</v>
      </c>
    </row>
    <row r="11023" spans="1:187" ht="11.25" customHeight="1">
      <c r="A11023" s="1" t="s">
        <v>15517</v>
      </c>
      <c r="B11023" s="1" t="str">
        <f ca="1">IFERROR(__xludf.DUMMYFUNCTION("GOOGLETRANSLATE(A11023, ""en"", ""fr"")"),"Union n ° 2")</f>
        <v>Union n ° 2</v>
      </c>
      <c r="C11023" s="1" t="s">
        <v>185</v>
      </c>
      <c r="J11023" s="1" t="s">
        <v>6</v>
      </c>
      <c r="K11023" s="1" t="s">
        <v>7</v>
      </c>
      <c r="AG11023" s="1" t="s">
        <v>29</v>
      </c>
      <c r="AH11023" s="1" t="s">
        <v>30</v>
      </c>
      <c r="AK11023" s="1" t="s">
        <v>33</v>
      </c>
      <c r="AT11023" s="1" t="s">
        <v>42</v>
      </c>
      <c r="DX11023" s="1" t="s">
        <v>124</v>
      </c>
      <c r="ED11023" s="1" t="s">
        <v>130</v>
      </c>
      <c r="GD11023" s="1" t="s">
        <v>193</v>
      </c>
      <c r="GE11023" s="1" t="s">
        <v>15518</v>
      </c>
    </row>
    <row r="11024" spans="1:187" ht="11.25" customHeight="1">
      <c r="A11024" s="1" t="s">
        <v>15519</v>
      </c>
      <c r="B11024" s="1" t="str">
        <f ca="1">IFERROR(__xludf.DUMMYFUNCTION("GOOGLETRANSLATE(A11024, ""en"", ""fr"")"),"Union n ° 3")</f>
        <v>Union n ° 3</v>
      </c>
      <c r="C11024" s="1" t="s">
        <v>185</v>
      </c>
      <c r="AC11024" s="1" t="s">
        <v>25</v>
      </c>
      <c r="AH11024" s="1" t="s">
        <v>30</v>
      </c>
      <c r="DI11024" s="1" t="s">
        <v>109</v>
      </c>
      <c r="FU11024" s="1" t="s">
        <v>173</v>
      </c>
      <c r="GD11024" s="1" t="s">
        <v>193</v>
      </c>
      <c r="GE11024" s="1" t="s">
        <v>15520</v>
      </c>
    </row>
    <row r="11025" spans="1:187" ht="11.25" customHeight="1">
      <c r="A11025" s="1" t="s">
        <v>15521</v>
      </c>
      <c r="B11025" s="1" t="str">
        <f ca="1">IFERROR(__xludf.DUMMYFUNCTION("GOOGLETRANSLATE(A11025, ""en"", ""fr"")"),"UNIQUE")</f>
        <v>UNIQUE</v>
      </c>
      <c r="C11025" s="1" t="s">
        <v>185</v>
      </c>
      <c r="D11025" s="1" t="s">
        <v>16612</v>
      </c>
      <c r="F11025" s="1" t="s">
        <v>2</v>
      </c>
      <c r="W11025" s="1" t="s">
        <v>19</v>
      </c>
      <c r="CN11025" s="1" t="s">
        <v>88</v>
      </c>
      <c r="CS11025" s="1" t="s">
        <v>93</v>
      </c>
      <c r="FY11025" s="1" t="s">
        <v>177</v>
      </c>
      <c r="GD11025" s="1" t="s">
        <v>202</v>
      </c>
      <c r="GE11025" s="1" t="s">
        <v>190</v>
      </c>
    </row>
    <row r="11026" spans="1:187" ht="11.25" customHeight="1">
      <c r="A11026" s="1" t="s">
        <v>15522</v>
      </c>
      <c r="B11026" s="1" t="str">
        <f ca="1">IFERROR(__xludf.DUMMYFUNCTION("GOOGLETRANSLATE(A11026, ""en"", ""fr"")"),"UNISSON")</f>
        <v>UNISSON</v>
      </c>
      <c r="C11026" s="1" t="s">
        <v>185</v>
      </c>
      <c r="G11026" s="1" t="s">
        <v>3</v>
      </c>
      <c r="J11026" s="1" t="s">
        <v>6</v>
      </c>
      <c r="CY11026" s="1" t="s">
        <v>99</v>
      </c>
      <c r="DX11026" s="1" t="s">
        <v>124</v>
      </c>
      <c r="ED11026" s="1" t="s">
        <v>130</v>
      </c>
      <c r="GD11026" s="1" t="s">
        <v>193</v>
      </c>
      <c r="GE11026" s="1" t="s">
        <v>190</v>
      </c>
    </row>
    <row r="11027" spans="1:187" ht="11.25" customHeight="1">
      <c r="A11027" s="1" t="s">
        <v>15523</v>
      </c>
      <c r="B11027" s="1" t="str">
        <f ca="1">IFERROR(__xludf.DUMMYFUNCTION("GOOGLETRANSLATE(A11027, ""en"", ""fr"")"),"UNITÉ")</f>
        <v>UNITÉ</v>
      </c>
      <c r="C11027" s="1" t="s">
        <v>196</v>
      </c>
      <c r="GD11027" s="1" t="s">
        <v>193</v>
      </c>
    </row>
    <row r="11028" spans="1:187" ht="11.25" customHeight="1">
      <c r="A11028" s="1" t="s">
        <v>15524</v>
      </c>
      <c r="B11028" s="1" t="str">
        <f ca="1">IFERROR(__xludf.DUMMYFUNCTION("GOOGLETRANSLATE(A11028, ""en"", ""fr"")"),"Unite # 1")</f>
        <v>Unite # 1</v>
      </c>
      <c r="C11028" s="1" t="s">
        <v>185</v>
      </c>
      <c r="G11028" s="1" t="s">
        <v>3</v>
      </c>
      <c r="N11028" s="1" t="s">
        <v>10</v>
      </c>
      <c r="AN11028" s="1" t="s">
        <v>36</v>
      </c>
      <c r="DN11028" s="1" t="s">
        <v>114</v>
      </c>
      <c r="FP11028" s="1" t="s">
        <v>168</v>
      </c>
      <c r="GD11028" s="1" t="s">
        <v>189</v>
      </c>
      <c r="GE11028" s="1" t="s">
        <v>15525</v>
      </c>
    </row>
    <row r="11029" spans="1:187" ht="11.25" customHeight="1">
      <c r="A11029" s="1" t="s">
        <v>15526</v>
      </c>
      <c r="B11029" s="1" t="str">
        <f ca="1">IFERROR(__xludf.DUMMYFUNCTION("GOOGLETRANSLATE(A11029, ""en"", ""fr"")"),"Unite # 2")</f>
        <v>Unite # 2</v>
      </c>
      <c r="C11029" s="1" t="s">
        <v>185</v>
      </c>
      <c r="AC11029" s="1" t="s">
        <v>25</v>
      </c>
      <c r="AH11029" s="1" t="s">
        <v>30</v>
      </c>
      <c r="DI11029" s="1" t="s">
        <v>109</v>
      </c>
      <c r="GD11029" s="1" t="s">
        <v>849</v>
      </c>
      <c r="GE11029" s="1" t="s">
        <v>15527</v>
      </c>
    </row>
    <row r="11030" spans="1:187" ht="11.25" customHeight="1">
      <c r="A11030" s="1" t="s">
        <v>15528</v>
      </c>
      <c r="B11030" s="1" t="str">
        <f ca="1">IFERROR(__xludf.DUMMYFUNCTION("GOOGLETRANSLATE(A11030, ""en"", ""fr"")"),"Unite # 3")</f>
        <v>Unite # 3</v>
      </c>
      <c r="C11030" s="1" t="s">
        <v>192</v>
      </c>
      <c r="AC11030" s="1" t="s">
        <v>25</v>
      </c>
      <c r="AH11030" s="1" t="s">
        <v>30</v>
      </c>
      <c r="DI11030" s="1" t="s">
        <v>109</v>
      </c>
      <c r="GD11030" s="1" t="s">
        <v>193</v>
      </c>
      <c r="GE11030" s="1" t="s">
        <v>15529</v>
      </c>
    </row>
    <row r="11031" spans="1:187" ht="11.25" customHeight="1">
      <c r="A11031" s="1" t="s">
        <v>15530</v>
      </c>
      <c r="B11031" s="1" t="str">
        <f ca="1">IFERROR(__xludf.DUMMYFUNCTION("GOOGLETRANSLATE(A11031, ""en"", ""fr"")"),"Unite # 4")</f>
        <v>Unite # 4</v>
      </c>
      <c r="C11031" s="1" t="s">
        <v>192</v>
      </c>
      <c r="AC11031" s="1" t="s">
        <v>25</v>
      </c>
      <c r="AH11031" s="1" t="s">
        <v>30</v>
      </c>
      <c r="DI11031" s="1" t="s">
        <v>109</v>
      </c>
      <c r="GD11031" s="1" t="s">
        <v>193</v>
      </c>
      <c r="GE11031" s="1" t="s">
        <v>15531</v>
      </c>
    </row>
    <row r="11032" spans="1:187" ht="11.25" customHeight="1">
      <c r="A11032" s="1" t="s">
        <v>15532</v>
      </c>
      <c r="B11032" s="1" t="str">
        <f ca="1">IFERROR(__xludf.DUMMYFUNCTION("GOOGLETRANSLATE(A11032, ""en"", ""fr"")"),"Unite # 5")</f>
        <v>Unite # 5</v>
      </c>
      <c r="C11032" s="1" t="s">
        <v>192</v>
      </c>
      <c r="J11032" s="1" t="s">
        <v>6</v>
      </c>
      <c r="DD11032" s="1" t="s">
        <v>104</v>
      </c>
      <c r="GD11032" s="1" t="s">
        <v>202</v>
      </c>
      <c r="GE11032" s="1" t="s">
        <v>15533</v>
      </c>
    </row>
    <row r="11033" spans="1:187" ht="11.25" customHeight="1">
      <c r="A11033" s="1" t="s">
        <v>15534</v>
      </c>
      <c r="B11033" s="1" t="str">
        <f ca="1">IFERROR(__xludf.DUMMYFUNCTION("GOOGLETRANSLATE(A11033, ""en"", ""fr"")"),"LES NATIONS UNIES")</f>
        <v>LES NATIONS UNIES</v>
      </c>
      <c r="C11033" s="1" t="s">
        <v>196</v>
      </c>
      <c r="GD11033" s="1" t="s">
        <v>2981</v>
      </c>
    </row>
    <row r="11034" spans="1:187" ht="11.25" customHeight="1">
      <c r="A11034" s="1" t="s">
        <v>15535</v>
      </c>
      <c r="B11034" s="1" t="str">
        <f ca="1">IFERROR(__xludf.DUMMYFUNCTION("GOOGLETRANSLATE(A11034, ""en"", ""fr"")"),"ÉTATS-UNIS")</f>
        <v>ÉTATS-UNIS</v>
      </c>
      <c r="C11034" s="1" t="s">
        <v>196</v>
      </c>
      <c r="GD11034" s="1" t="s">
        <v>15536</v>
      </c>
    </row>
    <row r="11035" spans="1:187" ht="11.25" customHeight="1">
      <c r="A11035" s="1" t="s">
        <v>15537</v>
      </c>
      <c r="B11035" s="1" t="str">
        <f ca="1">IFERROR(__xludf.DUMMYFUNCTION("GOOGLETRANSLATE(A11035, ""en"", ""fr"")"),"UNITÉ")</f>
        <v>UNITÉ</v>
      </c>
      <c r="C11035" s="1" t="s">
        <v>185</v>
      </c>
      <c r="D11035" s="1" t="s">
        <v>16612</v>
      </c>
      <c r="F11035" s="1" t="s">
        <v>2</v>
      </c>
      <c r="J11035" s="1" t="s">
        <v>6</v>
      </c>
      <c r="U11035" s="1" t="s">
        <v>17</v>
      </c>
      <c r="AH11035" s="1" t="s">
        <v>30</v>
      </c>
      <c r="CP11035" s="1" t="s">
        <v>90</v>
      </c>
      <c r="CQ11035" s="1" t="s">
        <v>91</v>
      </c>
      <c r="DX11035" s="1" t="s">
        <v>124</v>
      </c>
      <c r="ED11035" s="1" t="s">
        <v>130</v>
      </c>
      <c r="GD11035" s="1" t="s">
        <v>193</v>
      </c>
      <c r="GE11035" s="1" t="s">
        <v>15538</v>
      </c>
    </row>
    <row r="11036" spans="1:187" ht="11.25" customHeight="1">
      <c r="A11036" s="1" t="s">
        <v>15539</v>
      </c>
      <c r="B11036" s="1" t="str">
        <f ca="1">IFERROR(__xludf.DUMMYFUNCTION("GOOGLETRANSLATE(A11036, ""en"", ""fr"")"),"UNIVERSEL")</f>
        <v>UNIVERSEL</v>
      </c>
      <c r="C11036" s="1" t="s">
        <v>185</v>
      </c>
      <c r="J11036" s="1" t="s">
        <v>6</v>
      </c>
      <c r="W11036" s="1" t="s">
        <v>19</v>
      </c>
      <c r="AV11036" s="1" t="s">
        <v>44</v>
      </c>
      <c r="AX11036" s="1" t="s">
        <v>46</v>
      </c>
      <c r="FY11036" s="1" t="s">
        <v>177</v>
      </c>
      <c r="GD11036" s="1" t="s">
        <v>202</v>
      </c>
      <c r="GE11036" s="1" t="s">
        <v>190</v>
      </c>
    </row>
    <row r="11037" spans="1:187" ht="11.25" customHeight="1">
      <c r="A11037" s="1" t="s">
        <v>15540</v>
      </c>
      <c r="B11037" s="1" t="str">
        <f ca="1">IFERROR(__xludf.DUMMYFUNCTION("GOOGLETRANSLATE(A11037, ""en"", ""fr"")"),"UNIVERS")</f>
        <v>UNIVERS</v>
      </c>
      <c r="C11037" s="1" t="s">
        <v>185</v>
      </c>
      <c r="AV11037" s="1" t="s">
        <v>44</v>
      </c>
      <c r="BB11037" s="1" t="s">
        <v>50</v>
      </c>
      <c r="CP11037" s="1" t="s">
        <v>90</v>
      </c>
      <c r="CQ11037" s="1" t="s">
        <v>91</v>
      </c>
      <c r="FS11037" s="1" t="s">
        <v>171</v>
      </c>
      <c r="GD11037" s="1" t="s">
        <v>193</v>
      </c>
      <c r="GE11037" s="1" t="s">
        <v>190</v>
      </c>
    </row>
    <row r="11038" spans="1:187" ht="11.25" customHeight="1">
      <c r="A11038" s="1" t="s">
        <v>15541</v>
      </c>
      <c r="B11038" s="1" t="str">
        <f ca="1">IFERROR(__xludf.DUMMYFUNCTION("GOOGLETRANSLATE(A11038, ""en"", ""fr"")"),"UNIVERSITÉ")</f>
        <v>UNIVERSITÉ</v>
      </c>
      <c r="C11038" s="1" t="s">
        <v>185</v>
      </c>
      <c r="Y11038" s="1" t="s">
        <v>21</v>
      </c>
      <c r="AH11038" s="1" t="s">
        <v>30</v>
      </c>
      <c r="AV11038" s="1" t="s">
        <v>44</v>
      </c>
      <c r="AW11038" s="1" t="s">
        <v>45</v>
      </c>
      <c r="FH11038" s="1" t="s">
        <v>160</v>
      </c>
      <c r="FI11038" s="1" t="s">
        <v>161</v>
      </c>
      <c r="GD11038" s="1" t="s">
        <v>193</v>
      </c>
      <c r="GE11038" s="1" t="s">
        <v>15542</v>
      </c>
    </row>
    <row r="11039" spans="1:187" ht="11.25" customHeight="1">
      <c r="A11039" s="1" t="s">
        <v>15543</v>
      </c>
      <c r="B11039" s="1" t="str">
        <f ca="1">IFERROR(__xludf.DUMMYFUNCTION("GOOGLETRANSLATE(A11039, ""en"", ""fr"")"),"INJUSTE")</f>
        <v>INJUSTE</v>
      </c>
      <c r="C11039" s="1" t="s">
        <v>185</v>
      </c>
      <c r="E11039" s="1" t="s">
        <v>16613</v>
      </c>
      <c r="H11039" s="1" t="s">
        <v>4</v>
      </c>
      <c r="I11039" s="1" t="s">
        <v>5</v>
      </c>
      <c r="V11039" s="1" t="s">
        <v>18</v>
      </c>
      <c r="AE11039" s="1" t="s">
        <v>27</v>
      </c>
      <c r="CN11039" s="1" t="s">
        <v>88</v>
      </c>
      <c r="DL11039" s="1" t="s">
        <v>112</v>
      </c>
      <c r="DR11039" s="1" t="s">
        <v>118</v>
      </c>
      <c r="EE11039" s="1" t="s">
        <v>131</v>
      </c>
      <c r="EJ11039" s="1" t="s">
        <v>136</v>
      </c>
      <c r="GD11039" s="1" t="s">
        <v>202</v>
      </c>
      <c r="GE11039" s="1" t="s">
        <v>190</v>
      </c>
    </row>
    <row r="11040" spans="1:187" ht="11.25" customHeight="1">
      <c r="A11040" s="1" t="s">
        <v>15544</v>
      </c>
      <c r="B11040" s="1" t="str">
        <f ca="1">IFERROR(__xludf.DUMMYFUNCTION("GOOGLETRANSLATE(A11040, ""en"", ""fr"")"),"INJUSTIFIÉ")</f>
        <v>INJUSTIFIÉ</v>
      </c>
      <c r="C11040" s="1" t="s">
        <v>185</v>
      </c>
      <c r="E11040" s="1" t="s">
        <v>16613</v>
      </c>
      <c r="H11040" s="1" t="s">
        <v>4</v>
      </c>
      <c r="I11040" s="1" t="s">
        <v>5</v>
      </c>
      <c r="V11040" s="1" t="s">
        <v>18</v>
      </c>
      <c r="DL11040" s="1" t="s">
        <v>112</v>
      </c>
      <c r="EE11040" s="1" t="s">
        <v>131</v>
      </c>
      <c r="EJ11040" s="1" t="s">
        <v>136</v>
      </c>
      <c r="GD11040" s="1" t="s">
        <v>202</v>
      </c>
      <c r="GE11040" s="1" t="s">
        <v>190</v>
      </c>
    </row>
    <row r="11041" spans="1:187" ht="11.25" customHeight="1">
      <c r="A11041" s="1" t="s">
        <v>15545</v>
      </c>
      <c r="B11041" s="1" t="str">
        <f ca="1">IFERROR(__xludf.DUMMYFUNCTION("GOOGLETRANSLATE(A11041, ""en"", ""fr"")"),"MÉCHANT")</f>
        <v>MÉCHANT</v>
      </c>
      <c r="C11041" s="1" t="s">
        <v>192</v>
      </c>
      <c r="E11041" s="1" t="s">
        <v>16613</v>
      </c>
      <c r="V11041" s="1" t="s">
        <v>18</v>
      </c>
      <c r="CM11041" s="1" t="s">
        <v>87</v>
      </c>
      <c r="DQ11041" s="1" t="s">
        <v>117</v>
      </c>
      <c r="GD11041" s="1" t="s">
        <v>202</v>
      </c>
      <c r="GE11041" s="1" t="s">
        <v>190</v>
      </c>
    </row>
    <row r="11042" spans="1:187" ht="11.25" customHeight="1">
      <c r="A11042" s="1" t="s">
        <v>15546</v>
      </c>
      <c r="B11042" s="1" t="str">
        <f ca="1">IFERROR(__xludf.DUMMYFUNCTION("GOOGLETRANSLATE(A11042, ""en"", ""fr"")"),"INCONNU")</f>
        <v>INCONNU</v>
      </c>
      <c r="C11042" s="1" t="s">
        <v>185</v>
      </c>
      <c r="CH11042" s="1" t="s">
        <v>82</v>
      </c>
      <c r="DL11042" s="1" t="s">
        <v>112</v>
      </c>
      <c r="FH11042" s="1" t="s">
        <v>160</v>
      </c>
      <c r="FI11042" s="1" t="s">
        <v>161</v>
      </c>
      <c r="GD11042" s="1" t="s">
        <v>202</v>
      </c>
      <c r="GE11042" s="1" t="s">
        <v>15547</v>
      </c>
    </row>
    <row r="11043" spans="1:187" ht="11.25" customHeight="1">
      <c r="A11043" s="1" t="s">
        <v>15548</v>
      </c>
      <c r="B11043" s="1" t="str">
        <f ca="1">IFERROR(__xludf.DUMMYFUNCTION("GOOGLETRANSLATE(A11043, ""en"", ""fr"")"),"ILLICITE")</f>
        <v>ILLICITE</v>
      </c>
      <c r="C11043" s="1" t="s">
        <v>192</v>
      </c>
      <c r="E11043" s="1" t="s">
        <v>16613</v>
      </c>
      <c r="AE11043" s="1" t="s">
        <v>27</v>
      </c>
      <c r="BT11043" s="1" t="s">
        <v>68</v>
      </c>
      <c r="DR11043" s="1" t="s">
        <v>118</v>
      </c>
      <c r="GD11043" s="1" t="s">
        <v>202</v>
      </c>
      <c r="GE11043" s="1" t="s">
        <v>190</v>
      </c>
    </row>
    <row r="11044" spans="1:187" ht="11.25" customHeight="1">
      <c r="A11044" s="1" t="s">
        <v>15549</v>
      </c>
      <c r="B11044" s="1" t="str">
        <f ca="1">IFERROR(__xludf.DUMMYFUNCTION("GOOGLETRANSLATE(A11044, ""en"", ""fr"")"),"Déchaîner")</f>
        <v>Déchaîner</v>
      </c>
      <c r="C11044" s="1" t="s">
        <v>185</v>
      </c>
      <c r="I11044" s="1" t="s">
        <v>5</v>
      </c>
      <c r="J11044" s="1" t="s">
        <v>6</v>
      </c>
      <c r="N11044" s="1" t="s">
        <v>10</v>
      </c>
      <c r="AN11044" s="1" t="s">
        <v>36</v>
      </c>
      <c r="DL11044" s="1" t="s">
        <v>112</v>
      </c>
      <c r="DN11044" s="1" t="s">
        <v>114</v>
      </c>
      <c r="DW11044" s="1" t="s">
        <v>123</v>
      </c>
      <c r="ED11044" s="1" t="s">
        <v>130</v>
      </c>
      <c r="GD11044" s="1" t="s">
        <v>189</v>
      </c>
      <c r="GE11044" s="1" t="s">
        <v>190</v>
      </c>
    </row>
    <row r="11045" spans="1:187" ht="11.25" customHeight="1">
      <c r="A11045" s="1" t="s">
        <v>15550</v>
      </c>
      <c r="B11045" s="1" t="str">
        <f ca="1">IFERROR(__xludf.DUMMYFUNCTION("GOOGLETRANSLATE(A11045, ""en"", ""fr"")"),"SAUF SI")</f>
        <v>SAUF SI</v>
      </c>
      <c r="C11045" s="1" t="s">
        <v>185</v>
      </c>
      <c r="FZ11045" s="1" t="s">
        <v>178</v>
      </c>
      <c r="GD11045" s="1" t="s">
        <v>763</v>
      </c>
      <c r="GE11045" s="1" t="s">
        <v>15551</v>
      </c>
    </row>
    <row r="11046" spans="1:187" ht="11.25" customHeight="1">
      <c r="A11046" s="1" t="s">
        <v>15552</v>
      </c>
      <c r="B11046" s="1" t="str">
        <f ca="1">IFERROR(__xludf.DUMMYFUNCTION("GOOGLETRANSLATE(A11046, ""en"", ""fr"")"),"CONTRAIREMENT À")</f>
        <v>CONTRAIREMENT À</v>
      </c>
      <c r="C11046" s="1" t="s">
        <v>185</v>
      </c>
      <c r="BW11046" s="1" t="s">
        <v>71</v>
      </c>
      <c r="DD11046" s="1" t="s">
        <v>104</v>
      </c>
      <c r="DL11046" s="1" t="s">
        <v>112</v>
      </c>
      <c r="DR11046" s="1" t="s">
        <v>118</v>
      </c>
      <c r="GD11046" s="1" t="s">
        <v>215</v>
      </c>
      <c r="GE11046" s="1" t="s">
        <v>190</v>
      </c>
    </row>
    <row r="11047" spans="1:187" ht="11.25" customHeight="1">
      <c r="A11047" s="1" t="s">
        <v>15553</v>
      </c>
      <c r="B11047" s="1" t="str">
        <f ca="1">IFERROR(__xludf.DUMMYFUNCTION("GOOGLETRANSLATE(A11047, ""en"", ""fr"")"),"Imprévasant")</f>
        <v>Imprévasant</v>
      </c>
      <c r="C11047" s="1" t="s">
        <v>185</v>
      </c>
      <c r="X11047" s="1" t="s">
        <v>20</v>
      </c>
      <c r="CI11047" s="1" t="s">
        <v>83</v>
      </c>
      <c r="DL11047" s="1" t="s">
        <v>112</v>
      </c>
      <c r="GD11047" s="1" t="s">
        <v>193</v>
      </c>
      <c r="GE11047" s="1" t="s">
        <v>190</v>
      </c>
    </row>
    <row r="11048" spans="1:187" ht="11.25" customHeight="1">
      <c r="A11048" s="1" t="s">
        <v>15554</v>
      </c>
      <c r="B11048" s="1" t="str">
        <f ca="1">IFERROR(__xludf.DUMMYFUNCTION("GOOGLETRANSLATE(A11048, ""en"", ""fr"")"),"PEU PROBABLE")</f>
        <v>PEU PROBABLE</v>
      </c>
      <c r="C11048" s="1" t="s">
        <v>185</v>
      </c>
      <c r="X11048" s="1" t="s">
        <v>20</v>
      </c>
      <c r="CI11048" s="1" t="s">
        <v>83</v>
      </c>
      <c r="DL11048" s="1" t="s">
        <v>112</v>
      </c>
      <c r="GD11048" s="1" t="s">
        <v>236</v>
      </c>
      <c r="GE11048" s="1" t="s">
        <v>190</v>
      </c>
    </row>
    <row r="11049" spans="1:187" ht="11.25" customHeight="1">
      <c r="A11049" s="1" t="s">
        <v>15555</v>
      </c>
      <c r="B11049" s="1" t="str">
        <f ca="1">IFERROR(__xludf.DUMMYFUNCTION("GOOGLETRANSLATE(A11049, ""en"", ""fr"")"),"ILLIMITÉ")</f>
        <v>ILLIMITÉ</v>
      </c>
      <c r="C11049" s="1" t="s">
        <v>185</v>
      </c>
      <c r="D11049" s="1" t="s">
        <v>16612</v>
      </c>
      <c r="J11049" s="1" t="s">
        <v>6</v>
      </c>
      <c r="W11049" s="1" t="s">
        <v>19</v>
      </c>
      <c r="CS11049" s="1" t="s">
        <v>93</v>
      </c>
      <c r="CW11049" s="1" t="s">
        <v>97</v>
      </c>
      <c r="DL11049" s="1" t="s">
        <v>112</v>
      </c>
      <c r="DR11049" s="1" t="s">
        <v>118</v>
      </c>
      <c r="FY11049" s="1" t="s">
        <v>177</v>
      </c>
      <c r="GD11049" s="1" t="s">
        <v>202</v>
      </c>
      <c r="GE11049" s="1" t="s">
        <v>190</v>
      </c>
    </row>
    <row r="11050" spans="1:187" ht="11.25" customHeight="1">
      <c r="A11050" s="1" t="s">
        <v>15556</v>
      </c>
      <c r="B11050" s="1" t="str">
        <f ca="1">IFERROR(__xludf.DUMMYFUNCTION("GOOGLETRANSLATE(A11050, ""en"", ""fr"")"),"MALCHANCEUX")</f>
        <v>MALCHANCEUX</v>
      </c>
      <c r="C11050" s="1" t="s">
        <v>185</v>
      </c>
      <c r="E11050" s="1" t="s">
        <v>16613</v>
      </c>
      <c r="H11050" s="1" t="s">
        <v>4</v>
      </c>
      <c r="L11050" s="1" t="s">
        <v>8</v>
      </c>
      <c r="V11050" s="1" t="s">
        <v>18</v>
      </c>
      <c r="X11050" s="1" t="s">
        <v>20</v>
      </c>
      <c r="DL11050" s="1" t="s">
        <v>112</v>
      </c>
      <c r="FW11050" s="1" t="s">
        <v>175</v>
      </c>
      <c r="GD11050" s="1" t="s">
        <v>202</v>
      </c>
      <c r="GE11050" s="1" t="s">
        <v>190</v>
      </c>
    </row>
    <row r="11051" spans="1:187" ht="11.25" customHeight="1">
      <c r="A11051" s="1" t="s">
        <v>15557</v>
      </c>
      <c r="B11051" s="1" t="str">
        <f ca="1">IFERROR(__xludf.DUMMYFUNCTION("GOOGLETRANSLATE(A11051, ""en"", ""fr"")"),"INDUBITABLE")</f>
        <v>INDUBITABLE</v>
      </c>
      <c r="C11051" s="1" t="s">
        <v>185</v>
      </c>
      <c r="J11051" s="1" t="s">
        <v>6</v>
      </c>
      <c r="W11051" s="1" t="s">
        <v>19</v>
      </c>
      <c r="CK11051" s="1" t="s">
        <v>85</v>
      </c>
      <c r="DL11051" s="1" t="s">
        <v>112</v>
      </c>
      <c r="FY11051" s="1" t="s">
        <v>177</v>
      </c>
      <c r="GD11051" s="1" t="s">
        <v>202</v>
      </c>
      <c r="GE11051" s="1" t="s">
        <v>190</v>
      </c>
    </row>
    <row r="11052" spans="1:187" ht="11.25" customHeight="1">
      <c r="A11052" s="1" t="s">
        <v>15558</v>
      </c>
      <c r="B11052" s="1" t="str">
        <f ca="1">IFERROR(__xludf.DUMMYFUNCTION("GOOGLETRANSLATE(A11052, ""en"", ""fr"")"),"ABSOLU")</f>
        <v>ABSOLU</v>
      </c>
      <c r="C11052" s="1" t="s">
        <v>185</v>
      </c>
      <c r="J11052" s="1" t="s">
        <v>6</v>
      </c>
      <c r="V11052" s="1" t="s">
        <v>18</v>
      </c>
      <c r="W11052" s="1" t="s">
        <v>19</v>
      </c>
      <c r="DL11052" s="1" t="s">
        <v>112</v>
      </c>
      <c r="FY11052" s="1" t="s">
        <v>177</v>
      </c>
      <c r="GD11052" s="1" t="s">
        <v>202</v>
      </c>
      <c r="GE11052" s="1" t="s">
        <v>190</v>
      </c>
    </row>
    <row r="11053" spans="1:187" ht="11.25" customHeight="1">
      <c r="A11053" s="1" t="s">
        <v>15559</v>
      </c>
      <c r="B11053" s="1" t="str">
        <f ca="1">IFERROR(__xludf.DUMMYFUNCTION("GOOGLETRANSLATE(A11053, ""en"", ""fr"")"),"INSENSIBLE")</f>
        <v>INSENSIBLE</v>
      </c>
      <c r="C11053" s="1" t="s">
        <v>192</v>
      </c>
      <c r="E11053" s="1" t="s">
        <v>16613</v>
      </c>
      <c r="R11053" s="1" t="s">
        <v>14</v>
      </c>
      <c r="X11053" s="1" t="s">
        <v>20</v>
      </c>
      <c r="DR11053" s="1" t="s">
        <v>118</v>
      </c>
      <c r="GD11053" s="1" t="s">
        <v>202</v>
      </c>
      <c r="GE11053" s="1" t="s">
        <v>190</v>
      </c>
    </row>
    <row r="11054" spans="1:187" ht="11.25" customHeight="1">
      <c r="A11054" s="1" t="s">
        <v>15560</v>
      </c>
      <c r="B11054" s="1" t="str">
        <f ca="1">IFERROR(__xludf.DUMMYFUNCTION("GOOGLETRANSLATE(A11054, ""en"", ""fr"")"),"NON NATUREL")</f>
        <v>NON NATUREL</v>
      </c>
      <c r="C11054" s="1" t="s">
        <v>185</v>
      </c>
      <c r="E11054" s="1" t="s">
        <v>16613</v>
      </c>
      <c r="BU11054" s="1" t="s">
        <v>69</v>
      </c>
      <c r="DR11054" s="1" t="s">
        <v>118</v>
      </c>
      <c r="FW11054" s="1" t="s">
        <v>175</v>
      </c>
      <c r="GD11054" s="1" t="s">
        <v>202</v>
      </c>
      <c r="GE11054" s="1" t="s">
        <v>190</v>
      </c>
    </row>
    <row r="11055" spans="1:187" ht="11.25" customHeight="1">
      <c r="A11055" s="1" t="s">
        <v>15561</v>
      </c>
      <c r="B11055" s="1" t="str">
        <f ca="1">IFERROR(__xludf.DUMMYFUNCTION("GOOGLETRANSLATE(A11055, ""en"", ""fr"")"),"INUTILE")</f>
        <v>INUTILE</v>
      </c>
      <c r="C11055" s="1" t="s">
        <v>185</v>
      </c>
      <c r="E11055" s="1" t="s">
        <v>16613</v>
      </c>
      <c r="H11055" s="1" t="s">
        <v>4</v>
      </c>
      <c r="V11055" s="1" t="s">
        <v>18</v>
      </c>
      <c r="X11055" s="1" t="s">
        <v>20</v>
      </c>
      <c r="CN11055" s="1" t="s">
        <v>88</v>
      </c>
      <c r="DL11055" s="1" t="s">
        <v>112</v>
      </c>
      <c r="GD11055" s="1" t="s">
        <v>202</v>
      </c>
      <c r="GE11055" s="1" t="s">
        <v>190</v>
      </c>
    </row>
    <row r="11056" spans="1:187" ht="11.25" customHeight="1">
      <c r="A11056" s="1" t="s">
        <v>15562</v>
      </c>
      <c r="B11056" s="1" t="str">
        <f ca="1">IFERROR(__xludf.DUMMYFUNCTION("GOOGLETRANSLATE(A11056, ""en"", ""fr"")"),"DÉCONCERTER")</f>
        <v>DÉCONCERTER</v>
      </c>
      <c r="C11056" s="1" t="s">
        <v>192</v>
      </c>
      <c r="E11056" s="1" t="s">
        <v>16613</v>
      </c>
      <c r="O11056" s="1" t="s">
        <v>11</v>
      </c>
      <c r="Q11056" s="1" t="s">
        <v>13</v>
      </c>
      <c r="T11056" s="1" t="s">
        <v>16</v>
      </c>
      <c r="DN11056" s="1" t="s">
        <v>114</v>
      </c>
      <c r="GD11056" s="1" t="s">
        <v>670</v>
      </c>
      <c r="GE11056" s="1" t="s">
        <v>190</v>
      </c>
    </row>
    <row r="11057" spans="1:187" ht="11.25" customHeight="1">
      <c r="A11057" s="1" t="s">
        <v>15563</v>
      </c>
      <c r="B11057" s="1" t="str">
        <f ca="1">IFERROR(__xludf.DUMMYFUNCTION("GOOGLETRANSLATE(A11057, ""en"", ""fr"")"),"Inaperçu")</f>
        <v>Inaperçu</v>
      </c>
      <c r="C11057" s="1" t="s">
        <v>192</v>
      </c>
      <c r="E11057" s="1" t="s">
        <v>16613</v>
      </c>
      <c r="BT11057" s="1" t="s">
        <v>68</v>
      </c>
      <c r="CK11057" s="1" t="s">
        <v>85</v>
      </c>
      <c r="DR11057" s="1" t="s">
        <v>118</v>
      </c>
      <c r="GD11057" s="1" t="s">
        <v>202</v>
      </c>
      <c r="GE11057" s="1" t="s">
        <v>190</v>
      </c>
    </row>
    <row r="11058" spans="1:187" ht="11.25" customHeight="1">
      <c r="A11058" s="1" t="s">
        <v>15564</v>
      </c>
      <c r="B11058" s="1" t="str">
        <f ca="1">IFERROR(__xludf.DUMMYFUNCTION("GOOGLETRANSLATE(A11058, ""en"", ""fr"")"),"Non observé")</f>
        <v>Non observé</v>
      </c>
      <c r="C11058" s="1" t="s">
        <v>192</v>
      </c>
      <c r="E11058" s="1" t="s">
        <v>16613</v>
      </c>
      <c r="BT11058" s="1" t="s">
        <v>68</v>
      </c>
      <c r="CK11058" s="1" t="s">
        <v>85</v>
      </c>
      <c r="DR11058" s="1" t="s">
        <v>118</v>
      </c>
      <c r="GD11058" s="1" t="s">
        <v>202</v>
      </c>
      <c r="GE11058" s="1" t="s">
        <v>190</v>
      </c>
    </row>
    <row r="11059" spans="1:187" ht="11.25" customHeight="1">
      <c r="A11059" s="1" t="s">
        <v>15565</v>
      </c>
      <c r="B11059" s="1" t="str">
        <f ca="1">IFERROR(__xludf.DUMMYFUNCTION("GOOGLETRANSLATE(A11059, ""en"", ""fr"")"),"SANS PRÉCÉDENT")</f>
        <v>SANS PRÉCÉDENT</v>
      </c>
      <c r="C11059" s="1" t="s">
        <v>196</v>
      </c>
      <c r="FY11059" s="1" t="s">
        <v>177</v>
      </c>
      <c r="GD11059" s="1" t="s">
        <v>202</v>
      </c>
    </row>
    <row r="11060" spans="1:187" ht="11.25" customHeight="1">
      <c r="A11060" s="1" t="s">
        <v>15566</v>
      </c>
      <c r="B11060" s="1" t="str">
        <f ca="1">IFERROR(__xludf.DUMMYFUNCTION("GOOGLETRANSLATE(A11060, ""en"", ""fr"")"),"DÉSAGRÉABLE")</f>
        <v>DÉSAGRÉABLE</v>
      </c>
      <c r="C11060" s="1" t="s">
        <v>185</v>
      </c>
      <c r="E11060" s="1" t="s">
        <v>16613</v>
      </c>
      <c r="H11060" s="1" t="s">
        <v>4</v>
      </c>
      <c r="V11060" s="1" t="s">
        <v>18</v>
      </c>
      <c r="X11060" s="1" t="s">
        <v>20</v>
      </c>
      <c r="CN11060" s="1" t="s">
        <v>88</v>
      </c>
      <c r="DL11060" s="1" t="s">
        <v>112</v>
      </c>
      <c r="FW11060" s="1" t="s">
        <v>175</v>
      </c>
      <c r="GD11060" s="1" t="s">
        <v>202</v>
      </c>
      <c r="GE11060" s="1" t="s">
        <v>190</v>
      </c>
    </row>
    <row r="11061" spans="1:187" ht="11.25" customHeight="1">
      <c r="A11061" s="1" t="s">
        <v>15567</v>
      </c>
      <c r="B11061" s="1" t="str">
        <f ca="1">IFERROR(__xludf.DUMMYFUNCTION("GOOGLETRANSLATE(A11061, ""en"", ""fr"")"),"IMPOPULAIRE")</f>
        <v>IMPOPULAIRE</v>
      </c>
      <c r="C11061" s="1" t="s">
        <v>192</v>
      </c>
      <c r="E11061" s="1" t="s">
        <v>16613</v>
      </c>
      <c r="V11061" s="1" t="s">
        <v>18</v>
      </c>
      <c r="CM11061" s="1" t="s">
        <v>87</v>
      </c>
      <c r="DQ11061" s="1" t="s">
        <v>117</v>
      </c>
      <c r="GD11061" s="1" t="s">
        <v>202</v>
      </c>
      <c r="GE11061" s="1" t="s">
        <v>190</v>
      </c>
    </row>
    <row r="11062" spans="1:187" ht="11.25" customHeight="1">
      <c r="A11062" s="1" t="s">
        <v>15568</v>
      </c>
      <c r="B11062" s="1" t="str">
        <f ca="1">IFERROR(__xludf.DUMMYFUNCTION("GOOGLETRANSLATE(A11062, ""en"", ""fr"")"),"SANS PRÉCÉDENT")</f>
        <v>SANS PRÉCÉDENT</v>
      </c>
      <c r="C11062" s="1" t="s">
        <v>185</v>
      </c>
      <c r="W11062" s="1" t="s">
        <v>19</v>
      </c>
      <c r="CY11062" s="1" t="s">
        <v>99</v>
      </c>
      <c r="DL11062" s="1" t="s">
        <v>112</v>
      </c>
      <c r="FY11062" s="1" t="s">
        <v>177</v>
      </c>
      <c r="GD11062" s="1" t="s">
        <v>202</v>
      </c>
      <c r="GE11062" s="1" t="s">
        <v>190</v>
      </c>
    </row>
    <row r="11063" spans="1:187" ht="11.25" customHeight="1">
      <c r="A11063" s="1" t="s">
        <v>15569</v>
      </c>
      <c r="B11063" s="1" t="str">
        <f ca="1">IFERROR(__xludf.DUMMYFUNCTION("GOOGLETRANSLATE(A11063, ""en"", ""fr"")"),"IMPRÉVISIBLE")</f>
        <v>IMPRÉVISIBLE</v>
      </c>
      <c r="C11063" s="1" t="s">
        <v>185</v>
      </c>
      <c r="V11063" s="1" t="s">
        <v>18</v>
      </c>
      <c r="X11063" s="1" t="s">
        <v>20</v>
      </c>
      <c r="DL11063" s="1" t="s">
        <v>112</v>
      </c>
      <c r="FZ11063" s="1" t="s">
        <v>178</v>
      </c>
      <c r="GD11063" s="1" t="s">
        <v>202</v>
      </c>
      <c r="GE11063" s="1" t="s">
        <v>190</v>
      </c>
    </row>
    <row r="11064" spans="1:187" ht="11.25" customHeight="1">
      <c r="A11064" s="1" t="s">
        <v>15570</v>
      </c>
      <c r="B11064" s="1" t="str">
        <f ca="1">IFERROR(__xludf.DUMMYFUNCTION("GOOGLETRANSLATE(A11064, ""en"", ""fr"")"),"Non préparé")</f>
        <v>Non préparé</v>
      </c>
      <c r="C11064" s="1" t="s">
        <v>185</v>
      </c>
      <c r="L11064" s="1" t="s">
        <v>8</v>
      </c>
      <c r="V11064" s="1" t="s">
        <v>18</v>
      </c>
      <c r="DL11064" s="1" t="s">
        <v>112</v>
      </c>
      <c r="GD11064" s="1" t="s">
        <v>202</v>
      </c>
      <c r="GE11064" s="1" t="s">
        <v>190</v>
      </c>
    </row>
    <row r="11065" spans="1:187" ht="11.25" customHeight="1">
      <c r="A11065" s="1" t="s">
        <v>15571</v>
      </c>
      <c r="B11065" s="1" t="str">
        <f ca="1">IFERROR(__xludf.DUMMYFUNCTION("GOOGLETRANSLATE(A11065, ""en"", ""fr"")"),"PEU RENTABLE")</f>
        <v>PEU RENTABLE</v>
      </c>
      <c r="C11065" s="1" t="s">
        <v>192</v>
      </c>
      <c r="E11065" s="1" t="s">
        <v>16613</v>
      </c>
      <c r="AA11065" s="1" t="s">
        <v>23</v>
      </c>
      <c r="BT11065" s="1" t="s">
        <v>68</v>
      </c>
      <c r="DR11065" s="1" t="s">
        <v>118</v>
      </c>
      <c r="GD11065" s="1" t="s">
        <v>202</v>
      </c>
      <c r="GE11065" s="1" t="s">
        <v>190</v>
      </c>
    </row>
    <row r="11066" spans="1:187" ht="11.25" customHeight="1">
      <c r="A11066" s="1" t="s">
        <v>15572</v>
      </c>
      <c r="B11066" s="1" t="str">
        <f ca="1">IFERROR(__xludf.DUMMYFUNCTION("GOOGLETRANSLATE(A11066, ""en"", ""fr"")"),"Non provoqué")</f>
        <v>Non provoqué</v>
      </c>
      <c r="C11066" s="1" t="s">
        <v>196</v>
      </c>
      <c r="DW11066" s="1" t="s">
        <v>123</v>
      </c>
      <c r="ED11066" s="1" t="s">
        <v>130</v>
      </c>
      <c r="GD11066" s="1" t="s">
        <v>202</v>
      </c>
    </row>
    <row r="11067" spans="1:187" ht="11.25" customHeight="1">
      <c r="A11067" s="1" t="s">
        <v>15573</v>
      </c>
      <c r="B11067" s="1" t="str">
        <f ca="1">IFERROR(__xludf.DUMMYFUNCTION("GOOGLETRANSLATE(A11067, ""en"", ""fr"")"),"SANS RÉSERVE")</f>
        <v>SANS RÉSERVE</v>
      </c>
      <c r="C11067" s="1" t="s">
        <v>185</v>
      </c>
      <c r="E11067" s="1" t="s">
        <v>16613</v>
      </c>
      <c r="H11067" s="1" t="s">
        <v>4</v>
      </c>
      <c r="V11067" s="1" t="s">
        <v>18</v>
      </c>
      <c r="DL11067" s="1" t="s">
        <v>112</v>
      </c>
      <c r="GD11067" s="1" t="s">
        <v>202</v>
      </c>
      <c r="GE11067" s="1" t="s">
        <v>190</v>
      </c>
    </row>
    <row r="11068" spans="1:187" ht="11.25" customHeight="1">
      <c r="A11068" s="1" t="s">
        <v>15574</v>
      </c>
      <c r="B11068" s="1" t="str">
        <f ca="1">IFERROR(__xludf.DUMMYFUNCTION("GOOGLETRANSLATE(A11068, ""en"", ""fr"")"),"INCONTESTABLE")</f>
        <v>INCONTESTABLE</v>
      </c>
      <c r="C11068" s="1" t="s">
        <v>185</v>
      </c>
      <c r="J11068" s="1" t="s">
        <v>6</v>
      </c>
      <c r="W11068" s="1" t="s">
        <v>19</v>
      </c>
      <c r="CH11068" s="1" t="s">
        <v>82</v>
      </c>
      <c r="DL11068" s="1" t="s">
        <v>112</v>
      </c>
      <c r="FY11068" s="1" t="s">
        <v>177</v>
      </c>
      <c r="GD11068" s="1" t="s">
        <v>202</v>
      </c>
      <c r="GE11068" s="1" t="s">
        <v>190</v>
      </c>
    </row>
    <row r="11069" spans="1:187" ht="11.25" customHeight="1">
      <c r="A11069" s="1" t="s">
        <v>15575</v>
      </c>
      <c r="B11069" s="1" t="str">
        <f ca="1">IFERROR(__xludf.DUMMYFUNCTION("GOOGLETRANSLATE(A11069, ""en"", ""fr"")"),"INCONTESTÉ")</f>
        <v>INCONTESTÉ</v>
      </c>
      <c r="C11069" s="1" t="s">
        <v>185</v>
      </c>
      <c r="J11069" s="1" t="s">
        <v>6</v>
      </c>
      <c r="W11069" s="1" t="s">
        <v>19</v>
      </c>
      <c r="CH11069" s="1" t="s">
        <v>82</v>
      </c>
      <c r="DL11069" s="1" t="s">
        <v>112</v>
      </c>
      <c r="GD11069" s="1" t="s">
        <v>202</v>
      </c>
      <c r="GE11069" s="1" t="s">
        <v>190</v>
      </c>
    </row>
    <row r="11070" spans="1:187" ht="11.25" customHeight="1">
      <c r="A11070" s="1" t="s">
        <v>15576</v>
      </c>
      <c r="B11070" s="1" t="str">
        <f ca="1">IFERROR(__xludf.DUMMYFUNCTION("GOOGLETRANSLATE(A11070, ""en"", ""fr"")"),"IRRÉEL")</f>
        <v>IRRÉEL</v>
      </c>
      <c r="C11070" s="1" t="s">
        <v>185</v>
      </c>
      <c r="V11070" s="1" t="s">
        <v>18</v>
      </c>
      <c r="DL11070" s="1" t="s">
        <v>112</v>
      </c>
      <c r="GD11070" s="1" t="s">
        <v>202</v>
      </c>
      <c r="GE11070" s="1" t="s">
        <v>190</v>
      </c>
    </row>
    <row r="11071" spans="1:187" ht="11.25" customHeight="1">
      <c r="A11071" s="1" t="s">
        <v>15577</v>
      </c>
      <c r="B11071" s="1" t="str">
        <f ca="1">IFERROR(__xludf.DUMMYFUNCTION("GOOGLETRANSLATE(A11071, ""en"", ""fr"")"),"IRRÉALISTE")</f>
        <v>IRRÉALISTE</v>
      </c>
      <c r="C11071" s="1" t="s">
        <v>185</v>
      </c>
      <c r="V11071" s="1" t="s">
        <v>18</v>
      </c>
      <c r="CN11071" s="1" t="s">
        <v>88</v>
      </c>
      <c r="DL11071" s="1" t="s">
        <v>112</v>
      </c>
      <c r="GD11071" s="1" t="s">
        <v>202</v>
      </c>
      <c r="GE11071" s="1" t="s">
        <v>190</v>
      </c>
    </row>
    <row r="11072" spans="1:187" ht="11.25" customHeight="1">
      <c r="A11072" s="1" t="s">
        <v>15578</v>
      </c>
      <c r="B11072" s="1" t="str">
        <f ca="1">IFERROR(__xludf.DUMMYFUNCTION("GOOGLETRANSLATE(A11072, ""en"", ""fr"")"),"DÉRAISONNABLE")</f>
        <v>DÉRAISONNABLE</v>
      </c>
      <c r="C11072" s="1" t="s">
        <v>185</v>
      </c>
      <c r="E11072" s="1" t="s">
        <v>16613</v>
      </c>
      <c r="BT11072" s="1" t="s">
        <v>68</v>
      </c>
      <c r="CA11072" s="1" t="s">
        <v>75</v>
      </c>
      <c r="CG11072" s="1" t="s">
        <v>81</v>
      </c>
      <c r="DR11072" s="1" t="s">
        <v>118</v>
      </c>
      <c r="FE11072" s="1" t="s">
        <v>157</v>
      </c>
      <c r="FI11072" s="1" t="s">
        <v>161</v>
      </c>
      <c r="GD11072" s="1" t="s">
        <v>202</v>
      </c>
      <c r="GE11072" s="1" t="s">
        <v>190</v>
      </c>
    </row>
    <row r="11073" spans="1:187" ht="11.25" customHeight="1">
      <c r="A11073" s="1" t="s">
        <v>15579</v>
      </c>
      <c r="B11073" s="1" t="str">
        <f ca="1">IFERROR(__xludf.DUMMYFUNCTION("GOOGLETRANSLATE(A11073, ""en"", ""fr"")"),"Manque de fiabilité")</f>
        <v>Manque de fiabilité</v>
      </c>
      <c r="C11073" s="1" t="s">
        <v>185</v>
      </c>
      <c r="E11073" s="1" t="s">
        <v>16613</v>
      </c>
      <c r="H11073" s="1" t="s">
        <v>4</v>
      </c>
      <c r="L11073" s="1" t="s">
        <v>8</v>
      </c>
      <c r="V11073" s="1" t="s">
        <v>18</v>
      </c>
      <c r="X11073" s="1" t="s">
        <v>20</v>
      </c>
      <c r="DL11073" s="1" t="s">
        <v>112</v>
      </c>
      <c r="GD11073" s="1" t="s">
        <v>193</v>
      </c>
      <c r="GE11073" s="1" t="s">
        <v>190</v>
      </c>
    </row>
    <row r="11074" spans="1:187" ht="11.25" customHeight="1">
      <c r="A11074" s="1" t="s">
        <v>15580</v>
      </c>
      <c r="B11074" s="1" t="str">
        <f ca="1">IFERROR(__xludf.DUMMYFUNCTION("GOOGLETRANSLATE(A11074, ""en"", ""fr"")"),"NON FIABLE")</f>
        <v>NON FIABLE</v>
      </c>
      <c r="C11074" s="1" t="s">
        <v>185</v>
      </c>
      <c r="E11074" s="1" t="s">
        <v>16613</v>
      </c>
      <c r="H11074" s="1" t="s">
        <v>4</v>
      </c>
      <c r="L11074" s="1" t="s">
        <v>8</v>
      </c>
      <c r="V11074" s="1" t="s">
        <v>18</v>
      </c>
      <c r="X11074" s="1" t="s">
        <v>20</v>
      </c>
      <c r="CN11074" s="1" t="s">
        <v>88</v>
      </c>
      <c r="DL11074" s="1" t="s">
        <v>112</v>
      </c>
      <c r="EM11074" s="1" t="s">
        <v>139</v>
      </c>
      <c r="EN11074" s="1" t="s">
        <v>140</v>
      </c>
      <c r="GD11074" s="1" t="s">
        <v>202</v>
      </c>
      <c r="GE11074" s="1" t="s">
        <v>190</v>
      </c>
    </row>
    <row r="11075" spans="1:187" ht="11.25" customHeight="1">
      <c r="A11075" s="1" t="s">
        <v>15581</v>
      </c>
      <c r="B11075" s="1" t="str">
        <f ca="1">IFERROR(__xludf.DUMMYFUNCTION("GOOGLETRANSLATE(A11075, ""en"", ""fr"")"),"INLASSABLE")</f>
        <v>INLASSABLE</v>
      </c>
      <c r="C11075" s="1" t="s">
        <v>196</v>
      </c>
      <c r="GD11075" s="1" t="s">
        <v>202</v>
      </c>
    </row>
    <row r="11076" spans="1:187" ht="11.25" customHeight="1">
      <c r="A11076" s="1" t="s">
        <v>15582</v>
      </c>
      <c r="B11076" s="1" t="str">
        <f ca="1">IFERROR(__xludf.DUMMYFUNCTION("GOOGLETRANSLATE(A11076, ""en"", ""fr"")"),"TROUBLES")</f>
        <v>TROUBLES</v>
      </c>
      <c r="C11076" s="1" t="s">
        <v>192</v>
      </c>
      <c r="E11076" s="1" t="s">
        <v>16613</v>
      </c>
      <c r="V11076" s="1" t="s">
        <v>18</v>
      </c>
      <c r="BW11076" s="1" t="s">
        <v>71</v>
      </c>
      <c r="GD11076" s="1" t="s">
        <v>193</v>
      </c>
      <c r="GE11076" s="1" t="s">
        <v>190</v>
      </c>
    </row>
    <row r="11077" spans="1:187" ht="11.25" customHeight="1">
      <c r="A11077" s="1" t="s">
        <v>15583</v>
      </c>
      <c r="B11077" s="1" t="str">
        <f ca="1">IFERROR(__xludf.DUMMYFUNCTION("GOOGLETRANSLATE(A11077, ""en"", ""fr"")"),"LIBRE")</f>
        <v>LIBRE</v>
      </c>
      <c r="C11077" s="1" t="s">
        <v>185</v>
      </c>
      <c r="K11077" s="1" t="s">
        <v>7</v>
      </c>
      <c r="W11077" s="1" t="s">
        <v>19</v>
      </c>
      <c r="CN11077" s="1" t="s">
        <v>88</v>
      </c>
      <c r="CR11077" s="1" t="s">
        <v>92</v>
      </c>
      <c r="DL11077" s="1" t="s">
        <v>112</v>
      </c>
      <c r="GD11077" s="1" t="s">
        <v>202</v>
      </c>
      <c r="GE11077" s="1" t="s">
        <v>190</v>
      </c>
    </row>
    <row r="11078" spans="1:187" ht="11.25" customHeight="1">
      <c r="A11078" s="1" t="s">
        <v>15584</v>
      </c>
      <c r="B11078" s="1" t="str">
        <f ca="1">IFERROR(__xludf.DUMMYFUNCTION("GOOGLETRANSLATE(A11078, ""en"", ""fr"")"),"INDISCIPLINÉ")</f>
        <v>INDISCIPLINÉ</v>
      </c>
      <c r="C11078" s="1" t="s">
        <v>192</v>
      </c>
      <c r="E11078" s="1" t="s">
        <v>16613</v>
      </c>
      <c r="I11078" s="1" t="s">
        <v>5</v>
      </c>
      <c r="DR11078" s="1" t="s">
        <v>118</v>
      </c>
      <c r="GD11078" s="1" t="s">
        <v>202</v>
      </c>
      <c r="GE11078" s="1" t="s">
        <v>190</v>
      </c>
    </row>
    <row r="11079" spans="1:187" ht="11.25" customHeight="1">
      <c r="A11079" s="1" t="s">
        <v>15585</v>
      </c>
      <c r="B11079" s="1" t="str">
        <f ca="1">IFERROR(__xludf.DUMMYFUNCTION("GOOGLETRANSLATE(A11079, ""en"", ""fr"")"),"PEU SÛR")</f>
        <v>PEU SÛR</v>
      </c>
      <c r="C11079" s="1" t="s">
        <v>192</v>
      </c>
      <c r="E11079" s="1" t="s">
        <v>16613</v>
      </c>
      <c r="I11079" s="1" t="s">
        <v>5</v>
      </c>
      <c r="DR11079" s="1" t="s">
        <v>118</v>
      </c>
      <c r="GD11079" s="1" t="s">
        <v>202</v>
      </c>
      <c r="GE11079" s="1" t="s">
        <v>190</v>
      </c>
    </row>
    <row r="11080" spans="1:187" ht="11.25" customHeight="1">
      <c r="A11080" s="1" t="s">
        <v>15586</v>
      </c>
      <c r="B11080" s="1" t="str">
        <f ca="1">IFERROR(__xludf.DUMMYFUNCTION("GOOGLETRANSLATE(A11080, ""en"", ""fr"")"),"Insatisfaisant")</f>
        <v>Insatisfaisant</v>
      </c>
      <c r="C11080" s="1" t="s">
        <v>185</v>
      </c>
      <c r="E11080" s="1" t="s">
        <v>16613</v>
      </c>
      <c r="H11080" s="1" t="s">
        <v>4</v>
      </c>
      <c r="V11080" s="1" t="s">
        <v>18</v>
      </c>
      <c r="X11080" s="1" t="s">
        <v>20</v>
      </c>
      <c r="DL11080" s="1" t="s">
        <v>112</v>
      </c>
      <c r="FW11080" s="1" t="s">
        <v>175</v>
      </c>
      <c r="GD11080" s="1" t="s">
        <v>202</v>
      </c>
      <c r="GE11080" s="1" t="s">
        <v>190</v>
      </c>
    </row>
    <row r="11081" spans="1:187" ht="11.25" customHeight="1">
      <c r="A11081" s="1" t="s">
        <v>15587</v>
      </c>
      <c r="B11081" s="1" t="str">
        <f ca="1">IFERROR(__xludf.DUMMYFUNCTION("GOOGLETRANSLATE(A11081, ""en"", ""fr"")"),"SANS SCRUPULES")</f>
        <v>SANS SCRUPULES</v>
      </c>
      <c r="C11081" s="1" t="s">
        <v>192</v>
      </c>
      <c r="E11081" s="1" t="s">
        <v>16613</v>
      </c>
      <c r="L11081" s="1" t="s">
        <v>8</v>
      </c>
      <c r="V11081" s="1" t="s">
        <v>18</v>
      </c>
      <c r="DR11081" s="1" t="s">
        <v>118</v>
      </c>
      <c r="GD11081" s="1" t="s">
        <v>202</v>
      </c>
      <c r="GE11081" s="1" t="s">
        <v>190</v>
      </c>
    </row>
    <row r="11082" spans="1:187" ht="11.25" customHeight="1">
      <c r="A11082" s="1" t="s">
        <v>15588</v>
      </c>
      <c r="B11082" s="1" t="str">
        <f ca="1">IFERROR(__xludf.DUMMYFUNCTION("GOOGLETRANSLATE(A11082, ""en"", ""fr"")"),"INVISIBLE")</f>
        <v>INVISIBLE</v>
      </c>
      <c r="C11082" s="1" t="s">
        <v>192</v>
      </c>
      <c r="E11082" s="1" t="s">
        <v>16613</v>
      </c>
      <c r="BT11082" s="1" t="s">
        <v>68</v>
      </c>
      <c r="CK11082" s="1" t="s">
        <v>85</v>
      </c>
      <c r="DR11082" s="1" t="s">
        <v>118</v>
      </c>
      <c r="GD11082" s="1" t="s">
        <v>202</v>
      </c>
      <c r="GE11082" s="1" t="s">
        <v>190</v>
      </c>
    </row>
    <row r="11083" spans="1:187" ht="11.25" customHeight="1">
      <c r="A11083" s="1" t="s">
        <v>15589</v>
      </c>
      <c r="B11083" s="1" t="str">
        <f ca="1">IFERROR(__xludf.DUMMYFUNCTION("GOOGLETRANSLATE(A11083, ""en"", ""fr"")"),"GÉNÉREUX")</f>
        <v>GÉNÉREUX</v>
      </c>
      <c r="C11083" s="1" t="s">
        <v>192</v>
      </c>
      <c r="D11083" s="1" t="s">
        <v>16612</v>
      </c>
      <c r="U11083" s="1" t="s">
        <v>17</v>
      </c>
      <c r="DL11083" s="1" t="s">
        <v>112</v>
      </c>
      <c r="DQ11083" s="1" t="s">
        <v>117</v>
      </c>
      <c r="GD11083" s="1" t="s">
        <v>202</v>
      </c>
      <c r="GE11083" s="1" t="s">
        <v>190</v>
      </c>
    </row>
    <row r="11084" spans="1:187" ht="11.25" customHeight="1">
      <c r="A11084" s="1" t="s">
        <v>15590</v>
      </c>
      <c r="B11084" s="1" t="str">
        <f ca="1">IFERROR(__xludf.DUMMYFUNCTION("GOOGLETRANSLATE(A11084, ""en"", ""fr"")"),"TROUBLANT")</f>
        <v>TROUBLANT</v>
      </c>
      <c r="C11084" s="1" t="s">
        <v>192</v>
      </c>
      <c r="E11084" s="1" t="s">
        <v>16613</v>
      </c>
      <c r="Q11084" s="1" t="s">
        <v>13</v>
      </c>
      <c r="T11084" s="1" t="s">
        <v>16</v>
      </c>
      <c r="DR11084" s="1" t="s">
        <v>118</v>
      </c>
      <c r="GD11084" s="1" t="s">
        <v>202</v>
      </c>
      <c r="GE11084" s="1" t="s">
        <v>190</v>
      </c>
    </row>
    <row r="11085" spans="1:187" ht="11.25" customHeight="1">
      <c r="A11085" s="1" t="s">
        <v>15591</v>
      </c>
      <c r="B11085" s="1" t="str">
        <f ca="1">IFERROR(__xludf.DUMMYFUNCTION("GOOGLETRANSLATE(A11085, ""en"", ""fr"")"),"INÉBRANLABLE")</f>
        <v>INÉBRANLABLE</v>
      </c>
      <c r="C11085" s="1" t="s">
        <v>196</v>
      </c>
      <c r="FY11085" s="1" t="s">
        <v>177</v>
      </c>
      <c r="GD11085" s="1" t="s">
        <v>202</v>
      </c>
    </row>
    <row r="11086" spans="1:187" ht="11.25" customHeight="1">
      <c r="A11086" s="1" t="s">
        <v>15592</v>
      </c>
      <c r="B11086" s="1" t="str">
        <f ca="1">IFERROR(__xludf.DUMMYFUNCTION("GOOGLETRANSLATE(A11086, ""en"", ""fr"")"),"Non-Solve")</f>
        <v>Non-Solve</v>
      </c>
      <c r="C11086" s="1" t="s">
        <v>196</v>
      </c>
      <c r="FH11086" s="1" t="s">
        <v>160</v>
      </c>
      <c r="FI11086" s="1" t="s">
        <v>161</v>
      </c>
      <c r="GD11086" s="1" t="s">
        <v>202</v>
      </c>
    </row>
    <row r="11087" spans="1:187" ht="11.25" customHeight="1">
      <c r="A11087" s="1" t="s">
        <v>15593</v>
      </c>
      <c r="B11087" s="1" t="str">
        <f ca="1">IFERROR(__xludf.DUMMYFUNCTION("GOOGLETRANSLATE(A11087, ""en"", ""fr"")"),"Qui n'est pas lié")</f>
        <v>Qui n'est pas lié</v>
      </c>
      <c r="C11087" s="1" t="s">
        <v>185</v>
      </c>
      <c r="E11087" s="1" t="s">
        <v>16613</v>
      </c>
      <c r="L11087" s="1" t="s">
        <v>8</v>
      </c>
      <c r="V11087" s="1" t="s">
        <v>18</v>
      </c>
      <c r="X11087" s="1" t="s">
        <v>20</v>
      </c>
      <c r="DL11087" s="1" t="s">
        <v>112</v>
      </c>
      <c r="DR11087" s="1" t="s">
        <v>118</v>
      </c>
      <c r="FW11087" s="1" t="s">
        <v>175</v>
      </c>
      <c r="GD11087" s="1" t="s">
        <v>202</v>
      </c>
      <c r="GE11087" s="1" t="s">
        <v>190</v>
      </c>
    </row>
    <row r="11088" spans="1:187" ht="11.25" customHeight="1">
      <c r="A11088" s="1" t="s">
        <v>15594</v>
      </c>
      <c r="B11088" s="1" t="str">
        <f ca="1">IFERROR(__xludf.DUMMYFUNCTION("GOOGLETRANSLATE(A11088, ""en"", ""fr"")"),"Insouciance")</f>
        <v>Insouciance</v>
      </c>
      <c r="C11088" s="1" t="s">
        <v>185</v>
      </c>
      <c r="L11088" s="1" t="s">
        <v>8</v>
      </c>
      <c r="V11088" s="1" t="s">
        <v>18</v>
      </c>
      <c r="X11088" s="1" t="s">
        <v>20</v>
      </c>
      <c r="DL11088" s="1" t="s">
        <v>112</v>
      </c>
      <c r="GD11088" s="1" t="s">
        <v>193</v>
      </c>
      <c r="GE11088" s="1" t="s">
        <v>190</v>
      </c>
    </row>
    <row r="11089" spans="1:187" ht="11.25" customHeight="1">
      <c r="A11089" s="1" t="s">
        <v>15595</v>
      </c>
      <c r="B11089" s="1" t="str">
        <f ca="1">IFERROR(__xludf.DUMMYFUNCTION("GOOGLETRANSLATE(A11089, ""en"", ""fr"")"),"INDICIBLE")</f>
        <v>INDICIBLE</v>
      </c>
      <c r="C11089" s="1" t="s">
        <v>185</v>
      </c>
      <c r="E11089" s="1" t="s">
        <v>16613</v>
      </c>
      <c r="Q11089" s="1" t="s">
        <v>13</v>
      </c>
      <c r="T11089" s="1" t="s">
        <v>16</v>
      </c>
      <c r="BK11089" s="1" t="s">
        <v>59</v>
      </c>
      <c r="DR11089" s="1" t="s">
        <v>118</v>
      </c>
      <c r="FW11089" s="1" t="s">
        <v>175</v>
      </c>
      <c r="GD11089" s="1" t="s">
        <v>202</v>
      </c>
      <c r="GE11089" s="1" t="s">
        <v>190</v>
      </c>
    </row>
    <row r="11090" spans="1:187" ht="11.25" customHeight="1">
      <c r="A11090" s="1" t="s">
        <v>15596</v>
      </c>
      <c r="B11090" s="1" t="str">
        <f ca="1">IFERROR(__xludf.DUMMYFUNCTION("GOOGLETRANSLATE(A11090, ""en"", ""fr"")"),"NON SPÉCIFIÉ")</f>
        <v>NON SPÉCIFIÉ</v>
      </c>
      <c r="C11090" s="1" t="s">
        <v>185</v>
      </c>
      <c r="X11090" s="1" t="s">
        <v>20</v>
      </c>
      <c r="BK11090" s="1" t="s">
        <v>59</v>
      </c>
      <c r="DL11090" s="1" t="s">
        <v>112</v>
      </c>
      <c r="GC11090" s="1" t="s">
        <v>181</v>
      </c>
      <c r="GD11090" s="1" t="s">
        <v>202</v>
      </c>
      <c r="GE11090" s="1" t="s">
        <v>190</v>
      </c>
    </row>
    <row r="11091" spans="1:187" ht="11.25" customHeight="1">
      <c r="A11091" s="1" t="s">
        <v>15597</v>
      </c>
      <c r="B11091" s="1" t="str">
        <f ca="1">IFERROR(__xludf.DUMMYFUNCTION("GOOGLETRANSLATE(A11091, ""en"", ""fr"")"),"INSTABLE")</f>
        <v>INSTABLE</v>
      </c>
      <c r="C11091" s="1" t="s">
        <v>185</v>
      </c>
      <c r="E11091" s="1" t="s">
        <v>16613</v>
      </c>
      <c r="H11091" s="1" t="s">
        <v>4</v>
      </c>
      <c r="L11091" s="1" t="s">
        <v>8</v>
      </c>
      <c r="V11091" s="1" t="s">
        <v>18</v>
      </c>
      <c r="CN11091" s="1" t="s">
        <v>88</v>
      </c>
      <c r="DL11091" s="1" t="s">
        <v>112</v>
      </c>
      <c r="FZ11091" s="1" t="s">
        <v>178</v>
      </c>
      <c r="GD11091" s="1" t="s">
        <v>202</v>
      </c>
      <c r="GE11091" s="1" t="s">
        <v>190</v>
      </c>
    </row>
    <row r="11092" spans="1:187" ht="11.25" customHeight="1">
      <c r="A11092" s="1" t="s">
        <v>15598</v>
      </c>
      <c r="B11092" s="1" t="str">
        <f ca="1">IFERROR(__xludf.DUMMYFUNCTION("GOOGLETRANSLATE(A11092, ""en"", ""fr"")"),"DÉSÉQUILIBRE")</f>
        <v>DÉSÉQUILIBRE</v>
      </c>
      <c r="C11092" s="1" t="s">
        <v>185</v>
      </c>
      <c r="E11092" s="1" t="s">
        <v>16613</v>
      </c>
      <c r="H11092" s="1" t="s">
        <v>4</v>
      </c>
      <c r="L11092" s="1" t="s">
        <v>8</v>
      </c>
      <c r="CR11092" s="1" t="s">
        <v>92</v>
      </c>
      <c r="DL11092" s="1" t="s">
        <v>112</v>
      </c>
      <c r="GD11092" s="1" t="s">
        <v>193</v>
      </c>
      <c r="GE11092" s="1" t="s">
        <v>190</v>
      </c>
    </row>
    <row r="11093" spans="1:187" ht="11.25" customHeight="1">
      <c r="A11093" s="1" t="s">
        <v>15599</v>
      </c>
      <c r="B11093" s="1" t="str">
        <f ca="1">IFERROR(__xludf.DUMMYFUNCTION("GOOGLETRANSLATE(A11093, ""en"", ""fr"")"),"INSTABLE")</f>
        <v>INSTABLE</v>
      </c>
      <c r="C11093" s="1" t="s">
        <v>185</v>
      </c>
      <c r="E11093" s="1" t="s">
        <v>16613</v>
      </c>
      <c r="H11093" s="1" t="s">
        <v>4</v>
      </c>
      <c r="L11093" s="1" t="s">
        <v>8</v>
      </c>
      <c r="CR11093" s="1" t="s">
        <v>92</v>
      </c>
      <c r="DL11093" s="1" t="s">
        <v>112</v>
      </c>
      <c r="FZ11093" s="1" t="s">
        <v>178</v>
      </c>
      <c r="GD11093" s="1" t="s">
        <v>202</v>
      </c>
      <c r="GE11093" s="1" t="s">
        <v>190</v>
      </c>
    </row>
    <row r="11094" spans="1:187" ht="11.25" customHeight="1">
      <c r="A11094" s="1" t="s">
        <v>15600</v>
      </c>
      <c r="B11094" s="1" t="str">
        <f ca="1">IFERROR(__xludf.DUMMYFUNCTION("GOOGLETRANSLATE(A11094, ""en"", ""fr"")"),"INFRUCTUEUX")</f>
        <v>INFRUCTUEUX</v>
      </c>
      <c r="C11094" s="1" t="s">
        <v>185</v>
      </c>
      <c r="E11094" s="1" t="s">
        <v>16613</v>
      </c>
      <c r="H11094" s="1" t="s">
        <v>4</v>
      </c>
      <c r="L11094" s="1" t="s">
        <v>8</v>
      </c>
      <c r="M11094" s="1" t="s">
        <v>9</v>
      </c>
      <c r="V11094" s="1" t="s">
        <v>18</v>
      </c>
      <c r="BT11094" s="1" t="s">
        <v>68</v>
      </c>
      <c r="DL11094" s="1" t="s">
        <v>112</v>
      </c>
      <c r="DR11094" s="1" t="s">
        <v>118</v>
      </c>
      <c r="GD11094" s="1" t="s">
        <v>202</v>
      </c>
      <c r="GE11094" s="1" t="s">
        <v>190</v>
      </c>
    </row>
    <row r="11095" spans="1:187" ht="11.25" customHeight="1">
      <c r="A11095" s="1" t="s">
        <v>15601</v>
      </c>
      <c r="B11095" s="1" t="str">
        <f ca="1">IFERROR(__xludf.DUMMYFUNCTION("GOOGLETRANSLATE(A11095, ""en"", ""fr"")"),"INAPPROPRIÉ")</f>
        <v>INAPPROPRIÉ</v>
      </c>
      <c r="C11095" s="1" t="s">
        <v>196</v>
      </c>
      <c r="FW11095" s="1" t="s">
        <v>175</v>
      </c>
      <c r="GD11095" s="1" t="s">
        <v>202</v>
      </c>
    </row>
    <row r="11096" spans="1:187" ht="11.25" customHeight="1">
      <c r="A11096" s="1" t="s">
        <v>15602</v>
      </c>
      <c r="B11096" s="1" t="str">
        <f ca="1">IFERROR(__xludf.DUMMYFUNCTION("GOOGLETRANSLATE(A11096, ""en"", ""fr"")"),"INCERTAIN")</f>
        <v>INCERTAIN</v>
      </c>
      <c r="C11096" s="1" t="s">
        <v>185</v>
      </c>
      <c r="L11096" s="1" t="s">
        <v>8</v>
      </c>
      <c r="V11096" s="1" t="s">
        <v>18</v>
      </c>
      <c r="X11096" s="1" t="s">
        <v>20</v>
      </c>
      <c r="DL11096" s="1" t="s">
        <v>112</v>
      </c>
      <c r="FZ11096" s="1" t="s">
        <v>178</v>
      </c>
      <c r="GD11096" s="1" t="s">
        <v>202</v>
      </c>
      <c r="GE11096" s="1" t="s">
        <v>190</v>
      </c>
    </row>
    <row r="11097" spans="1:187" ht="11.25" customHeight="1">
      <c r="A11097" s="1" t="s">
        <v>15603</v>
      </c>
      <c r="B11097" s="1" t="str">
        <f ca="1">IFERROR(__xludf.DUMMYFUNCTION("GOOGLETRANSLATE(A11097, ""en"", ""fr"")"),"Non de durée")</f>
        <v>Non de durée</v>
      </c>
      <c r="C11097" s="1" t="s">
        <v>185</v>
      </c>
      <c r="L11097" s="1" t="s">
        <v>8</v>
      </c>
      <c r="V11097" s="1" t="s">
        <v>18</v>
      </c>
      <c r="X11097" s="1" t="s">
        <v>20</v>
      </c>
      <c r="DL11097" s="1" t="s">
        <v>112</v>
      </c>
      <c r="GD11097" s="1" t="s">
        <v>193</v>
      </c>
      <c r="GE11097" s="1" t="s">
        <v>190</v>
      </c>
    </row>
    <row r="11098" spans="1:187" ht="11.25" customHeight="1">
      <c r="A11098" s="1" t="s">
        <v>15604</v>
      </c>
      <c r="B11098" s="1" t="str">
        <f ca="1">IFERROR(__xludf.DUMMYFUNCTION("GOOGLETRANSLATE(A11098, ""en"", ""fr"")"),"Invassable")</f>
        <v>Invassable</v>
      </c>
      <c r="C11098" s="1" t="s">
        <v>196</v>
      </c>
      <c r="FX11098" s="1" t="s">
        <v>176</v>
      </c>
      <c r="GD11098" s="1" t="s">
        <v>202</v>
      </c>
    </row>
    <row r="11099" spans="1:187" ht="11.25" customHeight="1">
      <c r="A11099" s="1" t="s">
        <v>15605</v>
      </c>
      <c r="B11099" s="1" t="str">
        <f ca="1">IFERROR(__xludf.DUMMYFUNCTION("GOOGLETRANSLATE(A11099, ""en"", ""fr"")"),"Jusqu'au n ° 1")</f>
        <v>Jusqu'au n ° 1</v>
      </c>
      <c r="C11099" s="1" t="s">
        <v>185</v>
      </c>
      <c r="CY11099" s="1" t="s">
        <v>99</v>
      </c>
      <c r="GB11099" s="1" t="s">
        <v>180</v>
      </c>
      <c r="GD11099" s="1" t="s">
        <v>215</v>
      </c>
      <c r="GE11099" s="1" t="s">
        <v>15606</v>
      </c>
    </row>
    <row r="11100" spans="1:187" ht="11.25" customHeight="1">
      <c r="A11100" s="1" t="s">
        <v>15607</v>
      </c>
      <c r="B11100" s="1" t="str">
        <f ca="1">IFERROR(__xludf.DUMMYFUNCTION("GOOGLETRANSLATE(A11100, ""en"", ""fr"")"),"Jusqu'à # 2")</f>
        <v>Jusqu'à # 2</v>
      </c>
      <c r="C11100" s="1" t="s">
        <v>185</v>
      </c>
      <c r="CY11100" s="1" t="s">
        <v>99</v>
      </c>
      <c r="GB11100" s="1" t="s">
        <v>180</v>
      </c>
      <c r="GD11100" s="1" t="s">
        <v>763</v>
      </c>
      <c r="GE11100" s="1" t="s">
        <v>15608</v>
      </c>
    </row>
    <row r="11101" spans="1:187" ht="11.25" customHeight="1">
      <c r="A11101" s="1" t="s">
        <v>15609</v>
      </c>
      <c r="B11101" s="1" t="str">
        <f ca="1">IFERROR(__xludf.DUMMYFUNCTION("GOOGLETRANSLATE(A11101, ""en"", ""fr"")"),"PRÉMATURÉ")</f>
        <v>PRÉMATURÉ</v>
      </c>
      <c r="C11101" s="1" t="s">
        <v>192</v>
      </c>
      <c r="E11101" s="1" t="s">
        <v>16613</v>
      </c>
      <c r="BT11101" s="1" t="s">
        <v>68</v>
      </c>
      <c r="CY11101" s="1" t="s">
        <v>99</v>
      </c>
      <c r="DR11101" s="1" t="s">
        <v>118</v>
      </c>
      <c r="GD11101" s="1" t="s">
        <v>202</v>
      </c>
      <c r="GE11101" s="1" t="s">
        <v>190</v>
      </c>
    </row>
    <row r="11102" spans="1:187" ht="11.25" customHeight="1">
      <c r="A11102" s="1" t="s">
        <v>15610</v>
      </c>
      <c r="B11102" s="1" t="str">
        <f ca="1">IFERROR(__xludf.DUMMYFUNCTION("GOOGLETRANSLATE(A11102, ""en"", ""fr"")"),"Infatigable")</f>
        <v>Infatigable</v>
      </c>
      <c r="C11102" s="1" t="s">
        <v>196</v>
      </c>
      <c r="GD11102" s="1" t="s">
        <v>202</v>
      </c>
    </row>
    <row r="11103" spans="1:187" ht="11.25" customHeight="1">
      <c r="A11103" s="1" t="s">
        <v>15611</v>
      </c>
      <c r="B11103" s="1" t="str">
        <f ca="1">IFERROR(__xludf.DUMMYFUNCTION("GOOGLETRANSLATE(A11103, ""en"", ""fr"")"),"De")</f>
        <v>De</v>
      </c>
      <c r="C11103" s="1" t="s">
        <v>185</v>
      </c>
      <c r="DA11103" s="1" t="s">
        <v>101</v>
      </c>
      <c r="GD11103" s="1" t="s">
        <v>215</v>
      </c>
      <c r="GE11103" s="1" t="s">
        <v>190</v>
      </c>
    </row>
    <row r="11104" spans="1:187" ht="11.25" customHeight="1">
      <c r="A11104" s="1" t="s">
        <v>15612</v>
      </c>
      <c r="B11104" s="1" t="str">
        <f ca="1">IFERROR(__xludf.DUMMYFUNCTION("GOOGLETRANSLATE(A11104, ""en"", ""fr"")"),"Incalculable")</f>
        <v>Incalculable</v>
      </c>
      <c r="C11104" s="1" t="s">
        <v>185</v>
      </c>
      <c r="J11104" s="1" t="s">
        <v>6</v>
      </c>
      <c r="W11104" s="1" t="s">
        <v>19</v>
      </c>
      <c r="BK11104" s="1" t="s">
        <v>59</v>
      </c>
      <c r="DL11104" s="1" t="s">
        <v>112</v>
      </c>
      <c r="GD11104" s="1" t="s">
        <v>202</v>
      </c>
      <c r="GE11104" s="1" t="s">
        <v>190</v>
      </c>
    </row>
    <row r="11105" spans="1:187" ht="11.25" customHeight="1">
      <c r="A11105" s="1" t="s">
        <v>15613</v>
      </c>
      <c r="B11105" s="1" t="str">
        <f ca="1">IFERROR(__xludf.DUMMYFUNCTION("GOOGLETRANSLATE(A11105, ""en"", ""fr"")"),"Intact")</f>
        <v>Intact</v>
      </c>
      <c r="C11105" s="1" t="s">
        <v>192</v>
      </c>
      <c r="D11105" s="1" t="s">
        <v>16612</v>
      </c>
      <c r="U11105" s="1" t="s">
        <v>17</v>
      </c>
      <c r="DL11105" s="1" t="s">
        <v>112</v>
      </c>
      <c r="DR11105" s="1" t="s">
        <v>118</v>
      </c>
      <c r="GD11105" s="1" t="s">
        <v>202</v>
      </c>
      <c r="GE11105" s="1" t="s">
        <v>190</v>
      </c>
    </row>
    <row r="11106" spans="1:187" ht="11.25" customHeight="1">
      <c r="A11106" s="1" t="s">
        <v>15614</v>
      </c>
      <c r="B11106" s="1" t="str">
        <f ca="1">IFERROR(__xludf.DUMMYFUNCTION("GOOGLETRANSLATE(A11106, ""en"", ""fr"")"),"NON FORMÉ")</f>
        <v>NON FORMÉ</v>
      </c>
      <c r="C11106" s="1" t="s">
        <v>192</v>
      </c>
      <c r="E11106" s="1" t="s">
        <v>16613</v>
      </c>
      <c r="L11106" s="1" t="s">
        <v>8</v>
      </c>
      <c r="BT11106" s="1" t="s">
        <v>68</v>
      </c>
      <c r="DR11106" s="1" t="s">
        <v>118</v>
      </c>
      <c r="GD11106" s="1" t="s">
        <v>202</v>
      </c>
      <c r="GE11106" s="1" t="s">
        <v>190</v>
      </c>
    </row>
    <row r="11107" spans="1:187" ht="11.25" customHeight="1">
      <c r="A11107" s="1" t="s">
        <v>15615</v>
      </c>
      <c r="B11107" s="1" t="str">
        <f ca="1">IFERROR(__xludf.DUMMYFUNCTION("GOOGLETRANSLATE(A11107, ""en"", ""fr"")"),"FAUX")</f>
        <v>FAUX</v>
      </c>
      <c r="C11107" s="1" t="s">
        <v>185</v>
      </c>
      <c r="E11107" s="1" t="s">
        <v>16613</v>
      </c>
      <c r="H11107" s="1" t="s">
        <v>4</v>
      </c>
      <c r="V11107" s="1" t="s">
        <v>18</v>
      </c>
      <c r="X11107" s="1" t="s">
        <v>20</v>
      </c>
      <c r="DL11107" s="1" t="s">
        <v>112</v>
      </c>
      <c r="GD11107" s="1" t="s">
        <v>202</v>
      </c>
      <c r="GE11107" s="1" t="s">
        <v>190</v>
      </c>
    </row>
    <row r="11108" spans="1:187" ht="11.25" customHeight="1">
      <c r="A11108" s="1" t="s">
        <v>15616</v>
      </c>
      <c r="B11108" s="1" t="str">
        <f ca="1">IFERROR(__xludf.DUMMYFUNCTION("GOOGLETRANSLATE(A11108, ""en"", ""fr"")"),"INDIGNE DE CONFIANCE")</f>
        <v>INDIGNE DE CONFIANCE</v>
      </c>
      <c r="C11108" s="1" t="s">
        <v>185</v>
      </c>
      <c r="E11108" s="1" t="s">
        <v>16613</v>
      </c>
      <c r="H11108" s="1" t="s">
        <v>4</v>
      </c>
      <c r="V11108" s="1" t="s">
        <v>18</v>
      </c>
      <c r="DL11108" s="1" t="s">
        <v>112</v>
      </c>
      <c r="EE11108" s="1" t="s">
        <v>131</v>
      </c>
      <c r="EJ11108" s="1" t="s">
        <v>136</v>
      </c>
      <c r="GD11108" s="1" t="s">
        <v>202</v>
      </c>
      <c r="GE11108" s="1" t="s">
        <v>190</v>
      </c>
    </row>
    <row r="11109" spans="1:187" ht="11.25" customHeight="1">
      <c r="A11109" s="1" t="s">
        <v>15617</v>
      </c>
      <c r="B11109" s="1" t="str">
        <f ca="1">IFERROR(__xludf.DUMMYFUNCTION("GOOGLETRANSLATE(A11109, ""en"", ""fr"")"),"MENSONGE")</f>
        <v>MENSONGE</v>
      </c>
      <c r="C11109" s="1" t="s">
        <v>192</v>
      </c>
      <c r="E11109" s="1" t="s">
        <v>16613</v>
      </c>
      <c r="I11109" s="1" t="s">
        <v>5</v>
      </c>
      <c r="DR11109" s="1" t="s">
        <v>118</v>
      </c>
      <c r="GD11109" s="1" t="s">
        <v>202</v>
      </c>
      <c r="GE11109" s="1" t="s">
        <v>190</v>
      </c>
    </row>
    <row r="11110" spans="1:187" ht="11.25" customHeight="1">
      <c r="A11110" s="1" t="s">
        <v>15618</v>
      </c>
      <c r="B11110" s="1" t="str">
        <f ca="1">IFERROR(__xludf.DUMMYFUNCTION("GOOGLETRANSLATE(A11110, ""en"", ""fr"")"),"INHABITUEL")</f>
        <v>INHABITUEL</v>
      </c>
      <c r="C11110" s="1" t="s">
        <v>185</v>
      </c>
      <c r="W11110" s="1" t="s">
        <v>19</v>
      </c>
      <c r="CR11110" s="1" t="s">
        <v>92</v>
      </c>
      <c r="DL11110" s="1" t="s">
        <v>112</v>
      </c>
      <c r="FY11110" s="1" t="s">
        <v>177</v>
      </c>
      <c r="GD11110" s="1" t="s">
        <v>193</v>
      </c>
      <c r="GE11110" s="1" t="s">
        <v>15619</v>
      </c>
    </row>
    <row r="11111" spans="1:187" ht="11.25" customHeight="1">
      <c r="A11111" s="1" t="s">
        <v>15620</v>
      </c>
      <c r="B11111" s="1" t="str">
        <f ca="1">IFERROR(__xludf.DUMMYFUNCTION("GOOGLETRANSLATE(A11111, ""en"", ""fr"")"),"Involontaire")</f>
        <v>Involontaire</v>
      </c>
      <c r="C11111" s="1" t="s">
        <v>196</v>
      </c>
      <c r="FY11111" s="1" t="s">
        <v>177</v>
      </c>
      <c r="GD11111" s="1" t="s">
        <v>202</v>
      </c>
    </row>
    <row r="11112" spans="1:187" ht="11.25" customHeight="1">
      <c r="A11112" s="1" t="s">
        <v>15621</v>
      </c>
      <c r="B11112" s="1" t="str">
        <f ca="1">IFERROR(__xludf.DUMMYFUNCTION("GOOGLETRANSLATE(A11112, ""en"", ""fr"")"),"INÉBRANLABLE")</f>
        <v>INÉBRANLABLE</v>
      </c>
      <c r="C11112" s="1" t="s">
        <v>192</v>
      </c>
      <c r="J11112" s="1" t="s">
        <v>6</v>
      </c>
      <c r="K11112" s="1" t="s">
        <v>7</v>
      </c>
      <c r="W11112" s="1" t="s">
        <v>19</v>
      </c>
      <c r="BR11112" s="1" t="s">
        <v>66</v>
      </c>
      <c r="DL11112" s="1" t="s">
        <v>112</v>
      </c>
      <c r="GD11112" s="1" t="s">
        <v>202</v>
      </c>
      <c r="GE11112" s="1" t="s">
        <v>190</v>
      </c>
    </row>
    <row r="11113" spans="1:187" ht="11.25" customHeight="1">
      <c r="A11113" s="1" t="s">
        <v>15622</v>
      </c>
      <c r="B11113" s="1" t="str">
        <f ca="1">IFERROR(__xludf.DUMMYFUNCTION("GOOGLETRANSLATE(A11113, ""en"", ""fr"")"),"Réticent")</f>
        <v>Réticent</v>
      </c>
      <c r="C11113" s="1" t="s">
        <v>185</v>
      </c>
      <c r="E11113" s="1" t="s">
        <v>16613</v>
      </c>
      <c r="H11113" s="1" t="s">
        <v>4</v>
      </c>
      <c r="I11113" s="1" t="s">
        <v>5</v>
      </c>
      <c r="K11113" s="1" t="s">
        <v>7</v>
      </c>
      <c r="Q11113" s="1" t="s">
        <v>13</v>
      </c>
      <c r="DL11113" s="1" t="s">
        <v>112</v>
      </c>
      <c r="GD11113" s="1" t="s">
        <v>202</v>
      </c>
      <c r="GE11113" s="1" t="s">
        <v>190</v>
      </c>
    </row>
    <row r="11114" spans="1:187" ht="11.25" customHeight="1">
      <c r="A11114" s="1" t="s">
        <v>15623</v>
      </c>
      <c r="B11114" s="1" t="str">
        <f ca="1">IFERROR(__xludf.DUMMYFUNCTION("GOOGLETRANSLATE(A11114, ""en"", ""fr"")"),"RÉTICENCE")</f>
        <v>RÉTICENCE</v>
      </c>
      <c r="C11114" s="1" t="s">
        <v>185</v>
      </c>
      <c r="E11114" s="1" t="s">
        <v>16613</v>
      </c>
      <c r="H11114" s="1" t="s">
        <v>4</v>
      </c>
      <c r="I11114" s="1" t="s">
        <v>5</v>
      </c>
      <c r="J11114" s="1" t="s">
        <v>6</v>
      </c>
      <c r="K11114" s="1" t="s">
        <v>7</v>
      </c>
      <c r="Q11114" s="1" t="s">
        <v>13</v>
      </c>
      <c r="DL11114" s="1" t="s">
        <v>112</v>
      </c>
      <c r="GD11114" s="1" t="s">
        <v>193</v>
      </c>
      <c r="GE11114" s="1" t="s">
        <v>190</v>
      </c>
    </row>
    <row r="11115" spans="1:187" ht="11.25" customHeight="1">
      <c r="A11115" s="1" t="s">
        <v>15624</v>
      </c>
      <c r="B11115" s="1" t="str">
        <f ca="1">IFERROR(__xludf.DUMMYFUNCTION("GOOGLETRANSLATE(A11115, ""en"", ""fr"")"),"IMPRUDENT")</f>
        <v>IMPRUDENT</v>
      </c>
      <c r="C11115" s="1" t="s">
        <v>185</v>
      </c>
      <c r="E11115" s="1" t="s">
        <v>16613</v>
      </c>
      <c r="H11115" s="1" t="s">
        <v>4</v>
      </c>
      <c r="V11115" s="1" t="s">
        <v>18</v>
      </c>
      <c r="DL11115" s="1" t="s">
        <v>112</v>
      </c>
      <c r="FH11115" s="1" t="s">
        <v>160</v>
      </c>
      <c r="FI11115" s="1" t="s">
        <v>161</v>
      </c>
      <c r="GD11115" s="1" t="s">
        <v>202</v>
      </c>
      <c r="GE11115" s="1" t="s">
        <v>190</v>
      </c>
    </row>
    <row r="11116" spans="1:187" ht="11.25" customHeight="1">
      <c r="A11116" s="1" t="s">
        <v>15625</v>
      </c>
      <c r="B11116" s="1" t="str">
        <f ca="1">IFERROR(__xludf.DUMMYFUNCTION("GOOGLETRANSLATE(A11116, ""en"", ""fr"")"),"INDIGNE")</f>
        <v>INDIGNE</v>
      </c>
      <c r="C11116" s="1" t="s">
        <v>185</v>
      </c>
      <c r="E11116" s="1" t="s">
        <v>16613</v>
      </c>
      <c r="V11116" s="1" t="s">
        <v>18</v>
      </c>
      <c r="CM11116" s="1" t="s">
        <v>87</v>
      </c>
      <c r="DR11116" s="1" t="s">
        <v>118</v>
      </c>
      <c r="EM11116" s="1" t="s">
        <v>139</v>
      </c>
      <c r="EN11116" s="1" t="s">
        <v>140</v>
      </c>
      <c r="GD11116" s="1" t="s">
        <v>202</v>
      </c>
      <c r="GE11116" s="1" t="s">
        <v>190</v>
      </c>
    </row>
    <row r="11117" spans="1:187" ht="11.25" customHeight="1">
      <c r="A11117" s="1" t="s">
        <v>15626</v>
      </c>
      <c r="B11117" s="1" t="str">
        <f ca="1">IFERROR(__xludf.DUMMYFUNCTION("GOOGLETRANSLATE(A11117, ""en"", ""fr"")"),"EN HAUT")</f>
        <v>EN HAUT</v>
      </c>
      <c r="C11117" s="1" t="s">
        <v>185</v>
      </c>
      <c r="DA11117" s="1" t="s">
        <v>101</v>
      </c>
      <c r="GB11117" s="1" t="s">
        <v>180</v>
      </c>
      <c r="GD11117" s="1" t="s">
        <v>207</v>
      </c>
      <c r="GE11117" s="1" t="s">
        <v>15627</v>
      </c>
    </row>
    <row r="11118" spans="1:187" ht="11.25" customHeight="1">
      <c r="A11118" s="1" t="s">
        <v>15628</v>
      </c>
      <c r="B11118" s="1" t="str">
        <f ca="1">IFERROR(__xludf.DUMMYFUNCTION("GOOGLETRANSLATE(A11118, ""en"", ""fr"")"),"OPTIMISTE")</f>
        <v>OPTIMISTE</v>
      </c>
      <c r="C11118" s="1" t="s">
        <v>192</v>
      </c>
      <c r="D11118" s="1" t="s">
        <v>16612</v>
      </c>
      <c r="P11118" s="1" t="s">
        <v>12</v>
      </c>
      <c r="R11118" s="1" t="s">
        <v>14</v>
      </c>
      <c r="S11118" s="1" t="s">
        <v>15</v>
      </c>
      <c r="DR11118" s="1" t="s">
        <v>118</v>
      </c>
      <c r="GD11118" s="1" t="s">
        <v>202</v>
      </c>
      <c r="GE11118" s="1" t="s">
        <v>190</v>
      </c>
    </row>
    <row r="11119" spans="1:187" ht="11.25" customHeight="1">
      <c r="A11119" s="1" t="s">
        <v>15629</v>
      </c>
      <c r="B11119" s="1" t="str">
        <f ca="1">IFERROR(__xludf.DUMMYFUNCTION("GOOGLETRANSLATE(A11119, ""en"", ""fr"")"),"À L'AVANT")</f>
        <v>À L'AVANT</v>
      </c>
      <c r="C11119" s="1" t="s">
        <v>192</v>
      </c>
      <c r="D11119" s="1" t="s">
        <v>16612</v>
      </c>
      <c r="BK11119" s="1" t="s">
        <v>59</v>
      </c>
      <c r="DR11119" s="1" t="s">
        <v>118</v>
      </c>
      <c r="GD11119" s="1" t="s">
        <v>202</v>
      </c>
      <c r="GE11119" s="1" t="s">
        <v>190</v>
      </c>
    </row>
    <row r="11120" spans="1:187" ht="11.25" customHeight="1">
      <c r="A11120" s="1" t="s">
        <v>15630</v>
      </c>
      <c r="B11120" s="1" t="str">
        <f ca="1">IFERROR(__xludf.DUMMYFUNCTION("GOOGLETRANSLATE(A11120, ""en"", ""fr"")"),"MISE À NIVEAU")</f>
        <v>MISE À NIVEAU</v>
      </c>
      <c r="C11120" s="1" t="s">
        <v>192</v>
      </c>
      <c r="D11120" s="1" t="s">
        <v>16612</v>
      </c>
      <c r="N11120" s="1" t="s">
        <v>10</v>
      </c>
      <c r="DN11120" s="1" t="s">
        <v>114</v>
      </c>
      <c r="GD11120" s="1" t="s">
        <v>189</v>
      </c>
      <c r="GE11120" s="1" t="s">
        <v>190</v>
      </c>
    </row>
    <row r="11121" spans="1:187" ht="11.25" customHeight="1">
      <c r="A11121" s="1" t="s">
        <v>15631</v>
      </c>
      <c r="B11121" s="1" t="str">
        <f ca="1">IFERROR(__xludf.DUMMYFUNCTION("GOOGLETRANSLATE(A11121, ""en"", ""fr"")"),"BOULEVERSEMENT")</f>
        <v>BOULEVERSEMENT</v>
      </c>
      <c r="C11121" s="1" t="s">
        <v>192</v>
      </c>
      <c r="E11121" s="1" t="s">
        <v>16613</v>
      </c>
      <c r="BW11121" s="1" t="s">
        <v>71</v>
      </c>
      <c r="GD11121" s="1" t="s">
        <v>193</v>
      </c>
      <c r="GE11121" s="1" t="s">
        <v>190</v>
      </c>
    </row>
    <row r="11122" spans="1:187" ht="11.25" customHeight="1">
      <c r="A11122" s="1" t="s">
        <v>15632</v>
      </c>
      <c r="B11122" s="1" t="str">
        <f ca="1">IFERROR(__xludf.DUMMYFUNCTION("GOOGLETRANSLATE(A11122, ""en"", ""fr"")"),"Maintenu")</f>
        <v>Maintenu</v>
      </c>
      <c r="C11122" s="1" t="s">
        <v>196</v>
      </c>
      <c r="D11122" s="1" t="s">
        <v>16612</v>
      </c>
      <c r="N11122" s="1" t="s">
        <v>10</v>
      </c>
      <c r="AE11122" s="1" t="s">
        <v>27</v>
      </c>
      <c r="BK11122" s="1" t="s">
        <v>59</v>
      </c>
      <c r="EC11122" s="1" t="s">
        <v>129</v>
      </c>
      <c r="ED11122" s="1" t="s">
        <v>130</v>
      </c>
      <c r="GD11122" s="1" t="s">
        <v>1076</v>
      </c>
    </row>
    <row r="11123" spans="1:187" ht="11.25" customHeight="1">
      <c r="A11123" s="1" t="s">
        <v>15633</v>
      </c>
      <c r="B11123" s="1" t="str">
        <f ca="1">IFERROR(__xludf.DUMMYFUNCTION("GOOGLETRANSLATE(A11123, ""en"", ""fr"")"),"DÉFENDRE")</f>
        <v>DÉFENDRE</v>
      </c>
      <c r="C11123" s="1" t="s">
        <v>196</v>
      </c>
      <c r="D11123" s="1" t="s">
        <v>16612</v>
      </c>
      <c r="N11123" s="1" t="s">
        <v>10</v>
      </c>
      <c r="AE11123" s="1" t="s">
        <v>27</v>
      </c>
      <c r="BK11123" s="1" t="s">
        <v>59</v>
      </c>
      <c r="EC11123" s="1" t="s">
        <v>129</v>
      </c>
      <c r="ED11123" s="1" t="s">
        <v>130</v>
      </c>
      <c r="GD11123" s="1" t="s">
        <v>189</v>
      </c>
    </row>
    <row r="11124" spans="1:187" ht="11.25" customHeight="1">
      <c r="A11124" s="1" t="s">
        <v>15634</v>
      </c>
      <c r="B11124" s="1" t="str">
        <f ca="1">IFERROR(__xludf.DUMMYFUNCTION("GOOGLETRANSLATE(A11124, ""en"", ""fr"")"),"SOULÈVEMENT")</f>
        <v>SOULÈVEMENT</v>
      </c>
      <c r="C11124" s="1" t="s">
        <v>192</v>
      </c>
      <c r="D11124" s="1" t="s">
        <v>16612</v>
      </c>
      <c r="N11124" s="1" t="s">
        <v>10</v>
      </c>
      <c r="P11124" s="1" t="s">
        <v>12</v>
      </c>
      <c r="DN11124" s="1" t="s">
        <v>114</v>
      </c>
      <c r="GD11124" s="1" t="s">
        <v>189</v>
      </c>
      <c r="GE11124" s="1" t="s">
        <v>190</v>
      </c>
    </row>
    <row r="11125" spans="1:187" ht="11.25" customHeight="1">
      <c r="A11125" s="1" t="s">
        <v>15635</v>
      </c>
      <c r="B11125" s="1" t="str">
        <f ca="1">IFERROR(__xludf.DUMMYFUNCTION("GOOGLETRANSLATE(A11125, ""en"", ""fr"")"),"SUR")</f>
        <v>SUR</v>
      </c>
      <c r="C11125" s="1" t="s">
        <v>185</v>
      </c>
      <c r="DA11125" s="1" t="s">
        <v>101</v>
      </c>
      <c r="GB11125" s="1" t="s">
        <v>180</v>
      </c>
      <c r="GD11125" s="1" t="s">
        <v>215</v>
      </c>
      <c r="GE11125" s="1" t="s">
        <v>15636</v>
      </c>
    </row>
    <row r="11126" spans="1:187" ht="11.25" customHeight="1">
      <c r="A11126" s="1" t="s">
        <v>15637</v>
      </c>
      <c r="B11126" s="1" t="str">
        <f ca="1">IFERROR(__xludf.DUMMYFUNCTION("GOOGLETRANSLATE(A11126, ""en"", ""fr"")"),"SUPÉRIEUR")</f>
        <v>SUPÉRIEUR</v>
      </c>
      <c r="C11126" s="1" t="s">
        <v>185</v>
      </c>
      <c r="DA11126" s="1" t="s">
        <v>101</v>
      </c>
      <c r="DB11126" s="1" t="s">
        <v>102</v>
      </c>
      <c r="GB11126" s="1" t="s">
        <v>180</v>
      </c>
      <c r="GD11126" s="1" t="s">
        <v>202</v>
      </c>
      <c r="GE11126" s="1" t="s">
        <v>190</v>
      </c>
    </row>
    <row r="11127" spans="1:187" ht="11.25" customHeight="1">
      <c r="A11127" s="1" t="s">
        <v>15638</v>
      </c>
      <c r="B11127" s="1" t="str">
        <f ca="1">IFERROR(__xludf.DUMMYFUNCTION("GOOGLETRANSLATE(A11127, ""en"", ""fr"")"),"LE PLUS ÉLEVÉ")</f>
        <v>LE PLUS ÉLEVÉ</v>
      </c>
      <c r="C11127" s="1" t="s">
        <v>185</v>
      </c>
      <c r="D11127" s="1" t="s">
        <v>16612</v>
      </c>
      <c r="F11127" s="1" t="s">
        <v>2</v>
      </c>
      <c r="J11127" s="1" t="s">
        <v>6</v>
      </c>
      <c r="W11127" s="1" t="s">
        <v>19</v>
      </c>
      <c r="CL11127" s="1" t="s">
        <v>86</v>
      </c>
      <c r="DA11127" s="1" t="s">
        <v>101</v>
      </c>
      <c r="GD11127" s="1" t="s">
        <v>8443</v>
      </c>
      <c r="GE11127" s="1" t="s">
        <v>190</v>
      </c>
    </row>
    <row r="11128" spans="1:187" ht="11.25" customHeight="1">
      <c r="A11128" s="1" t="s">
        <v>15639</v>
      </c>
      <c r="B11128" s="1" t="str">
        <f ca="1">IFERROR(__xludf.DUMMYFUNCTION("GOOGLETRANSLATE(A11128, ""en"", ""fr"")"),"DROIT")</f>
        <v>DROIT</v>
      </c>
      <c r="C11128" s="1" t="s">
        <v>185</v>
      </c>
      <c r="D11128" s="1" t="s">
        <v>16612</v>
      </c>
      <c r="F11128" s="1" t="s">
        <v>2</v>
      </c>
      <c r="J11128" s="1" t="s">
        <v>6</v>
      </c>
      <c r="DA11128" s="1" t="s">
        <v>101</v>
      </c>
      <c r="DB11128" s="1" t="s">
        <v>102</v>
      </c>
      <c r="GD11128" s="1" t="s">
        <v>202</v>
      </c>
      <c r="GE11128" s="1" t="s">
        <v>190</v>
      </c>
    </row>
    <row r="11129" spans="1:187" ht="11.25" customHeight="1">
      <c r="A11129" s="1" t="s">
        <v>15640</v>
      </c>
      <c r="B11129" s="1" t="str">
        <f ca="1">IFERROR(__xludf.DUMMYFUNCTION("GOOGLETRANSLATE(A11129, ""en"", ""fr"")"),"SOULÈVEMENT")</f>
        <v>SOULÈVEMENT</v>
      </c>
      <c r="C11129" s="1" t="s">
        <v>192</v>
      </c>
      <c r="E11129" s="1" t="s">
        <v>16613</v>
      </c>
      <c r="G11129" s="1" t="s">
        <v>3</v>
      </c>
      <c r="I11129" s="1" t="s">
        <v>5</v>
      </c>
      <c r="GD11129" s="1" t="s">
        <v>193</v>
      </c>
      <c r="GE11129" s="1" t="s">
        <v>190</v>
      </c>
    </row>
    <row r="11130" spans="1:187" ht="11.25" customHeight="1">
      <c r="A11130" s="1" t="s">
        <v>15641</v>
      </c>
      <c r="B11130" s="1" t="str">
        <f ca="1">IFERROR(__xludf.DUMMYFUNCTION("GOOGLETRANSLATE(A11130, ""en"", ""fr"")"),"TUMULTE")</f>
        <v>TUMULTE</v>
      </c>
      <c r="C11130" s="1" t="s">
        <v>192</v>
      </c>
      <c r="E11130" s="1" t="s">
        <v>16613</v>
      </c>
      <c r="G11130" s="1" t="s">
        <v>3</v>
      </c>
      <c r="BK11130" s="1" t="s">
        <v>59</v>
      </c>
      <c r="GD11130" s="1" t="s">
        <v>193</v>
      </c>
      <c r="GE11130" s="1" t="s">
        <v>190</v>
      </c>
    </row>
    <row r="11131" spans="1:187" ht="11.25" customHeight="1">
      <c r="A11131" s="1" t="s">
        <v>15642</v>
      </c>
      <c r="B11131" s="1" t="str">
        <f ca="1">IFERROR(__xludf.DUMMYFUNCTION("GOOGLETRANSLATE(A11131, ""en"", ""fr"")"),"DÉRACINER")</f>
        <v>DÉRACINER</v>
      </c>
      <c r="C11131" s="1" t="s">
        <v>192</v>
      </c>
      <c r="E11131" s="1" t="s">
        <v>16613</v>
      </c>
      <c r="N11131" s="1" t="s">
        <v>10</v>
      </c>
      <c r="AN11131" s="1" t="s">
        <v>36</v>
      </c>
      <c r="CE11131" s="1" t="s">
        <v>79</v>
      </c>
      <c r="DN11131" s="1" t="s">
        <v>114</v>
      </c>
      <c r="GD11131" s="1" t="s">
        <v>189</v>
      </c>
      <c r="GE11131" s="1" t="s">
        <v>190</v>
      </c>
    </row>
    <row r="11132" spans="1:187" ht="11.25" customHeight="1">
      <c r="A11132" s="1" t="s">
        <v>15643</v>
      </c>
      <c r="B11132" s="1" t="str">
        <f ca="1">IFERROR(__xludf.DUMMYFUNCTION("GOOGLETRANSLATE(A11132, ""en"", ""fr"")"),"Bouleversé # 1")</f>
        <v>Bouleversé # 1</v>
      </c>
      <c r="C11132" s="1" t="s">
        <v>185</v>
      </c>
      <c r="E11132" s="1" t="s">
        <v>16613</v>
      </c>
      <c r="H11132" s="1" t="s">
        <v>4</v>
      </c>
      <c r="L11132" s="1" t="s">
        <v>8</v>
      </c>
      <c r="O11132" s="1" t="s">
        <v>11</v>
      </c>
      <c r="Q11132" s="1" t="s">
        <v>13</v>
      </c>
      <c r="T11132" s="1" t="s">
        <v>16</v>
      </c>
      <c r="FW11132" s="1" t="s">
        <v>175</v>
      </c>
      <c r="GD11132" s="1" t="s">
        <v>202</v>
      </c>
      <c r="GE11132" s="1" t="s">
        <v>15644</v>
      </c>
    </row>
    <row r="11133" spans="1:187" ht="11.25" customHeight="1">
      <c r="A11133" s="1" t="s">
        <v>15645</v>
      </c>
      <c r="B11133" s="1" t="str">
        <f ca="1">IFERROR(__xludf.DUMMYFUNCTION("GOOGLETRANSLATE(A11133, ""en"", ""fr"")"),"Bouleversé # 2")</f>
        <v>Bouleversé # 2</v>
      </c>
      <c r="C11133" s="1" t="s">
        <v>185</v>
      </c>
      <c r="E11133" s="1" t="s">
        <v>16613</v>
      </c>
      <c r="H11133" s="1" t="s">
        <v>4</v>
      </c>
      <c r="I11133" s="1" t="s">
        <v>5</v>
      </c>
      <c r="L11133" s="1" t="s">
        <v>8</v>
      </c>
      <c r="BW11133" s="1" t="s">
        <v>71</v>
      </c>
      <c r="GD11133" s="1" t="s">
        <v>193</v>
      </c>
      <c r="GE11133" s="1" t="s">
        <v>15646</v>
      </c>
    </row>
    <row r="11134" spans="1:187" ht="11.25" customHeight="1">
      <c r="A11134" s="1" t="s">
        <v>15647</v>
      </c>
      <c r="B11134" s="1" t="str">
        <f ca="1">IFERROR(__xludf.DUMMYFUNCTION("GOOGLETRANSLATE(A11134, ""en"", ""fr"")"),"Bouleversé # 3")</f>
        <v>Bouleversé # 3</v>
      </c>
      <c r="C11134" s="1" t="s">
        <v>185</v>
      </c>
      <c r="E11134" s="1" t="s">
        <v>16613</v>
      </c>
      <c r="H11134" s="1" t="s">
        <v>4</v>
      </c>
      <c r="J11134" s="1" t="s">
        <v>6</v>
      </c>
      <c r="N11134" s="1" t="s">
        <v>10</v>
      </c>
      <c r="Q11134" s="1" t="s">
        <v>13</v>
      </c>
      <c r="FW11134" s="1" t="s">
        <v>175</v>
      </c>
      <c r="GD11134" s="1" t="s">
        <v>202</v>
      </c>
      <c r="GE11134" s="1" t="s">
        <v>15648</v>
      </c>
    </row>
    <row r="11135" spans="1:187" ht="11.25" customHeight="1">
      <c r="A11135" s="1" t="s">
        <v>15649</v>
      </c>
      <c r="B11135" s="1" t="str">
        <f ca="1">IFERROR(__xludf.DUMMYFUNCTION("GOOGLETRANSLATE(A11135, ""en"", ""fr"")"),"Bouleversé # 4")</f>
        <v>Bouleversé # 4</v>
      </c>
      <c r="C11135" s="1" t="s">
        <v>185</v>
      </c>
      <c r="E11135" s="1" t="s">
        <v>16613</v>
      </c>
      <c r="H11135" s="1" t="s">
        <v>4</v>
      </c>
      <c r="J11135" s="1" t="s">
        <v>6</v>
      </c>
      <c r="N11135" s="1" t="s">
        <v>10</v>
      </c>
      <c r="Q11135" s="1" t="s">
        <v>13</v>
      </c>
      <c r="DN11135" s="1" t="s">
        <v>114</v>
      </c>
      <c r="EY11135" s="1" t="s">
        <v>151</v>
      </c>
      <c r="FC11135" s="1" t="s">
        <v>155</v>
      </c>
      <c r="GD11135" s="1" t="s">
        <v>189</v>
      </c>
      <c r="GE11135" s="1" t="s">
        <v>15650</v>
      </c>
    </row>
    <row r="11136" spans="1:187" ht="11.25" customHeight="1">
      <c r="A11136" s="1" t="s">
        <v>15651</v>
      </c>
      <c r="B11136" s="1" t="str">
        <f ca="1">IFERROR(__xludf.DUMMYFUNCTION("GOOGLETRANSLATE(A11136, ""en"", ""fr"")"),"Bouleversé # 5")</f>
        <v>Bouleversé # 5</v>
      </c>
      <c r="C11136" s="1" t="s">
        <v>185</v>
      </c>
      <c r="E11136" s="1" t="s">
        <v>16613</v>
      </c>
      <c r="H11136" s="1" t="s">
        <v>4</v>
      </c>
      <c r="I11136" s="1" t="s">
        <v>5</v>
      </c>
      <c r="J11136" s="1" t="s">
        <v>6</v>
      </c>
      <c r="N11136" s="1" t="s">
        <v>10</v>
      </c>
      <c r="CC11136" s="1" t="s">
        <v>77</v>
      </c>
      <c r="DN11136" s="1" t="s">
        <v>114</v>
      </c>
      <c r="FO11136" s="1" t="s">
        <v>167</v>
      </c>
      <c r="GD11136" s="1" t="s">
        <v>189</v>
      </c>
      <c r="GE11136" s="1" t="s">
        <v>15652</v>
      </c>
    </row>
    <row r="11137" spans="1:187" ht="11.25" customHeight="1">
      <c r="A11137" s="1" t="s">
        <v>15653</v>
      </c>
      <c r="B11137" s="1" t="str">
        <f ca="1">IFERROR(__xludf.DUMMYFUNCTION("GOOGLETRANSLATE(A11137, ""en"", ""fr"")"),"Avantage")</f>
        <v>Avantage</v>
      </c>
      <c r="C11137" s="1" t="s">
        <v>192</v>
      </c>
      <c r="D11137" s="1" t="s">
        <v>16612</v>
      </c>
      <c r="AV11137" s="1" t="s">
        <v>44</v>
      </c>
      <c r="GD11137" s="1" t="s">
        <v>193</v>
      </c>
      <c r="GE11137" s="1" t="s">
        <v>190</v>
      </c>
    </row>
    <row r="11138" spans="1:187" ht="11.25" customHeight="1">
      <c r="A11138" s="1" t="s">
        <v>15654</v>
      </c>
      <c r="B11138" s="1" t="str">
        <f ca="1">IFERROR(__xludf.DUMMYFUNCTION("GOOGLETRANSLATE(A11138, ""en"", ""fr"")"),"À L'ÉTAGE")</f>
        <v>À L'ÉTAGE</v>
      </c>
      <c r="C11138" s="1" t="s">
        <v>185</v>
      </c>
      <c r="BC11138" s="1" t="s">
        <v>51</v>
      </c>
      <c r="BG11138" s="1" t="s">
        <v>55</v>
      </c>
      <c r="GD11138" s="1" t="s">
        <v>193</v>
      </c>
      <c r="GE11138" s="1" t="s">
        <v>190</v>
      </c>
    </row>
    <row r="11139" spans="1:187" ht="11.25" customHeight="1">
      <c r="A11139" s="1" t="s">
        <v>15655</v>
      </c>
      <c r="B11139" s="1" t="str">
        <f ca="1">IFERROR(__xludf.DUMMYFUNCTION("GOOGLETRANSLATE(A11139, ""en"", ""fr"")"),"AMÉLIORATION")</f>
        <v>AMÉLIORATION</v>
      </c>
      <c r="C11139" s="1" t="s">
        <v>185</v>
      </c>
      <c r="CR11139" s="1" t="s">
        <v>92</v>
      </c>
      <c r="GD11139" s="1" t="s">
        <v>202</v>
      </c>
      <c r="GE11139" s="1" t="s">
        <v>190</v>
      </c>
    </row>
    <row r="11140" spans="1:187" ht="11.25" customHeight="1">
      <c r="A11140" s="1" t="s">
        <v>15656</v>
      </c>
      <c r="B11140" s="1" t="str">
        <f ca="1">IFERROR(__xludf.DUMMYFUNCTION("GOOGLETRANSLATE(A11140, ""en"", ""fr"")"),"Vers le haut")</f>
        <v>Vers le haut</v>
      </c>
      <c r="C11140" s="1" t="s">
        <v>185</v>
      </c>
      <c r="D11140" s="1" t="s">
        <v>16612</v>
      </c>
      <c r="DA11140" s="1" t="s">
        <v>101</v>
      </c>
      <c r="GD11140" s="1" t="s">
        <v>236</v>
      </c>
      <c r="GE11140" s="1" t="s">
        <v>190</v>
      </c>
    </row>
    <row r="11141" spans="1:187" ht="11.25" customHeight="1">
      <c r="A11141" s="1" t="s">
        <v>15657</v>
      </c>
      <c r="B11141" s="1" t="str">
        <f ca="1">IFERROR(__xludf.DUMMYFUNCTION("GOOGLETRANSLATE(A11141, ""en"", ""fr"")"),"Uraguay")</f>
        <v>Uraguay</v>
      </c>
      <c r="C11141" s="1" t="s">
        <v>196</v>
      </c>
      <c r="FU11141" s="1" t="s">
        <v>173</v>
      </c>
      <c r="GD11141" s="1" t="s">
        <v>545</v>
      </c>
    </row>
    <row r="11142" spans="1:187" ht="11.25" customHeight="1">
      <c r="A11142" s="1" t="s">
        <v>15658</v>
      </c>
      <c r="B11142" s="1" t="str">
        <f ca="1">IFERROR(__xludf.DUMMYFUNCTION("GOOGLETRANSLATE(A11142, ""en"", ""fr"")"),"URANIUM")</f>
        <v>URANIUM</v>
      </c>
      <c r="C11142" s="1" t="s">
        <v>185</v>
      </c>
      <c r="AA11142" s="1" t="s">
        <v>23</v>
      </c>
      <c r="AC11142" s="1" t="s">
        <v>25</v>
      </c>
      <c r="AH11142" s="1" t="s">
        <v>30</v>
      </c>
      <c r="BC11142" s="1" t="s">
        <v>51</v>
      </c>
      <c r="BI11142" s="1" t="s">
        <v>57</v>
      </c>
      <c r="GD11142" s="1" t="s">
        <v>193</v>
      </c>
      <c r="GE11142" s="1" t="s">
        <v>190</v>
      </c>
    </row>
    <row r="11143" spans="1:187" ht="11.25" customHeight="1">
      <c r="A11143" s="1" t="s">
        <v>15659</v>
      </c>
      <c r="B11143" s="1" t="str">
        <f ca="1">IFERROR(__xludf.DUMMYFUNCTION("GOOGLETRANSLATE(A11143, ""en"", ""fr"")"),"URBAIN")</f>
        <v>URBAIN</v>
      </c>
      <c r="C11143" s="1" t="s">
        <v>185</v>
      </c>
      <c r="AC11143" s="1" t="s">
        <v>25</v>
      </c>
      <c r="AH11143" s="1" t="s">
        <v>30</v>
      </c>
      <c r="AV11143" s="1" t="s">
        <v>44</v>
      </c>
      <c r="AW11143" s="1" t="s">
        <v>45</v>
      </c>
      <c r="DV11143" s="1" t="s">
        <v>122</v>
      </c>
      <c r="ED11143" s="1" t="s">
        <v>130</v>
      </c>
      <c r="GD11143" s="1" t="s">
        <v>202</v>
      </c>
      <c r="GE11143" s="1" t="s">
        <v>190</v>
      </c>
    </row>
    <row r="11144" spans="1:187" ht="11.25" customHeight="1">
      <c r="A11144" s="1" t="s">
        <v>15660</v>
      </c>
      <c r="B11144" s="1" t="str">
        <f ca="1">IFERROR(__xludf.DUMMYFUNCTION("GOOGLETRANSLATE(A11144, ""en"", ""fr"")"),"URBANISATION")</f>
        <v>URBANISATION</v>
      </c>
      <c r="C11144" s="1" t="s">
        <v>185</v>
      </c>
      <c r="Z11144" s="1" t="s">
        <v>22</v>
      </c>
      <c r="AA11144" s="1" t="s">
        <v>23</v>
      </c>
      <c r="AC11144" s="1" t="s">
        <v>25</v>
      </c>
      <c r="AH11144" s="1" t="s">
        <v>30</v>
      </c>
      <c r="GD11144" s="1" t="s">
        <v>193</v>
      </c>
      <c r="GE11144" s="1" t="s">
        <v>190</v>
      </c>
    </row>
    <row r="11145" spans="1:187" ht="11.25" customHeight="1">
      <c r="A11145" s="1" t="s">
        <v>15661</v>
      </c>
      <c r="B11145" s="1" t="str">
        <f ca="1">IFERROR(__xludf.DUMMYFUNCTION("GOOGLETRANSLATE(A11145, ""en"", ""fr"")"),"Espice n ° 1")</f>
        <v>Espice n ° 1</v>
      </c>
      <c r="C11145" s="1" t="s">
        <v>185</v>
      </c>
      <c r="J11145" s="1" t="s">
        <v>6</v>
      </c>
      <c r="BN11145" s="1" t="s">
        <v>62</v>
      </c>
      <c r="GD11145" s="1" t="s">
        <v>193</v>
      </c>
      <c r="GE11145" s="1" t="s">
        <v>190</v>
      </c>
    </row>
    <row r="11146" spans="1:187" ht="11.25" customHeight="1">
      <c r="A11146" s="1" t="s">
        <v>15662</v>
      </c>
      <c r="B11146" s="1" t="str">
        <f ca="1">IFERROR(__xludf.DUMMYFUNCTION("GOOGLETRANSLATE(A11146, ""en"", ""fr"")"),"Espice n ° 2")</f>
        <v>Espice n ° 2</v>
      </c>
      <c r="C11146" s="1" t="s">
        <v>185</v>
      </c>
      <c r="J11146" s="1" t="s">
        <v>6</v>
      </c>
      <c r="K11146" s="1" t="s">
        <v>7</v>
      </c>
      <c r="N11146" s="1" t="s">
        <v>10</v>
      </c>
      <c r="AN11146" s="1" t="s">
        <v>36</v>
      </c>
      <c r="DN11146" s="1" t="s">
        <v>114</v>
      </c>
      <c r="FP11146" s="1" t="s">
        <v>168</v>
      </c>
      <c r="GD11146" s="1" t="s">
        <v>189</v>
      </c>
      <c r="GE11146" s="1" t="s">
        <v>190</v>
      </c>
    </row>
    <row r="11147" spans="1:187" ht="11.25" customHeight="1">
      <c r="A11147" s="1" t="s">
        <v>15663</v>
      </c>
      <c r="B11147" s="1" t="str">
        <f ca="1">IFERROR(__xludf.DUMMYFUNCTION("GOOGLETRANSLATE(A11147, ""en"", ""fr"")"),"URGENCE")</f>
        <v>URGENCE</v>
      </c>
      <c r="C11147" s="1" t="s">
        <v>196</v>
      </c>
      <c r="FR11147" s="1" t="s">
        <v>170</v>
      </c>
      <c r="GD11147" s="1" t="s">
        <v>193</v>
      </c>
    </row>
    <row r="11148" spans="1:187" ht="11.25" customHeight="1">
      <c r="A11148" s="1" t="s">
        <v>15664</v>
      </c>
      <c r="B11148" s="1" t="str">
        <f ca="1">IFERROR(__xludf.DUMMYFUNCTION("GOOGLETRANSLATE(A11148, ""en"", ""fr"")"),"URGENT")</f>
        <v>URGENT</v>
      </c>
      <c r="C11148" s="1" t="s">
        <v>185</v>
      </c>
      <c r="J11148" s="1" t="s">
        <v>6</v>
      </c>
      <c r="W11148" s="1" t="s">
        <v>19</v>
      </c>
      <c r="CY11148" s="1" t="s">
        <v>99</v>
      </c>
      <c r="FR11148" s="1" t="s">
        <v>170</v>
      </c>
      <c r="GD11148" s="1" t="s">
        <v>202</v>
      </c>
      <c r="GE11148" s="1" t="s">
        <v>190</v>
      </c>
    </row>
    <row r="11149" spans="1:187" ht="11.25" customHeight="1">
      <c r="A11149" s="1" t="s">
        <v>15665</v>
      </c>
      <c r="B11149" s="1" t="str">
        <f ca="1">IFERROR(__xludf.DUMMYFUNCTION("GOOGLETRANSLATE(A11149, ""en"", ""fr"")"),"NOUS")</f>
        <v>NOUS</v>
      </c>
      <c r="C11149" s="1" t="s">
        <v>185</v>
      </c>
      <c r="G11149" s="1" t="s">
        <v>3</v>
      </c>
      <c r="DG11149" s="1" t="s">
        <v>107</v>
      </c>
      <c r="GD11149" s="1" t="s">
        <v>15666</v>
      </c>
      <c r="GE11149" s="1" t="s">
        <v>15667</v>
      </c>
    </row>
    <row r="11150" spans="1:187" ht="11.25" customHeight="1">
      <c r="A11150" s="1" t="s">
        <v>15668</v>
      </c>
      <c r="B11150" s="1" t="str">
        <f ca="1">IFERROR(__xludf.DUMMYFUNCTION("GOOGLETRANSLATE(A11150, ""en"", ""fr"")"),"Etats-Unis")</f>
        <v>Etats-Unis</v>
      </c>
      <c r="C11150" s="1" t="s">
        <v>196</v>
      </c>
      <c r="GD11150" s="1" t="s">
        <v>15536</v>
      </c>
    </row>
    <row r="11151" spans="1:187" ht="11.25" customHeight="1">
      <c r="A11151" s="1" t="s">
        <v>15669</v>
      </c>
      <c r="B11151" s="1" t="str">
        <f ca="1">IFERROR(__xludf.DUMMYFUNCTION("GOOGLETRANSLATE(A11151, ""en"", ""fr"")"),"UTILISABLE")</f>
        <v>UTILISABLE</v>
      </c>
      <c r="C11151" s="1" t="s">
        <v>185</v>
      </c>
      <c r="D11151" s="1" t="s">
        <v>16612</v>
      </c>
      <c r="F11151" s="1" t="s">
        <v>2</v>
      </c>
      <c r="U11151" s="1" t="s">
        <v>17</v>
      </c>
      <c r="DR11151" s="1" t="s">
        <v>118</v>
      </c>
      <c r="FQ11151" s="1" t="s">
        <v>169</v>
      </c>
      <c r="GD11151" s="1" t="s">
        <v>202</v>
      </c>
      <c r="GE11151" s="1" t="s">
        <v>190</v>
      </c>
    </row>
    <row r="11152" spans="1:187" ht="11.25" customHeight="1">
      <c r="A11152" s="1" t="s">
        <v>15670</v>
      </c>
      <c r="B11152" s="1" t="str">
        <f ca="1">IFERROR(__xludf.DUMMYFUNCTION("GOOGLETRANSLATE(A11152, ""en"", ""fr"")"),"Utiliser # 1")</f>
        <v>Utiliser # 1</v>
      </c>
      <c r="C11152" s="1" t="s">
        <v>185</v>
      </c>
      <c r="N11152" s="1" t="s">
        <v>10</v>
      </c>
      <c r="AL11152" s="1" t="s">
        <v>34</v>
      </c>
      <c r="DO11152" s="1" t="s">
        <v>115</v>
      </c>
      <c r="FQ11152" s="1" t="s">
        <v>169</v>
      </c>
      <c r="GD11152" s="1" t="s">
        <v>189</v>
      </c>
      <c r="GE11152" s="1" t="s">
        <v>15671</v>
      </c>
    </row>
    <row r="11153" spans="1:187" ht="11.25" customHeight="1">
      <c r="A11153" s="1" t="s">
        <v>15672</v>
      </c>
      <c r="B11153" s="1" t="str">
        <f ca="1">IFERROR(__xludf.DUMMYFUNCTION("GOOGLETRANSLATE(A11153, ""en"", ""fr"")"),"Utiliser # 2")</f>
        <v>Utiliser # 2</v>
      </c>
      <c r="C11153" s="1" t="s">
        <v>185</v>
      </c>
      <c r="N11153" s="1" t="s">
        <v>10</v>
      </c>
      <c r="BQ11153" s="1" t="s">
        <v>65</v>
      </c>
      <c r="FQ11153" s="1" t="s">
        <v>169</v>
      </c>
      <c r="GD11153" s="1" t="s">
        <v>193</v>
      </c>
      <c r="GE11153" s="1" t="s">
        <v>15673</v>
      </c>
    </row>
    <row r="11154" spans="1:187" ht="11.25" customHeight="1">
      <c r="A11154" s="1" t="s">
        <v>15674</v>
      </c>
      <c r="B11154" s="1" t="str">
        <f ca="1">IFERROR(__xludf.DUMMYFUNCTION("GOOGLETRANSLATE(A11154, ""en"", ""fr"")"),"Utiliser # 3")</f>
        <v>Utiliser # 3</v>
      </c>
      <c r="C11154" s="1" t="s">
        <v>185</v>
      </c>
      <c r="DN11154" s="1" t="s">
        <v>114</v>
      </c>
      <c r="GB11154" s="1" t="s">
        <v>180</v>
      </c>
      <c r="GD11154" s="1" t="s">
        <v>222</v>
      </c>
      <c r="GE11154" s="1" t="s">
        <v>15675</v>
      </c>
    </row>
    <row r="11155" spans="1:187" ht="11.25" customHeight="1">
      <c r="A11155" s="1" t="s">
        <v>15676</v>
      </c>
      <c r="B11155" s="1" t="str">
        <f ca="1">IFERROR(__xludf.DUMMYFUNCTION("GOOGLETRANSLATE(A11155, ""en"", ""fr"")"),"Utiliser # 4")</f>
        <v>Utiliser # 4</v>
      </c>
      <c r="C11155" s="1" t="s">
        <v>185</v>
      </c>
      <c r="U11155" s="1" t="s">
        <v>17</v>
      </c>
      <c r="GD11155" s="1" t="s">
        <v>202</v>
      </c>
      <c r="GE11155" s="1" t="s">
        <v>15677</v>
      </c>
    </row>
    <row r="11156" spans="1:187" ht="11.25" customHeight="1">
      <c r="A11156" s="1" t="s">
        <v>15678</v>
      </c>
      <c r="B11156" s="1" t="str">
        <f ca="1">IFERROR(__xludf.DUMMYFUNCTION("GOOGLETRANSLATE(A11156, ""en"", ""fr"")"),"Utiliser # 5")</f>
        <v>Utiliser # 5</v>
      </c>
      <c r="C11156" s="1" t="s">
        <v>185</v>
      </c>
      <c r="BQ11156" s="1" t="s">
        <v>65</v>
      </c>
      <c r="CP11156" s="1" t="s">
        <v>90</v>
      </c>
      <c r="CQ11156" s="1" t="s">
        <v>91</v>
      </c>
      <c r="FR11156" s="1" t="s">
        <v>170</v>
      </c>
      <c r="GD11156" s="1" t="s">
        <v>193</v>
      </c>
      <c r="GE11156" s="1" t="s">
        <v>15679</v>
      </c>
    </row>
    <row r="11157" spans="1:187" ht="11.25" customHeight="1">
      <c r="A11157" s="1" t="s">
        <v>15680</v>
      </c>
      <c r="B11157" s="1" t="str">
        <f ca="1">IFERROR(__xludf.DUMMYFUNCTION("GOOGLETRANSLATE(A11157, ""en"", ""fr"")"),"Utiliser # 6")</f>
        <v>Utiliser # 6</v>
      </c>
      <c r="C11157" s="1" t="s">
        <v>185</v>
      </c>
      <c r="V11157" s="1" t="s">
        <v>18</v>
      </c>
      <c r="AA11157" s="1" t="s">
        <v>23</v>
      </c>
      <c r="GD11157" s="1" t="s">
        <v>202</v>
      </c>
      <c r="GE11157" s="1" t="s">
        <v>15681</v>
      </c>
    </row>
    <row r="11158" spans="1:187" ht="11.25" customHeight="1">
      <c r="A11158" s="1" t="s">
        <v>15682</v>
      </c>
      <c r="B11158" s="1" t="str">
        <f ca="1">IFERROR(__xludf.DUMMYFUNCTION("GOOGLETRANSLATE(A11158, ""en"", ""fr"")"),"Utiliser # 7")</f>
        <v>Utiliser # 7</v>
      </c>
      <c r="C11158" s="1" t="s">
        <v>185</v>
      </c>
      <c r="N11158" s="1" t="s">
        <v>10</v>
      </c>
      <c r="BZ11158" s="1" t="s">
        <v>74</v>
      </c>
      <c r="DN11158" s="1" t="s">
        <v>114</v>
      </c>
      <c r="GD11158" s="1" t="s">
        <v>189</v>
      </c>
      <c r="GE11158" s="1" t="s">
        <v>15683</v>
      </c>
    </row>
    <row r="11159" spans="1:187" ht="11.25" customHeight="1">
      <c r="A11159" s="1" t="s">
        <v>15684</v>
      </c>
      <c r="B11159" s="1" t="str">
        <f ca="1">IFERROR(__xludf.DUMMYFUNCTION("GOOGLETRANSLATE(A11159, ""en"", ""fr"")"),"UTILE")</f>
        <v>UTILE</v>
      </c>
      <c r="C11159" s="1" t="s">
        <v>185</v>
      </c>
      <c r="D11159" s="1" t="s">
        <v>16612</v>
      </c>
      <c r="F11159" s="1" t="s">
        <v>2</v>
      </c>
      <c r="U11159" s="1" t="s">
        <v>17</v>
      </c>
      <c r="CN11159" s="1" t="s">
        <v>88</v>
      </c>
      <c r="FX11159" s="1" t="s">
        <v>176</v>
      </c>
      <c r="GD11159" s="1" t="s">
        <v>202</v>
      </c>
      <c r="GE11159" s="1" t="s">
        <v>190</v>
      </c>
    </row>
    <row r="11160" spans="1:187" ht="11.25" customHeight="1">
      <c r="A11160" s="1" t="s">
        <v>15685</v>
      </c>
      <c r="B11160" s="1" t="str">
        <f ca="1">IFERROR(__xludf.DUMMYFUNCTION("GOOGLETRANSLATE(A11160, ""en"", ""fr"")"),"UTILITÉ")</f>
        <v>UTILITÉ</v>
      </c>
      <c r="C11160" s="1" t="s">
        <v>192</v>
      </c>
      <c r="D11160" s="1" t="s">
        <v>16612</v>
      </c>
      <c r="U11160" s="1" t="s">
        <v>17</v>
      </c>
      <c r="GD11160" s="1" t="s">
        <v>193</v>
      </c>
      <c r="GE11160" s="1" t="s">
        <v>190</v>
      </c>
    </row>
    <row r="11161" spans="1:187" ht="11.25" customHeight="1">
      <c r="A11161" s="1" t="s">
        <v>15686</v>
      </c>
      <c r="B11161" s="1" t="str">
        <f ca="1">IFERROR(__xludf.DUMMYFUNCTION("GOOGLETRANSLATE(A11161, ""en"", ""fr"")"),"INUTILE")</f>
        <v>INUTILE</v>
      </c>
      <c r="C11161" s="1" t="s">
        <v>185</v>
      </c>
      <c r="E11161" s="1" t="s">
        <v>16613</v>
      </c>
      <c r="H11161" s="1" t="s">
        <v>4</v>
      </c>
      <c r="V11161" s="1" t="s">
        <v>18</v>
      </c>
      <c r="CN11161" s="1" t="s">
        <v>88</v>
      </c>
      <c r="FW11161" s="1" t="s">
        <v>175</v>
      </c>
      <c r="GD11161" s="1" t="s">
        <v>202</v>
      </c>
      <c r="GE11161" s="1" t="s">
        <v>190</v>
      </c>
    </row>
    <row r="11162" spans="1:187" ht="11.25" customHeight="1">
      <c r="A11162" s="1" t="s">
        <v>15687</v>
      </c>
      <c r="B11162" s="1" t="str">
        <f ca="1">IFERROR(__xludf.DUMMYFUNCTION("GOOGLETRANSLATE(A11162, ""en"", ""fr"")"),"UTILISATEUR")</f>
        <v>UTILISATEUR</v>
      </c>
      <c r="C11162" s="1" t="s">
        <v>185</v>
      </c>
      <c r="AA11162" s="1" t="s">
        <v>23</v>
      </c>
      <c r="AJ11162" s="1" t="s">
        <v>32</v>
      </c>
      <c r="AT11162" s="1" t="s">
        <v>42</v>
      </c>
      <c r="GD11162" s="1" t="s">
        <v>193</v>
      </c>
      <c r="GE11162" s="1" t="s">
        <v>190</v>
      </c>
    </row>
    <row r="11163" spans="1:187" ht="11.25" customHeight="1">
      <c r="A11163" s="1" t="s">
        <v>15688</v>
      </c>
      <c r="B11163" s="1" t="str">
        <f ca="1">IFERROR(__xludf.DUMMYFUNCTION("GOOGLETRANSLATE(A11163, ""en"", ""fr"")"),"URSSS")</f>
        <v>URSSS</v>
      </c>
      <c r="C11163" s="1" t="s">
        <v>196</v>
      </c>
      <c r="FU11163" s="1" t="s">
        <v>173</v>
      </c>
      <c r="GD11163" s="1" t="s">
        <v>545</v>
      </c>
    </row>
    <row r="11164" spans="1:187" ht="11.25" customHeight="1">
      <c r="A11164" s="1" t="s">
        <v>15689</v>
      </c>
      <c r="B11164" s="1" t="str">
        <f ca="1">IFERROR(__xludf.DUMMYFUNCTION("GOOGLETRANSLATE(A11164, ""en"", ""fr"")"),"Habituel # 1")</f>
        <v>Habituel # 1</v>
      </c>
      <c r="C11164" s="1" t="s">
        <v>185</v>
      </c>
      <c r="W11164" s="1" t="s">
        <v>19</v>
      </c>
      <c r="BR11164" s="1" t="s">
        <v>66</v>
      </c>
      <c r="GD11164" s="1" t="s">
        <v>202</v>
      </c>
      <c r="GE11164" s="1" t="s">
        <v>15690</v>
      </c>
    </row>
    <row r="11165" spans="1:187" ht="11.25" customHeight="1">
      <c r="A11165" s="1" t="s">
        <v>15691</v>
      </c>
      <c r="B11165" s="1" t="str">
        <f ca="1">IFERROR(__xludf.DUMMYFUNCTION("GOOGLETRANSLATE(A11165, ""en"", ""fr"")"),"Habituel # 2")</f>
        <v>Habituel # 2</v>
      </c>
      <c r="C11165" s="1" t="s">
        <v>185</v>
      </c>
      <c r="W11165" s="1" t="s">
        <v>19</v>
      </c>
      <c r="BR11165" s="1" t="s">
        <v>66</v>
      </c>
      <c r="GB11165" s="1" t="s">
        <v>180</v>
      </c>
      <c r="GD11165" s="1" t="s">
        <v>236</v>
      </c>
      <c r="GE11165" s="1" t="s">
        <v>15692</v>
      </c>
    </row>
    <row r="11166" spans="1:187" ht="11.25" customHeight="1">
      <c r="A11166" s="1" t="s">
        <v>15693</v>
      </c>
      <c r="B11166" s="1" t="str">
        <f ca="1">IFERROR(__xludf.DUMMYFUNCTION("GOOGLETRANSLATE(A11166, ""en"", ""fr"")"),"Habituel # 3")</f>
        <v>Habituel # 3</v>
      </c>
      <c r="C11166" s="1" t="s">
        <v>185</v>
      </c>
      <c r="X11166" s="1" t="s">
        <v>20</v>
      </c>
      <c r="BR11166" s="1" t="s">
        <v>66</v>
      </c>
      <c r="GD11166" s="1" t="s">
        <v>236</v>
      </c>
      <c r="GE11166" s="1" t="s">
        <v>15694</v>
      </c>
    </row>
    <row r="11167" spans="1:187" ht="11.25" customHeight="1">
      <c r="A11167" s="1" t="s">
        <v>15695</v>
      </c>
      <c r="B11167" s="1" t="str">
        <f ca="1">IFERROR(__xludf.DUMMYFUNCTION("GOOGLETRANSLATE(A11167, ""en"", ""fr"")"),"Habituel # 4")</f>
        <v>Habituel # 4</v>
      </c>
      <c r="C11167" s="1" t="s">
        <v>185</v>
      </c>
      <c r="W11167" s="1" t="s">
        <v>19</v>
      </c>
      <c r="BR11167" s="1" t="s">
        <v>66</v>
      </c>
      <c r="GD11167" s="1" t="s">
        <v>236</v>
      </c>
      <c r="GE11167" s="1" t="s">
        <v>15696</v>
      </c>
    </row>
    <row r="11168" spans="1:187" ht="11.25" customHeight="1">
      <c r="A11168" s="1" t="s">
        <v>15697</v>
      </c>
      <c r="B11168" s="1" t="str">
        <f ca="1">IFERROR(__xludf.DUMMYFUNCTION("GOOGLETRANSLATE(A11168, ""en"", ""fr"")"),"USURPER")</f>
        <v>USURPER</v>
      </c>
      <c r="C11168" s="1" t="s">
        <v>185</v>
      </c>
      <c r="E11168" s="1" t="s">
        <v>16613</v>
      </c>
      <c r="I11168" s="1" t="s">
        <v>5</v>
      </c>
      <c r="K11168" s="1" t="s">
        <v>7</v>
      </c>
      <c r="N11168" s="1" t="s">
        <v>10</v>
      </c>
      <c r="AG11168" s="1" t="s">
        <v>29</v>
      </c>
      <c r="AN11168" s="1" t="s">
        <v>36</v>
      </c>
      <c r="CC11168" s="1" t="s">
        <v>77</v>
      </c>
      <c r="CD11168" s="1" t="s">
        <v>78</v>
      </c>
      <c r="DN11168" s="1" t="s">
        <v>114</v>
      </c>
      <c r="DT11168" s="1" t="s">
        <v>120</v>
      </c>
      <c r="ED11168" s="1" t="s">
        <v>130</v>
      </c>
      <c r="GD11168" s="1" t="s">
        <v>189</v>
      </c>
      <c r="GE11168" s="1" t="s">
        <v>190</v>
      </c>
    </row>
    <row r="11169" spans="1:187" ht="11.25" customHeight="1">
      <c r="A11169" s="1" t="s">
        <v>15698</v>
      </c>
      <c r="B11169" s="1" t="str">
        <f ca="1">IFERROR(__xludf.DUMMYFUNCTION("GOOGLETRANSLATE(A11169, ""en"", ""fr"")"),"UTAH")</f>
        <v>UTAH</v>
      </c>
      <c r="C11169" s="1" t="s">
        <v>196</v>
      </c>
      <c r="GD11169" s="1" t="s">
        <v>653</v>
      </c>
    </row>
    <row r="11170" spans="1:187" ht="11.25" customHeight="1">
      <c r="A11170" s="1" t="s">
        <v>15699</v>
      </c>
      <c r="B11170" s="1" t="str">
        <f ca="1">IFERROR(__xludf.DUMMYFUNCTION("GOOGLETRANSLATE(A11170, ""en"", ""fr"")"),"UTILITAIRE")</f>
        <v>UTILITAIRE</v>
      </c>
      <c r="C11170" s="1" t="s">
        <v>192</v>
      </c>
      <c r="D11170" s="1" t="s">
        <v>16612</v>
      </c>
      <c r="Z11170" s="1" t="s">
        <v>22</v>
      </c>
      <c r="DR11170" s="1" t="s">
        <v>118</v>
      </c>
      <c r="GD11170" s="1" t="s">
        <v>202</v>
      </c>
      <c r="GE11170" s="1" t="s">
        <v>190</v>
      </c>
    </row>
    <row r="11171" spans="1:187" ht="11.25" customHeight="1">
      <c r="A11171" s="1" t="s">
        <v>15700</v>
      </c>
      <c r="B11171" s="1" t="str">
        <f ca="1">IFERROR(__xludf.DUMMYFUNCTION("GOOGLETRANSLATE(A11171, ""en"", ""fr"")"),"UTILITAIRE")</f>
        <v>UTILITAIRE</v>
      </c>
      <c r="C11171" s="1" t="s">
        <v>185</v>
      </c>
      <c r="J11171" s="1" t="s">
        <v>6</v>
      </c>
      <c r="AA11171" s="1" t="s">
        <v>23</v>
      </c>
      <c r="AC11171" s="1" t="s">
        <v>25</v>
      </c>
      <c r="BQ11171" s="1" t="s">
        <v>65</v>
      </c>
      <c r="FR11171" s="1" t="s">
        <v>170</v>
      </c>
      <c r="GD11171" s="1" t="s">
        <v>193</v>
      </c>
      <c r="GE11171" s="1" t="s">
        <v>190</v>
      </c>
    </row>
    <row r="11172" spans="1:187" ht="11.25" customHeight="1">
      <c r="A11172" s="1" t="s">
        <v>15701</v>
      </c>
      <c r="B11172" s="1" t="str">
        <f ca="1">IFERROR(__xludf.DUMMYFUNCTION("GOOGLETRANSLATE(A11172, ""en"", ""fr"")"),"UTILISATION")</f>
        <v>UTILISATION</v>
      </c>
      <c r="C11172" s="1" t="s">
        <v>192</v>
      </c>
      <c r="D11172" s="1" t="s">
        <v>16612</v>
      </c>
      <c r="AL11172" s="1" t="s">
        <v>34</v>
      </c>
      <c r="GD11172" s="1" t="s">
        <v>1177</v>
      </c>
      <c r="GE11172" s="1" t="s">
        <v>190</v>
      </c>
    </row>
    <row r="11173" spans="1:187" ht="11.25" customHeight="1">
      <c r="A11173" s="1" t="s">
        <v>15702</v>
      </c>
      <c r="B11173" s="1" t="str">
        <f ca="1">IFERROR(__xludf.DUMMYFUNCTION("GOOGLETRANSLATE(A11173, ""en"", ""fr"")"),"UTILISER")</f>
        <v>UTILISER</v>
      </c>
      <c r="C11173" s="1" t="s">
        <v>185</v>
      </c>
      <c r="D11173" s="1" t="s">
        <v>16612</v>
      </c>
      <c r="N11173" s="1" t="s">
        <v>10</v>
      </c>
      <c r="AL11173" s="1" t="s">
        <v>34</v>
      </c>
      <c r="DN11173" s="1" t="s">
        <v>114</v>
      </c>
      <c r="FR11173" s="1" t="s">
        <v>170</v>
      </c>
      <c r="GD11173" s="1" t="s">
        <v>670</v>
      </c>
      <c r="GE11173" s="1" t="s">
        <v>190</v>
      </c>
    </row>
    <row r="11174" spans="1:187" ht="11.25" customHeight="1">
      <c r="A11174" s="1" t="s">
        <v>15703</v>
      </c>
      <c r="B11174" s="1" t="str">
        <f ca="1">IFERROR(__xludf.DUMMYFUNCTION("GOOGLETRANSLATE(A11174, ""en"", ""fr"")"),"MAXIMUM")</f>
        <v>MAXIMUM</v>
      </c>
      <c r="C11174" s="1" t="s">
        <v>185</v>
      </c>
      <c r="W11174" s="1" t="s">
        <v>19</v>
      </c>
      <c r="CS11174" s="1" t="s">
        <v>93</v>
      </c>
      <c r="FY11174" s="1" t="s">
        <v>177</v>
      </c>
      <c r="GD11174" s="1" t="s">
        <v>202</v>
      </c>
      <c r="GE11174" s="1" t="s">
        <v>190</v>
      </c>
    </row>
    <row r="11175" spans="1:187" ht="11.25" customHeight="1">
      <c r="A11175" s="1" t="s">
        <v>15704</v>
      </c>
      <c r="B11175" s="1" t="str">
        <f ca="1">IFERROR(__xludf.DUMMYFUNCTION("GOOGLETRANSLATE(A11175, ""en"", ""fr"")"),"UTOPIE")</f>
        <v>UTOPIE</v>
      </c>
      <c r="C11175" s="1" t="s">
        <v>185</v>
      </c>
      <c r="Z11175" s="1" t="s">
        <v>22</v>
      </c>
      <c r="AG11175" s="1" t="s">
        <v>29</v>
      </c>
      <c r="AH11175" s="1" t="s">
        <v>30</v>
      </c>
      <c r="FR11175" s="1" t="s">
        <v>170</v>
      </c>
      <c r="GD11175" s="1" t="s">
        <v>193</v>
      </c>
      <c r="GE11175" s="1" t="s">
        <v>190</v>
      </c>
    </row>
    <row r="11176" spans="1:187" ht="11.25" customHeight="1">
      <c r="A11176" s="1" t="s">
        <v>15705</v>
      </c>
      <c r="B11176" s="1" t="str">
        <f ca="1">IFERROR(__xludf.DUMMYFUNCTION("GOOGLETRANSLATE(A11176, ""en"", ""fr"")"),"UTOPIQUE")</f>
        <v>UTOPIQUE</v>
      </c>
      <c r="C11176" s="1" t="s">
        <v>185</v>
      </c>
      <c r="Z11176" s="1" t="s">
        <v>22</v>
      </c>
      <c r="AC11176" s="1" t="s">
        <v>25</v>
      </c>
      <c r="AG11176" s="1" t="s">
        <v>29</v>
      </c>
      <c r="AH11176" s="1" t="s">
        <v>30</v>
      </c>
      <c r="FR11176" s="1" t="s">
        <v>170</v>
      </c>
      <c r="GD11176" s="1" t="s">
        <v>202</v>
      </c>
      <c r="GE11176" s="1" t="s">
        <v>190</v>
      </c>
    </row>
    <row r="11177" spans="1:187" ht="11.25" customHeight="1">
      <c r="A11177" s="1" t="s">
        <v>15706</v>
      </c>
      <c r="B11177" s="1" t="str">
        <f ca="1">IFERROR(__xludf.DUMMYFUNCTION("GOOGLETRANSLATE(A11177, ""en"", ""fr"")"),"DIRE")</f>
        <v>DIRE</v>
      </c>
      <c r="C11177" s="1" t="s">
        <v>185</v>
      </c>
      <c r="O11177" s="1" t="s">
        <v>11</v>
      </c>
      <c r="W11177" s="1" t="s">
        <v>19</v>
      </c>
      <c r="BK11177" s="1" t="s">
        <v>59</v>
      </c>
      <c r="DO11177" s="1" t="s">
        <v>115</v>
      </c>
      <c r="FP11177" s="1" t="s">
        <v>168</v>
      </c>
      <c r="GD11177" s="1" t="s">
        <v>189</v>
      </c>
      <c r="GE11177" s="1" t="s">
        <v>190</v>
      </c>
    </row>
    <row r="11178" spans="1:187" ht="11.25" customHeight="1">
      <c r="A11178" s="1" t="s">
        <v>15707</v>
      </c>
      <c r="B11178" s="1" t="str">
        <f ca="1">IFERROR(__xludf.DUMMYFUNCTION("GOOGLETRANSLATE(A11178, ""en"", ""fr"")"),"ÉNONCIATION")</f>
        <v>ÉNONCIATION</v>
      </c>
      <c r="C11178" s="1" t="s">
        <v>192</v>
      </c>
      <c r="E11178" s="1" t="s">
        <v>16613</v>
      </c>
      <c r="BK11178" s="1" t="s">
        <v>59</v>
      </c>
      <c r="GD11178" s="1" t="s">
        <v>193</v>
      </c>
      <c r="GE11178" s="1" t="s">
        <v>190</v>
      </c>
    </row>
    <row r="11179" spans="1:187" ht="11.25" customHeight="1">
      <c r="A11179" s="1" t="s">
        <v>15708</v>
      </c>
      <c r="B11179" s="1" t="str">
        <f ca="1">IFERROR(__xludf.DUMMYFUNCTION("GOOGLETRANSLATE(A11179, ""en"", ""fr"")"),"TOUT À FAIT")</f>
        <v>TOUT À FAIT</v>
      </c>
      <c r="C11179" s="1" t="s">
        <v>185</v>
      </c>
      <c r="W11179" s="1" t="s">
        <v>19</v>
      </c>
      <c r="CS11179" s="1" t="s">
        <v>93</v>
      </c>
      <c r="FY11179" s="1" t="s">
        <v>177</v>
      </c>
      <c r="GD11179" s="1" t="s">
        <v>236</v>
      </c>
      <c r="GE11179" s="1" t="s">
        <v>190</v>
      </c>
    </row>
    <row r="11180" spans="1:187" ht="11.25" customHeight="1">
      <c r="A11180" s="1" t="s">
        <v>15709</v>
      </c>
      <c r="B11180" s="1" t="str">
        <f ca="1">IFERROR(__xludf.DUMMYFUNCTION("GOOGLETRANSLATE(A11180, ""en"", ""fr"")"),"EXTRÊME")</f>
        <v>EXTRÊME</v>
      </c>
      <c r="C11180" s="1" t="s">
        <v>192</v>
      </c>
      <c r="D11180" s="1" t="s">
        <v>16612</v>
      </c>
      <c r="W11180" s="1" t="s">
        <v>19</v>
      </c>
      <c r="CM11180" s="1" t="s">
        <v>87</v>
      </c>
      <c r="CR11180" s="1" t="s">
        <v>92</v>
      </c>
      <c r="DR11180" s="1" t="s">
        <v>118</v>
      </c>
      <c r="GD11180" s="1" t="s">
        <v>202</v>
      </c>
      <c r="GE11180" s="1" t="s">
        <v>190</v>
      </c>
    </row>
    <row r="11181" spans="1:187" ht="11.25" customHeight="1">
      <c r="A11181" s="1" t="s">
        <v>15710</v>
      </c>
      <c r="B11181" s="1" t="str">
        <f ca="1">IFERROR(__xludf.DUMMYFUNCTION("GOOGLETRANSLATE(A11181, ""en"", ""fr"")"),"Vacances n ° 1")</f>
        <v>Vacances n ° 1</v>
      </c>
      <c r="C11181" s="1" t="s">
        <v>185</v>
      </c>
      <c r="AD11181" s="1" t="s">
        <v>26</v>
      </c>
      <c r="AM11181" s="1" t="s">
        <v>35</v>
      </c>
      <c r="EZ11181" s="1" t="s">
        <v>152</v>
      </c>
      <c r="FC11181" s="1" t="s">
        <v>155</v>
      </c>
      <c r="GD11181" s="1" t="s">
        <v>193</v>
      </c>
      <c r="GE11181" s="1" t="s">
        <v>15711</v>
      </c>
    </row>
    <row r="11182" spans="1:187" ht="11.25" customHeight="1">
      <c r="A11182" s="1" t="s">
        <v>15712</v>
      </c>
      <c r="B11182" s="1" t="str">
        <f ca="1">IFERROR(__xludf.DUMMYFUNCTION("GOOGLETRANSLATE(A11182, ""en"", ""fr"")"),"Vacances n ° 2")</f>
        <v>Vacances n ° 2</v>
      </c>
      <c r="C11182" s="1" t="s">
        <v>185</v>
      </c>
      <c r="CE11182" s="1" t="s">
        <v>79</v>
      </c>
      <c r="DN11182" s="1" t="s">
        <v>114</v>
      </c>
      <c r="EZ11182" s="1" t="s">
        <v>152</v>
      </c>
      <c r="FC11182" s="1" t="s">
        <v>155</v>
      </c>
      <c r="GD11182" s="1" t="s">
        <v>189</v>
      </c>
      <c r="GE11182" s="1" t="s">
        <v>15713</v>
      </c>
    </row>
    <row r="11183" spans="1:187" ht="11.25" customHeight="1">
      <c r="A11183" s="1" t="s">
        <v>15714</v>
      </c>
      <c r="B11183" s="1" t="str">
        <f ca="1">IFERROR(__xludf.DUMMYFUNCTION("GOOGLETRANSLATE(A11183, ""en"", ""fr"")"),"VACANCIER")</f>
        <v>VACANCIER</v>
      </c>
      <c r="C11183" s="1" t="s">
        <v>185</v>
      </c>
      <c r="AD11183" s="1" t="s">
        <v>26</v>
      </c>
      <c r="AJ11183" s="1" t="s">
        <v>32</v>
      </c>
      <c r="AT11183" s="1" t="s">
        <v>42</v>
      </c>
      <c r="FB11183" s="1" t="s">
        <v>154</v>
      </c>
      <c r="FC11183" s="1" t="s">
        <v>155</v>
      </c>
      <c r="GD11183" s="1" t="s">
        <v>193</v>
      </c>
      <c r="GE11183" s="1" t="s">
        <v>190</v>
      </c>
    </row>
    <row r="11184" spans="1:187" ht="11.25" customHeight="1">
      <c r="A11184" s="1" t="s">
        <v>15715</v>
      </c>
      <c r="B11184" s="1" t="str">
        <f ca="1">IFERROR(__xludf.DUMMYFUNCTION("GOOGLETRANSLATE(A11184, ""en"", ""fr"")"),"VACILLER")</f>
        <v>VACILLER</v>
      </c>
      <c r="C11184" s="1" t="s">
        <v>185</v>
      </c>
      <c r="L11184" s="1" t="s">
        <v>8</v>
      </c>
      <c r="X11184" s="1" t="s">
        <v>20</v>
      </c>
      <c r="CO11184" s="1" t="s">
        <v>89</v>
      </c>
      <c r="DN11184" s="1" t="s">
        <v>114</v>
      </c>
      <c r="FZ11184" s="1" t="s">
        <v>178</v>
      </c>
      <c r="GD11184" s="1" t="s">
        <v>189</v>
      </c>
      <c r="GE11184" s="1" t="s">
        <v>190</v>
      </c>
    </row>
    <row r="11185" spans="1:187" ht="11.25" customHeight="1">
      <c r="A11185" s="1" t="s">
        <v>15716</v>
      </c>
      <c r="B11185" s="1" t="str">
        <f ca="1">IFERROR(__xludf.DUMMYFUNCTION("GOOGLETRANSLATE(A11185, ""en"", ""fr"")"),"Vide n ° 1")</f>
        <v>Vide n ° 1</v>
      </c>
      <c r="C11185" s="1" t="s">
        <v>185</v>
      </c>
      <c r="DA11185" s="1" t="s">
        <v>101</v>
      </c>
      <c r="GD11185" s="1" t="s">
        <v>193</v>
      </c>
      <c r="GE11185" s="1" t="s">
        <v>190</v>
      </c>
    </row>
    <row r="11186" spans="1:187" ht="11.25" customHeight="1">
      <c r="A11186" s="1" t="s">
        <v>15717</v>
      </c>
      <c r="B11186" s="1" t="str">
        <f ca="1">IFERROR(__xludf.DUMMYFUNCTION("GOOGLETRANSLATE(A11186, ""en"", ""fr"")"),"Vide n ° 2")</f>
        <v>Vide n ° 2</v>
      </c>
      <c r="C11186" s="1" t="s">
        <v>185</v>
      </c>
      <c r="AL11186" s="1" t="s">
        <v>34</v>
      </c>
      <c r="DO11186" s="1" t="s">
        <v>115</v>
      </c>
      <c r="GD11186" s="1" t="s">
        <v>189</v>
      </c>
      <c r="GE11186" s="1" t="s">
        <v>190</v>
      </c>
    </row>
    <row r="11187" spans="1:187" ht="11.25" customHeight="1">
      <c r="A11187" s="1" t="s">
        <v>15718</v>
      </c>
      <c r="B11187" s="1" t="str">
        <f ca="1">IFERROR(__xludf.DUMMYFUNCTION("GOOGLETRANSLATE(A11187, ""en"", ""fr"")"),"VAGABOND")</f>
        <v>VAGABOND</v>
      </c>
      <c r="C11187" s="1" t="s">
        <v>192</v>
      </c>
      <c r="E11187" s="1" t="s">
        <v>16613</v>
      </c>
      <c r="L11187" s="1" t="s">
        <v>8</v>
      </c>
      <c r="AA11187" s="1" t="s">
        <v>23</v>
      </c>
      <c r="AJ11187" s="1" t="s">
        <v>32</v>
      </c>
      <c r="AT11187" s="1" t="s">
        <v>42</v>
      </c>
      <c r="CE11187" s="1" t="s">
        <v>79</v>
      </c>
      <c r="GD11187" s="1" t="s">
        <v>193</v>
      </c>
      <c r="GE11187" s="1" t="s">
        <v>190</v>
      </c>
    </row>
    <row r="11188" spans="1:187" ht="11.25" customHeight="1">
      <c r="A11188" s="1" t="s">
        <v>15719</v>
      </c>
      <c r="B11188" s="1" t="str">
        <f ca="1">IFERROR(__xludf.DUMMYFUNCTION("GOOGLETRANSLATE(A11188, ""en"", ""fr"")"),"VAGABOND")</f>
        <v>VAGABOND</v>
      </c>
      <c r="C11188" s="1" t="s">
        <v>192</v>
      </c>
      <c r="E11188" s="1" t="s">
        <v>16613</v>
      </c>
      <c r="L11188" s="1" t="s">
        <v>8</v>
      </c>
      <c r="AA11188" s="1" t="s">
        <v>23</v>
      </c>
      <c r="AJ11188" s="1" t="s">
        <v>32</v>
      </c>
      <c r="AT11188" s="1" t="s">
        <v>42</v>
      </c>
      <c r="CE11188" s="1" t="s">
        <v>79</v>
      </c>
      <c r="GD11188" s="1" t="s">
        <v>193</v>
      </c>
      <c r="GE11188" s="1" t="s">
        <v>190</v>
      </c>
    </row>
    <row r="11189" spans="1:187" ht="11.25" customHeight="1">
      <c r="A11189" s="1" t="s">
        <v>15720</v>
      </c>
      <c r="B11189" s="1" t="str">
        <f ca="1">IFERROR(__xludf.DUMMYFUNCTION("GOOGLETRANSLATE(A11189, ""en"", ""fr"")"),"VAGUE")</f>
        <v>VAGUE</v>
      </c>
      <c r="C11189" s="1" t="s">
        <v>185</v>
      </c>
      <c r="E11189" s="1" t="s">
        <v>16613</v>
      </c>
      <c r="H11189" s="1" t="s">
        <v>4</v>
      </c>
      <c r="L11189" s="1" t="s">
        <v>8</v>
      </c>
      <c r="X11189" s="1" t="s">
        <v>20</v>
      </c>
      <c r="CH11189" s="1" t="s">
        <v>82</v>
      </c>
      <c r="FH11189" s="1" t="s">
        <v>160</v>
      </c>
      <c r="FI11189" s="1" t="s">
        <v>161</v>
      </c>
      <c r="GD11189" s="1" t="s">
        <v>202</v>
      </c>
      <c r="GE11189" s="1" t="s">
        <v>190</v>
      </c>
    </row>
    <row r="11190" spans="1:187" ht="11.25" customHeight="1">
      <c r="A11190" s="1" t="s">
        <v>15721</v>
      </c>
      <c r="B11190" s="1" t="str">
        <f ca="1">IFERROR(__xludf.DUMMYFUNCTION("GOOGLETRANSLATE(A11190, ""en"", ""fr"")"),"IMPRÉCISION")</f>
        <v>IMPRÉCISION</v>
      </c>
      <c r="C11190" s="1" t="s">
        <v>185</v>
      </c>
      <c r="E11190" s="1" t="s">
        <v>16613</v>
      </c>
      <c r="H11190" s="1" t="s">
        <v>4</v>
      </c>
      <c r="L11190" s="1" t="s">
        <v>8</v>
      </c>
      <c r="X11190" s="1" t="s">
        <v>20</v>
      </c>
      <c r="CH11190" s="1" t="s">
        <v>82</v>
      </c>
      <c r="FH11190" s="1" t="s">
        <v>160</v>
      </c>
      <c r="FI11190" s="1" t="s">
        <v>161</v>
      </c>
      <c r="GD11190" s="1" t="s">
        <v>193</v>
      </c>
      <c r="GE11190" s="1" t="s">
        <v>190</v>
      </c>
    </row>
    <row r="11191" spans="1:187" ht="11.25" customHeight="1">
      <c r="A11191" s="1" t="s">
        <v>15722</v>
      </c>
      <c r="B11191" s="1" t="str">
        <f ca="1">IFERROR(__xludf.DUMMYFUNCTION("GOOGLETRANSLATE(A11191, ""en"", ""fr"")"),"VAINE")</f>
        <v>VAINE</v>
      </c>
      <c r="C11191" s="1" t="s">
        <v>185</v>
      </c>
      <c r="E11191" s="1" t="s">
        <v>16613</v>
      </c>
      <c r="H11191" s="1" t="s">
        <v>4</v>
      </c>
      <c r="V11191" s="1" t="s">
        <v>18</v>
      </c>
      <c r="FL11191" s="1" t="s">
        <v>164</v>
      </c>
      <c r="FM11191" s="1" t="s">
        <v>418</v>
      </c>
      <c r="GD11191" s="1" t="s">
        <v>202</v>
      </c>
      <c r="GE11191" s="1" t="s">
        <v>190</v>
      </c>
    </row>
    <row r="11192" spans="1:187" ht="11.25" customHeight="1">
      <c r="A11192" s="1" t="s">
        <v>15723</v>
      </c>
      <c r="B11192" s="1" t="str">
        <f ca="1">IFERROR(__xludf.DUMMYFUNCTION("GOOGLETRANSLATE(A11192, ""en"", ""fr"")"),"VALLÉE")</f>
        <v>VALLÉE</v>
      </c>
      <c r="C11192" s="1" t="s">
        <v>185</v>
      </c>
      <c r="AV11192" s="1" t="s">
        <v>44</v>
      </c>
      <c r="BA11192" s="1" t="s">
        <v>49</v>
      </c>
      <c r="GD11192" s="1" t="s">
        <v>193</v>
      </c>
      <c r="GE11192" s="1" t="s">
        <v>190</v>
      </c>
    </row>
    <row r="11193" spans="1:187" ht="11.25" customHeight="1">
      <c r="A11193" s="1" t="s">
        <v>15724</v>
      </c>
      <c r="B11193" s="1" t="str">
        <f ca="1">IFERROR(__xludf.DUMMYFUNCTION("GOOGLETRANSLATE(A11193, ""en"", ""fr"")"),"VAILLANT")</f>
        <v>VAILLANT</v>
      </c>
      <c r="C11193" s="1" t="s">
        <v>192</v>
      </c>
      <c r="D11193" s="1" t="s">
        <v>16612</v>
      </c>
      <c r="U11193" s="1" t="s">
        <v>17</v>
      </c>
      <c r="DR11193" s="1" t="s">
        <v>118</v>
      </c>
      <c r="GD11193" s="1" t="s">
        <v>202</v>
      </c>
      <c r="GE11193" s="1" t="s">
        <v>190</v>
      </c>
    </row>
    <row r="11194" spans="1:187" ht="11.25" customHeight="1">
      <c r="A11194" s="1" t="s">
        <v>15725</v>
      </c>
      <c r="B11194" s="1" t="str">
        <f ca="1">IFERROR(__xludf.DUMMYFUNCTION("GOOGLETRANSLATE(A11194, ""en"", ""fr"")"),"VALIDE")</f>
        <v>VALIDE</v>
      </c>
      <c r="C11194" s="1" t="s">
        <v>185</v>
      </c>
      <c r="D11194" s="1" t="s">
        <v>16612</v>
      </c>
      <c r="F11194" s="1" t="s">
        <v>2</v>
      </c>
      <c r="U11194" s="1" t="s">
        <v>17</v>
      </c>
      <c r="W11194" s="1" t="s">
        <v>19</v>
      </c>
      <c r="CN11194" s="1" t="s">
        <v>88</v>
      </c>
      <c r="FH11194" s="1" t="s">
        <v>160</v>
      </c>
      <c r="FI11194" s="1" t="s">
        <v>161</v>
      </c>
      <c r="GD11194" s="1" t="s">
        <v>202</v>
      </c>
      <c r="GE11194" s="1" t="s">
        <v>190</v>
      </c>
    </row>
    <row r="11195" spans="1:187" ht="11.25" customHeight="1">
      <c r="A11195" s="1" t="s">
        <v>15726</v>
      </c>
      <c r="B11195" s="1" t="str">
        <f ca="1">IFERROR(__xludf.DUMMYFUNCTION("GOOGLETRANSLATE(A11195, ""en"", ""fr"")"),"VALIDITÉ")</f>
        <v>VALIDITÉ</v>
      </c>
      <c r="C11195" s="1" t="s">
        <v>185</v>
      </c>
      <c r="D11195" s="1" t="s">
        <v>16612</v>
      </c>
      <c r="F11195" s="1" t="s">
        <v>2</v>
      </c>
      <c r="U11195" s="1" t="s">
        <v>17</v>
      </c>
      <c r="W11195" s="1" t="s">
        <v>19</v>
      </c>
      <c r="FH11195" s="1" t="s">
        <v>160</v>
      </c>
      <c r="FI11195" s="1" t="s">
        <v>161</v>
      </c>
      <c r="GD11195" s="1" t="s">
        <v>193</v>
      </c>
      <c r="GE11195" s="1" t="s">
        <v>190</v>
      </c>
    </row>
    <row r="11196" spans="1:187" ht="11.25" customHeight="1">
      <c r="A11196" s="1" t="s">
        <v>15727</v>
      </c>
      <c r="B11196" s="1" t="str">
        <f ca="1">IFERROR(__xludf.DUMMYFUNCTION("GOOGLETRANSLATE(A11196, ""en"", ""fr"")"),"VALLÉE")</f>
        <v>VALLÉE</v>
      </c>
      <c r="C11196" s="1" t="s">
        <v>185</v>
      </c>
      <c r="AV11196" s="1" t="s">
        <v>44</v>
      </c>
      <c r="BA11196" s="1" t="s">
        <v>49</v>
      </c>
      <c r="GD11196" s="1" t="s">
        <v>193</v>
      </c>
      <c r="GE11196" s="1" t="s">
        <v>190</v>
      </c>
    </row>
    <row r="11197" spans="1:187" ht="11.25" customHeight="1">
      <c r="A11197" s="1" t="s">
        <v>15728</v>
      </c>
      <c r="B11197" s="1" t="str">
        <f ca="1">IFERROR(__xludf.DUMMYFUNCTION("GOOGLETRANSLATE(A11197, ""en"", ""fr"")"),"VALEUR")</f>
        <v>VALEUR</v>
      </c>
      <c r="C11197" s="1" t="s">
        <v>185</v>
      </c>
      <c r="D11197" s="1" t="s">
        <v>16612</v>
      </c>
      <c r="U11197" s="1" t="s">
        <v>17</v>
      </c>
      <c r="EM11197" s="1" t="s">
        <v>139</v>
      </c>
      <c r="EN11197" s="1" t="s">
        <v>140</v>
      </c>
      <c r="GD11197" s="1" t="s">
        <v>193</v>
      </c>
      <c r="GE11197" s="1" t="s">
        <v>190</v>
      </c>
    </row>
    <row r="11198" spans="1:187" ht="11.25" customHeight="1">
      <c r="A11198" s="1" t="s">
        <v>15729</v>
      </c>
      <c r="B11198" s="1" t="str">
        <f ca="1">IFERROR(__xludf.DUMMYFUNCTION("GOOGLETRANSLATE(A11198, ""en"", ""fr"")"),"PRÉCIEUX")</f>
        <v>PRÉCIEUX</v>
      </c>
      <c r="C11198" s="1" t="s">
        <v>185</v>
      </c>
      <c r="D11198" s="1" t="s">
        <v>16612</v>
      </c>
      <c r="F11198" s="1" t="s">
        <v>2</v>
      </c>
      <c r="U11198" s="1" t="s">
        <v>17</v>
      </c>
      <c r="AA11198" s="1" t="s">
        <v>23</v>
      </c>
      <c r="CN11198" s="1" t="s">
        <v>88</v>
      </c>
      <c r="FR11198" s="1" t="s">
        <v>170</v>
      </c>
      <c r="GD11198" s="1" t="s">
        <v>202</v>
      </c>
      <c r="GE11198" s="1" t="s">
        <v>190</v>
      </c>
    </row>
    <row r="11199" spans="1:187" ht="11.25" customHeight="1">
      <c r="A11199" s="1" t="s">
        <v>15730</v>
      </c>
      <c r="B11199" s="1" t="str">
        <f ca="1">IFERROR(__xludf.DUMMYFUNCTION("GOOGLETRANSLATE(A11199, ""en"", ""fr"")"),"ÉVALUATION")</f>
        <v>ÉVALUATION</v>
      </c>
      <c r="C11199" s="1" t="s">
        <v>185</v>
      </c>
      <c r="AA11199" s="1" t="s">
        <v>23</v>
      </c>
      <c r="AC11199" s="1" t="s">
        <v>25</v>
      </c>
      <c r="BQ11199" s="1" t="s">
        <v>65</v>
      </c>
      <c r="FR11199" s="1" t="s">
        <v>170</v>
      </c>
      <c r="GD11199" s="1" t="s">
        <v>193</v>
      </c>
      <c r="GE11199" s="1" t="s">
        <v>190</v>
      </c>
    </row>
    <row r="11200" spans="1:187" ht="11.25" customHeight="1">
      <c r="A11200" s="1" t="s">
        <v>15731</v>
      </c>
      <c r="B11200" s="1" t="str">
        <f ca="1">IFERROR(__xludf.DUMMYFUNCTION("GOOGLETRANSLATE(A11200, ""en"", ""fr"")"),"Valeur n ° 1")</f>
        <v>Valeur n ° 1</v>
      </c>
      <c r="C11200" s="1" t="s">
        <v>185</v>
      </c>
      <c r="U11200" s="1" t="s">
        <v>17</v>
      </c>
      <c r="AC11200" s="1" t="s">
        <v>25</v>
      </c>
      <c r="CP11200" s="1" t="s">
        <v>90</v>
      </c>
      <c r="CQ11200" s="1" t="s">
        <v>91</v>
      </c>
      <c r="FR11200" s="1" t="s">
        <v>170</v>
      </c>
      <c r="GD11200" s="1" t="s">
        <v>849</v>
      </c>
      <c r="GE11200" s="1" t="s">
        <v>15732</v>
      </c>
    </row>
    <row r="11201" spans="1:187" ht="11.25" customHeight="1">
      <c r="A11201" s="1" t="s">
        <v>15733</v>
      </c>
      <c r="B11201" s="1" t="str">
        <f ca="1">IFERROR(__xludf.DUMMYFUNCTION("GOOGLETRANSLATE(A11201, ""en"", ""fr"")"),"Valeur n ° 2")</f>
        <v>Valeur n ° 2</v>
      </c>
      <c r="C11201" s="1" t="s">
        <v>185</v>
      </c>
      <c r="D11201" s="1" t="s">
        <v>16612</v>
      </c>
      <c r="F11201" s="1" t="s">
        <v>2</v>
      </c>
      <c r="P11201" s="1" t="s">
        <v>12</v>
      </c>
      <c r="DN11201" s="1" t="s">
        <v>114</v>
      </c>
      <c r="FR11201" s="1" t="s">
        <v>170</v>
      </c>
      <c r="GD11201" s="1" t="s">
        <v>189</v>
      </c>
      <c r="GE11201" s="1" t="s">
        <v>15734</v>
      </c>
    </row>
    <row r="11202" spans="1:187" ht="11.25" customHeight="1">
      <c r="A11202" s="1" t="s">
        <v>15735</v>
      </c>
      <c r="B11202" s="1" t="str">
        <f ca="1">IFERROR(__xludf.DUMMYFUNCTION("GOOGLETRANSLATE(A11202, ""en"", ""fr"")"),"Valeur n ° 3")</f>
        <v>Valeur n ° 3</v>
      </c>
      <c r="C11202" s="1" t="s">
        <v>185</v>
      </c>
      <c r="D11202" s="1" t="s">
        <v>16612</v>
      </c>
      <c r="F11202" s="1" t="s">
        <v>2</v>
      </c>
      <c r="U11202" s="1" t="s">
        <v>17</v>
      </c>
      <c r="CN11202" s="1" t="s">
        <v>88</v>
      </c>
      <c r="FR11202" s="1" t="s">
        <v>170</v>
      </c>
      <c r="GD11202" s="1" t="s">
        <v>202</v>
      </c>
      <c r="GE11202" s="1" t="s">
        <v>15736</v>
      </c>
    </row>
    <row r="11203" spans="1:187" ht="11.25" customHeight="1">
      <c r="A11203" s="1" t="s">
        <v>15737</v>
      </c>
      <c r="B11203" s="1" t="str">
        <f ca="1">IFERROR(__xludf.DUMMYFUNCTION("GOOGLETRANSLATE(A11203, ""en"", ""fr"")"),"VAN")</f>
        <v>VAN</v>
      </c>
      <c r="C11203" s="1" t="s">
        <v>185</v>
      </c>
      <c r="BC11203" s="1" t="s">
        <v>51</v>
      </c>
      <c r="BF11203" s="1" t="s">
        <v>54</v>
      </c>
      <c r="GD11203" s="1" t="s">
        <v>193</v>
      </c>
      <c r="GE11203" s="1" t="s">
        <v>190</v>
      </c>
    </row>
    <row r="11204" spans="1:187" ht="11.25" customHeight="1">
      <c r="A11204" s="1" t="s">
        <v>15738</v>
      </c>
      <c r="B11204" s="1" t="str">
        <f ca="1">IFERROR(__xludf.DUMMYFUNCTION("GOOGLETRANSLATE(A11204, ""en"", ""fr"")"),"DISPARAÎTRE")</f>
        <v>DISPARAÎTRE</v>
      </c>
      <c r="C11204" s="1" t="s">
        <v>185</v>
      </c>
      <c r="E11204" s="1" t="s">
        <v>16613</v>
      </c>
      <c r="N11204" s="1" t="s">
        <v>10</v>
      </c>
      <c r="BY11204" s="1" t="s">
        <v>73</v>
      </c>
      <c r="CK11204" s="1" t="s">
        <v>85</v>
      </c>
      <c r="DN11204" s="1" t="s">
        <v>114</v>
      </c>
      <c r="FP11204" s="1" t="s">
        <v>168</v>
      </c>
      <c r="GD11204" s="1" t="s">
        <v>189</v>
      </c>
      <c r="GE11204" s="1" t="s">
        <v>190</v>
      </c>
    </row>
    <row r="11205" spans="1:187" ht="11.25" customHeight="1">
      <c r="A11205" s="1" t="s">
        <v>15739</v>
      </c>
      <c r="B11205" s="1" t="str">
        <f ca="1">IFERROR(__xludf.DUMMYFUNCTION("GOOGLETRANSLATE(A11205, ""en"", ""fr"")"),"VANITÉ")</f>
        <v>VANITÉ</v>
      </c>
      <c r="C11205" s="1" t="s">
        <v>192</v>
      </c>
      <c r="E11205" s="1" t="s">
        <v>16613</v>
      </c>
      <c r="V11205" s="1" t="s">
        <v>18</v>
      </c>
      <c r="GD11205" s="1" t="s">
        <v>193</v>
      </c>
      <c r="GE11205" s="1" t="s">
        <v>190</v>
      </c>
    </row>
    <row r="11206" spans="1:187" ht="11.25" customHeight="1">
      <c r="A11206" s="1" t="s">
        <v>15740</v>
      </c>
      <c r="B11206" s="1" t="str">
        <f ca="1">IFERROR(__xludf.DUMMYFUNCTION("GOOGLETRANSLATE(A11206, ""en"", ""fr"")"),"VAINCRE")</f>
        <v>VAINCRE</v>
      </c>
      <c r="C11206" s="1" t="s">
        <v>192</v>
      </c>
      <c r="D11206" s="1" t="s">
        <v>16612</v>
      </c>
      <c r="K11206" s="1" t="s">
        <v>7</v>
      </c>
      <c r="N11206" s="1" t="s">
        <v>10</v>
      </c>
      <c r="CC11206" s="1" t="s">
        <v>77</v>
      </c>
      <c r="DN11206" s="1" t="s">
        <v>114</v>
      </c>
      <c r="GD11206" s="1" t="s">
        <v>670</v>
      </c>
      <c r="GE11206" s="1" t="s">
        <v>190</v>
      </c>
    </row>
    <row r="11207" spans="1:187" ht="11.25" customHeight="1">
      <c r="A11207" s="1" t="s">
        <v>15741</v>
      </c>
      <c r="B11207" s="1" t="str">
        <f ca="1">IFERROR(__xludf.DUMMYFUNCTION("GOOGLETRANSLATE(A11207, ""en"", ""fr"")"),"AVANTAGE")</f>
        <v>AVANTAGE</v>
      </c>
      <c r="C11207" s="1" t="s">
        <v>185</v>
      </c>
      <c r="J11207" s="1" t="s">
        <v>6</v>
      </c>
      <c r="CK11207" s="1" t="s">
        <v>85</v>
      </c>
      <c r="GD11207" s="1" t="s">
        <v>193</v>
      </c>
      <c r="GE11207" s="1" t="s">
        <v>190</v>
      </c>
    </row>
    <row r="11208" spans="1:187" ht="11.25" customHeight="1">
      <c r="A11208" s="1" t="s">
        <v>15742</v>
      </c>
      <c r="B11208" s="1" t="str">
        <f ca="1">IFERROR(__xludf.DUMMYFUNCTION("GOOGLETRANSLATE(A11208, ""en"", ""fr"")"),"VARIABLE")</f>
        <v>VARIABLE</v>
      </c>
      <c r="C11208" s="1" t="s">
        <v>185</v>
      </c>
      <c r="CH11208" s="1" t="s">
        <v>82</v>
      </c>
      <c r="GD11208" s="1" t="s">
        <v>193</v>
      </c>
      <c r="GE11208" s="1" t="s">
        <v>190</v>
      </c>
    </row>
    <row r="11209" spans="1:187" ht="11.25" customHeight="1">
      <c r="A11209" s="1" t="s">
        <v>15743</v>
      </c>
      <c r="B11209" s="1" t="str">
        <f ca="1">IFERROR(__xludf.DUMMYFUNCTION("GOOGLETRANSLATE(A11209, ""en"", ""fr"")"),"VARIATION")</f>
        <v>VARIATION</v>
      </c>
      <c r="C11209" s="1" t="s">
        <v>185</v>
      </c>
      <c r="BW11209" s="1" t="s">
        <v>71</v>
      </c>
      <c r="CP11209" s="1" t="s">
        <v>90</v>
      </c>
      <c r="CQ11209" s="1" t="s">
        <v>91</v>
      </c>
      <c r="GD11209" s="1" t="s">
        <v>193</v>
      </c>
      <c r="GE11209" s="1" t="s">
        <v>190</v>
      </c>
    </row>
    <row r="11210" spans="1:187" ht="11.25" customHeight="1">
      <c r="A11210" s="1" t="s">
        <v>15744</v>
      </c>
      <c r="B11210" s="1" t="str">
        <f ca="1">IFERROR(__xludf.DUMMYFUNCTION("GOOGLETRANSLATE(A11210, ""en"", ""fr"")"),"VARIÉTÉ")</f>
        <v>VARIÉTÉ</v>
      </c>
      <c r="C11210" s="1" t="s">
        <v>185</v>
      </c>
      <c r="BW11210" s="1" t="s">
        <v>71</v>
      </c>
      <c r="CP11210" s="1" t="s">
        <v>90</v>
      </c>
      <c r="CQ11210" s="1" t="s">
        <v>91</v>
      </c>
      <c r="GD11210" s="1" t="s">
        <v>193</v>
      </c>
      <c r="GE11210" s="1" t="s">
        <v>190</v>
      </c>
    </row>
    <row r="11211" spans="1:187" ht="11.25" customHeight="1">
      <c r="A11211" s="1" t="s">
        <v>15745</v>
      </c>
      <c r="B11211" s="1" t="str">
        <f ca="1">IFERROR(__xludf.DUMMYFUNCTION("GOOGLETRANSLATE(A11211, ""en"", ""fr"")"),"DIVERS")</f>
        <v>DIVERS</v>
      </c>
      <c r="C11211" s="1" t="s">
        <v>185</v>
      </c>
      <c r="CS11211" s="1" t="s">
        <v>93</v>
      </c>
      <c r="GD11211" s="1" t="s">
        <v>2464</v>
      </c>
      <c r="GE11211" s="1" t="s">
        <v>15746</v>
      </c>
    </row>
    <row r="11212" spans="1:187" ht="11.25" customHeight="1">
      <c r="A11212" s="1" t="s">
        <v>15747</v>
      </c>
      <c r="B11212" s="1" t="str">
        <f ca="1">IFERROR(__xludf.DUMMYFUNCTION("GOOGLETRANSLATE(A11212, ""en"", ""fr"")"),"Varier n ° 1")</f>
        <v>Varier n ° 1</v>
      </c>
      <c r="C11212" s="1" t="s">
        <v>185</v>
      </c>
      <c r="BW11212" s="1" t="s">
        <v>71</v>
      </c>
      <c r="FP11212" s="1" t="s">
        <v>168</v>
      </c>
      <c r="GD11212" s="1" t="s">
        <v>202</v>
      </c>
      <c r="GE11212" s="1" t="s">
        <v>190</v>
      </c>
    </row>
    <row r="11213" spans="1:187" ht="11.25" customHeight="1">
      <c r="A11213" s="1" t="s">
        <v>15748</v>
      </c>
      <c r="B11213" s="1" t="str">
        <f ca="1">IFERROR(__xludf.DUMMYFUNCTION("GOOGLETRANSLATE(A11213, ""en"", ""fr"")"),"Varier n ° 2")</f>
        <v>Varier n ° 2</v>
      </c>
      <c r="C11213" s="1" t="s">
        <v>185</v>
      </c>
      <c r="BW11213" s="1" t="s">
        <v>71</v>
      </c>
      <c r="DN11213" s="1" t="s">
        <v>114</v>
      </c>
      <c r="FP11213" s="1" t="s">
        <v>168</v>
      </c>
      <c r="GD11213" s="1" t="s">
        <v>189</v>
      </c>
      <c r="GE11213" s="1" t="s">
        <v>190</v>
      </c>
    </row>
    <row r="11214" spans="1:187" ht="11.25" customHeight="1">
      <c r="A11214" s="1" t="s">
        <v>15749</v>
      </c>
      <c r="B11214" s="1" t="str">
        <f ca="1">IFERROR(__xludf.DUMMYFUNCTION("GOOGLETRANSLATE(A11214, ""en"", ""fr"")"),"VASTE")</f>
        <v>VASTE</v>
      </c>
      <c r="C11214" s="1" t="s">
        <v>185</v>
      </c>
      <c r="J11214" s="1" t="s">
        <v>6</v>
      </c>
      <c r="W11214" s="1" t="s">
        <v>19</v>
      </c>
      <c r="CS11214" s="1" t="s">
        <v>93</v>
      </c>
      <c r="DC11214" s="1" t="s">
        <v>103</v>
      </c>
      <c r="GB11214" s="1" t="s">
        <v>180</v>
      </c>
      <c r="GD11214" s="1" t="s">
        <v>421</v>
      </c>
      <c r="GE11214" s="1" t="s">
        <v>15750</v>
      </c>
    </row>
    <row r="11215" spans="1:187" ht="11.25" customHeight="1">
      <c r="A11215" s="1" t="s">
        <v>15751</v>
      </c>
      <c r="B11215" s="1" t="str">
        <f ca="1">IFERROR(__xludf.DUMMYFUNCTION("GOOGLETRANSLATE(A11215, ""en"", ""fr"")"),"IMMENSITÉ")</f>
        <v>IMMENSITÉ</v>
      </c>
      <c r="C11215" s="1" t="s">
        <v>192</v>
      </c>
      <c r="D11215" s="1" t="s">
        <v>16612</v>
      </c>
      <c r="W11215" s="1" t="s">
        <v>19</v>
      </c>
      <c r="GD11215" s="1" t="s">
        <v>193</v>
      </c>
      <c r="GE11215" s="1" t="s">
        <v>190</v>
      </c>
    </row>
    <row r="11216" spans="1:187" ht="11.25" customHeight="1">
      <c r="A11216" s="1" t="s">
        <v>15752</v>
      </c>
      <c r="B11216" s="1" t="str">
        <f ca="1">IFERROR(__xludf.DUMMYFUNCTION("GOOGLETRANSLATE(A11216, ""en"", ""fr"")"),"VECTEUR")</f>
        <v>VECTEUR</v>
      </c>
      <c r="C11216" s="1" t="s">
        <v>185</v>
      </c>
      <c r="DA11216" s="1" t="s">
        <v>101</v>
      </c>
      <c r="GB11216" s="1" t="s">
        <v>180</v>
      </c>
      <c r="GD11216" s="1" t="s">
        <v>193</v>
      </c>
      <c r="GE11216" s="1" t="s">
        <v>190</v>
      </c>
    </row>
    <row r="11217" spans="1:187" ht="11.25" customHeight="1">
      <c r="A11217" s="1" t="s">
        <v>15753</v>
      </c>
      <c r="B11217" s="1" t="str">
        <f ca="1">IFERROR(__xludf.DUMMYFUNCTION("GOOGLETRANSLATE(A11217, ""en"", ""fr"")"),"LÉGUME")</f>
        <v>LÉGUME</v>
      </c>
      <c r="C11217" s="1" t="s">
        <v>185</v>
      </c>
      <c r="BC11217" s="1" t="s">
        <v>51</v>
      </c>
      <c r="BE11217" s="1" t="s">
        <v>53</v>
      </c>
      <c r="GD11217" s="1" t="s">
        <v>193</v>
      </c>
      <c r="GE11217" s="1" t="s">
        <v>190</v>
      </c>
    </row>
    <row r="11218" spans="1:187" ht="11.25" customHeight="1">
      <c r="A11218" s="1" t="s">
        <v>15754</v>
      </c>
      <c r="B11218" s="1" t="str">
        <f ca="1">IFERROR(__xludf.DUMMYFUNCTION("GOOGLETRANSLATE(A11218, ""en"", ""fr"")"),"VÉHÉMENT")</f>
        <v>VÉHÉMENT</v>
      </c>
      <c r="C11218" s="1" t="s">
        <v>192</v>
      </c>
      <c r="E11218" s="1" t="s">
        <v>16613</v>
      </c>
      <c r="J11218" s="1" t="s">
        <v>6</v>
      </c>
      <c r="R11218" s="1" t="s">
        <v>14</v>
      </c>
      <c r="DR11218" s="1" t="s">
        <v>118</v>
      </c>
      <c r="GD11218" s="1" t="s">
        <v>202</v>
      </c>
      <c r="GE11218" s="1" t="s">
        <v>190</v>
      </c>
    </row>
    <row r="11219" spans="1:187" ht="11.25" customHeight="1">
      <c r="A11219" s="1" t="s">
        <v>15755</v>
      </c>
      <c r="B11219" s="1" t="str">
        <f ca="1">IFERROR(__xludf.DUMMYFUNCTION("GOOGLETRANSLATE(A11219, ""en"", ""fr"")"),"VÉHICULE")</f>
        <v>VÉHICULE</v>
      </c>
      <c r="C11219" s="1" t="s">
        <v>185</v>
      </c>
      <c r="BC11219" s="1" t="s">
        <v>51</v>
      </c>
      <c r="BF11219" s="1" t="s">
        <v>54</v>
      </c>
      <c r="GD11219" s="1" t="s">
        <v>193</v>
      </c>
      <c r="GE11219" s="1" t="s">
        <v>190</v>
      </c>
    </row>
    <row r="11220" spans="1:187" ht="11.25" customHeight="1">
      <c r="A11220" s="1" t="s">
        <v>15756</v>
      </c>
      <c r="B11220" s="1" t="str">
        <f ca="1">IFERROR(__xludf.DUMMYFUNCTION("GOOGLETRANSLATE(A11220, ""en"", ""fr"")"),"VOILE")</f>
        <v>VOILE</v>
      </c>
      <c r="C11220" s="1" t="s">
        <v>185</v>
      </c>
      <c r="BC11220" s="1" t="s">
        <v>51</v>
      </c>
      <c r="BD11220" s="1" t="s">
        <v>52</v>
      </c>
      <c r="GD11220" s="1" t="s">
        <v>193</v>
      </c>
      <c r="GE11220" s="1" t="s">
        <v>190</v>
      </c>
    </row>
    <row r="11221" spans="1:187" ht="11.25" customHeight="1">
      <c r="A11221" s="1" t="s">
        <v>15757</v>
      </c>
      <c r="B11221" s="1" t="str">
        <f ca="1">IFERROR(__xludf.DUMMYFUNCTION("GOOGLETRANSLATE(A11221, ""en"", ""fr"")"),"VEINE")</f>
        <v>VEINE</v>
      </c>
      <c r="C11221" s="1" t="s">
        <v>185</v>
      </c>
      <c r="BJ11221" s="1" t="s">
        <v>58</v>
      </c>
      <c r="GD11221" s="1" t="s">
        <v>193</v>
      </c>
      <c r="GE11221" s="1" t="s">
        <v>190</v>
      </c>
    </row>
    <row r="11222" spans="1:187" ht="11.25" customHeight="1">
      <c r="A11222" s="1" t="s">
        <v>15758</v>
      </c>
      <c r="B11222" s="1" t="str">
        <f ca="1">IFERROR(__xludf.DUMMYFUNCTION("GOOGLETRANSLATE(A11222, ""en"", ""fr"")"),"RAPIDITÉ")</f>
        <v>RAPIDITÉ</v>
      </c>
      <c r="C11222" s="1" t="s">
        <v>185</v>
      </c>
      <c r="CY11222" s="1" t="s">
        <v>99</v>
      </c>
      <c r="GD11222" s="1" t="s">
        <v>193</v>
      </c>
      <c r="GE11222" s="1" t="s">
        <v>190</v>
      </c>
    </row>
    <row r="11223" spans="1:187" ht="11.25" customHeight="1">
      <c r="A11223" s="1" t="s">
        <v>15759</v>
      </c>
      <c r="B11223" s="1" t="str">
        <f ca="1">IFERROR(__xludf.DUMMYFUNCTION("GOOGLETRANSLATE(A11223, ""en"", ""fr"")"),"VÉNÉRABLE")</f>
        <v>VÉNÉRABLE</v>
      </c>
      <c r="C11223" s="1" t="s">
        <v>192</v>
      </c>
      <c r="D11223" s="1" t="s">
        <v>16612</v>
      </c>
      <c r="U11223" s="1" t="s">
        <v>17</v>
      </c>
      <c r="CM11223" s="1" t="s">
        <v>87</v>
      </c>
      <c r="DR11223" s="1" t="s">
        <v>118</v>
      </c>
      <c r="GD11223" s="1" t="s">
        <v>202</v>
      </c>
      <c r="GE11223" s="1" t="s">
        <v>190</v>
      </c>
    </row>
    <row r="11224" spans="1:187" ht="11.25" customHeight="1">
      <c r="A11224" s="1" t="s">
        <v>15760</v>
      </c>
      <c r="B11224" s="1" t="str">
        <f ca="1">IFERROR(__xludf.DUMMYFUNCTION("GOOGLETRANSLATE(A11224, ""en"", ""fr"")"),"VÉNÉRER")</f>
        <v>VÉNÉRER</v>
      </c>
      <c r="C11224" s="1" t="s">
        <v>192</v>
      </c>
      <c r="D11224" s="1" t="s">
        <v>16612</v>
      </c>
      <c r="G11224" s="1" t="s">
        <v>3</v>
      </c>
      <c r="M11224" s="1" t="s">
        <v>9</v>
      </c>
      <c r="N11224" s="1" t="s">
        <v>10</v>
      </c>
      <c r="DN11224" s="1" t="s">
        <v>114</v>
      </c>
      <c r="GD11224" s="1" t="s">
        <v>670</v>
      </c>
      <c r="GE11224" s="1" t="s">
        <v>190</v>
      </c>
    </row>
    <row r="11225" spans="1:187" ht="11.25" customHeight="1">
      <c r="A11225" s="1" t="s">
        <v>15761</v>
      </c>
      <c r="B11225" s="1" t="str">
        <f ca="1">IFERROR(__xludf.DUMMYFUNCTION("GOOGLETRANSLATE(A11225, ""en"", ""fr"")"),"VENEZUELA")</f>
        <v>VENEZUELA</v>
      </c>
      <c r="C11225" s="1" t="s">
        <v>196</v>
      </c>
      <c r="FU11225" s="1" t="s">
        <v>173</v>
      </c>
      <c r="GD11225" s="1" t="s">
        <v>545</v>
      </c>
    </row>
    <row r="11226" spans="1:187" ht="11.25" customHeight="1">
      <c r="A11226" s="1" t="s">
        <v>15762</v>
      </c>
      <c r="B11226" s="1" t="str">
        <f ca="1">IFERROR(__xludf.DUMMYFUNCTION("GOOGLETRANSLATE(A11226, ""en"", ""fr"")"),"VENGEANCE")</f>
        <v>VENGEANCE</v>
      </c>
      <c r="C11226" s="1" t="s">
        <v>185</v>
      </c>
      <c r="E11226" s="1" t="s">
        <v>16613</v>
      </c>
      <c r="H11226" s="1" t="s">
        <v>4</v>
      </c>
      <c r="I11226" s="1" t="s">
        <v>5</v>
      </c>
      <c r="J11226" s="1" t="s">
        <v>6</v>
      </c>
      <c r="N11226" s="1" t="s">
        <v>10</v>
      </c>
      <c r="BO11226" s="1" t="s">
        <v>63</v>
      </c>
      <c r="EM11226" s="1" t="s">
        <v>139</v>
      </c>
      <c r="EN11226" s="1" t="s">
        <v>140</v>
      </c>
      <c r="GD11226" s="1" t="s">
        <v>193</v>
      </c>
      <c r="GE11226" s="1" t="s">
        <v>190</v>
      </c>
    </row>
    <row r="11227" spans="1:187" ht="11.25" customHeight="1">
      <c r="A11227" s="1" t="s">
        <v>15763</v>
      </c>
      <c r="B11227" s="1" t="str">
        <f ca="1">IFERROR(__xludf.DUMMYFUNCTION("GOOGLETRANSLATE(A11227, ""en"", ""fr"")"),"VENIN")</f>
        <v>VENIN</v>
      </c>
      <c r="C11227" s="1" t="s">
        <v>192</v>
      </c>
      <c r="E11227" s="1" t="s">
        <v>16613</v>
      </c>
      <c r="I11227" s="1" t="s">
        <v>5</v>
      </c>
      <c r="V11227" s="1" t="s">
        <v>18</v>
      </c>
      <c r="GD11227" s="1" t="s">
        <v>193</v>
      </c>
      <c r="GE11227" s="1" t="s">
        <v>190</v>
      </c>
    </row>
    <row r="11228" spans="1:187" ht="11.25" customHeight="1">
      <c r="A11228" s="1" t="s">
        <v>15764</v>
      </c>
      <c r="B11228" s="1" t="str">
        <f ca="1">IFERROR(__xludf.DUMMYFUNCTION("GOOGLETRANSLATE(A11228, ""en"", ""fr"")"),"VENIMEUX")</f>
        <v>VENIMEUX</v>
      </c>
      <c r="C11228" s="1" t="s">
        <v>192</v>
      </c>
      <c r="E11228" s="1" t="s">
        <v>16613</v>
      </c>
      <c r="I11228" s="1" t="s">
        <v>5</v>
      </c>
      <c r="BK11228" s="1" t="s">
        <v>59</v>
      </c>
      <c r="DR11228" s="1" t="s">
        <v>118</v>
      </c>
      <c r="GD11228" s="1" t="s">
        <v>202</v>
      </c>
      <c r="GE11228" s="1" t="s">
        <v>190</v>
      </c>
    </row>
    <row r="11229" spans="1:187" ht="11.25" customHeight="1">
      <c r="A11229" s="1" t="s">
        <v>15765</v>
      </c>
      <c r="B11229" s="1" t="str">
        <f ca="1">IFERROR(__xludf.DUMMYFUNCTION("GOOGLETRANSLATE(A11229, ""en"", ""fr"")"),"VENTRICULE")</f>
        <v>VENTRICULE</v>
      </c>
      <c r="C11229" s="1" t="s">
        <v>185</v>
      </c>
      <c r="BJ11229" s="1" t="s">
        <v>58</v>
      </c>
      <c r="EZ11229" s="1" t="s">
        <v>152</v>
      </c>
      <c r="FC11229" s="1" t="s">
        <v>155</v>
      </c>
      <c r="GD11229" s="1" t="s">
        <v>193</v>
      </c>
      <c r="GE11229" s="1" t="s">
        <v>190</v>
      </c>
    </row>
    <row r="11230" spans="1:187" ht="11.25" customHeight="1">
      <c r="A11230" s="1" t="s">
        <v>15766</v>
      </c>
      <c r="B11230" s="1" t="str">
        <f ca="1">IFERROR(__xludf.DUMMYFUNCTION("GOOGLETRANSLATE(A11230, ""en"", ""fr"")"),"Aventure n ° 1")</f>
        <v>Aventure n ° 1</v>
      </c>
      <c r="C11230" s="1" t="s">
        <v>185</v>
      </c>
      <c r="N11230" s="1" t="s">
        <v>10</v>
      </c>
      <c r="AC11230" s="1" t="s">
        <v>25</v>
      </c>
      <c r="AH11230" s="1" t="s">
        <v>30</v>
      </c>
      <c r="BQ11230" s="1" t="s">
        <v>65</v>
      </c>
      <c r="FR11230" s="1" t="s">
        <v>170</v>
      </c>
      <c r="GD11230" s="1" t="s">
        <v>193</v>
      </c>
      <c r="GE11230" s="1" t="s">
        <v>190</v>
      </c>
    </row>
    <row r="11231" spans="1:187" ht="11.25" customHeight="1">
      <c r="A11231" s="1" t="s">
        <v>15767</v>
      </c>
      <c r="B11231" s="1" t="str">
        <f ca="1">IFERROR(__xludf.DUMMYFUNCTION("GOOGLETRANSLATE(A11231, ""en"", ""fr"")"),"Aventure n ° 2")</f>
        <v>Aventure n ° 2</v>
      </c>
      <c r="C11231" s="1" t="s">
        <v>185</v>
      </c>
      <c r="N11231" s="1" t="s">
        <v>10</v>
      </c>
      <c r="BP11231" s="1" t="s">
        <v>64</v>
      </c>
      <c r="DN11231" s="1" t="s">
        <v>114</v>
      </c>
      <c r="FR11231" s="1" t="s">
        <v>170</v>
      </c>
      <c r="GD11231" s="1" t="s">
        <v>189</v>
      </c>
      <c r="GE11231" s="1" t="s">
        <v>190</v>
      </c>
    </row>
    <row r="11232" spans="1:187" ht="11.25" customHeight="1">
      <c r="A11232" s="1" t="s">
        <v>15768</v>
      </c>
      <c r="B11232" s="1" t="str">
        <f ca="1">IFERROR(__xludf.DUMMYFUNCTION("GOOGLETRANSLATE(A11232, ""en"", ""fr"")"),"VÉRANDA")</f>
        <v>VÉRANDA</v>
      </c>
      <c r="C11232" s="1" t="s">
        <v>185</v>
      </c>
      <c r="BC11232" s="1" t="s">
        <v>51</v>
      </c>
      <c r="BG11232" s="1" t="s">
        <v>55</v>
      </c>
      <c r="GD11232" s="1" t="s">
        <v>193</v>
      </c>
      <c r="GE11232" s="1" t="s">
        <v>190</v>
      </c>
    </row>
    <row r="11233" spans="1:187" ht="11.25" customHeight="1">
      <c r="A11233" s="1" t="s">
        <v>15769</v>
      </c>
      <c r="B11233" s="1" t="str">
        <f ca="1">IFERROR(__xludf.DUMMYFUNCTION("GOOGLETRANSLATE(A11233, ""en"", ""fr"")"),"VERBE")</f>
        <v>VERBE</v>
      </c>
      <c r="C11233" s="1" t="s">
        <v>185</v>
      </c>
      <c r="BK11233" s="1" t="s">
        <v>59</v>
      </c>
      <c r="BL11233" s="1" t="s">
        <v>60</v>
      </c>
      <c r="GC11233" s="1" t="s">
        <v>181</v>
      </c>
      <c r="GD11233" s="1" t="s">
        <v>193</v>
      </c>
      <c r="GE11233" s="1" t="s">
        <v>190</v>
      </c>
    </row>
    <row r="11234" spans="1:187" ht="11.25" customHeight="1">
      <c r="A11234" s="1" t="s">
        <v>15770</v>
      </c>
      <c r="B11234" s="1" t="str">
        <f ca="1">IFERROR(__xludf.DUMMYFUNCTION("GOOGLETRANSLATE(A11234, ""en"", ""fr"")"),"VERBAL")</f>
        <v>VERBAL</v>
      </c>
      <c r="C11234" s="1" t="s">
        <v>185</v>
      </c>
      <c r="AD11234" s="1" t="s">
        <v>26</v>
      </c>
      <c r="BK11234" s="1" t="s">
        <v>59</v>
      </c>
      <c r="GC11234" s="1" t="s">
        <v>181</v>
      </c>
      <c r="GD11234" s="1" t="s">
        <v>202</v>
      </c>
      <c r="GE11234" s="1" t="s">
        <v>190</v>
      </c>
    </row>
    <row r="11235" spans="1:187" ht="11.25" customHeight="1">
      <c r="A11235" s="1" t="s">
        <v>15771</v>
      </c>
      <c r="B11235" s="1" t="str">
        <f ca="1">IFERROR(__xludf.DUMMYFUNCTION("GOOGLETRANSLATE(A11235, ""en"", ""fr"")"),"VERDICT")</f>
        <v>VERDICT</v>
      </c>
      <c r="C11235" s="1" t="s">
        <v>185</v>
      </c>
      <c r="AE11235" s="1" t="s">
        <v>27</v>
      </c>
      <c r="BK11235" s="1" t="s">
        <v>59</v>
      </c>
      <c r="BL11235" s="1" t="s">
        <v>60</v>
      </c>
      <c r="FH11235" s="1" t="s">
        <v>160</v>
      </c>
      <c r="FI11235" s="1" t="s">
        <v>161</v>
      </c>
      <c r="GC11235" s="1" t="s">
        <v>181</v>
      </c>
      <c r="GD11235" s="1" t="s">
        <v>193</v>
      </c>
      <c r="GE11235" s="1" t="s">
        <v>190</v>
      </c>
    </row>
    <row r="11236" spans="1:187" ht="11.25" customHeight="1">
      <c r="A11236" s="1" t="s">
        <v>15772</v>
      </c>
      <c r="B11236" s="1" t="str">
        <f ca="1">IFERROR(__xludf.DUMMYFUNCTION("GOOGLETRANSLATE(A11236, ""en"", ""fr"")"),"VÉRIFICATION")</f>
        <v>VÉRIFICATION</v>
      </c>
      <c r="C11236" s="1" t="s">
        <v>185</v>
      </c>
      <c r="D11236" s="1" t="s">
        <v>16612</v>
      </c>
      <c r="F11236" s="1" t="s">
        <v>2</v>
      </c>
      <c r="W11236" s="1" t="s">
        <v>19</v>
      </c>
      <c r="CH11236" s="1" t="s">
        <v>82</v>
      </c>
      <c r="FH11236" s="1" t="s">
        <v>160</v>
      </c>
      <c r="FI11236" s="1" t="s">
        <v>161</v>
      </c>
      <c r="GD11236" s="1" t="s">
        <v>193</v>
      </c>
      <c r="GE11236" s="1" t="s">
        <v>190</v>
      </c>
    </row>
    <row r="11237" spans="1:187" ht="11.25" customHeight="1">
      <c r="A11237" s="1" t="s">
        <v>15773</v>
      </c>
      <c r="B11237" s="1" t="str">
        <f ca="1">IFERROR(__xludf.DUMMYFUNCTION("GOOGLETRANSLATE(A11237, ""en"", ""fr"")"),"VÉRIFIER")</f>
        <v>VÉRIFIER</v>
      </c>
      <c r="C11237" s="1" t="s">
        <v>185</v>
      </c>
      <c r="D11237" s="1" t="s">
        <v>16612</v>
      </c>
      <c r="F11237" s="1" t="s">
        <v>2</v>
      </c>
      <c r="N11237" s="1" t="s">
        <v>10</v>
      </c>
      <c r="W11237" s="1" t="s">
        <v>19</v>
      </c>
      <c r="CO11237" s="1" t="s">
        <v>89</v>
      </c>
      <c r="DN11237" s="1" t="s">
        <v>114</v>
      </c>
      <c r="FD11237" s="1" t="s">
        <v>156</v>
      </c>
      <c r="FI11237" s="1" t="s">
        <v>161</v>
      </c>
      <c r="GD11237" s="1" t="s">
        <v>189</v>
      </c>
      <c r="GE11237" s="1" t="s">
        <v>190</v>
      </c>
    </row>
    <row r="11238" spans="1:187" ht="11.25" customHeight="1">
      <c r="A11238" s="1" t="s">
        <v>15774</v>
      </c>
      <c r="B11238" s="1" t="str">
        <f ca="1">IFERROR(__xludf.DUMMYFUNCTION("GOOGLETRANSLATE(A11238, ""en"", ""fr"")"),"VÉRITABLE")</f>
        <v>VÉRITABLE</v>
      </c>
      <c r="C11238" s="1" t="s">
        <v>192</v>
      </c>
      <c r="D11238" s="1" t="s">
        <v>16612</v>
      </c>
      <c r="U11238" s="1" t="s">
        <v>17</v>
      </c>
      <c r="CM11238" s="1" t="s">
        <v>87</v>
      </c>
      <c r="DR11238" s="1" t="s">
        <v>118</v>
      </c>
      <c r="GD11238" s="1" t="s">
        <v>202</v>
      </c>
      <c r="GE11238" s="1" t="s">
        <v>190</v>
      </c>
    </row>
    <row r="11239" spans="1:187" ht="11.25" customHeight="1">
      <c r="A11239" s="1" t="s">
        <v>15775</v>
      </c>
      <c r="B11239" s="1" t="str">
        <f ca="1">IFERROR(__xludf.DUMMYFUNCTION("GOOGLETRANSLATE(A11239, ""en"", ""fr"")"),"VERMONT")</f>
        <v>VERMONT</v>
      </c>
      <c r="C11239" s="1" t="s">
        <v>196</v>
      </c>
      <c r="GD11239" s="1" t="s">
        <v>653</v>
      </c>
    </row>
    <row r="11240" spans="1:187" ht="11.25" customHeight="1">
      <c r="A11240" s="1" t="s">
        <v>15776</v>
      </c>
      <c r="B11240" s="1" t="str">
        <f ca="1">IFERROR(__xludf.DUMMYFUNCTION("GOOGLETRANSLATE(A11240, ""en"", ""fr"")"),"POLYVALENT")</f>
        <v>POLYVALENT</v>
      </c>
      <c r="C11240" s="1" t="s">
        <v>192</v>
      </c>
      <c r="D11240" s="1" t="s">
        <v>16612</v>
      </c>
      <c r="U11240" s="1" t="s">
        <v>17</v>
      </c>
      <c r="BW11240" s="1" t="s">
        <v>71</v>
      </c>
      <c r="DR11240" s="1" t="s">
        <v>118</v>
      </c>
      <c r="GD11240" s="1" t="s">
        <v>202</v>
      </c>
      <c r="GE11240" s="1" t="s">
        <v>190</v>
      </c>
    </row>
    <row r="11241" spans="1:187" ht="11.25" customHeight="1">
      <c r="A11241" s="1" t="s">
        <v>15777</v>
      </c>
      <c r="B11241" s="1" t="str">
        <f ca="1">IFERROR(__xludf.DUMMYFUNCTION("GOOGLETRANSLATE(A11241, ""en"", ""fr"")"),"POLYVALENCE")</f>
        <v>POLYVALENCE</v>
      </c>
      <c r="C11241" s="1" t="s">
        <v>192</v>
      </c>
      <c r="D11241" s="1" t="s">
        <v>16612</v>
      </c>
      <c r="U11241" s="1" t="s">
        <v>17</v>
      </c>
      <c r="BW11241" s="1" t="s">
        <v>71</v>
      </c>
      <c r="GD11241" s="1" t="s">
        <v>193</v>
      </c>
      <c r="GE11241" s="1" t="s">
        <v>190</v>
      </c>
    </row>
    <row r="11242" spans="1:187" ht="11.25" customHeight="1">
      <c r="A11242" s="1" t="s">
        <v>15778</v>
      </c>
      <c r="B11242" s="1" t="str">
        <f ca="1">IFERROR(__xludf.DUMMYFUNCTION("GOOGLETRANSLATE(A11242, ""en"", ""fr"")"),"VERSET")</f>
        <v>VERSET</v>
      </c>
      <c r="C11242" s="1" t="s">
        <v>185</v>
      </c>
      <c r="AD11242" s="1" t="s">
        <v>26</v>
      </c>
      <c r="BC11242" s="1" t="s">
        <v>51</v>
      </c>
      <c r="BH11242" s="1" t="s">
        <v>56</v>
      </c>
      <c r="BL11242" s="1" t="s">
        <v>60</v>
      </c>
      <c r="GD11242" s="1" t="s">
        <v>193</v>
      </c>
      <c r="GE11242" s="1" t="s">
        <v>190</v>
      </c>
    </row>
    <row r="11243" spans="1:187" ht="11.25" customHeight="1">
      <c r="A11243" s="1" t="s">
        <v>15779</v>
      </c>
      <c r="B11243" s="1" t="str">
        <f ca="1">IFERROR(__xludf.DUMMYFUNCTION("GOOGLETRANSLATE(A11243, ""en"", ""fr"")"),"VERSION")</f>
        <v>VERSION</v>
      </c>
      <c r="C11243" s="1" t="s">
        <v>185</v>
      </c>
      <c r="CH11243" s="1" t="s">
        <v>82</v>
      </c>
      <c r="GD11243" s="1" t="s">
        <v>193</v>
      </c>
      <c r="GE11243" s="1" t="s">
        <v>190</v>
      </c>
    </row>
    <row r="11244" spans="1:187" ht="11.25" customHeight="1">
      <c r="A11244" s="1" t="s">
        <v>15780</v>
      </c>
      <c r="B11244" s="1" t="str">
        <f ca="1">IFERROR(__xludf.DUMMYFUNCTION("GOOGLETRANSLATE(A11244, ""en"", ""fr"")"),"CONTRE")</f>
        <v>CONTRE</v>
      </c>
      <c r="C11244" s="1" t="s">
        <v>185</v>
      </c>
      <c r="DD11244" s="1" t="s">
        <v>104</v>
      </c>
      <c r="GD11244" s="1" t="s">
        <v>215</v>
      </c>
      <c r="GE11244" s="1" t="s">
        <v>190</v>
      </c>
    </row>
    <row r="11245" spans="1:187" ht="11.25" customHeight="1">
      <c r="A11245" s="1" t="s">
        <v>15781</v>
      </c>
      <c r="B11245" s="1" t="str">
        <f ca="1">IFERROR(__xludf.DUMMYFUNCTION("GOOGLETRANSLATE(A11245, ""en"", ""fr"")"),"VERTICALE")</f>
        <v>VERTICALE</v>
      </c>
      <c r="C11245" s="1" t="s">
        <v>185</v>
      </c>
      <c r="DA11245" s="1" t="s">
        <v>101</v>
      </c>
      <c r="DB11245" s="1" t="s">
        <v>102</v>
      </c>
      <c r="GB11245" s="1" t="s">
        <v>180</v>
      </c>
      <c r="GD11245" s="1" t="s">
        <v>202</v>
      </c>
      <c r="GE11245" s="1" t="s">
        <v>190</v>
      </c>
    </row>
    <row r="11246" spans="1:187" ht="11.25" customHeight="1">
      <c r="A11246" s="1" t="s">
        <v>15782</v>
      </c>
      <c r="B11246" s="1" t="str">
        <f ca="1">IFERROR(__xludf.DUMMYFUNCTION("GOOGLETRANSLATE(A11246, ""en"", ""fr"")"),"Très # 1")</f>
        <v>Très # 1</v>
      </c>
      <c r="C11246" s="1" t="s">
        <v>185</v>
      </c>
      <c r="W11246" s="1" t="s">
        <v>19</v>
      </c>
      <c r="CR11246" s="1" t="s">
        <v>92</v>
      </c>
      <c r="FY11246" s="1" t="s">
        <v>177</v>
      </c>
      <c r="GD11246" s="1" t="s">
        <v>1357</v>
      </c>
      <c r="GE11246" s="1" t="s">
        <v>15783</v>
      </c>
    </row>
    <row r="11247" spans="1:187" ht="11.25" customHeight="1">
      <c r="A11247" s="1" t="s">
        <v>15784</v>
      </c>
      <c r="B11247" s="1" t="str">
        <f ca="1">IFERROR(__xludf.DUMMYFUNCTION("GOOGLETRANSLATE(A11247, ""en"", ""fr"")"),"Très # 2")</f>
        <v>Très # 2</v>
      </c>
      <c r="C11247" s="1" t="s">
        <v>185</v>
      </c>
      <c r="W11247" s="1" t="s">
        <v>19</v>
      </c>
      <c r="CH11247" s="1" t="s">
        <v>82</v>
      </c>
      <c r="FY11247" s="1" t="s">
        <v>177</v>
      </c>
      <c r="GD11247" s="1" t="s">
        <v>202</v>
      </c>
      <c r="GE11247" s="1" t="s">
        <v>15785</v>
      </c>
    </row>
    <row r="11248" spans="1:187" ht="11.25" customHeight="1">
      <c r="A11248" s="1" t="s">
        <v>15786</v>
      </c>
      <c r="B11248" s="1" t="str">
        <f ca="1">IFERROR(__xludf.DUMMYFUNCTION("GOOGLETRANSLATE(A11248, ""en"", ""fr"")"),"Très # 3")</f>
        <v>Très # 3</v>
      </c>
      <c r="C11248" s="1" t="s">
        <v>185</v>
      </c>
      <c r="DJ11248" s="1" t="s">
        <v>110</v>
      </c>
      <c r="DM11248" s="1" t="s">
        <v>113</v>
      </c>
      <c r="FY11248" s="1" t="s">
        <v>177</v>
      </c>
      <c r="GD11248" s="1" t="s">
        <v>3750</v>
      </c>
      <c r="GE11248" s="1" t="s">
        <v>15787</v>
      </c>
    </row>
    <row r="11249" spans="1:187" ht="11.25" customHeight="1">
      <c r="A11249" s="1" t="s">
        <v>15788</v>
      </c>
      <c r="B11249" s="1" t="str">
        <f ca="1">IFERROR(__xludf.DUMMYFUNCTION("GOOGLETRANSLATE(A11249, ""en"", ""fr"")"),"NAVIRE")</f>
        <v>NAVIRE</v>
      </c>
      <c r="C11249" s="1" t="s">
        <v>185</v>
      </c>
      <c r="BC11249" s="1" t="s">
        <v>51</v>
      </c>
      <c r="BF11249" s="1" t="s">
        <v>54</v>
      </c>
      <c r="GD11249" s="1" t="s">
        <v>193</v>
      </c>
      <c r="GE11249" s="1" t="s">
        <v>190</v>
      </c>
    </row>
    <row r="11250" spans="1:187" ht="11.25" customHeight="1">
      <c r="A11250" s="1" t="s">
        <v>15789</v>
      </c>
      <c r="B11250" s="1" t="str">
        <f ca="1">IFERROR(__xludf.DUMMYFUNCTION("GOOGLETRANSLATE(A11250, ""en"", ""fr"")"),"Acquis")</f>
        <v>Acquis</v>
      </c>
      <c r="C11250" s="1" t="s">
        <v>196</v>
      </c>
      <c r="DS11250" s="1" t="s">
        <v>119</v>
      </c>
      <c r="ED11250" s="1" t="s">
        <v>130</v>
      </c>
      <c r="GD11250" s="1" t="s">
        <v>202</v>
      </c>
    </row>
    <row r="11251" spans="1:187" ht="11.25" customHeight="1">
      <c r="A11251" s="1" t="s">
        <v>15790</v>
      </c>
      <c r="B11251" s="1" t="str">
        <f ca="1">IFERROR(__xludf.DUMMYFUNCTION("GOOGLETRANSLATE(A11251, ""en"", ""fr"")"),"VÉTÉRAN")</f>
        <v>VÉTÉRAN</v>
      </c>
      <c r="C11251" s="1" t="s">
        <v>185</v>
      </c>
      <c r="AF11251" s="1" t="s">
        <v>28</v>
      </c>
      <c r="AH11251" s="1" t="s">
        <v>30</v>
      </c>
      <c r="AJ11251" s="1" t="s">
        <v>32</v>
      </c>
      <c r="AT11251" s="1" t="s">
        <v>42</v>
      </c>
      <c r="DY11251" s="1" t="s">
        <v>125</v>
      </c>
      <c r="ED11251" s="1" t="s">
        <v>130</v>
      </c>
      <c r="GD11251" s="1" t="s">
        <v>193</v>
      </c>
      <c r="GE11251" s="1" t="s">
        <v>190</v>
      </c>
    </row>
    <row r="11252" spans="1:187" ht="11.25" customHeight="1">
      <c r="A11252" s="1" t="s">
        <v>15791</v>
      </c>
      <c r="B11252" s="1" t="str">
        <f ca="1">IFERROR(__xludf.DUMMYFUNCTION("GOOGLETRANSLATE(A11252, ""en"", ""fr"")"),"VETO")</f>
        <v>VETO</v>
      </c>
      <c r="C11252" s="1" t="s">
        <v>192</v>
      </c>
      <c r="E11252" s="1" t="s">
        <v>16613</v>
      </c>
      <c r="K11252" s="1" t="s">
        <v>7</v>
      </c>
      <c r="N11252" s="1" t="s">
        <v>10</v>
      </c>
      <c r="BK11252" s="1" t="s">
        <v>59</v>
      </c>
      <c r="BZ11252" s="1" t="s">
        <v>74</v>
      </c>
      <c r="DO11252" s="1" t="s">
        <v>115</v>
      </c>
      <c r="GD11252" s="1" t="s">
        <v>189</v>
      </c>
      <c r="GE11252" s="1" t="s">
        <v>190</v>
      </c>
    </row>
    <row r="11253" spans="1:187" ht="11.25" customHeight="1">
      <c r="A11253" s="1" t="s">
        <v>15792</v>
      </c>
      <c r="B11253" s="1" t="str">
        <f ca="1">IFERROR(__xludf.DUMMYFUNCTION("GOOGLETRANSLATE(A11253, ""en"", ""fr"")"),"VEXER")</f>
        <v>VEXER</v>
      </c>
      <c r="C11253" s="1" t="s">
        <v>192</v>
      </c>
      <c r="E11253" s="1" t="s">
        <v>16613</v>
      </c>
      <c r="BT11253" s="1" t="s">
        <v>68</v>
      </c>
      <c r="CA11253" s="1" t="s">
        <v>75</v>
      </c>
      <c r="CG11253" s="1" t="s">
        <v>81</v>
      </c>
      <c r="DN11253" s="1" t="s">
        <v>114</v>
      </c>
      <c r="GD11253" s="1" t="s">
        <v>189</v>
      </c>
      <c r="GE11253" s="1" t="s">
        <v>190</v>
      </c>
    </row>
    <row r="11254" spans="1:187" ht="11.25" customHeight="1">
      <c r="A11254" s="1" t="s">
        <v>15793</v>
      </c>
      <c r="B11254" s="1" t="str">
        <f ca="1">IFERROR(__xludf.DUMMYFUNCTION("GOOGLETRANSLATE(A11254, ""en"", ""fr"")"),"VEXATION")</f>
        <v>VEXATION</v>
      </c>
      <c r="C11254" s="1" t="s">
        <v>192</v>
      </c>
      <c r="E11254" s="1" t="s">
        <v>16613</v>
      </c>
      <c r="X11254" s="1" t="s">
        <v>20</v>
      </c>
      <c r="BT11254" s="1" t="s">
        <v>68</v>
      </c>
      <c r="CG11254" s="1" t="s">
        <v>81</v>
      </c>
      <c r="GD11254" s="1" t="s">
        <v>193</v>
      </c>
      <c r="GE11254" s="1" t="s">
        <v>190</v>
      </c>
    </row>
    <row r="11255" spans="1:187" ht="11.25" customHeight="1">
      <c r="A11255" s="1" t="s">
        <v>15794</v>
      </c>
      <c r="B11255" s="1" t="str">
        <f ca="1">IFERROR(__xludf.DUMMYFUNCTION("GOOGLETRANSLATE(A11255, ""en"", ""fr"")"),"VEXATOIRE")</f>
        <v>VEXATOIRE</v>
      </c>
      <c r="C11255" s="1" t="s">
        <v>196</v>
      </c>
      <c r="FW11255" s="1" t="s">
        <v>175</v>
      </c>
      <c r="GD11255" s="1" t="s">
        <v>202</v>
      </c>
    </row>
    <row r="11256" spans="1:187" ht="11.25" customHeight="1">
      <c r="A11256" s="1" t="s">
        <v>15795</v>
      </c>
      <c r="B11256" s="1" t="str">
        <f ca="1">IFERROR(__xludf.DUMMYFUNCTION("GOOGLETRANSLATE(A11256, ""en"", ""fr"")"),"Vexant")</f>
        <v>Vexant</v>
      </c>
      <c r="C11256" s="1" t="s">
        <v>192</v>
      </c>
      <c r="E11256" s="1" t="s">
        <v>16613</v>
      </c>
      <c r="X11256" s="1" t="s">
        <v>20</v>
      </c>
      <c r="BT11256" s="1" t="s">
        <v>68</v>
      </c>
      <c r="CG11256" s="1" t="s">
        <v>81</v>
      </c>
      <c r="DR11256" s="1" t="s">
        <v>118</v>
      </c>
      <c r="GD11256" s="1" t="s">
        <v>202</v>
      </c>
      <c r="GE11256" s="1" t="s">
        <v>190</v>
      </c>
    </row>
    <row r="11257" spans="1:187" ht="11.25" customHeight="1">
      <c r="A11257" s="1" t="s">
        <v>15796</v>
      </c>
      <c r="B11257" s="1" t="str">
        <f ca="1">IFERROR(__xludf.DUMMYFUNCTION("GOOGLETRANSLATE(A11257, ""en"", ""fr"")"),"VIA")</f>
        <v>VIA</v>
      </c>
      <c r="C11257" s="1" t="s">
        <v>185</v>
      </c>
      <c r="DA11257" s="1" t="s">
        <v>101</v>
      </c>
      <c r="GD11257" s="1" t="s">
        <v>215</v>
      </c>
      <c r="GE11257" s="1" t="s">
        <v>190</v>
      </c>
    </row>
    <row r="11258" spans="1:187" ht="11.25" customHeight="1">
      <c r="A11258" s="1" t="s">
        <v>15797</v>
      </c>
      <c r="B11258" s="1" t="str">
        <f ca="1">IFERROR(__xludf.DUMMYFUNCTION("GOOGLETRANSLATE(A11258, ""en"", ""fr"")"),"VIABILITÉ")</f>
        <v>VIABILITÉ</v>
      </c>
      <c r="C11258" s="1" t="s">
        <v>192</v>
      </c>
      <c r="D11258" s="1" t="s">
        <v>16612</v>
      </c>
      <c r="CI11258" s="1" t="s">
        <v>83</v>
      </c>
      <c r="CM11258" s="1" t="s">
        <v>87</v>
      </c>
      <c r="CR11258" s="1" t="s">
        <v>92</v>
      </c>
      <c r="GD11258" s="1" t="s">
        <v>193</v>
      </c>
      <c r="GE11258" s="1" t="s">
        <v>190</v>
      </c>
    </row>
    <row r="11259" spans="1:187" ht="11.25" customHeight="1">
      <c r="A11259" s="1" t="s">
        <v>15798</v>
      </c>
      <c r="B11259" s="1" t="str">
        <f ca="1">IFERROR(__xludf.DUMMYFUNCTION("GOOGLETRANSLATE(A11259, ""en"", ""fr"")"),"VIABLE")</f>
        <v>VIABLE</v>
      </c>
      <c r="C11259" s="1" t="s">
        <v>185</v>
      </c>
      <c r="D11259" s="1" t="s">
        <v>16612</v>
      </c>
      <c r="F11259" s="1" t="s">
        <v>2</v>
      </c>
      <c r="U11259" s="1" t="s">
        <v>17</v>
      </c>
      <c r="GD11259" s="1" t="s">
        <v>202</v>
      </c>
      <c r="GE11259" s="1" t="s">
        <v>190</v>
      </c>
    </row>
    <row r="11260" spans="1:187" ht="11.25" customHeight="1">
      <c r="A11260" s="1" t="s">
        <v>15799</v>
      </c>
      <c r="B11260" s="1" t="str">
        <f ca="1">IFERROR(__xludf.DUMMYFUNCTION("GOOGLETRANSLATE(A11260, ""en"", ""fr"")"),"Vice n ° 1")</f>
        <v>Vice n ° 1</v>
      </c>
      <c r="C11260" s="1" t="s">
        <v>185</v>
      </c>
      <c r="E11260" s="1" t="s">
        <v>16613</v>
      </c>
      <c r="H11260" s="1" t="s">
        <v>4</v>
      </c>
      <c r="V11260" s="1" t="s">
        <v>18</v>
      </c>
      <c r="AE11260" s="1" t="s">
        <v>27</v>
      </c>
      <c r="EE11260" s="1" t="s">
        <v>131</v>
      </c>
      <c r="EJ11260" s="1" t="s">
        <v>136</v>
      </c>
      <c r="GD11260" s="1" t="s">
        <v>193</v>
      </c>
      <c r="GE11260" s="1" t="s">
        <v>15800</v>
      </c>
    </row>
    <row r="11261" spans="1:187" ht="11.25" customHeight="1">
      <c r="A11261" s="1" t="s">
        <v>15801</v>
      </c>
      <c r="B11261" s="1" t="str">
        <f ca="1">IFERROR(__xludf.DUMMYFUNCTION("GOOGLETRANSLATE(A11261, ""en"", ""fr"")"),"Vice n ° 2")</f>
        <v>Vice n ° 2</v>
      </c>
      <c r="C11261" s="1" t="s">
        <v>185</v>
      </c>
      <c r="K11261" s="1" t="s">
        <v>7</v>
      </c>
      <c r="AC11261" s="1" t="s">
        <v>25</v>
      </c>
      <c r="AG11261" s="1" t="s">
        <v>29</v>
      </c>
      <c r="AH11261" s="1" t="s">
        <v>30</v>
      </c>
      <c r="AJ11261" s="1" t="s">
        <v>32</v>
      </c>
      <c r="AT11261" s="1" t="s">
        <v>42</v>
      </c>
      <c r="EC11261" s="1" t="s">
        <v>129</v>
      </c>
      <c r="ED11261" s="1" t="s">
        <v>130</v>
      </c>
      <c r="GD11261" s="1" t="s">
        <v>193</v>
      </c>
      <c r="GE11261" s="1" t="s">
        <v>15802</v>
      </c>
    </row>
    <row r="11262" spans="1:187" ht="11.25" customHeight="1">
      <c r="A11262" s="1" t="s">
        <v>15803</v>
      </c>
      <c r="B11262" s="1" t="str">
        <f ca="1">IFERROR(__xludf.DUMMYFUNCTION("GOOGLETRANSLATE(A11262, ""en"", ""fr"")"),"Vice # 3")</f>
        <v>Vice # 3</v>
      </c>
      <c r="C11262" s="1" t="s">
        <v>185</v>
      </c>
      <c r="CH11262" s="1" t="s">
        <v>82</v>
      </c>
      <c r="DL11262" s="1" t="s">
        <v>112</v>
      </c>
      <c r="GD11262" s="1" t="s">
        <v>236</v>
      </c>
      <c r="GE11262" s="1" t="s">
        <v>15804</v>
      </c>
    </row>
    <row r="11263" spans="1:187" ht="11.25" customHeight="1">
      <c r="A11263" s="1" t="s">
        <v>15805</v>
      </c>
      <c r="B11263" s="1" t="str">
        <f ca="1">IFERROR(__xludf.DUMMYFUNCTION("GOOGLETRANSLATE(A11263, ""en"", ""fr"")"),"VICE-PRÉSIDENT")</f>
        <v>VICE-PRÉSIDENT</v>
      </c>
      <c r="C11263" s="1" t="s">
        <v>196</v>
      </c>
      <c r="DY11263" s="1" t="s">
        <v>125</v>
      </c>
      <c r="ED11263" s="1" t="s">
        <v>130</v>
      </c>
      <c r="GD11263" s="1" t="s">
        <v>15806</v>
      </c>
    </row>
    <row r="11264" spans="1:187" ht="11.25" customHeight="1">
      <c r="A11264" s="1" t="s">
        <v>15807</v>
      </c>
      <c r="B11264" s="1" t="str">
        <f ca="1">IFERROR(__xludf.DUMMYFUNCTION("GOOGLETRANSLATE(A11264, ""en"", ""fr"")"),"ENVIRONS")</f>
        <v>ENVIRONS</v>
      </c>
      <c r="C11264" s="1" t="s">
        <v>185</v>
      </c>
      <c r="AV11264" s="1" t="s">
        <v>44</v>
      </c>
      <c r="AX11264" s="1" t="s">
        <v>46</v>
      </c>
      <c r="GB11264" s="1" t="s">
        <v>180</v>
      </c>
      <c r="GD11264" s="1" t="s">
        <v>193</v>
      </c>
      <c r="GE11264" s="1" t="s">
        <v>190</v>
      </c>
    </row>
    <row r="11265" spans="1:187" ht="11.25" customHeight="1">
      <c r="A11265" s="1" t="s">
        <v>15808</v>
      </c>
      <c r="B11265" s="1" t="str">
        <f ca="1">IFERROR(__xludf.DUMMYFUNCTION("GOOGLETRANSLATE(A11265, ""en"", ""fr"")"),"VICIEUX")</f>
        <v>VICIEUX</v>
      </c>
      <c r="C11265" s="1" t="s">
        <v>185</v>
      </c>
      <c r="E11265" s="1" t="s">
        <v>16613</v>
      </c>
      <c r="H11265" s="1" t="s">
        <v>4</v>
      </c>
      <c r="I11265" s="1" t="s">
        <v>5</v>
      </c>
      <c r="V11265" s="1" t="s">
        <v>18</v>
      </c>
      <c r="CN11265" s="1" t="s">
        <v>88</v>
      </c>
      <c r="FW11265" s="1" t="s">
        <v>175</v>
      </c>
      <c r="GD11265" s="1" t="s">
        <v>202</v>
      </c>
      <c r="GE11265" s="1" t="s">
        <v>190</v>
      </c>
    </row>
    <row r="11266" spans="1:187" ht="11.25" customHeight="1">
      <c r="A11266" s="1" t="s">
        <v>15809</v>
      </c>
      <c r="B11266" s="1" t="str">
        <f ca="1">IFERROR(__xludf.DUMMYFUNCTION("GOOGLETRANSLATE(A11266, ""en"", ""fr"")"),"VICTIME")</f>
        <v>VICTIME</v>
      </c>
      <c r="C11266" s="1" t="s">
        <v>185</v>
      </c>
      <c r="I11266" s="1" t="s">
        <v>5</v>
      </c>
      <c r="L11266" s="1" t="s">
        <v>8</v>
      </c>
      <c r="M11266" s="1" t="s">
        <v>9</v>
      </c>
      <c r="O11266" s="1" t="s">
        <v>11</v>
      </c>
      <c r="AJ11266" s="1" t="s">
        <v>32</v>
      </c>
      <c r="AT11266" s="1" t="s">
        <v>42</v>
      </c>
      <c r="FB11266" s="1" t="s">
        <v>154</v>
      </c>
      <c r="FC11266" s="1" t="s">
        <v>155</v>
      </c>
      <c r="GD11266" s="1" t="s">
        <v>193</v>
      </c>
      <c r="GE11266" s="1" t="s">
        <v>190</v>
      </c>
    </row>
    <row r="11267" spans="1:187" ht="11.25" customHeight="1">
      <c r="A11267" s="1" t="s">
        <v>15810</v>
      </c>
      <c r="B11267" s="1" t="str">
        <f ca="1">IFERROR(__xludf.DUMMYFUNCTION("GOOGLETRANSLATE(A11267, ""en"", ""fr"")"),"VICTOR")</f>
        <v>VICTOR</v>
      </c>
      <c r="C11267" s="1" t="s">
        <v>185</v>
      </c>
      <c r="J11267" s="1" t="s">
        <v>6</v>
      </c>
      <c r="K11267" s="1" t="s">
        <v>7</v>
      </c>
      <c r="AH11267" s="1" t="s">
        <v>30</v>
      </c>
      <c r="AJ11267" s="1" t="s">
        <v>32</v>
      </c>
      <c r="AT11267" s="1" t="s">
        <v>42</v>
      </c>
      <c r="DW11267" s="1" t="s">
        <v>123</v>
      </c>
      <c r="ED11267" s="1" t="s">
        <v>130</v>
      </c>
      <c r="GD11267" s="1" t="s">
        <v>193</v>
      </c>
      <c r="GE11267" s="1" t="s">
        <v>190</v>
      </c>
    </row>
    <row r="11268" spans="1:187" ht="11.25" customHeight="1">
      <c r="A11268" s="1" t="s">
        <v>15811</v>
      </c>
      <c r="B11268" s="1" t="str">
        <f ca="1">IFERROR(__xludf.DUMMYFUNCTION("GOOGLETRANSLATE(A11268, ""en"", ""fr"")"),"VICTORIEUX")</f>
        <v>VICTORIEUX</v>
      </c>
      <c r="C11268" s="1" t="s">
        <v>192</v>
      </c>
      <c r="D11268" s="1" t="s">
        <v>16612</v>
      </c>
      <c r="J11268" s="1" t="s">
        <v>6</v>
      </c>
      <c r="K11268" s="1" t="s">
        <v>7</v>
      </c>
      <c r="U11268" s="1" t="s">
        <v>17</v>
      </c>
      <c r="DR11268" s="1" t="s">
        <v>118</v>
      </c>
      <c r="GD11268" s="1" t="s">
        <v>202</v>
      </c>
      <c r="GE11268" s="1" t="s">
        <v>190</v>
      </c>
    </row>
    <row r="11269" spans="1:187" ht="11.25" customHeight="1">
      <c r="A11269" s="1" t="s">
        <v>15812</v>
      </c>
      <c r="B11269" s="1" t="str">
        <f ca="1">IFERROR(__xludf.DUMMYFUNCTION("GOOGLETRANSLATE(A11269, ""en"", ""fr"")"),"LA VICTOIRE")</f>
        <v>LA VICTOIRE</v>
      </c>
      <c r="C11269" s="1" t="s">
        <v>185</v>
      </c>
      <c r="J11269" s="1" t="s">
        <v>6</v>
      </c>
      <c r="K11269" s="1" t="s">
        <v>7</v>
      </c>
      <c r="AG11269" s="1" t="s">
        <v>29</v>
      </c>
      <c r="AH11269" s="1" t="s">
        <v>30</v>
      </c>
      <c r="BO11269" s="1" t="s">
        <v>63</v>
      </c>
      <c r="DW11269" s="1" t="s">
        <v>123</v>
      </c>
      <c r="ED11269" s="1" t="s">
        <v>130</v>
      </c>
      <c r="GD11269" s="1" t="s">
        <v>193</v>
      </c>
      <c r="GE11269" s="1" t="s">
        <v>15813</v>
      </c>
    </row>
    <row r="11270" spans="1:187" ht="11.25" customHeight="1">
      <c r="A11270" s="1" t="s">
        <v>15814</v>
      </c>
      <c r="B11270" s="1" t="str">
        <f ca="1">IFERROR(__xludf.DUMMYFUNCTION("GOOGLETRANSLATE(A11270, ""en"", ""fr"")"),"Rivaliser")</f>
        <v>Rivaliser</v>
      </c>
      <c r="C11270" s="1" t="s">
        <v>192</v>
      </c>
      <c r="E11270" s="1" t="s">
        <v>16613</v>
      </c>
      <c r="I11270" s="1" t="s">
        <v>5</v>
      </c>
      <c r="N11270" s="1" t="s">
        <v>10</v>
      </c>
      <c r="AN11270" s="1" t="s">
        <v>36</v>
      </c>
      <c r="BP11270" s="1" t="s">
        <v>64</v>
      </c>
      <c r="DN11270" s="1" t="s">
        <v>114</v>
      </c>
      <c r="GD11270" s="1" t="s">
        <v>189</v>
      </c>
      <c r="GE11270" s="1" t="s">
        <v>190</v>
      </c>
    </row>
    <row r="11271" spans="1:187" ht="11.25" customHeight="1">
      <c r="A11271" s="1" t="s">
        <v>15815</v>
      </c>
      <c r="B11271" s="1" t="str">
        <f ca="1">IFERROR(__xludf.DUMMYFUNCTION("GOOGLETRANSLATE(A11271, ""en"", ""fr"")"),"Viet")</f>
        <v>Viet</v>
      </c>
      <c r="C11271" s="1" t="s">
        <v>185</v>
      </c>
      <c r="AC11271" s="1" t="s">
        <v>25</v>
      </c>
      <c r="AH11271" s="1" t="s">
        <v>30</v>
      </c>
      <c r="DI11271" s="1" t="s">
        <v>109</v>
      </c>
      <c r="FU11271" s="1" t="s">
        <v>173</v>
      </c>
      <c r="GD11271" s="1" t="s">
        <v>193</v>
      </c>
      <c r="GE11271" s="1" t="s">
        <v>190</v>
      </c>
    </row>
    <row r="11272" spans="1:187" ht="11.25" customHeight="1">
      <c r="A11272" s="1" t="s">
        <v>15816</v>
      </c>
      <c r="B11272" s="1" t="str">
        <f ca="1">IFERROR(__xludf.DUMMYFUNCTION("GOOGLETRANSLATE(A11272, ""en"", ""fr"")"),"Vietnam")</f>
        <v>Vietnam</v>
      </c>
      <c r="C11272" s="1" t="s">
        <v>196</v>
      </c>
      <c r="FU11272" s="1" t="s">
        <v>173</v>
      </c>
      <c r="GD11272" s="1" t="s">
        <v>3591</v>
      </c>
    </row>
    <row r="11273" spans="1:187" ht="11.25" customHeight="1">
      <c r="A11273" s="1" t="s">
        <v>15817</v>
      </c>
      <c r="B11273" s="1" t="str">
        <f ca="1">IFERROR(__xludf.DUMMYFUNCTION("GOOGLETRANSLATE(A11273, ""en"", ""fr"")"),"Voir n ° 1")</f>
        <v>Voir n ° 1</v>
      </c>
      <c r="C11273" s="1" t="s">
        <v>185</v>
      </c>
      <c r="CK11273" s="1" t="s">
        <v>85</v>
      </c>
      <c r="FH11273" s="1" t="s">
        <v>160</v>
      </c>
      <c r="FI11273" s="1" t="s">
        <v>161</v>
      </c>
      <c r="GD11273" s="1" t="s">
        <v>193</v>
      </c>
      <c r="GE11273" s="1" t="s">
        <v>15818</v>
      </c>
    </row>
    <row r="11274" spans="1:187" ht="11.25" customHeight="1">
      <c r="A11274" s="1" t="s">
        <v>15819</v>
      </c>
      <c r="B11274" s="1" t="str">
        <f ca="1">IFERROR(__xludf.DUMMYFUNCTION("GOOGLETRANSLATE(A11274, ""en"", ""fr"")"),"Voir # 2")</f>
        <v>Voir # 2</v>
      </c>
      <c r="C11274" s="1" t="s">
        <v>185</v>
      </c>
      <c r="BL11274" s="1" t="s">
        <v>60</v>
      </c>
      <c r="CH11274" s="1" t="s">
        <v>82</v>
      </c>
      <c r="FH11274" s="1" t="s">
        <v>160</v>
      </c>
      <c r="FI11274" s="1" t="s">
        <v>161</v>
      </c>
      <c r="GC11274" s="1" t="s">
        <v>181</v>
      </c>
      <c r="GD11274" s="1" t="s">
        <v>193</v>
      </c>
      <c r="GE11274" s="1" t="s">
        <v>15820</v>
      </c>
    </row>
    <row r="11275" spans="1:187" ht="11.25" customHeight="1">
      <c r="A11275" s="1" t="s">
        <v>15821</v>
      </c>
      <c r="B11275" s="1" t="str">
        <f ca="1">IFERROR(__xludf.DUMMYFUNCTION("GOOGLETRANSLATE(A11275, ""en"", ""fr"")"),"Voir # 3")</f>
        <v>Voir # 3</v>
      </c>
      <c r="C11275" s="1" t="s">
        <v>185</v>
      </c>
      <c r="CK11275" s="1" t="s">
        <v>85</v>
      </c>
      <c r="DN11275" s="1" t="s">
        <v>114</v>
      </c>
      <c r="FD11275" s="1" t="s">
        <v>156</v>
      </c>
      <c r="FI11275" s="1" t="s">
        <v>161</v>
      </c>
      <c r="GD11275" s="1" t="s">
        <v>189</v>
      </c>
      <c r="GE11275" s="1" t="s">
        <v>15822</v>
      </c>
    </row>
    <row r="11276" spans="1:187" ht="11.25" customHeight="1">
      <c r="A11276" s="1" t="s">
        <v>15823</v>
      </c>
      <c r="B11276" s="1" t="str">
        <f ca="1">IFERROR(__xludf.DUMMYFUNCTION("GOOGLETRANSLATE(A11276, ""en"", ""fr"")"),"Voir # 4")</f>
        <v>Voir # 4</v>
      </c>
      <c r="C11276" s="1" t="s">
        <v>185</v>
      </c>
      <c r="CH11276" s="1" t="s">
        <v>82</v>
      </c>
      <c r="FH11276" s="1" t="s">
        <v>160</v>
      </c>
      <c r="FI11276" s="1" t="s">
        <v>161</v>
      </c>
      <c r="GD11276" s="1" t="s">
        <v>193</v>
      </c>
      <c r="GE11276" s="1" t="s">
        <v>15824</v>
      </c>
    </row>
    <row r="11277" spans="1:187" ht="11.25" customHeight="1">
      <c r="A11277" s="1" t="s">
        <v>15825</v>
      </c>
      <c r="B11277" s="1" t="str">
        <f ca="1">IFERROR(__xludf.DUMMYFUNCTION("GOOGLETRANSLATE(A11277, ""en"", ""fr"")"),"Voir # 5")</f>
        <v>Voir # 5</v>
      </c>
      <c r="C11277" s="1" t="s">
        <v>185</v>
      </c>
      <c r="CH11277" s="1" t="s">
        <v>82</v>
      </c>
      <c r="GD11277" s="1" t="s">
        <v>215</v>
      </c>
      <c r="GE11277" s="1" t="s">
        <v>15826</v>
      </c>
    </row>
    <row r="11278" spans="1:187" ht="11.25" customHeight="1">
      <c r="A11278" s="1" t="s">
        <v>15827</v>
      </c>
      <c r="B11278" s="1" t="str">
        <f ca="1">IFERROR(__xludf.DUMMYFUNCTION("GOOGLETRANSLATE(A11278, ""en"", ""fr"")"),"Voir # 6")</f>
        <v>Voir # 6</v>
      </c>
      <c r="C11278" s="1" t="s">
        <v>185</v>
      </c>
      <c r="CI11278" s="1" t="s">
        <v>83</v>
      </c>
      <c r="GD11278" s="1" t="s">
        <v>215</v>
      </c>
      <c r="GE11278" s="1" t="s">
        <v>15828</v>
      </c>
    </row>
    <row r="11279" spans="1:187" ht="11.25" customHeight="1">
      <c r="A11279" s="1" t="s">
        <v>15829</v>
      </c>
      <c r="B11279" s="1" t="str">
        <f ca="1">IFERROR(__xludf.DUMMYFUNCTION("GOOGLETRANSLATE(A11279, ""en"", ""fr"")"),"TÉLÉSPECTATEUR")</f>
        <v>TÉLÉSPECTATEUR</v>
      </c>
      <c r="C11279" s="1" t="s">
        <v>185</v>
      </c>
      <c r="AJ11279" s="1" t="s">
        <v>32</v>
      </c>
      <c r="AT11279" s="1" t="s">
        <v>42</v>
      </c>
      <c r="GD11279" s="1" t="s">
        <v>193</v>
      </c>
      <c r="GE11279" s="1" t="s">
        <v>190</v>
      </c>
    </row>
    <row r="11280" spans="1:187" ht="11.25" customHeight="1">
      <c r="A11280" s="1" t="s">
        <v>15830</v>
      </c>
      <c r="B11280" s="1" t="str">
        <f ca="1">IFERROR(__xludf.DUMMYFUNCTION("GOOGLETRANSLATE(A11280, ""en"", ""fr"")"),"POINT DE VUE")</f>
        <v>POINT DE VUE</v>
      </c>
      <c r="C11280" s="1" t="s">
        <v>196</v>
      </c>
      <c r="FH11280" s="1" t="s">
        <v>160</v>
      </c>
      <c r="FI11280" s="1" t="s">
        <v>161</v>
      </c>
      <c r="GD11280" s="1" t="s">
        <v>193</v>
      </c>
    </row>
    <row r="11281" spans="1:187" ht="11.25" customHeight="1">
      <c r="A11281" s="1" t="s">
        <v>15831</v>
      </c>
      <c r="B11281" s="1" t="str">
        <f ca="1">IFERROR(__xludf.DUMMYFUNCTION("GOOGLETRANSLATE(A11281, ""en"", ""fr"")"),"VIGILANCE")</f>
        <v>VIGILANCE</v>
      </c>
      <c r="C11281" s="1" t="s">
        <v>185</v>
      </c>
      <c r="D11281" s="1" t="s">
        <v>16612</v>
      </c>
      <c r="J11281" s="1" t="s">
        <v>6</v>
      </c>
      <c r="R11281" s="1" t="s">
        <v>14</v>
      </c>
      <c r="U11281" s="1" t="s">
        <v>17</v>
      </c>
      <c r="CA11281" s="1" t="s">
        <v>75</v>
      </c>
      <c r="FD11281" s="1" t="s">
        <v>156</v>
      </c>
      <c r="FI11281" s="1" t="s">
        <v>161</v>
      </c>
      <c r="GD11281" s="1" t="s">
        <v>193</v>
      </c>
      <c r="GE11281" s="1" t="s">
        <v>190</v>
      </c>
    </row>
    <row r="11282" spans="1:187" ht="11.25" customHeight="1">
      <c r="A11282" s="1" t="s">
        <v>15832</v>
      </c>
      <c r="B11282" s="1" t="str">
        <f ca="1">IFERROR(__xludf.DUMMYFUNCTION("GOOGLETRANSLATE(A11282, ""en"", ""fr"")"),"VIGILANT")</f>
        <v>VIGILANT</v>
      </c>
      <c r="C11282" s="1" t="s">
        <v>192</v>
      </c>
      <c r="D11282" s="1" t="s">
        <v>16612</v>
      </c>
      <c r="J11282" s="1" t="s">
        <v>6</v>
      </c>
      <c r="R11282" s="1" t="s">
        <v>14</v>
      </c>
      <c r="U11282" s="1" t="s">
        <v>17</v>
      </c>
      <c r="CA11282" s="1" t="s">
        <v>75</v>
      </c>
      <c r="DR11282" s="1" t="s">
        <v>118</v>
      </c>
      <c r="GD11282" s="1" t="s">
        <v>202</v>
      </c>
      <c r="GE11282" s="1" t="s">
        <v>190</v>
      </c>
    </row>
    <row r="11283" spans="1:187" ht="11.25" customHeight="1">
      <c r="A11283" s="1" t="s">
        <v>15833</v>
      </c>
      <c r="B11283" s="1" t="str">
        <f ca="1">IFERROR(__xludf.DUMMYFUNCTION("GOOGLETRANSLATE(A11283, ""en"", ""fr"")"),"VIGUEUR")</f>
        <v>VIGUEUR</v>
      </c>
      <c r="C11283" s="1" t="s">
        <v>185</v>
      </c>
      <c r="J11283" s="1" t="s">
        <v>6</v>
      </c>
      <c r="U11283" s="1" t="s">
        <v>17</v>
      </c>
      <c r="EZ11283" s="1" t="s">
        <v>152</v>
      </c>
      <c r="FC11283" s="1" t="s">
        <v>155</v>
      </c>
      <c r="GD11283" s="1" t="s">
        <v>193</v>
      </c>
      <c r="GE11283" s="1" t="s">
        <v>190</v>
      </c>
    </row>
    <row r="11284" spans="1:187" ht="11.25" customHeight="1">
      <c r="A11284" s="1" t="s">
        <v>15834</v>
      </c>
      <c r="B11284" s="1" t="str">
        <f ca="1">IFERROR(__xludf.DUMMYFUNCTION("GOOGLETRANSLATE(A11284, ""en"", ""fr"")"),"VIGOUREUX")</f>
        <v>VIGOUREUX</v>
      </c>
      <c r="C11284" s="1" t="s">
        <v>185</v>
      </c>
      <c r="J11284" s="1" t="s">
        <v>6</v>
      </c>
      <c r="U11284" s="1" t="s">
        <v>17</v>
      </c>
      <c r="EZ11284" s="1" t="s">
        <v>152</v>
      </c>
      <c r="FC11284" s="1" t="s">
        <v>155</v>
      </c>
      <c r="GD11284" s="1" t="s">
        <v>202</v>
      </c>
      <c r="GE11284" s="1" t="s">
        <v>190</v>
      </c>
    </row>
    <row r="11285" spans="1:187" ht="11.25" customHeight="1">
      <c r="A11285" s="1" t="s">
        <v>15835</v>
      </c>
      <c r="B11285" s="1" t="str">
        <f ca="1">IFERROR(__xludf.DUMMYFUNCTION("GOOGLETRANSLATE(A11285, ""en"", ""fr"")"),"Vigor # 1")</f>
        <v>Vigor # 1</v>
      </c>
      <c r="C11285" s="1" t="s">
        <v>192</v>
      </c>
      <c r="GE11285" s="1" t="s">
        <v>190</v>
      </c>
    </row>
    <row r="11286" spans="1:187" ht="11.25" customHeight="1">
      <c r="A11286" s="1" t="s">
        <v>15836</v>
      </c>
      <c r="B11286" s="1" t="str">
        <f ca="1">IFERROR(__xludf.DUMMYFUNCTION("GOOGLETRANSLATE(A11286, ""en"", ""fr"")"),"VIL")</f>
        <v>VIL</v>
      </c>
      <c r="C11286" s="1" t="s">
        <v>185</v>
      </c>
      <c r="E11286" s="1" t="s">
        <v>16613</v>
      </c>
      <c r="H11286" s="1" t="s">
        <v>4</v>
      </c>
      <c r="V11286" s="1" t="s">
        <v>18</v>
      </c>
      <c r="W11286" s="1" t="s">
        <v>19</v>
      </c>
      <c r="CN11286" s="1" t="s">
        <v>88</v>
      </c>
      <c r="FW11286" s="1" t="s">
        <v>175</v>
      </c>
      <c r="GD11286" s="1" t="s">
        <v>202</v>
      </c>
      <c r="GE11286" s="1" t="s">
        <v>190</v>
      </c>
    </row>
    <row r="11287" spans="1:187" ht="11.25" customHeight="1">
      <c r="A11287" s="1" t="s">
        <v>15837</v>
      </c>
      <c r="B11287" s="1" t="str">
        <f ca="1">IFERROR(__xludf.DUMMYFUNCTION("GOOGLETRANSLATE(A11287, ""en"", ""fr"")"),"VILLAGE")</f>
        <v>VILLAGE</v>
      </c>
      <c r="C11287" s="1" t="s">
        <v>185</v>
      </c>
      <c r="AC11287" s="1" t="s">
        <v>25</v>
      </c>
      <c r="AH11287" s="1" t="s">
        <v>30</v>
      </c>
      <c r="AV11287" s="1" t="s">
        <v>44</v>
      </c>
      <c r="AW11287" s="1" t="s">
        <v>45</v>
      </c>
      <c r="FS11287" s="1" t="s">
        <v>171</v>
      </c>
      <c r="GD11287" s="1" t="s">
        <v>193</v>
      </c>
      <c r="GE11287" s="1" t="s">
        <v>15838</v>
      </c>
    </row>
    <row r="11288" spans="1:187" ht="11.25" customHeight="1">
      <c r="A11288" s="1" t="s">
        <v>15839</v>
      </c>
      <c r="B11288" s="1" t="str">
        <f ca="1">IFERROR(__xludf.DUMMYFUNCTION("GOOGLETRANSLATE(A11288, ""en"", ""fr"")"),"VILLAGEOIS")</f>
        <v>VILLAGEOIS</v>
      </c>
      <c r="C11288" s="1" t="s">
        <v>185</v>
      </c>
      <c r="AG11288" s="1" t="s">
        <v>29</v>
      </c>
      <c r="AJ11288" s="1" t="s">
        <v>32</v>
      </c>
      <c r="AT11288" s="1" t="s">
        <v>42</v>
      </c>
      <c r="DZ11288" s="1" t="s">
        <v>126</v>
      </c>
      <c r="ED11288" s="1" t="s">
        <v>130</v>
      </c>
      <c r="GD11288" s="1" t="s">
        <v>193</v>
      </c>
      <c r="GE11288" s="1" t="s">
        <v>190</v>
      </c>
    </row>
    <row r="11289" spans="1:187" ht="11.25" customHeight="1">
      <c r="A11289" s="1" t="s">
        <v>15840</v>
      </c>
      <c r="B11289" s="1" t="str">
        <f ca="1">IFERROR(__xludf.DUMMYFUNCTION("GOOGLETRANSLATE(A11289, ""en"", ""fr"")"),"MÉCHANT")</f>
        <v>MÉCHANT</v>
      </c>
      <c r="C11289" s="1" t="s">
        <v>192</v>
      </c>
      <c r="E11289" s="1" t="s">
        <v>16613</v>
      </c>
      <c r="I11289" s="1" t="s">
        <v>5</v>
      </c>
      <c r="AJ11289" s="1" t="s">
        <v>32</v>
      </c>
      <c r="AT11289" s="1" t="s">
        <v>42</v>
      </c>
      <c r="GD11289" s="1" t="s">
        <v>193</v>
      </c>
      <c r="GE11289" s="1" t="s">
        <v>190</v>
      </c>
    </row>
    <row r="11290" spans="1:187" ht="11.25" customHeight="1">
      <c r="A11290" s="1" t="s">
        <v>15841</v>
      </c>
      <c r="B11290" s="1" t="str">
        <f ca="1">IFERROR(__xludf.DUMMYFUNCTION("GOOGLETRANSLATE(A11290, ""en"", ""fr"")"),"JUSTIFIER")</f>
        <v>JUSTIFIER</v>
      </c>
      <c r="C11290" s="1" t="s">
        <v>196</v>
      </c>
      <c r="EG11290" s="1" t="s">
        <v>133</v>
      </c>
      <c r="EJ11290" s="1" t="s">
        <v>136</v>
      </c>
      <c r="GD11290" s="1" t="s">
        <v>189</v>
      </c>
    </row>
    <row r="11291" spans="1:187" ht="11.25" customHeight="1">
      <c r="A11291" s="1" t="s">
        <v>15842</v>
      </c>
      <c r="B11291" s="1" t="str">
        <f ca="1">IFERROR(__xludf.DUMMYFUNCTION("GOOGLETRANSLATE(A11291, ""en"", ""fr"")"),"JUSTIFICATION")</f>
        <v>JUSTIFICATION</v>
      </c>
      <c r="C11291" s="1" t="s">
        <v>196</v>
      </c>
      <c r="EG11291" s="1" t="s">
        <v>133</v>
      </c>
      <c r="EJ11291" s="1" t="s">
        <v>136</v>
      </c>
      <c r="GD11291" s="1" t="s">
        <v>193</v>
      </c>
    </row>
    <row r="11292" spans="1:187" ht="11.25" customHeight="1">
      <c r="A11292" s="1" t="s">
        <v>15843</v>
      </c>
      <c r="B11292" s="1" t="str">
        <f ca="1">IFERROR(__xludf.DUMMYFUNCTION("GOOGLETRANSLATE(A11292, ""en"", ""fr"")"),"VINDICATIF")</f>
        <v>VINDICATIF</v>
      </c>
      <c r="C11292" s="1" t="s">
        <v>196</v>
      </c>
      <c r="FW11292" s="1" t="s">
        <v>175</v>
      </c>
      <c r="GD11292" s="1" t="s">
        <v>202</v>
      </c>
    </row>
    <row r="11293" spans="1:187" ht="11.25" customHeight="1">
      <c r="A11293" s="1" t="s">
        <v>15844</v>
      </c>
      <c r="B11293" s="1" t="str">
        <f ca="1">IFERROR(__xludf.DUMMYFUNCTION("GOOGLETRANSLATE(A11293, ""en"", ""fr"")"),"VIOLER")</f>
        <v>VIOLER</v>
      </c>
      <c r="C11293" s="1" t="s">
        <v>185</v>
      </c>
      <c r="E11293" s="1" t="s">
        <v>16613</v>
      </c>
      <c r="H11293" s="1" t="s">
        <v>4</v>
      </c>
      <c r="I11293" s="1" t="s">
        <v>5</v>
      </c>
      <c r="N11293" s="1" t="s">
        <v>10</v>
      </c>
      <c r="AN11293" s="1" t="s">
        <v>36</v>
      </c>
      <c r="DN11293" s="1" t="s">
        <v>114</v>
      </c>
      <c r="EE11293" s="1" t="s">
        <v>131</v>
      </c>
      <c r="EJ11293" s="1" t="s">
        <v>136</v>
      </c>
      <c r="GD11293" s="1" t="s">
        <v>189</v>
      </c>
      <c r="GE11293" s="1" t="s">
        <v>190</v>
      </c>
    </row>
    <row r="11294" spans="1:187" ht="11.25" customHeight="1">
      <c r="A11294" s="1" t="s">
        <v>15845</v>
      </c>
      <c r="B11294" s="1" t="str">
        <f ca="1">IFERROR(__xludf.DUMMYFUNCTION("GOOGLETRANSLATE(A11294, ""en"", ""fr"")"),"VIOLATION")</f>
        <v>VIOLATION</v>
      </c>
      <c r="C11294" s="1" t="s">
        <v>185</v>
      </c>
      <c r="E11294" s="1" t="s">
        <v>16613</v>
      </c>
      <c r="H11294" s="1" t="s">
        <v>4</v>
      </c>
      <c r="I11294" s="1" t="s">
        <v>5</v>
      </c>
      <c r="N11294" s="1" t="s">
        <v>10</v>
      </c>
      <c r="V11294" s="1" t="s">
        <v>18</v>
      </c>
      <c r="AE11294" s="1" t="s">
        <v>27</v>
      </c>
      <c r="EE11294" s="1" t="s">
        <v>131</v>
      </c>
      <c r="EJ11294" s="1" t="s">
        <v>136</v>
      </c>
      <c r="GD11294" s="1" t="s">
        <v>193</v>
      </c>
      <c r="GE11294" s="1" t="s">
        <v>190</v>
      </c>
    </row>
    <row r="11295" spans="1:187" ht="11.25" customHeight="1">
      <c r="A11295" s="1" t="s">
        <v>15846</v>
      </c>
      <c r="B11295" s="1" t="str">
        <f ca="1">IFERROR(__xludf.DUMMYFUNCTION("GOOGLETRANSLATE(A11295, ""en"", ""fr"")"),"VIOLENCE")</f>
        <v>VIOLENCE</v>
      </c>
      <c r="C11295" s="1" t="s">
        <v>185</v>
      </c>
      <c r="E11295" s="1" t="s">
        <v>16613</v>
      </c>
      <c r="H11295" s="1" t="s">
        <v>4</v>
      </c>
      <c r="I11295" s="1" t="s">
        <v>5</v>
      </c>
      <c r="J11295" s="1" t="s">
        <v>6</v>
      </c>
      <c r="N11295" s="1" t="s">
        <v>10</v>
      </c>
      <c r="V11295" s="1" t="s">
        <v>18</v>
      </c>
      <c r="AH11295" s="1" t="s">
        <v>30</v>
      </c>
      <c r="EZ11295" s="1" t="s">
        <v>152</v>
      </c>
      <c r="FC11295" s="1" t="s">
        <v>155</v>
      </c>
      <c r="GD11295" s="1" t="s">
        <v>193</v>
      </c>
      <c r="GE11295" s="1" t="s">
        <v>15847</v>
      </c>
    </row>
    <row r="11296" spans="1:187" ht="11.25" customHeight="1">
      <c r="A11296" s="1" t="s">
        <v>15848</v>
      </c>
      <c r="B11296" s="1" t="str">
        <f ca="1">IFERROR(__xludf.DUMMYFUNCTION("GOOGLETRANSLATE(A11296, ""en"", ""fr"")"),"VIOLENT")</f>
        <v>VIOLENT</v>
      </c>
      <c r="C11296" s="1" t="s">
        <v>185</v>
      </c>
      <c r="E11296" s="1" t="s">
        <v>16613</v>
      </c>
      <c r="H11296" s="1" t="s">
        <v>4</v>
      </c>
      <c r="I11296" s="1" t="s">
        <v>5</v>
      </c>
      <c r="J11296" s="1" t="s">
        <v>6</v>
      </c>
      <c r="N11296" s="1" t="s">
        <v>10</v>
      </c>
      <c r="V11296" s="1" t="s">
        <v>18</v>
      </c>
      <c r="EZ11296" s="1" t="s">
        <v>152</v>
      </c>
      <c r="FC11296" s="1" t="s">
        <v>155</v>
      </c>
      <c r="GD11296" s="1" t="s">
        <v>202</v>
      </c>
      <c r="GE11296" s="1" t="s">
        <v>190</v>
      </c>
    </row>
    <row r="11297" spans="1:187" ht="11.25" customHeight="1">
      <c r="A11297" s="1" t="s">
        <v>15849</v>
      </c>
      <c r="B11297" s="1" t="str">
        <f ca="1">IFERROR(__xludf.DUMMYFUNCTION("GOOGLETRANSLATE(A11297, ""en"", ""fr"")"),"VIOLON")</f>
        <v>VIOLON</v>
      </c>
      <c r="C11297" s="1" t="s">
        <v>185</v>
      </c>
      <c r="AD11297" s="1" t="s">
        <v>26</v>
      </c>
      <c r="BC11297" s="1" t="s">
        <v>51</v>
      </c>
      <c r="BD11297" s="1" t="s">
        <v>52</v>
      </c>
      <c r="GD11297" s="1" t="s">
        <v>193</v>
      </c>
      <c r="GE11297" s="1" t="s">
        <v>15850</v>
      </c>
    </row>
    <row r="11298" spans="1:187" ht="11.25" customHeight="1">
      <c r="A11298" s="1" t="s">
        <v>15851</v>
      </c>
      <c r="B11298" s="1" t="str">
        <f ca="1">IFERROR(__xludf.DUMMYFUNCTION("GOOGLETRANSLATE(A11298, ""en"", ""fr"")"),"VIPÈRE")</f>
        <v>VIPÈRE</v>
      </c>
      <c r="C11298" s="1" t="s">
        <v>192</v>
      </c>
      <c r="E11298" s="1" t="s">
        <v>16613</v>
      </c>
      <c r="I11298" s="1" t="s">
        <v>5</v>
      </c>
      <c r="AU11298" s="1" t="s">
        <v>43</v>
      </c>
      <c r="GD11298" s="1" t="s">
        <v>193</v>
      </c>
      <c r="GE11298" s="1" t="s">
        <v>190</v>
      </c>
    </row>
    <row r="11299" spans="1:187" ht="11.25" customHeight="1">
      <c r="A11299" s="1" t="s">
        <v>15852</v>
      </c>
      <c r="B11299" s="1" t="str">
        <f ca="1">IFERROR(__xludf.DUMMYFUNCTION("GOOGLETRANSLATE(A11299, ""en"", ""fr"")"),"VIRGINIE")</f>
        <v>VIRGINIE</v>
      </c>
      <c r="C11299" s="1" t="s">
        <v>185</v>
      </c>
      <c r="AC11299" s="1" t="s">
        <v>25</v>
      </c>
      <c r="AH11299" s="1" t="s">
        <v>30</v>
      </c>
      <c r="DI11299" s="1" t="s">
        <v>109</v>
      </c>
      <c r="GD11299" s="1" t="s">
        <v>193</v>
      </c>
      <c r="GE11299" s="1" t="s">
        <v>190</v>
      </c>
    </row>
    <row r="11300" spans="1:187" ht="11.25" customHeight="1">
      <c r="A11300" s="1" t="s">
        <v>15853</v>
      </c>
      <c r="B11300" s="1" t="str">
        <f ca="1">IFERROR(__xludf.DUMMYFUNCTION("GOOGLETRANSLATE(A11300, ""en"", ""fr"")"),"VIRTUEL")</f>
        <v>VIRTUEL</v>
      </c>
      <c r="C11300" s="1" t="s">
        <v>185</v>
      </c>
      <c r="W11300" s="1" t="s">
        <v>19</v>
      </c>
      <c r="CS11300" s="1" t="s">
        <v>93</v>
      </c>
      <c r="FY11300" s="1" t="s">
        <v>177</v>
      </c>
      <c r="GD11300" s="1" t="s">
        <v>202</v>
      </c>
      <c r="GE11300" s="1" t="s">
        <v>190</v>
      </c>
    </row>
    <row r="11301" spans="1:187" ht="11.25" customHeight="1">
      <c r="A11301" s="1" t="s">
        <v>15854</v>
      </c>
      <c r="B11301" s="1" t="str">
        <f ca="1">IFERROR(__xludf.DUMMYFUNCTION("GOOGLETRANSLATE(A11301, ""en"", ""fr"")"),"VERTU")</f>
        <v>VERTU</v>
      </c>
      <c r="C11301" s="1" t="s">
        <v>185</v>
      </c>
      <c r="D11301" s="1" t="s">
        <v>16612</v>
      </c>
      <c r="F11301" s="1" t="s">
        <v>2</v>
      </c>
      <c r="U11301" s="1" t="s">
        <v>17</v>
      </c>
      <c r="CP11301" s="1" t="s">
        <v>90</v>
      </c>
      <c r="CQ11301" s="1" t="s">
        <v>91</v>
      </c>
      <c r="EI11301" s="1" t="s">
        <v>135</v>
      </c>
      <c r="EJ11301" s="1" t="s">
        <v>136</v>
      </c>
      <c r="GD11301" s="1" t="s">
        <v>193</v>
      </c>
      <c r="GE11301" s="1" t="s">
        <v>190</v>
      </c>
    </row>
    <row r="11302" spans="1:187" ht="11.25" customHeight="1">
      <c r="A11302" s="1" t="s">
        <v>15855</v>
      </c>
      <c r="B11302" s="1" t="str">
        <f ca="1">IFERROR(__xludf.DUMMYFUNCTION("GOOGLETRANSLATE(A11302, ""en"", ""fr"")"),"VERTUEUX")</f>
        <v>VERTUEUX</v>
      </c>
      <c r="C11302" s="1" t="s">
        <v>185</v>
      </c>
      <c r="D11302" s="1" t="s">
        <v>16612</v>
      </c>
      <c r="F11302" s="1" t="s">
        <v>2</v>
      </c>
      <c r="U11302" s="1" t="s">
        <v>17</v>
      </c>
      <c r="CN11302" s="1" t="s">
        <v>88</v>
      </c>
      <c r="EI11302" s="1" t="s">
        <v>135</v>
      </c>
      <c r="EJ11302" s="1" t="s">
        <v>136</v>
      </c>
      <c r="GD11302" s="1" t="s">
        <v>202</v>
      </c>
      <c r="GE11302" s="1" t="s">
        <v>190</v>
      </c>
    </row>
    <row r="11303" spans="1:187" ht="11.25" customHeight="1">
      <c r="A11303" s="1" t="s">
        <v>15856</v>
      </c>
      <c r="B11303" s="1" t="str">
        <f ca="1">IFERROR(__xludf.DUMMYFUNCTION("GOOGLETRANSLATE(A11303, ""en"", ""fr"")"),"VISCOSITÉ")</f>
        <v>VISCOSITÉ</v>
      </c>
      <c r="C11303" s="1" t="s">
        <v>185</v>
      </c>
      <c r="CR11303" s="1" t="s">
        <v>92</v>
      </c>
      <c r="GD11303" s="1" t="s">
        <v>193</v>
      </c>
      <c r="GE11303" s="1" t="s">
        <v>190</v>
      </c>
    </row>
    <row r="11304" spans="1:187" ht="11.25" customHeight="1">
      <c r="A11304" s="1" t="s">
        <v>15857</v>
      </c>
      <c r="B11304" s="1" t="str">
        <f ca="1">IFERROR(__xludf.DUMMYFUNCTION("GOOGLETRANSLATE(A11304, ""en"", ""fr"")"),"VISIBLE")</f>
        <v>VISIBLE</v>
      </c>
      <c r="C11304" s="1" t="s">
        <v>185</v>
      </c>
      <c r="CK11304" s="1" t="s">
        <v>85</v>
      </c>
      <c r="GD11304" s="1" t="s">
        <v>202</v>
      </c>
      <c r="GE11304" s="1" t="s">
        <v>190</v>
      </c>
    </row>
    <row r="11305" spans="1:187" ht="11.25" customHeight="1">
      <c r="A11305" s="1" t="s">
        <v>15858</v>
      </c>
      <c r="B11305" s="1" t="str">
        <f ca="1">IFERROR(__xludf.DUMMYFUNCTION("GOOGLETRANSLATE(A11305, ""en"", ""fr"")"),"VISION")</f>
        <v>VISION</v>
      </c>
      <c r="C11305" s="1" t="s">
        <v>185</v>
      </c>
      <c r="CK11305" s="1" t="s">
        <v>85</v>
      </c>
      <c r="GD11305" s="1" t="s">
        <v>193</v>
      </c>
      <c r="GE11305" s="1" t="s">
        <v>15859</v>
      </c>
    </row>
    <row r="11306" spans="1:187" ht="11.25" customHeight="1">
      <c r="A11306" s="1" t="s">
        <v>15860</v>
      </c>
      <c r="B11306" s="1" t="str">
        <f ca="1">IFERROR(__xludf.DUMMYFUNCTION("GOOGLETRANSLATE(A11306, ""en"", ""fr"")"),"VISIONNAIRE")</f>
        <v>VISIONNAIRE</v>
      </c>
      <c r="C11306" s="1" t="s">
        <v>192</v>
      </c>
      <c r="D11306" s="1" t="s">
        <v>16612</v>
      </c>
      <c r="AJ11306" s="1" t="s">
        <v>32</v>
      </c>
      <c r="AT11306" s="1" t="s">
        <v>42</v>
      </c>
      <c r="CG11306" s="1" t="s">
        <v>81</v>
      </c>
      <c r="CH11306" s="1" t="s">
        <v>82</v>
      </c>
      <c r="GD11306" s="1" t="s">
        <v>193</v>
      </c>
      <c r="GE11306" s="1" t="s">
        <v>190</v>
      </c>
    </row>
    <row r="11307" spans="1:187" ht="11.25" customHeight="1">
      <c r="A11307" s="1" t="s">
        <v>15861</v>
      </c>
      <c r="B11307" s="1" t="str">
        <f ca="1">IFERROR(__xludf.DUMMYFUNCTION("GOOGLETRANSLATE(A11307, ""en"", ""fr"")"),"Visitez n ° 1")</f>
        <v>Visitez n ° 1</v>
      </c>
      <c r="C11307" s="1" t="s">
        <v>185</v>
      </c>
      <c r="G11307" s="1" t="s">
        <v>3</v>
      </c>
      <c r="CE11307" s="1" t="s">
        <v>79</v>
      </c>
      <c r="DN11307" s="1" t="s">
        <v>114</v>
      </c>
      <c r="FP11307" s="1" t="s">
        <v>168</v>
      </c>
      <c r="GD11307" s="1" t="s">
        <v>189</v>
      </c>
      <c r="GE11307" s="1" t="s">
        <v>15862</v>
      </c>
    </row>
    <row r="11308" spans="1:187" ht="11.25" customHeight="1">
      <c r="A11308" s="1" t="s">
        <v>15863</v>
      </c>
      <c r="B11308" s="1" t="str">
        <f ca="1">IFERROR(__xludf.DUMMYFUNCTION("GOOGLETRANSLATE(A11308, ""en"", ""fr"")"),"Visitez n ° 2")</f>
        <v>Visitez n ° 2</v>
      </c>
      <c r="C11308" s="1" t="s">
        <v>185</v>
      </c>
      <c r="G11308" s="1" t="s">
        <v>3</v>
      </c>
      <c r="CE11308" s="1" t="s">
        <v>79</v>
      </c>
      <c r="FH11308" s="1" t="s">
        <v>160</v>
      </c>
      <c r="FI11308" s="1" t="s">
        <v>161</v>
      </c>
      <c r="GD11308" s="1" t="s">
        <v>193</v>
      </c>
      <c r="GE11308" s="1" t="s">
        <v>15864</v>
      </c>
    </row>
    <row r="11309" spans="1:187" ht="11.25" customHeight="1">
      <c r="A11309" s="1" t="s">
        <v>15865</v>
      </c>
      <c r="B11309" s="1" t="str">
        <f ca="1">IFERROR(__xludf.DUMMYFUNCTION("GOOGLETRANSLATE(A11309, ""en"", ""fr"")"),"Visitez n ° 3")</f>
        <v>Visitez n ° 3</v>
      </c>
      <c r="C11309" s="1" t="s">
        <v>185</v>
      </c>
      <c r="G11309" s="1" t="s">
        <v>3</v>
      </c>
      <c r="AM11309" s="1" t="s">
        <v>35</v>
      </c>
      <c r="FH11309" s="1" t="s">
        <v>160</v>
      </c>
      <c r="FI11309" s="1" t="s">
        <v>161</v>
      </c>
      <c r="GD11309" s="1" t="s">
        <v>193</v>
      </c>
      <c r="GE11309" s="1" t="s">
        <v>15866</v>
      </c>
    </row>
    <row r="11310" spans="1:187" ht="11.25" customHeight="1">
      <c r="A11310" s="1" t="s">
        <v>15867</v>
      </c>
      <c r="B11310" s="1" t="str">
        <f ca="1">IFERROR(__xludf.DUMMYFUNCTION("GOOGLETRANSLATE(A11310, ""en"", ""fr"")"),"VISITEUR")</f>
        <v>VISITEUR</v>
      </c>
      <c r="C11310" s="1" t="s">
        <v>185</v>
      </c>
      <c r="G11310" s="1" t="s">
        <v>3</v>
      </c>
      <c r="AJ11310" s="1" t="s">
        <v>32</v>
      </c>
      <c r="AT11310" s="1" t="s">
        <v>42</v>
      </c>
      <c r="FG11310" s="1" t="s">
        <v>159</v>
      </c>
      <c r="FI11310" s="1" t="s">
        <v>161</v>
      </c>
      <c r="GD11310" s="1" t="s">
        <v>193</v>
      </c>
      <c r="GE11310" s="1" t="s">
        <v>190</v>
      </c>
    </row>
    <row r="11311" spans="1:187" ht="11.25" customHeight="1">
      <c r="A11311" s="1" t="s">
        <v>15868</v>
      </c>
      <c r="B11311" s="1" t="str">
        <f ca="1">IFERROR(__xludf.DUMMYFUNCTION("GOOGLETRANSLATE(A11311, ""en"", ""fr"")"),"VISUEL")</f>
        <v>VISUEL</v>
      </c>
      <c r="C11311" s="1" t="s">
        <v>185</v>
      </c>
      <c r="CK11311" s="1" t="s">
        <v>85</v>
      </c>
      <c r="GD11311" s="1" t="s">
        <v>202</v>
      </c>
      <c r="GE11311" s="1" t="s">
        <v>190</v>
      </c>
    </row>
    <row r="11312" spans="1:187" ht="11.25" customHeight="1">
      <c r="A11312" s="1" t="s">
        <v>15869</v>
      </c>
      <c r="B11312" s="1" t="str">
        <f ca="1">IFERROR(__xludf.DUMMYFUNCTION("GOOGLETRANSLATE(A11312, ""en"", ""fr"")"),"VISUALISATION")</f>
        <v>VISUALISATION</v>
      </c>
      <c r="C11312" s="1" t="s">
        <v>192</v>
      </c>
      <c r="D11312" s="1" t="s">
        <v>16612</v>
      </c>
      <c r="CK11312" s="1" t="s">
        <v>85</v>
      </c>
      <c r="GD11312" s="1" t="s">
        <v>193</v>
      </c>
      <c r="GE11312" s="1" t="s">
        <v>190</v>
      </c>
    </row>
    <row r="11313" spans="1:187" ht="11.25" customHeight="1">
      <c r="A11313" s="1" t="s">
        <v>15870</v>
      </c>
      <c r="B11313" s="1" t="str">
        <f ca="1">IFERROR(__xludf.DUMMYFUNCTION("GOOGLETRANSLATE(A11313, ""en"", ""fr"")"),"VITAL")</f>
        <v>VITAL</v>
      </c>
      <c r="C11313" s="1" t="s">
        <v>185</v>
      </c>
      <c r="J11313" s="1" t="s">
        <v>6</v>
      </c>
      <c r="U11313" s="1" t="s">
        <v>17</v>
      </c>
      <c r="W11313" s="1" t="s">
        <v>19</v>
      </c>
      <c r="CN11313" s="1" t="s">
        <v>88</v>
      </c>
      <c r="FR11313" s="1" t="s">
        <v>170</v>
      </c>
      <c r="GD11313" s="1" t="s">
        <v>202</v>
      </c>
      <c r="GE11313" s="1" t="s">
        <v>15871</v>
      </c>
    </row>
    <row r="11314" spans="1:187" ht="11.25" customHeight="1">
      <c r="A11314" s="1" t="s">
        <v>15872</v>
      </c>
      <c r="B11314" s="1" t="str">
        <f ca="1">IFERROR(__xludf.DUMMYFUNCTION("GOOGLETRANSLATE(A11314, ""en"", ""fr"")"),"VITALITÉ")</f>
        <v>VITALITÉ</v>
      </c>
      <c r="C11314" s="1" t="s">
        <v>185</v>
      </c>
      <c r="D11314" s="1" t="s">
        <v>16612</v>
      </c>
      <c r="F11314" s="1" t="s">
        <v>2</v>
      </c>
      <c r="J11314" s="1" t="s">
        <v>6</v>
      </c>
      <c r="U11314" s="1" t="s">
        <v>17</v>
      </c>
      <c r="BU11314" s="1" t="s">
        <v>69</v>
      </c>
      <c r="EZ11314" s="1" t="s">
        <v>152</v>
      </c>
      <c r="FC11314" s="1" t="s">
        <v>155</v>
      </c>
      <c r="GD11314" s="1" t="s">
        <v>193</v>
      </c>
      <c r="GE11314" s="1" t="s">
        <v>190</v>
      </c>
    </row>
    <row r="11315" spans="1:187" ht="11.25" customHeight="1">
      <c r="A11315" s="1" t="s">
        <v>15873</v>
      </c>
      <c r="B11315" s="1" t="str">
        <f ca="1">IFERROR(__xludf.DUMMYFUNCTION("GOOGLETRANSLATE(A11315, ""en"", ""fr"")"),"VITAMINE")</f>
        <v>VITAMINE</v>
      </c>
      <c r="C11315" s="1" t="s">
        <v>185</v>
      </c>
      <c r="BC11315" s="1" t="s">
        <v>51</v>
      </c>
      <c r="BE11315" s="1" t="s">
        <v>53</v>
      </c>
      <c r="EZ11315" s="1" t="s">
        <v>152</v>
      </c>
      <c r="FC11315" s="1" t="s">
        <v>155</v>
      </c>
      <c r="GD11315" s="1" t="s">
        <v>193</v>
      </c>
      <c r="GE11315" s="1" t="s">
        <v>190</v>
      </c>
    </row>
    <row r="11316" spans="1:187" ht="11.25" customHeight="1">
      <c r="A11316" s="1" t="s">
        <v>15874</v>
      </c>
      <c r="B11316" s="1" t="str">
        <f ca="1">IFERROR(__xludf.DUMMYFUNCTION("GOOGLETRANSLATE(A11316, ""en"", ""fr"")"),"VIVACE")</f>
        <v>VIVACE</v>
      </c>
      <c r="C11316" s="1" t="s">
        <v>192</v>
      </c>
      <c r="D11316" s="1" t="s">
        <v>16612</v>
      </c>
      <c r="J11316" s="1" t="s">
        <v>6</v>
      </c>
      <c r="U11316" s="1" t="s">
        <v>17</v>
      </c>
      <c r="DR11316" s="1" t="s">
        <v>118</v>
      </c>
      <c r="GD11316" s="1" t="s">
        <v>202</v>
      </c>
      <c r="GE11316" s="1" t="s">
        <v>190</v>
      </c>
    </row>
    <row r="11317" spans="1:187" ht="11.25" customHeight="1">
      <c r="A11317" s="1" t="s">
        <v>15875</v>
      </c>
      <c r="B11317" s="1" t="str">
        <f ca="1">IFERROR(__xludf.DUMMYFUNCTION("GOOGLETRANSLATE(A11317, ""en"", ""fr"")"),"VIF")</f>
        <v>VIF</v>
      </c>
      <c r="C11317" s="1" t="s">
        <v>185</v>
      </c>
      <c r="D11317" s="1" t="s">
        <v>16612</v>
      </c>
      <c r="F11317" s="1" t="s">
        <v>2</v>
      </c>
      <c r="J11317" s="1" t="s">
        <v>6</v>
      </c>
      <c r="CR11317" s="1" t="s">
        <v>92</v>
      </c>
      <c r="GD11317" s="1" t="s">
        <v>202</v>
      </c>
      <c r="GE11317" s="1" t="s">
        <v>190</v>
      </c>
    </row>
    <row r="11318" spans="1:187" ht="11.25" customHeight="1">
      <c r="A11318" s="1" t="s">
        <v>15876</v>
      </c>
      <c r="B11318" s="1" t="str">
        <f ca="1">IFERROR(__xludf.DUMMYFUNCTION("GOOGLETRANSLATE(A11318, ""en"", ""fr"")"),"VOCABULAIRE")</f>
        <v>VOCABULAIRE</v>
      </c>
      <c r="C11318" s="1" t="s">
        <v>185</v>
      </c>
      <c r="BK11318" s="1" t="s">
        <v>59</v>
      </c>
      <c r="BL11318" s="1" t="s">
        <v>60</v>
      </c>
      <c r="FH11318" s="1" t="s">
        <v>160</v>
      </c>
      <c r="FI11318" s="1" t="s">
        <v>161</v>
      </c>
      <c r="GC11318" s="1" t="s">
        <v>181</v>
      </c>
      <c r="GD11318" s="1" t="s">
        <v>193</v>
      </c>
      <c r="GE11318" s="1" t="s">
        <v>190</v>
      </c>
    </row>
    <row r="11319" spans="1:187" ht="11.25" customHeight="1">
      <c r="A11319" s="1" t="s">
        <v>15877</v>
      </c>
      <c r="B11319" s="1" t="str">
        <f ca="1">IFERROR(__xludf.DUMMYFUNCTION("GOOGLETRANSLATE(A11319, ""en"", ""fr"")"),"PROFESSIONNEL")</f>
        <v>PROFESSIONNEL</v>
      </c>
      <c r="C11319" s="1" t="s">
        <v>185</v>
      </c>
      <c r="Z11319" s="1" t="s">
        <v>22</v>
      </c>
      <c r="AA11319" s="1" t="s">
        <v>23</v>
      </c>
      <c r="AC11319" s="1" t="s">
        <v>25</v>
      </c>
      <c r="FL11319" s="1" t="s">
        <v>164</v>
      </c>
      <c r="FM11319" s="1" t="s">
        <v>418</v>
      </c>
      <c r="GD11319" s="1" t="s">
        <v>202</v>
      </c>
      <c r="GE11319" s="1" t="s">
        <v>190</v>
      </c>
    </row>
    <row r="11320" spans="1:187" ht="11.25" customHeight="1">
      <c r="A11320" s="1" t="s">
        <v>15878</v>
      </c>
      <c r="B11320" s="1" t="str">
        <f ca="1">IFERROR(__xludf.DUMMYFUNCTION("GOOGLETRANSLATE(A11320, ""en"", ""fr"")"),"Voix n ° 1")</f>
        <v>Voix n ° 1</v>
      </c>
      <c r="C11320" s="1" t="s">
        <v>185</v>
      </c>
      <c r="BK11320" s="1" t="s">
        <v>59</v>
      </c>
      <c r="BL11320" s="1" t="s">
        <v>60</v>
      </c>
      <c r="GC11320" s="1" t="s">
        <v>181</v>
      </c>
      <c r="GD11320" s="1" t="s">
        <v>849</v>
      </c>
      <c r="GE11320" s="1" t="s">
        <v>15879</v>
      </c>
    </row>
    <row r="11321" spans="1:187" ht="11.25" customHeight="1">
      <c r="A11321" s="1" t="s">
        <v>15880</v>
      </c>
      <c r="B11321" s="1" t="str">
        <f ca="1">IFERROR(__xludf.DUMMYFUNCTION("GOOGLETRANSLATE(A11321, ""en"", ""fr"")"),"Voix n ° 2")</f>
        <v>Voix n ° 2</v>
      </c>
      <c r="C11321" s="1" t="s">
        <v>185</v>
      </c>
      <c r="N11321" s="1" t="s">
        <v>10</v>
      </c>
      <c r="BK11321" s="1" t="s">
        <v>59</v>
      </c>
      <c r="DN11321" s="1" t="s">
        <v>114</v>
      </c>
      <c r="FD11321" s="1" t="s">
        <v>156</v>
      </c>
      <c r="FI11321" s="1" t="s">
        <v>161</v>
      </c>
      <c r="GD11321" s="1" t="s">
        <v>189</v>
      </c>
      <c r="GE11321" s="1" t="s">
        <v>15881</v>
      </c>
    </row>
    <row r="11322" spans="1:187" ht="11.25" customHeight="1">
      <c r="A11322" s="1" t="s">
        <v>15882</v>
      </c>
      <c r="B11322" s="1" t="str">
        <f ca="1">IFERROR(__xludf.DUMMYFUNCTION("GOOGLETRANSLATE(A11322, ""en"", ""fr"")"),"VIDE")</f>
        <v>VIDE</v>
      </c>
      <c r="C11322" s="1" t="s">
        <v>192</v>
      </c>
      <c r="E11322" s="1" t="s">
        <v>16613</v>
      </c>
      <c r="V11322" s="1" t="s">
        <v>18</v>
      </c>
      <c r="BN11322" s="1" t="s">
        <v>62</v>
      </c>
      <c r="GD11322" s="1" t="s">
        <v>193</v>
      </c>
      <c r="GE11322" s="1" t="s">
        <v>190</v>
      </c>
    </row>
    <row r="11323" spans="1:187" ht="11.25" customHeight="1">
      <c r="A11323" s="1" t="s">
        <v>15883</v>
      </c>
      <c r="B11323" s="1" t="str">
        <f ca="1">IFERROR(__xludf.DUMMYFUNCTION("GOOGLETRANSLATE(A11323, ""en"", ""fr"")"),"VOLATIL")</f>
        <v>VOLATIL</v>
      </c>
      <c r="C11323" s="1" t="s">
        <v>192</v>
      </c>
      <c r="E11323" s="1" t="s">
        <v>16613</v>
      </c>
      <c r="BW11323" s="1" t="s">
        <v>71</v>
      </c>
      <c r="DR11323" s="1" t="s">
        <v>118</v>
      </c>
      <c r="GD11323" s="1" t="s">
        <v>202</v>
      </c>
      <c r="GE11323" s="1" t="s">
        <v>190</v>
      </c>
    </row>
    <row r="11324" spans="1:187" ht="11.25" customHeight="1">
      <c r="A11324" s="1" t="s">
        <v>15884</v>
      </c>
      <c r="B11324" s="1" t="str">
        <f ca="1">IFERROR(__xludf.DUMMYFUNCTION("GOOGLETRANSLATE(A11324, ""en"", ""fr"")"),"VOLATILITÉ")</f>
        <v>VOLATILITÉ</v>
      </c>
      <c r="C11324" s="1" t="s">
        <v>192</v>
      </c>
      <c r="E11324" s="1" t="s">
        <v>16613</v>
      </c>
      <c r="BW11324" s="1" t="s">
        <v>71</v>
      </c>
      <c r="GD11324" s="1" t="s">
        <v>193</v>
      </c>
      <c r="GE11324" s="1" t="s">
        <v>190</v>
      </c>
    </row>
    <row r="11325" spans="1:187" ht="11.25" customHeight="1">
      <c r="A11325" s="1" t="s">
        <v>15885</v>
      </c>
      <c r="B11325" s="1" t="str">
        <f ca="1">IFERROR(__xludf.DUMMYFUNCTION("GOOGLETRANSLATE(A11325, ""en"", ""fr"")"),"VOLUME")</f>
        <v>VOLUME</v>
      </c>
      <c r="C11325" s="1" t="s">
        <v>196</v>
      </c>
      <c r="GD11325" s="1" t="s">
        <v>193</v>
      </c>
    </row>
    <row r="11326" spans="1:187" ht="11.25" customHeight="1">
      <c r="A11326" s="1" t="s">
        <v>15886</v>
      </c>
      <c r="B11326" s="1" t="str">
        <f ca="1">IFERROR(__xludf.DUMMYFUNCTION("GOOGLETRANSLATE(A11326, ""en"", ""fr"")"),"VOLONTAIREMENT")</f>
        <v>VOLONTAIREMENT</v>
      </c>
      <c r="C11326" s="1" t="s">
        <v>196</v>
      </c>
      <c r="DX11326" s="1" t="s">
        <v>124</v>
      </c>
      <c r="ED11326" s="1" t="s">
        <v>130</v>
      </c>
      <c r="GD11326" s="1" t="s">
        <v>193</v>
      </c>
    </row>
    <row r="11327" spans="1:187" ht="11.25" customHeight="1">
      <c r="A11327" s="1" t="s">
        <v>15887</v>
      </c>
      <c r="B11327" s="1" t="str">
        <f ca="1">IFERROR(__xludf.DUMMYFUNCTION("GOOGLETRANSLATE(A11327, ""en"", ""fr"")"),"VOLONTAIRE")</f>
        <v>VOLONTAIRE</v>
      </c>
      <c r="C11327" s="1" t="s">
        <v>185</v>
      </c>
      <c r="D11327" s="1" t="s">
        <v>16612</v>
      </c>
      <c r="R11327" s="1" t="s">
        <v>14</v>
      </c>
      <c r="DR11327" s="1" t="s">
        <v>118</v>
      </c>
      <c r="DX11327" s="1" t="s">
        <v>124</v>
      </c>
      <c r="ED11327" s="1" t="s">
        <v>130</v>
      </c>
      <c r="GD11327" s="1" t="s">
        <v>202</v>
      </c>
      <c r="GE11327" s="1" t="s">
        <v>190</v>
      </c>
    </row>
    <row r="11328" spans="1:187" ht="11.25" customHeight="1">
      <c r="A11328" s="1" t="s">
        <v>15888</v>
      </c>
      <c r="B11328" s="1" t="str">
        <f ca="1">IFERROR(__xludf.DUMMYFUNCTION("GOOGLETRANSLATE(A11328, ""en"", ""fr"")"),"Volontaire # 1")</f>
        <v>Volontaire # 1</v>
      </c>
      <c r="C11328" s="1" t="s">
        <v>185</v>
      </c>
      <c r="G11328" s="1" t="s">
        <v>3</v>
      </c>
      <c r="M11328" s="1" t="s">
        <v>9</v>
      </c>
      <c r="AJ11328" s="1" t="s">
        <v>32</v>
      </c>
      <c r="AT11328" s="1" t="s">
        <v>42</v>
      </c>
      <c r="DZ11328" s="1" t="s">
        <v>126</v>
      </c>
      <c r="ED11328" s="1" t="s">
        <v>130</v>
      </c>
      <c r="GD11328" s="1" t="s">
        <v>849</v>
      </c>
      <c r="GE11328" s="1" t="s">
        <v>15889</v>
      </c>
    </row>
    <row r="11329" spans="1:187" ht="11.25" customHeight="1">
      <c r="A11329" s="1" t="s">
        <v>15890</v>
      </c>
      <c r="B11329" s="1" t="str">
        <f ca="1">IFERROR(__xludf.DUMMYFUNCTION("GOOGLETRANSLATE(A11329, ""en"", ""fr"")"),"Volontaire # 2")</f>
        <v>Volontaire # 2</v>
      </c>
      <c r="C11329" s="1" t="s">
        <v>185</v>
      </c>
      <c r="G11329" s="1" t="s">
        <v>3</v>
      </c>
      <c r="M11329" s="1" t="s">
        <v>9</v>
      </c>
      <c r="AN11329" s="1" t="s">
        <v>36</v>
      </c>
      <c r="DN11329" s="1" t="s">
        <v>114</v>
      </c>
      <c r="FP11329" s="1" t="s">
        <v>168</v>
      </c>
      <c r="GD11329" s="1" t="s">
        <v>189</v>
      </c>
      <c r="GE11329" s="1" t="s">
        <v>15891</v>
      </c>
    </row>
    <row r="11330" spans="1:187" ht="11.25" customHeight="1">
      <c r="A11330" s="1" t="s">
        <v>15892</v>
      </c>
      <c r="B11330" s="1" t="str">
        <f ca="1">IFERROR(__xludf.DUMMYFUNCTION("GOOGLETRANSLATE(A11330, ""en"", ""fr"")"),"VOMIR")</f>
        <v>VOMIR</v>
      </c>
      <c r="C11330" s="1" t="s">
        <v>192</v>
      </c>
      <c r="E11330" s="1" t="s">
        <v>16613</v>
      </c>
      <c r="BU11330" s="1" t="s">
        <v>69</v>
      </c>
      <c r="GD11330" s="1" t="s">
        <v>193</v>
      </c>
      <c r="GE11330" s="1" t="s">
        <v>190</v>
      </c>
    </row>
    <row r="11331" spans="1:187" ht="11.25" customHeight="1">
      <c r="A11331" s="1" t="s">
        <v>15893</v>
      </c>
      <c r="B11331" s="1" t="str">
        <f ca="1">IFERROR(__xludf.DUMMYFUNCTION("GOOGLETRANSLATE(A11331, ""en"", ""fr"")"),"Vote n ° 1")</f>
        <v>Vote n ° 1</v>
      </c>
      <c r="C11331" s="1" t="s">
        <v>185</v>
      </c>
      <c r="AG11331" s="1" t="s">
        <v>29</v>
      </c>
      <c r="AH11331" s="1" t="s">
        <v>30</v>
      </c>
      <c r="BK11331" s="1" t="s">
        <v>59</v>
      </c>
      <c r="BL11331" s="1" t="s">
        <v>60</v>
      </c>
      <c r="EC11331" s="1" t="s">
        <v>129</v>
      </c>
      <c r="ED11331" s="1" t="s">
        <v>130</v>
      </c>
      <c r="GC11331" s="1" t="s">
        <v>181</v>
      </c>
      <c r="GD11331" s="1" t="s">
        <v>193</v>
      </c>
      <c r="GE11331" s="1" t="s">
        <v>15894</v>
      </c>
    </row>
    <row r="11332" spans="1:187" ht="11.25" customHeight="1">
      <c r="A11332" s="1" t="s">
        <v>15895</v>
      </c>
      <c r="B11332" s="1" t="str">
        <f ca="1">IFERROR(__xludf.DUMMYFUNCTION("GOOGLETRANSLATE(A11332, ""en"", ""fr"")"),"Vote n ° 2")</f>
        <v>Vote n ° 2</v>
      </c>
      <c r="C11332" s="1" t="s">
        <v>185</v>
      </c>
      <c r="N11332" s="1" t="s">
        <v>10</v>
      </c>
      <c r="AG11332" s="1" t="s">
        <v>29</v>
      </c>
      <c r="BK11332" s="1" t="s">
        <v>59</v>
      </c>
      <c r="DO11332" s="1" t="s">
        <v>115</v>
      </c>
      <c r="EC11332" s="1" t="s">
        <v>129</v>
      </c>
      <c r="ED11332" s="1" t="s">
        <v>130</v>
      </c>
      <c r="GD11332" s="1" t="s">
        <v>189</v>
      </c>
      <c r="GE11332" s="1" t="s">
        <v>15896</v>
      </c>
    </row>
    <row r="11333" spans="1:187" ht="11.25" customHeight="1">
      <c r="A11333" s="1" t="s">
        <v>15897</v>
      </c>
      <c r="B11333" s="1" t="str">
        <f ca="1">IFERROR(__xludf.DUMMYFUNCTION("GOOGLETRANSLATE(A11333, ""en"", ""fr"")"),"Vote n ° 3")</f>
        <v>Vote n ° 3</v>
      </c>
      <c r="C11333" s="1" t="s">
        <v>185</v>
      </c>
      <c r="N11333" s="1" t="s">
        <v>10</v>
      </c>
      <c r="AG11333" s="1" t="s">
        <v>29</v>
      </c>
      <c r="AH11333" s="1" t="s">
        <v>30</v>
      </c>
      <c r="BK11333" s="1" t="s">
        <v>59</v>
      </c>
      <c r="EC11333" s="1" t="s">
        <v>129</v>
      </c>
      <c r="ED11333" s="1" t="s">
        <v>130</v>
      </c>
      <c r="GC11333" s="1" t="s">
        <v>181</v>
      </c>
      <c r="GD11333" s="1" t="s">
        <v>202</v>
      </c>
      <c r="GE11333" s="1" t="s">
        <v>15898</v>
      </c>
    </row>
    <row r="11334" spans="1:187" ht="11.25" customHeight="1">
      <c r="A11334" s="1" t="s">
        <v>15899</v>
      </c>
      <c r="B11334" s="1" t="str">
        <f ca="1">IFERROR(__xludf.DUMMYFUNCTION("GOOGLETRANSLATE(A11334, ""en"", ""fr"")"),"ÉLECTEUR")</f>
        <v>ÉLECTEUR</v>
      </c>
      <c r="C11334" s="1" t="s">
        <v>185</v>
      </c>
      <c r="AG11334" s="1" t="s">
        <v>29</v>
      </c>
      <c r="AH11334" s="1" t="s">
        <v>30</v>
      </c>
      <c r="AJ11334" s="1" t="s">
        <v>32</v>
      </c>
      <c r="AT11334" s="1" t="s">
        <v>42</v>
      </c>
      <c r="DY11334" s="1" t="s">
        <v>125</v>
      </c>
      <c r="ED11334" s="1" t="s">
        <v>130</v>
      </c>
      <c r="GD11334" s="1" t="s">
        <v>193</v>
      </c>
      <c r="GE11334" s="1" t="s">
        <v>15900</v>
      </c>
    </row>
    <row r="11335" spans="1:187" ht="11.25" customHeight="1">
      <c r="A11335" s="1" t="s">
        <v>15901</v>
      </c>
      <c r="B11335" s="1" t="str">
        <f ca="1">IFERROR(__xludf.DUMMYFUNCTION("GOOGLETRANSLATE(A11335, ""en"", ""fr"")"),"ACCORDER")</f>
        <v>ACCORDER</v>
      </c>
      <c r="C11335" s="1" t="s">
        <v>192</v>
      </c>
      <c r="D11335" s="1" t="s">
        <v>16612</v>
      </c>
      <c r="N11335" s="1" t="s">
        <v>10</v>
      </c>
      <c r="BK11335" s="1" t="s">
        <v>59</v>
      </c>
      <c r="CD11335" s="1" t="s">
        <v>78</v>
      </c>
      <c r="DN11335" s="1" t="s">
        <v>114</v>
      </c>
      <c r="GD11335" s="1" t="s">
        <v>670</v>
      </c>
      <c r="GE11335" s="1" t="s">
        <v>190</v>
      </c>
    </row>
    <row r="11336" spans="1:187" ht="11.25" customHeight="1">
      <c r="A11336" s="1" t="s">
        <v>15902</v>
      </c>
      <c r="B11336" s="1" t="str">
        <f ca="1">IFERROR(__xludf.DUMMYFUNCTION("GOOGLETRANSLATE(A11336, ""en"", ""fr"")"),"VŒU")</f>
        <v>VŒU</v>
      </c>
      <c r="C11336" s="1" t="s">
        <v>196</v>
      </c>
      <c r="EM11336" s="1" t="s">
        <v>139</v>
      </c>
      <c r="EN11336" s="1" t="s">
        <v>140</v>
      </c>
      <c r="GD11336" s="1" t="s">
        <v>193</v>
      </c>
    </row>
    <row r="11337" spans="1:187" ht="11.25" customHeight="1">
      <c r="A11337" s="1" t="s">
        <v>15903</v>
      </c>
      <c r="B11337" s="1" t="str">
        <f ca="1">IFERROR(__xludf.DUMMYFUNCTION("GOOGLETRANSLATE(A11337, ""en"", ""fr"")"),"VOYAGE")</f>
        <v>VOYAGE</v>
      </c>
      <c r="C11337" s="1" t="s">
        <v>185</v>
      </c>
      <c r="CE11337" s="1" t="s">
        <v>79</v>
      </c>
      <c r="GD11337" s="1" t="s">
        <v>193</v>
      </c>
      <c r="GE11337" s="1" t="s">
        <v>190</v>
      </c>
    </row>
    <row r="11338" spans="1:187" ht="11.25" customHeight="1">
      <c r="A11338" s="1" t="s">
        <v>15904</v>
      </c>
      <c r="B11338" s="1" t="str">
        <f ca="1">IFERROR(__xludf.DUMMYFUNCTION("GOOGLETRANSLATE(A11338, ""en"", ""fr"")"),"VULGAIRE")</f>
        <v>VULGAIRE</v>
      </c>
      <c r="C11338" s="1" t="s">
        <v>185</v>
      </c>
      <c r="E11338" s="1" t="s">
        <v>16613</v>
      </c>
      <c r="V11338" s="1" t="s">
        <v>18</v>
      </c>
      <c r="CM11338" s="1" t="s">
        <v>87</v>
      </c>
      <c r="DR11338" s="1" t="s">
        <v>118</v>
      </c>
      <c r="EM11338" s="1" t="s">
        <v>139</v>
      </c>
      <c r="EN11338" s="1" t="s">
        <v>140</v>
      </c>
      <c r="GD11338" s="1" t="s">
        <v>202</v>
      </c>
      <c r="GE11338" s="1" t="s">
        <v>190</v>
      </c>
    </row>
    <row r="11339" spans="1:187" ht="11.25" customHeight="1">
      <c r="A11339" s="1" t="s">
        <v>15905</v>
      </c>
      <c r="B11339" s="1" t="str">
        <f ca="1">IFERROR(__xludf.DUMMYFUNCTION("GOOGLETRANSLATE(A11339, ""en"", ""fr"")"),"VULNÉRABILITÉ")</f>
        <v>VULNÉRABILITÉ</v>
      </c>
      <c r="C11339" s="1" t="s">
        <v>185</v>
      </c>
      <c r="L11339" s="1" t="s">
        <v>8</v>
      </c>
      <c r="M11339" s="1" t="s">
        <v>9</v>
      </c>
      <c r="V11339" s="1" t="s">
        <v>18</v>
      </c>
      <c r="DU11339" s="1" t="s">
        <v>121</v>
      </c>
      <c r="ED11339" s="1" t="s">
        <v>130</v>
      </c>
      <c r="GD11339" s="1" t="s">
        <v>193</v>
      </c>
      <c r="GE11339" s="1" t="s">
        <v>190</v>
      </c>
    </row>
    <row r="11340" spans="1:187" ht="11.25" customHeight="1">
      <c r="A11340" s="1" t="s">
        <v>15906</v>
      </c>
      <c r="B11340" s="1" t="str">
        <f ca="1">IFERROR(__xludf.DUMMYFUNCTION("GOOGLETRANSLATE(A11340, ""en"", ""fr"")"),"VULNÉRABLE")</f>
        <v>VULNÉRABLE</v>
      </c>
      <c r="C11340" s="1" t="s">
        <v>185</v>
      </c>
      <c r="L11340" s="1" t="s">
        <v>8</v>
      </c>
      <c r="M11340" s="1" t="s">
        <v>9</v>
      </c>
      <c r="V11340" s="1" t="s">
        <v>18</v>
      </c>
      <c r="DU11340" s="1" t="s">
        <v>121</v>
      </c>
      <c r="ED11340" s="1" t="s">
        <v>130</v>
      </c>
      <c r="GD11340" s="1" t="s">
        <v>202</v>
      </c>
      <c r="GE11340" s="1" t="s">
        <v>190</v>
      </c>
    </row>
    <row r="11341" spans="1:187" ht="11.25" customHeight="1">
      <c r="A11341" s="1" t="s">
        <v>15907</v>
      </c>
      <c r="B11341" s="1" t="str">
        <f ca="1">IFERROR(__xludf.DUMMYFUNCTION("GOOGLETRANSLATE(A11341, ""en"", ""fr"")"),"VAUTOUR")</f>
        <v>VAUTOUR</v>
      </c>
      <c r="C11341" s="1" t="s">
        <v>185</v>
      </c>
      <c r="AU11341" s="1" t="s">
        <v>43</v>
      </c>
      <c r="GD11341" s="1" t="s">
        <v>193</v>
      </c>
      <c r="GE11341" s="1" t="s">
        <v>190</v>
      </c>
    </row>
    <row r="11342" spans="1:187" ht="11.25" customHeight="1">
      <c r="A11342" s="1" t="s">
        <v>15908</v>
      </c>
      <c r="B11342" s="1" t="str">
        <f ca="1">IFERROR(__xludf.DUMMYFUNCTION("GOOGLETRANSLATE(A11342, ""en"", ""fr"")"),"Salaire n ° 1")</f>
        <v>Salaire n ° 1</v>
      </c>
      <c r="C11342" s="1" t="s">
        <v>185</v>
      </c>
      <c r="AA11342" s="1" t="s">
        <v>23</v>
      </c>
      <c r="AC11342" s="1" t="s">
        <v>25</v>
      </c>
      <c r="BQ11342" s="1" t="s">
        <v>65</v>
      </c>
      <c r="EV11342" s="1" t="s">
        <v>148</v>
      </c>
      <c r="EW11342" s="1" t="s">
        <v>149</v>
      </c>
      <c r="GD11342" s="1" t="s">
        <v>193</v>
      </c>
      <c r="GE11342" s="1" t="s">
        <v>190</v>
      </c>
    </row>
    <row r="11343" spans="1:187" ht="11.25" customHeight="1">
      <c r="A11343" s="1" t="s">
        <v>15909</v>
      </c>
      <c r="B11343" s="1" t="str">
        <f ca="1">IFERROR(__xludf.DUMMYFUNCTION("GOOGLETRANSLATE(A11343, ""en"", ""fr"")"),"Salaire n ° 2")</f>
        <v>Salaire n ° 2</v>
      </c>
      <c r="C11343" s="1" t="s">
        <v>185</v>
      </c>
      <c r="I11343" s="1" t="s">
        <v>5</v>
      </c>
      <c r="J11343" s="1" t="s">
        <v>6</v>
      </c>
      <c r="N11343" s="1" t="s">
        <v>10</v>
      </c>
      <c r="BP11343" s="1" t="s">
        <v>64</v>
      </c>
      <c r="DN11343" s="1" t="s">
        <v>114</v>
      </c>
      <c r="FP11343" s="1" t="s">
        <v>168</v>
      </c>
      <c r="GD11343" s="1" t="s">
        <v>189</v>
      </c>
      <c r="GE11343" s="1" t="s">
        <v>190</v>
      </c>
    </row>
    <row r="11344" spans="1:187" ht="11.25" customHeight="1">
      <c r="A11344" s="1" t="s">
        <v>15910</v>
      </c>
      <c r="B11344" s="1" t="str">
        <f ca="1">IFERROR(__xludf.DUMMYFUNCTION("GOOGLETRANSLATE(A11344, ""en"", ""fr"")"),"WAGON")</f>
        <v>WAGON</v>
      </c>
      <c r="C11344" s="1" t="s">
        <v>185</v>
      </c>
      <c r="BC11344" s="1" t="s">
        <v>51</v>
      </c>
      <c r="BF11344" s="1" t="s">
        <v>54</v>
      </c>
      <c r="GD11344" s="1" t="s">
        <v>193</v>
      </c>
      <c r="GE11344" s="1" t="s">
        <v>190</v>
      </c>
    </row>
    <row r="11345" spans="1:187" ht="11.25" customHeight="1">
      <c r="A11345" s="1" t="s">
        <v>15911</v>
      </c>
      <c r="B11345" s="1" t="str">
        <f ca="1">IFERROR(__xludf.DUMMYFUNCTION("GOOGLETRANSLATE(A11345, ""en"", ""fr"")"),"LAMENTER")</f>
        <v>LAMENTER</v>
      </c>
      <c r="C11345" s="1" t="s">
        <v>192</v>
      </c>
      <c r="E11345" s="1" t="s">
        <v>16613</v>
      </c>
      <c r="N11345" s="1" t="s">
        <v>10</v>
      </c>
      <c r="Q11345" s="1" t="s">
        <v>13</v>
      </c>
      <c r="BK11345" s="1" t="s">
        <v>59</v>
      </c>
      <c r="DN11345" s="1" t="s">
        <v>114</v>
      </c>
      <c r="GD11345" s="1" t="s">
        <v>189</v>
      </c>
      <c r="GE11345" s="1" t="s">
        <v>190</v>
      </c>
    </row>
    <row r="11346" spans="1:187" ht="11.25" customHeight="1">
      <c r="A11346" s="1" t="s">
        <v>15912</v>
      </c>
      <c r="B11346" s="1" t="str">
        <f ca="1">IFERROR(__xludf.DUMMYFUNCTION("GOOGLETRANSLATE(A11346, ""en"", ""fr"")"),"TAILLE")</f>
        <v>TAILLE</v>
      </c>
      <c r="C11346" s="1" t="s">
        <v>196</v>
      </c>
      <c r="GD11346" s="1" t="s">
        <v>193</v>
      </c>
    </row>
    <row r="11347" spans="1:187" ht="11.25" customHeight="1">
      <c r="A11347" s="1" t="s">
        <v>15913</v>
      </c>
      <c r="B11347" s="1" t="str">
        <f ca="1">IFERROR(__xludf.DUMMYFUNCTION("GOOGLETRANSLATE(A11347, ""en"", ""fr"")"),"Attendez n ° 1")</f>
        <v>Attendez n ° 1</v>
      </c>
      <c r="C11347" s="1" t="s">
        <v>185</v>
      </c>
      <c r="O11347" s="1" t="s">
        <v>11</v>
      </c>
      <c r="CA11347" s="1" t="s">
        <v>75</v>
      </c>
      <c r="DO11347" s="1" t="s">
        <v>115</v>
      </c>
      <c r="FP11347" s="1" t="s">
        <v>168</v>
      </c>
      <c r="GD11347" s="1" t="s">
        <v>400</v>
      </c>
      <c r="GE11347" s="1" t="s">
        <v>15914</v>
      </c>
    </row>
    <row r="11348" spans="1:187" ht="11.25" customHeight="1">
      <c r="A11348" s="1" t="s">
        <v>15915</v>
      </c>
      <c r="B11348" s="1" t="str">
        <f ca="1">IFERROR(__xludf.DUMMYFUNCTION("GOOGLETRANSLATE(A11348, ""en"", ""fr"")"),"Attendez # 2")</f>
        <v>Attendez # 2</v>
      </c>
      <c r="C11348" s="1" t="s">
        <v>185</v>
      </c>
      <c r="M11348" s="1" t="s">
        <v>9</v>
      </c>
      <c r="AN11348" s="1" t="s">
        <v>36</v>
      </c>
      <c r="DN11348" s="1" t="s">
        <v>114</v>
      </c>
      <c r="FN11348" s="1" t="s">
        <v>166</v>
      </c>
      <c r="GD11348" s="1" t="s">
        <v>189</v>
      </c>
      <c r="GE11348" s="1" t="s">
        <v>15916</v>
      </c>
    </row>
    <row r="11349" spans="1:187" ht="11.25" customHeight="1">
      <c r="A11349" s="1" t="s">
        <v>15917</v>
      </c>
      <c r="B11349" s="1" t="str">
        <f ca="1">IFERROR(__xludf.DUMMYFUNCTION("GOOGLETRANSLATE(A11349, ""en"", ""fr"")"),"Attendez # 3")</f>
        <v>Attendez # 3</v>
      </c>
      <c r="C11349" s="1" t="s">
        <v>185</v>
      </c>
      <c r="O11349" s="1" t="s">
        <v>11</v>
      </c>
      <c r="CY11349" s="1" t="s">
        <v>99</v>
      </c>
      <c r="GD11349" s="1" t="s">
        <v>193</v>
      </c>
      <c r="GE11349" s="1" t="s">
        <v>15918</v>
      </c>
    </row>
    <row r="11350" spans="1:187" ht="11.25" customHeight="1">
      <c r="A11350" s="1" t="s">
        <v>15919</v>
      </c>
      <c r="B11350" s="1" t="str">
        <f ca="1">IFERROR(__xludf.DUMMYFUNCTION("GOOGLETRANSLATE(A11350, ""en"", ""fr"")"),"Attendez # 4")</f>
        <v>Attendez # 4</v>
      </c>
      <c r="C11350" s="1" t="s">
        <v>185</v>
      </c>
      <c r="E11350" s="1" t="s">
        <v>16613</v>
      </c>
      <c r="H11350" s="1" t="s">
        <v>4</v>
      </c>
      <c r="I11350" s="1" t="s">
        <v>5</v>
      </c>
      <c r="N11350" s="1" t="s">
        <v>10</v>
      </c>
      <c r="AN11350" s="1" t="s">
        <v>36</v>
      </c>
      <c r="DW11350" s="1" t="s">
        <v>123</v>
      </c>
      <c r="ED11350" s="1" t="s">
        <v>130</v>
      </c>
      <c r="GD11350" s="1" t="s">
        <v>202</v>
      </c>
      <c r="GE11350" s="1" t="s">
        <v>15920</v>
      </c>
    </row>
    <row r="11351" spans="1:187" ht="11.25" customHeight="1">
      <c r="A11351" s="1" t="s">
        <v>15921</v>
      </c>
      <c r="B11351" s="1" t="str">
        <f ca="1">IFERROR(__xludf.DUMMYFUNCTION("GOOGLETRANSLATE(A11351, ""en"", ""fr"")"),"SERVEUR")</f>
        <v>SERVEUR</v>
      </c>
      <c r="C11351" s="1" t="s">
        <v>185</v>
      </c>
      <c r="M11351" s="1" t="s">
        <v>9</v>
      </c>
      <c r="AA11351" s="1" t="s">
        <v>23</v>
      </c>
      <c r="AJ11351" s="1" t="s">
        <v>32</v>
      </c>
      <c r="AT11351" s="1" t="s">
        <v>42</v>
      </c>
      <c r="GD11351" s="1" t="s">
        <v>193</v>
      </c>
      <c r="GE11351" s="1" t="s">
        <v>190</v>
      </c>
    </row>
    <row r="11352" spans="1:187" ht="11.25" customHeight="1">
      <c r="A11352" s="1" t="s">
        <v>15922</v>
      </c>
      <c r="B11352" s="1" t="str">
        <f ca="1">IFERROR(__xludf.DUMMYFUNCTION("GOOGLETRANSLATE(A11352, ""en"", ""fr"")"),"Réveil n ° 1")</f>
        <v>Réveil n ° 1</v>
      </c>
      <c r="C11352" s="1" t="s">
        <v>185</v>
      </c>
      <c r="BU11352" s="1" t="s">
        <v>69</v>
      </c>
      <c r="DO11352" s="1" t="s">
        <v>115</v>
      </c>
      <c r="FP11352" s="1" t="s">
        <v>168</v>
      </c>
      <c r="GD11352" s="1" t="s">
        <v>400</v>
      </c>
      <c r="GE11352" s="1" t="s">
        <v>15923</v>
      </c>
    </row>
    <row r="11353" spans="1:187" ht="11.25" customHeight="1">
      <c r="A11353" s="1" t="s">
        <v>15924</v>
      </c>
      <c r="B11353" s="1" t="str">
        <f ca="1">IFERROR(__xludf.DUMMYFUNCTION("GOOGLETRANSLATE(A11353, ""en"", ""fr"")"),"Sillage n ° 2")</f>
        <v>Sillage n ° 2</v>
      </c>
      <c r="C11353" s="1" t="s">
        <v>185</v>
      </c>
      <c r="N11353" s="1" t="s">
        <v>10</v>
      </c>
      <c r="AN11353" s="1" t="s">
        <v>36</v>
      </c>
      <c r="DO11353" s="1" t="s">
        <v>115</v>
      </c>
      <c r="FP11353" s="1" t="s">
        <v>168</v>
      </c>
      <c r="GD11353" s="1" t="s">
        <v>189</v>
      </c>
      <c r="GE11353" s="1" t="s">
        <v>15925</v>
      </c>
    </row>
    <row r="11354" spans="1:187" ht="11.25" customHeight="1">
      <c r="A11354" s="1" t="s">
        <v>15926</v>
      </c>
      <c r="B11354" s="1" t="str">
        <f ca="1">IFERROR(__xludf.DUMMYFUNCTION("GOOGLETRANSLATE(A11354, ""en"", ""fr"")"),"Sillage n ° 3")</f>
        <v>Sillage n ° 3</v>
      </c>
      <c r="C11354" s="1" t="s">
        <v>185</v>
      </c>
      <c r="AV11354" s="1" t="s">
        <v>44</v>
      </c>
      <c r="AY11354" s="1" t="s">
        <v>47</v>
      </c>
      <c r="GD11354" s="1" t="s">
        <v>193</v>
      </c>
      <c r="GE11354" s="1" t="s">
        <v>15927</v>
      </c>
    </row>
    <row r="11355" spans="1:187" ht="11.25" customHeight="1">
      <c r="A11355" s="1" t="s">
        <v>15928</v>
      </c>
      <c r="B11355" s="1" t="str">
        <f ca="1">IFERROR(__xludf.DUMMYFUNCTION("GOOGLETRANSLATE(A11355, ""en"", ""fr"")"),"Sillage n ° 4")</f>
        <v>Sillage n ° 4</v>
      </c>
      <c r="C11355" s="1" t="s">
        <v>185</v>
      </c>
      <c r="BU11355" s="1" t="s">
        <v>69</v>
      </c>
      <c r="GD11355" s="1" t="s">
        <v>193</v>
      </c>
      <c r="GE11355" s="1" t="s">
        <v>15929</v>
      </c>
    </row>
    <row r="11356" spans="1:187" ht="11.25" customHeight="1">
      <c r="A11356" s="1" t="s">
        <v>15930</v>
      </c>
      <c r="B11356" s="1" t="str">
        <f ca="1">IFERROR(__xludf.DUMMYFUNCTION("GOOGLETRANSLATE(A11356, ""en"", ""fr"")"),"Marche n ° 1")</f>
        <v>Marche n ° 1</v>
      </c>
      <c r="C11356" s="1" t="s">
        <v>185</v>
      </c>
      <c r="N11356" s="1" t="s">
        <v>10</v>
      </c>
      <c r="CE11356" s="1" t="s">
        <v>79</v>
      </c>
      <c r="DO11356" s="1" t="s">
        <v>115</v>
      </c>
      <c r="FP11356" s="1" t="s">
        <v>168</v>
      </c>
      <c r="GD11356" s="1" t="s">
        <v>400</v>
      </c>
      <c r="GE11356" s="1" t="s">
        <v>15931</v>
      </c>
    </row>
    <row r="11357" spans="1:187" ht="11.25" customHeight="1">
      <c r="A11357" s="1" t="s">
        <v>15932</v>
      </c>
      <c r="B11357" s="1" t="str">
        <f ca="1">IFERROR(__xludf.DUMMYFUNCTION("GOOGLETRANSLATE(A11357, ""en"", ""fr"")"),"Marche n ° 2")</f>
        <v>Marche n ° 2</v>
      </c>
      <c r="C11357" s="1" t="s">
        <v>185</v>
      </c>
      <c r="N11357" s="1" t="s">
        <v>10</v>
      </c>
      <c r="CE11357" s="1" t="s">
        <v>79</v>
      </c>
      <c r="GD11357" s="1" t="s">
        <v>193</v>
      </c>
      <c r="GE11357" s="1" t="s">
        <v>15933</v>
      </c>
    </row>
    <row r="11358" spans="1:187" ht="11.25" customHeight="1">
      <c r="A11358" s="1" t="s">
        <v>15934</v>
      </c>
      <c r="B11358" s="1" t="str">
        <f ca="1">IFERROR(__xludf.DUMMYFUNCTION("GOOGLETRANSLATE(A11358, ""en"", ""fr"")"),"Marche n ° 3")</f>
        <v>Marche n ° 3</v>
      </c>
      <c r="C11358" s="1" t="s">
        <v>185</v>
      </c>
      <c r="I11358" s="1" t="s">
        <v>5</v>
      </c>
      <c r="N11358" s="1" t="s">
        <v>10</v>
      </c>
      <c r="CE11358" s="1" t="s">
        <v>79</v>
      </c>
      <c r="DN11358" s="1" t="s">
        <v>114</v>
      </c>
      <c r="DT11358" s="1" t="s">
        <v>120</v>
      </c>
      <c r="ED11358" s="1" t="s">
        <v>130</v>
      </c>
      <c r="GD11358" s="1" t="s">
        <v>189</v>
      </c>
      <c r="GE11358" s="1" t="s">
        <v>15935</v>
      </c>
    </row>
    <row r="11359" spans="1:187" ht="11.25" customHeight="1">
      <c r="A11359" s="1" t="s">
        <v>15936</v>
      </c>
      <c r="B11359" s="1" t="str">
        <f ca="1">IFERROR(__xludf.DUMMYFUNCTION("GOOGLETRANSLATE(A11359, ""en"", ""fr"")"),"Marche n ° 4")</f>
        <v>Marche n ° 4</v>
      </c>
      <c r="C11359" s="1" t="s">
        <v>185</v>
      </c>
      <c r="N11359" s="1" t="s">
        <v>10</v>
      </c>
      <c r="CE11359" s="1" t="s">
        <v>79</v>
      </c>
      <c r="GD11359" s="1" t="s">
        <v>193</v>
      </c>
      <c r="GE11359" s="1" t="s">
        <v>15937</v>
      </c>
    </row>
    <row r="11360" spans="1:187" ht="11.25" customHeight="1">
      <c r="A11360" s="1" t="s">
        <v>15938</v>
      </c>
      <c r="B11360" s="1" t="str">
        <f ca="1">IFERROR(__xludf.DUMMYFUNCTION("GOOGLETRANSLATE(A11360, ""en"", ""fr"")"),"Marche n ° 5")</f>
        <v>Marche n ° 5</v>
      </c>
      <c r="C11360" s="1" t="s">
        <v>185</v>
      </c>
      <c r="AA11360" s="1" t="s">
        <v>23</v>
      </c>
      <c r="AJ11360" s="1" t="s">
        <v>32</v>
      </c>
      <c r="AT11360" s="1" t="s">
        <v>42</v>
      </c>
      <c r="FL11360" s="1" t="s">
        <v>164</v>
      </c>
      <c r="FM11360" s="1" t="s">
        <v>418</v>
      </c>
      <c r="GD11360" s="1" t="s">
        <v>193</v>
      </c>
      <c r="GE11360" s="1" t="s">
        <v>15939</v>
      </c>
    </row>
    <row r="11361" spans="1:187" ht="11.25" customHeight="1">
      <c r="A11361" s="1" t="s">
        <v>15940</v>
      </c>
      <c r="B11361" s="1" t="str">
        <f ca="1">IFERROR(__xludf.DUMMYFUNCTION("GOOGLETRANSLATE(A11361, ""en"", ""fr"")"),"MARCHEUR")</f>
        <v>MARCHEUR</v>
      </c>
      <c r="C11361" s="1" t="s">
        <v>185</v>
      </c>
      <c r="N11361" s="1" t="s">
        <v>10</v>
      </c>
      <c r="AD11361" s="1" t="s">
        <v>26</v>
      </c>
      <c r="AJ11361" s="1" t="s">
        <v>32</v>
      </c>
      <c r="AT11361" s="1" t="s">
        <v>42</v>
      </c>
      <c r="GD11361" s="1" t="s">
        <v>193</v>
      </c>
      <c r="GE11361" s="1" t="s">
        <v>190</v>
      </c>
    </row>
    <row r="11362" spans="1:187" ht="11.25" customHeight="1">
      <c r="A11362" s="1" t="s">
        <v>15941</v>
      </c>
      <c r="B11362" s="1" t="str">
        <f ca="1">IFERROR(__xludf.DUMMYFUNCTION("GOOGLETRANSLATE(A11362, ""en"", ""fr"")"),"Mur n ° 1")</f>
        <v>Mur n ° 1</v>
      </c>
      <c r="C11362" s="1" t="s">
        <v>185</v>
      </c>
      <c r="BC11362" s="1" t="s">
        <v>51</v>
      </c>
      <c r="BG11362" s="1" t="s">
        <v>55</v>
      </c>
      <c r="GD11362" s="1" t="s">
        <v>849</v>
      </c>
      <c r="GE11362" s="1" t="s">
        <v>15942</v>
      </c>
    </row>
    <row r="11363" spans="1:187" ht="11.25" customHeight="1">
      <c r="A11363" s="1" t="s">
        <v>15943</v>
      </c>
      <c r="B11363" s="1" t="str">
        <f ca="1">IFERROR(__xludf.DUMMYFUNCTION("GOOGLETRANSLATE(A11363, ""en"", ""fr"")"),"Mur n ° 2")</f>
        <v>Mur n ° 2</v>
      </c>
      <c r="C11363" s="1" t="s">
        <v>185</v>
      </c>
      <c r="AC11363" s="1" t="s">
        <v>25</v>
      </c>
      <c r="AH11363" s="1" t="s">
        <v>30</v>
      </c>
      <c r="DI11363" s="1" t="s">
        <v>109</v>
      </c>
      <c r="ET11363" s="1" t="s">
        <v>146</v>
      </c>
      <c r="EW11363" s="1" t="s">
        <v>149</v>
      </c>
      <c r="GD11363" s="1" t="s">
        <v>193</v>
      </c>
      <c r="GE11363" s="1" t="s">
        <v>15944</v>
      </c>
    </row>
    <row r="11364" spans="1:187" ht="11.25" customHeight="1">
      <c r="A11364" s="1" t="s">
        <v>15945</v>
      </c>
      <c r="B11364" s="1" t="str">
        <f ca="1">IFERROR(__xludf.DUMMYFUNCTION("GOOGLETRANSLATE(A11364, ""en"", ""fr"")"),"SE COMPLAIRE")</f>
        <v>SE COMPLAIRE</v>
      </c>
      <c r="C11364" s="1" t="s">
        <v>192</v>
      </c>
      <c r="E11364" s="1" t="s">
        <v>16613</v>
      </c>
      <c r="N11364" s="1" t="s">
        <v>10</v>
      </c>
      <c r="Q11364" s="1" t="s">
        <v>13</v>
      </c>
      <c r="T11364" s="1" t="s">
        <v>16</v>
      </c>
      <c r="CA11364" s="1" t="s">
        <v>75</v>
      </c>
      <c r="DP11364" s="1" t="s">
        <v>116</v>
      </c>
      <c r="GD11364" s="1" t="s">
        <v>189</v>
      </c>
      <c r="GE11364" s="1" t="s">
        <v>190</v>
      </c>
    </row>
    <row r="11365" spans="1:187" ht="11.25" customHeight="1">
      <c r="A11365" s="1" t="s">
        <v>15946</v>
      </c>
      <c r="B11365" s="1" t="str">
        <f ca="1">IFERROR(__xludf.DUMMYFUNCTION("GOOGLETRANSLATE(A11365, ""en"", ""fr"")"),"FOND D'ÉCRAN")</f>
        <v>FOND D'ÉCRAN</v>
      </c>
      <c r="C11365" s="1" t="s">
        <v>185</v>
      </c>
      <c r="BC11365" s="1" t="s">
        <v>51</v>
      </c>
      <c r="BD11365" s="1" t="s">
        <v>52</v>
      </c>
      <c r="GD11365" s="1" t="s">
        <v>193</v>
      </c>
      <c r="GE11365" s="1" t="s">
        <v>190</v>
      </c>
    </row>
    <row r="11366" spans="1:187" ht="11.25" customHeight="1">
      <c r="A11366" s="1" t="s">
        <v>15947</v>
      </c>
      <c r="B11366" s="1" t="str">
        <f ca="1">IFERROR(__xludf.DUMMYFUNCTION("GOOGLETRANSLATE(A11366, ""en"", ""fr"")"),"NOYER")</f>
        <v>NOYER</v>
      </c>
      <c r="C11366" s="1" t="s">
        <v>185</v>
      </c>
      <c r="BC11366" s="1" t="s">
        <v>51</v>
      </c>
      <c r="BE11366" s="1" t="s">
        <v>53</v>
      </c>
      <c r="GD11366" s="1" t="s">
        <v>193</v>
      </c>
      <c r="GE11366" s="1" t="s">
        <v>190</v>
      </c>
    </row>
    <row r="11367" spans="1:187" ht="11.25" customHeight="1">
      <c r="A11367" s="1" t="s">
        <v>15948</v>
      </c>
      <c r="B11367" s="1" t="str">
        <f ca="1">IFERROR(__xludf.DUMMYFUNCTION("GOOGLETRANSLATE(A11367, ""en"", ""fr"")"),"ERRER")</f>
        <v>ERRER</v>
      </c>
      <c r="C11367" s="1" t="s">
        <v>185</v>
      </c>
      <c r="O11367" s="1" t="s">
        <v>11</v>
      </c>
      <c r="CE11367" s="1" t="s">
        <v>79</v>
      </c>
      <c r="DN11367" s="1" t="s">
        <v>114</v>
      </c>
      <c r="FP11367" s="1" t="s">
        <v>168</v>
      </c>
      <c r="GD11367" s="1" t="s">
        <v>189</v>
      </c>
      <c r="GE11367" s="1" t="s">
        <v>15949</v>
      </c>
    </row>
    <row r="11368" spans="1:187" ht="11.25" customHeight="1">
      <c r="A11368" s="1" t="s">
        <v>15950</v>
      </c>
      <c r="B11368" s="1" t="str">
        <f ca="1">IFERROR(__xludf.DUMMYFUNCTION("GOOGLETRANSLATE(A11368, ""en"", ""fr"")"),"VAGABOND")</f>
        <v>VAGABOND</v>
      </c>
      <c r="C11368" s="1" t="s">
        <v>185</v>
      </c>
      <c r="O11368" s="1" t="s">
        <v>11</v>
      </c>
      <c r="AJ11368" s="1" t="s">
        <v>32</v>
      </c>
      <c r="AT11368" s="1" t="s">
        <v>42</v>
      </c>
      <c r="GD11368" s="1" t="s">
        <v>193</v>
      </c>
      <c r="GE11368" s="1" t="s">
        <v>190</v>
      </c>
    </row>
    <row r="11369" spans="1:187" ht="11.25" customHeight="1">
      <c r="A11369" s="1" t="s">
        <v>15951</v>
      </c>
      <c r="B11369" s="1" t="str">
        <f ca="1">IFERROR(__xludf.DUMMYFUNCTION("GOOGLETRANSLATE(A11369, ""en"", ""fr"")"),"DÉCLINER")</f>
        <v>DÉCLINER</v>
      </c>
      <c r="C11369" s="1" t="s">
        <v>192</v>
      </c>
      <c r="E11369" s="1" t="s">
        <v>16613</v>
      </c>
      <c r="O11369" s="1" t="s">
        <v>11</v>
      </c>
      <c r="BY11369" s="1" t="s">
        <v>73</v>
      </c>
      <c r="DN11369" s="1" t="s">
        <v>114</v>
      </c>
      <c r="GD11369" s="1" t="s">
        <v>189</v>
      </c>
      <c r="GE11369" s="1" t="s">
        <v>190</v>
      </c>
    </row>
    <row r="11370" spans="1:187" ht="11.25" customHeight="1">
      <c r="A11370" s="1" t="s">
        <v>15952</v>
      </c>
      <c r="B11370" s="1" t="str">
        <f ca="1">IFERROR(__xludf.DUMMYFUNCTION("GOOGLETRANSLATE(A11370, ""en"", ""fr"")"),"Want # 1")</f>
        <v>Want # 1</v>
      </c>
      <c r="C11370" s="1" t="s">
        <v>185</v>
      </c>
      <c r="BN11370" s="1" t="s">
        <v>62</v>
      </c>
      <c r="FR11370" s="1" t="s">
        <v>170</v>
      </c>
      <c r="GD11370" s="1" t="s">
        <v>193</v>
      </c>
      <c r="GE11370" s="1" t="s">
        <v>15953</v>
      </c>
    </row>
    <row r="11371" spans="1:187" ht="11.25" customHeight="1">
      <c r="A11371" s="1" t="s">
        <v>15954</v>
      </c>
      <c r="B11371" s="1" t="str">
        <f ca="1">IFERROR(__xludf.DUMMYFUNCTION("GOOGLETRANSLATE(A11371, ""en"", ""fr"")"),"Want # 2")</f>
        <v>Want # 2</v>
      </c>
      <c r="C11371" s="1" t="s">
        <v>185</v>
      </c>
      <c r="O11371" s="1" t="s">
        <v>11</v>
      </c>
      <c r="BN11371" s="1" t="s">
        <v>62</v>
      </c>
      <c r="DP11371" s="1" t="s">
        <v>116</v>
      </c>
      <c r="FP11371" s="1" t="s">
        <v>168</v>
      </c>
      <c r="GD11371" s="1" t="s">
        <v>400</v>
      </c>
      <c r="GE11371" s="1" t="s">
        <v>15955</v>
      </c>
    </row>
    <row r="11372" spans="1:187" ht="11.25" customHeight="1">
      <c r="A11372" s="1" t="s">
        <v>15956</v>
      </c>
      <c r="B11372" s="1" t="str">
        <f ca="1">IFERROR(__xludf.DUMMYFUNCTION("GOOGLETRANSLATE(A11372, ""en"", ""fr"")"),"Want # 3")</f>
        <v>Want # 3</v>
      </c>
      <c r="C11372" s="1" t="s">
        <v>185</v>
      </c>
      <c r="J11372" s="1" t="s">
        <v>6</v>
      </c>
      <c r="O11372" s="1" t="s">
        <v>11</v>
      </c>
      <c r="BQ11372" s="1" t="s">
        <v>65</v>
      </c>
      <c r="GD11372" s="1" t="s">
        <v>202</v>
      </c>
      <c r="GE11372" s="1" t="s">
        <v>15957</v>
      </c>
    </row>
    <row r="11373" spans="1:187" ht="11.25" customHeight="1">
      <c r="A11373" s="1" t="s">
        <v>15958</v>
      </c>
      <c r="B11373" s="1" t="str">
        <f ca="1">IFERROR(__xludf.DUMMYFUNCTION("GOOGLETRANSLATE(A11373, ""en"", ""fr"")"),"CAPRICIEUX")</f>
        <v>CAPRICIEUX</v>
      </c>
      <c r="C11373" s="1" t="s">
        <v>185</v>
      </c>
      <c r="E11373" s="1" t="s">
        <v>16613</v>
      </c>
      <c r="L11373" s="1" t="s">
        <v>8</v>
      </c>
      <c r="BN11373" s="1" t="s">
        <v>62</v>
      </c>
      <c r="DR11373" s="1" t="s">
        <v>118</v>
      </c>
      <c r="FW11373" s="1" t="s">
        <v>175</v>
      </c>
      <c r="GD11373" s="1" t="s">
        <v>202</v>
      </c>
      <c r="GE11373" s="1" t="s">
        <v>190</v>
      </c>
    </row>
    <row r="11374" spans="1:187" ht="11.25" customHeight="1">
      <c r="A11374" s="1" t="s">
        <v>15959</v>
      </c>
      <c r="B11374" s="1" t="str">
        <f ca="1">IFERROR(__xludf.DUMMYFUNCTION("GOOGLETRANSLATE(A11374, ""en"", ""fr"")"),"GUERRE")</f>
        <v>GUERRE</v>
      </c>
      <c r="C11374" s="1" t="s">
        <v>185</v>
      </c>
      <c r="E11374" s="1" t="s">
        <v>16613</v>
      </c>
      <c r="I11374" s="1" t="s">
        <v>5</v>
      </c>
      <c r="AF11374" s="1" t="s">
        <v>28</v>
      </c>
      <c r="AG11374" s="1" t="s">
        <v>29</v>
      </c>
      <c r="BQ11374" s="1" t="s">
        <v>65</v>
      </c>
      <c r="CC11374" s="1" t="s">
        <v>77</v>
      </c>
      <c r="DW11374" s="1" t="s">
        <v>123</v>
      </c>
      <c r="ED11374" s="1" t="s">
        <v>130</v>
      </c>
      <c r="GD11374" s="1" t="s">
        <v>193</v>
      </c>
      <c r="GE11374" s="1" t="s">
        <v>190</v>
      </c>
    </row>
    <row r="11375" spans="1:187" ht="11.25" customHeight="1">
      <c r="A11375" s="1" t="s">
        <v>15960</v>
      </c>
      <c r="B11375" s="1" t="str">
        <f ca="1">IFERROR(__xludf.DUMMYFUNCTION("GOOGLETRANSLATE(A11375, ""en"", ""fr"")"),"SALLE")</f>
        <v>SALLE</v>
      </c>
      <c r="C11375" s="1" t="s">
        <v>185</v>
      </c>
      <c r="AH11375" s="1" t="s">
        <v>30</v>
      </c>
      <c r="BC11375" s="1" t="s">
        <v>51</v>
      </c>
      <c r="BG11375" s="1" t="s">
        <v>55</v>
      </c>
      <c r="GD11375" s="1" t="s">
        <v>849</v>
      </c>
      <c r="GE11375" s="1" t="s">
        <v>15961</v>
      </c>
    </row>
    <row r="11376" spans="1:187" ht="11.25" customHeight="1">
      <c r="A11376" s="1" t="s">
        <v>15962</v>
      </c>
      <c r="B11376" s="1" t="str">
        <f ca="1">IFERROR(__xludf.DUMMYFUNCTION("GOOGLETRANSLATE(A11376, ""en"", ""fr"")"),"GARDE-ROBE")</f>
        <v>GARDE-ROBE</v>
      </c>
      <c r="C11376" s="1" t="s">
        <v>185</v>
      </c>
      <c r="BC11376" s="1" t="s">
        <v>51</v>
      </c>
      <c r="BD11376" s="1" t="s">
        <v>52</v>
      </c>
      <c r="GD11376" s="1" t="s">
        <v>193</v>
      </c>
      <c r="GE11376" s="1" t="s">
        <v>190</v>
      </c>
    </row>
    <row r="11377" spans="1:187" ht="11.25" customHeight="1">
      <c r="A11377" s="1" t="s">
        <v>15963</v>
      </c>
      <c r="B11377" s="1" t="str">
        <f ca="1">IFERROR(__xludf.DUMMYFUNCTION("GOOGLETRANSLATE(A11377, ""en"", ""fr"")"),"GUERRE")</f>
        <v>GUERRE</v>
      </c>
      <c r="C11377" s="1" t="s">
        <v>185</v>
      </c>
      <c r="E11377" s="1" t="s">
        <v>16613</v>
      </c>
      <c r="H11377" s="1" t="s">
        <v>4</v>
      </c>
      <c r="J11377" s="1" t="s">
        <v>6</v>
      </c>
      <c r="N11377" s="1" t="s">
        <v>10</v>
      </c>
      <c r="AC11377" s="1" t="s">
        <v>25</v>
      </c>
      <c r="AF11377" s="1" t="s">
        <v>28</v>
      </c>
      <c r="AH11377" s="1" t="s">
        <v>30</v>
      </c>
      <c r="AM11377" s="1" t="s">
        <v>35</v>
      </c>
      <c r="DW11377" s="1" t="s">
        <v>123</v>
      </c>
      <c r="ED11377" s="1" t="s">
        <v>130</v>
      </c>
      <c r="GD11377" s="1" t="s">
        <v>193</v>
      </c>
      <c r="GE11377" s="1" t="s">
        <v>190</v>
      </c>
    </row>
    <row r="11378" spans="1:187" ht="11.25" customHeight="1">
      <c r="A11378" s="1" t="s">
        <v>15964</v>
      </c>
      <c r="B11378" s="1" t="str">
        <f ca="1">IFERROR(__xludf.DUMMYFUNCTION("GOOGLETRANSLATE(A11378, ""en"", ""fr"")"),"GUERRIER")</f>
        <v>GUERRIER</v>
      </c>
      <c r="C11378" s="1" t="s">
        <v>192</v>
      </c>
      <c r="E11378" s="1" t="s">
        <v>16613</v>
      </c>
      <c r="G11378" s="1" t="s">
        <v>3</v>
      </c>
      <c r="I11378" s="1" t="s">
        <v>5</v>
      </c>
      <c r="AG11378" s="1" t="s">
        <v>29</v>
      </c>
      <c r="AN11378" s="1" t="s">
        <v>36</v>
      </c>
      <c r="CC11378" s="1" t="s">
        <v>77</v>
      </c>
      <c r="DQ11378" s="1" t="s">
        <v>117</v>
      </c>
      <c r="GD11378" s="1" t="s">
        <v>202</v>
      </c>
      <c r="GE11378" s="1" t="s">
        <v>190</v>
      </c>
    </row>
    <row r="11379" spans="1:187" ht="11.25" customHeight="1">
      <c r="A11379" s="1" t="s">
        <v>15965</v>
      </c>
      <c r="B11379" s="1" t="str">
        <f ca="1">IFERROR(__xludf.DUMMYFUNCTION("GOOGLETRANSLATE(A11379, ""en"", ""fr"")"),"Chaud # 1")</f>
        <v>Chaud # 1</v>
      </c>
      <c r="C11379" s="1" t="s">
        <v>185</v>
      </c>
      <c r="D11379" s="1" t="s">
        <v>16612</v>
      </c>
      <c r="F11379" s="1" t="s">
        <v>2</v>
      </c>
      <c r="CR11379" s="1" t="s">
        <v>92</v>
      </c>
      <c r="GD11379" s="1" t="s">
        <v>202</v>
      </c>
      <c r="GE11379" s="1" t="s">
        <v>15966</v>
      </c>
    </row>
    <row r="11380" spans="1:187" ht="11.25" customHeight="1">
      <c r="A11380" s="1" t="s">
        <v>15967</v>
      </c>
      <c r="B11380" s="1" t="str">
        <f ca="1">IFERROR(__xludf.DUMMYFUNCTION("GOOGLETRANSLATE(A11380, ""en"", ""fr"")"),"Chaud # 2")</f>
        <v>Chaud # 2</v>
      </c>
      <c r="C11380" s="1" t="s">
        <v>185</v>
      </c>
      <c r="D11380" s="1" t="s">
        <v>16612</v>
      </c>
      <c r="F11380" s="1" t="s">
        <v>2</v>
      </c>
      <c r="BU11380" s="1" t="s">
        <v>69</v>
      </c>
      <c r="DO11380" s="1" t="s">
        <v>115</v>
      </c>
      <c r="FN11380" s="1" t="s">
        <v>166</v>
      </c>
      <c r="GD11380" s="1" t="s">
        <v>189</v>
      </c>
      <c r="GE11380" s="1" t="s">
        <v>15968</v>
      </c>
    </row>
    <row r="11381" spans="1:187" ht="11.25" customHeight="1">
      <c r="A11381" s="1" t="s">
        <v>15969</v>
      </c>
      <c r="B11381" s="1" t="str">
        <f ca="1">IFERROR(__xludf.DUMMYFUNCTION("GOOGLETRANSLATE(A11381, ""en"", ""fr"")"),"Chaud # 3")</f>
        <v>Chaud # 3</v>
      </c>
      <c r="C11381" s="1" t="s">
        <v>185</v>
      </c>
      <c r="D11381" s="1" t="s">
        <v>16612</v>
      </c>
      <c r="F11381" s="1" t="s">
        <v>2</v>
      </c>
      <c r="CR11381" s="1" t="s">
        <v>92</v>
      </c>
      <c r="FX11381" s="1" t="s">
        <v>176</v>
      </c>
      <c r="GD11381" s="1" t="s">
        <v>236</v>
      </c>
      <c r="GE11381" s="1" t="s">
        <v>15970</v>
      </c>
    </row>
    <row r="11382" spans="1:187" ht="11.25" customHeight="1">
      <c r="A11382" s="1" t="s">
        <v>15971</v>
      </c>
      <c r="B11382" s="1" t="str">
        <f ca="1">IFERROR(__xludf.DUMMYFUNCTION("GOOGLETRANSLATE(A11382, ""en"", ""fr"")"),"Chaud # 4")</f>
        <v>Chaud # 4</v>
      </c>
      <c r="C11382" s="1" t="s">
        <v>185</v>
      </c>
      <c r="D11382" s="1" t="s">
        <v>16612</v>
      </c>
      <c r="F11382" s="1" t="s">
        <v>2</v>
      </c>
      <c r="CR11382" s="1" t="s">
        <v>92</v>
      </c>
      <c r="FX11382" s="1" t="s">
        <v>176</v>
      </c>
      <c r="GD11382" s="1" t="s">
        <v>202</v>
      </c>
      <c r="GE11382" s="1" t="s">
        <v>15972</v>
      </c>
    </row>
    <row r="11383" spans="1:187" ht="11.25" customHeight="1">
      <c r="A11383" s="1" t="s">
        <v>15973</v>
      </c>
      <c r="B11383" s="1" t="str">
        <f ca="1">IFERROR(__xludf.DUMMYFUNCTION("GOOGLETRANSLATE(A11383, ""en"", ""fr"")"),"Chaud # 5")</f>
        <v>Chaud # 5</v>
      </c>
      <c r="C11383" s="1" t="s">
        <v>185</v>
      </c>
      <c r="D11383" s="1" t="s">
        <v>16612</v>
      </c>
      <c r="F11383" s="1" t="s">
        <v>2</v>
      </c>
      <c r="CR11383" s="1" t="s">
        <v>92</v>
      </c>
      <c r="FX11383" s="1" t="s">
        <v>176</v>
      </c>
      <c r="GD11383" s="1" t="s">
        <v>202</v>
      </c>
      <c r="GE11383" s="1" t="s">
        <v>15974</v>
      </c>
    </row>
    <row r="11384" spans="1:187" ht="11.25" customHeight="1">
      <c r="A11384" s="1" t="s">
        <v>15975</v>
      </c>
      <c r="B11384" s="1" t="str">
        <f ca="1">IFERROR(__xludf.DUMMYFUNCTION("GOOGLETRANSLATE(A11384, ""en"", ""fr"")"),"CHALEUREUX")</f>
        <v>CHALEUREUX</v>
      </c>
      <c r="C11384" s="1" t="s">
        <v>192</v>
      </c>
      <c r="D11384" s="1" t="s">
        <v>16612</v>
      </c>
      <c r="P11384" s="1" t="s">
        <v>12</v>
      </c>
      <c r="U11384" s="1" t="s">
        <v>17</v>
      </c>
      <c r="DR11384" s="1" t="s">
        <v>118</v>
      </c>
      <c r="GD11384" s="1" t="s">
        <v>202</v>
      </c>
      <c r="GE11384" s="1" t="s">
        <v>190</v>
      </c>
    </row>
    <row r="11385" spans="1:187" ht="11.25" customHeight="1">
      <c r="A11385" s="1" t="s">
        <v>15976</v>
      </c>
      <c r="B11385" s="1" t="str">
        <f ca="1">IFERROR(__xludf.DUMMYFUNCTION("GOOGLETRANSLATE(A11385, ""en"", ""fr"")"),"CHALEUR")</f>
        <v>CHALEUR</v>
      </c>
      <c r="C11385" s="1" t="s">
        <v>185</v>
      </c>
      <c r="D11385" s="1" t="s">
        <v>16612</v>
      </c>
      <c r="F11385" s="1" t="s">
        <v>2</v>
      </c>
      <c r="T11385" s="1" t="s">
        <v>16</v>
      </c>
      <c r="CR11385" s="1" t="s">
        <v>92</v>
      </c>
      <c r="FX11385" s="1" t="s">
        <v>176</v>
      </c>
      <c r="GD11385" s="1" t="s">
        <v>193</v>
      </c>
      <c r="GE11385" s="1" t="s">
        <v>190</v>
      </c>
    </row>
    <row r="11386" spans="1:187" ht="11.25" customHeight="1">
      <c r="A11386" s="1" t="s">
        <v>15977</v>
      </c>
      <c r="B11386" s="1" t="str">
        <f ca="1">IFERROR(__xludf.DUMMYFUNCTION("GOOGLETRANSLATE(A11386, ""en"", ""fr"")"),"Avertir # 1")</f>
        <v>Avertir # 1</v>
      </c>
      <c r="C11386" s="1" t="s">
        <v>185</v>
      </c>
      <c r="N11386" s="1" t="s">
        <v>10</v>
      </c>
      <c r="BK11386" s="1" t="s">
        <v>59</v>
      </c>
      <c r="BL11386" s="1" t="s">
        <v>60</v>
      </c>
      <c r="FD11386" s="1" t="s">
        <v>156</v>
      </c>
      <c r="FI11386" s="1" t="s">
        <v>161</v>
      </c>
      <c r="GC11386" s="1" t="s">
        <v>181</v>
      </c>
      <c r="GD11386" s="1" t="s">
        <v>193</v>
      </c>
      <c r="GE11386" s="1" t="s">
        <v>15978</v>
      </c>
    </row>
    <row r="11387" spans="1:187" ht="11.25" customHeight="1">
      <c r="A11387" s="1" t="s">
        <v>15979</v>
      </c>
      <c r="B11387" s="1" t="str">
        <f ca="1">IFERROR(__xludf.DUMMYFUNCTION("GOOGLETRANSLATE(A11387, ""en"", ""fr"")"),"Warn # 2")</f>
        <v>Warn # 2</v>
      </c>
      <c r="C11387" s="1" t="s">
        <v>185</v>
      </c>
      <c r="N11387" s="1" t="s">
        <v>10</v>
      </c>
      <c r="BK11387" s="1" t="s">
        <v>59</v>
      </c>
      <c r="DN11387" s="1" t="s">
        <v>114</v>
      </c>
      <c r="FD11387" s="1" t="s">
        <v>156</v>
      </c>
      <c r="FI11387" s="1" t="s">
        <v>161</v>
      </c>
      <c r="GD11387" s="1" t="s">
        <v>400</v>
      </c>
      <c r="GE11387" s="1" t="s">
        <v>15980</v>
      </c>
    </row>
    <row r="11388" spans="1:187" ht="11.25" customHeight="1">
      <c r="A11388" s="1" t="s">
        <v>15981</v>
      </c>
      <c r="B11388" s="1" t="str">
        <f ca="1">IFERROR(__xludf.DUMMYFUNCTION("GOOGLETRANSLATE(A11388, ""en"", ""fr"")"),"CHAÎNE")</f>
        <v>CHAÎNE</v>
      </c>
      <c r="C11388" s="1" t="s">
        <v>192</v>
      </c>
      <c r="E11388" s="1" t="s">
        <v>16613</v>
      </c>
      <c r="N11388" s="1" t="s">
        <v>10</v>
      </c>
      <c r="DN11388" s="1" t="s">
        <v>114</v>
      </c>
      <c r="GD11388" s="1" t="s">
        <v>189</v>
      </c>
      <c r="GE11388" s="1" t="s">
        <v>190</v>
      </c>
    </row>
    <row r="11389" spans="1:187" ht="11.25" customHeight="1">
      <c r="A11389" s="1" t="s">
        <v>15982</v>
      </c>
      <c r="B11389" s="1" t="str">
        <f ca="1">IFERROR(__xludf.DUMMYFUNCTION("GOOGLETRANSLATE(A11389, ""en"", ""fr"")"),"Mandat n ° 1")</f>
        <v>Mandat n ° 1</v>
      </c>
      <c r="C11389" s="1" t="s">
        <v>185</v>
      </c>
      <c r="AE11389" s="1" t="s">
        <v>27</v>
      </c>
      <c r="BC11389" s="1" t="s">
        <v>51</v>
      </c>
      <c r="BH11389" s="1" t="s">
        <v>56</v>
      </c>
      <c r="BL11389" s="1" t="s">
        <v>60</v>
      </c>
      <c r="EC11389" s="1" t="s">
        <v>129</v>
      </c>
      <c r="ED11389" s="1" t="s">
        <v>130</v>
      </c>
      <c r="GD11389" s="1" t="s">
        <v>193</v>
      </c>
      <c r="GE11389" s="1" t="s">
        <v>190</v>
      </c>
    </row>
    <row r="11390" spans="1:187" ht="11.25" customHeight="1">
      <c r="A11390" s="1" t="s">
        <v>15983</v>
      </c>
      <c r="B11390" s="1" t="str">
        <f ca="1">IFERROR(__xludf.DUMMYFUNCTION("GOOGLETRANSLATE(A11390, ""en"", ""fr"")"),"Mandat n ° 2")</f>
        <v>Mandat n ° 2</v>
      </c>
      <c r="C11390" s="1" t="s">
        <v>185</v>
      </c>
      <c r="CO11390" s="1" t="s">
        <v>89</v>
      </c>
      <c r="DN11390" s="1" t="s">
        <v>114</v>
      </c>
      <c r="FP11390" s="1" t="s">
        <v>168</v>
      </c>
      <c r="GD11390" s="1" t="s">
        <v>189</v>
      </c>
      <c r="GE11390" s="1" t="s">
        <v>190</v>
      </c>
    </row>
    <row r="11391" spans="1:187" ht="11.25" customHeight="1">
      <c r="A11391" s="1" t="s">
        <v>15984</v>
      </c>
      <c r="B11391" s="1" t="str">
        <f ca="1">IFERROR(__xludf.DUMMYFUNCTION("GOOGLETRANSLATE(A11391, ""en"", ""fr"")"),"GUERRIER")</f>
        <v>GUERRIER</v>
      </c>
      <c r="C11391" s="1" t="s">
        <v>185</v>
      </c>
      <c r="I11391" s="1" t="s">
        <v>5</v>
      </c>
      <c r="J11391" s="1" t="s">
        <v>6</v>
      </c>
      <c r="N11391" s="1" t="s">
        <v>10</v>
      </c>
      <c r="AF11391" s="1" t="s">
        <v>28</v>
      </c>
      <c r="AJ11391" s="1" t="s">
        <v>32</v>
      </c>
      <c r="AT11391" s="1" t="s">
        <v>42</v>
      </c>
      <c r="GD11391" s="1" t="s">
        <v>193</v>
      </c>
      <c r="GE11391" s="1" t="s">
        <v>190</v>
      </c>
    </row>
    <row r="11392" spans="1:187" ht="11.25" customHeight="1">
      <c r="A11392" s="1" t="s">
        <v>15985</v>
      </c>
      <c r="B11392" s="1" t="str">
        <f ca="1">IFERROR(__xludf.DUMMYFUNCTION("GOOGLETRANSLATE(A11392, ""en"", ""fr"")"),"TEMPS DE GUERRE")</f>
        <v>TEMPS DE GUERRE</v>
      </c>
      <c r="C11392" s="1" t="s">
        <v>196</v>
      </c>
      <c r="DW11392" s="1" t="s">
        <v>123</v>
      </c>
      <c r="ED11392" s="1" t="s">
        <v>130</v>
      </c>
      <c r="GD11392" s="1" t="s">
        <v>193</v>
      </c>
    </row>
    <row r="11393" spans="1:187" ht="11.25" customHeight="1">
      <c r="A11393" s="1" t="s">
        <v>15986</v>
      </c>
      <c r="B11393" s="1" t="str">
        <f ca="1">IFERROR(__xludf.DUMMYFUNCTION("GOOGLETRANSLATE(A11393, ""en"", ""fr"")"),"MÉFIANT")</f>
        <v>MÉFIANT</v>
      </c>
      <c r="C11393" s="1" t="s">
        <v>185</v>
      </c>
      <c r="E11393" s="1" t="s">
        <v>16613</v>
      </c>
      <c r="Q11393" s="1" t="s">
        <v>13</v>
      </c>
      <c r="T11393" s="1" t="s">
        <v>16</v>
      </c>
      <c r="DR11393" s="1" t="s">
        <v>118</v>
      </c>
      <c r="FZ11393" s="1" t="s">
        <v>178</v>
      </c>
      <c r="GD11393" s="1" t="s">
        <v>202</v>
      </c>
      <c r="GE11393" s="1" t="s">
        <v>190</v>
      </c>
    </row>
    <row r="11394" spans="1:187" ht="11.25" customHeight="1">
      <c r="A11394" s="1" t="s">
        <v>15987</v>
      </c>
      <c r="B11394" s="1" t="str">
        <f ca="1">IFERROR(__xludf.DUMMYFUNCTION("GOOGLETRANSLATE(A11394, ""en"", ""fr"")"),"Était n ° 1")</f>
        <v>Était n ° 1</v>
      </c>
      <c r="C11394" s="1" t="s">
        <v>192</v>
      </c>
      <c r="GD11394" s="1" t="s">
        <v>1085</v>
      </c>
      <c r="GE11394" s="1" t="s">
        <v>190</v>
      </c>
    </row>
    <row r="11395" spans="1:187" ht="11.25" customHeight="1">
      <c r="A11395" s="1" t="s">
        <v>15988</v>
      </c>
      <c r="B11395" s="1" t="str">
        <f ca="1">IFERROR(__xludf.DUMMYFUNCTION("GOOGLETRANSLATE(A11395, ""en"", ""fr"")"),"Laver n ° 1")</f>
        <v>Laver n ° 1</v>
      </c>
      <c r="C11395" s="1" t="s">
        <v>185</v>
      </c>
      <c r="N11395" s="1" t="s">
        <v>10</v>
      </c>
      <c r="AL11395" s="1" t="s">
        <v>34</v>
      </c>
      <c r="DO11395" s="1" t="s">
        <v>115</v>
      </c>
      <c r="GD11395" s="1" t="s">
        <v>400</v>
      </c>
      <c r="GE11395" s="1" t="s">
        <v>15989</v>
      </c>
    </row>
    <row r="11396" spans="1:187" ht="11.25" customHeight="1">
      <c r="A11396" s="1" t="s">
        <v>15990</v>
      </c>
      <c r="B11396" s="1" t="str">
        <f ca="1">IFERROR(__xludf.DUMMYFUNCTION("GOOGLETRANSLATE(A11396, ""en"", ""fr"")"),"Lavage n ° 2")</f>
        <v>Lavage n ° 2</v>
      </c>
      <c r="C11396" s="1" t="s">
        <v>185</v>
      </c>
      <c r="N11396" s="1" t="s">
        <v>10</v>
      </c>
      <c r="CE11396" s="1" t="s">
        <v>79</v>
      </c>
      <c r="DN11396" s="1" t="s">
        <v>114</v>
      </c>
      <c r="GD11396" s="1" t="s">
        <v>189</v>
      </c>
      <c r="GE11396" s="1" t="s">
        <v>15991</v>
      </c>
    </row>
    <row r="11397" spans="1:187" ht="11.25" customHeight="1">
      <c r="A11397" s="1" t="s">
        <v>15992</v>
      </c>
      <c r="B11397" s="1" t="str">
        <f ca="1">IFERROR(__xludf.DUMMYFUNCTION("GOOGLETRANSLATE(A11397, ""en"", ""fr"")"),"Lavage n ° 3")</f>
        <v>Lavage n ° 3</v>
      </c>
      <c r="C11397" s="1" t="s">
        <v>185</v>
      </c>
      <c r="BC11397" s="1" t="s">
        <v>51</v>
      </c>
      <c r="BD11397" s="1" t="s">
        <v>52</v>
      </c>
      <c r="GD11397" s="1" t="s">
        <v>193</v>
      </c>
      <c r="GE11397" s="1" t="s">
        <v>15993</v>
      </c>
    </row>
    <row r="11398" spans="1:187" ht="11.25" customHeight="1">
      <c r="A11398" s="1" t="s">
        <v>15994</v>
      </c>
      <c r="B11398" s="1" t="str">
        <f ca="1">IFERROR(__xludf.DUMMYFUNCTION("GOOGLETRANSLATE(A11398, ""en"", ""fr"")"),"Lavage n ° 4")</f>
        <v>Lavage n ° 4</v>
      </c>
      <c r="C11398" s="1" t="s">
        <v>185</v>
      </c>
      <c r="AV11398" s="1" t="s">
        <v>44</v>
      </c>
      <c r="AZ11398" s="1" t="s">
        <v>48</v>
      </c>
      <c r="GD11398" s="1" t="s">
        <v>193</v>
      </c>
      <c r="GE11398" s="1" t="s">
        <v>15995</v>
      </c>
    </row>
    <row r="11399" spans="1:187" ht="11.25" customHeight="1">
      <c r="A11399" s="1" t="s">
        <v>15996</v>
      </c>
      <c r="B11399" s="1" t="str">
        <f ca="1">IFERROR(__xludf.DUMMYFUNCTION("GOOGLETRANSLATE(A11399, ""en"", ""fr"")"),"MACHINE À LAVER")</f>
        <v>MACHINE À LAVER</v>
      </c>
      <c r="C11399" s="1" t="s">
        <v>185</v>
      </c>
      <c r="BC11399" s="1" t="s">
        <v>51</v>
      </c>
      <c r="BD11399" s="1" t="s">
        <v>52</v>
      </c>
      <c r="GD11399" s="1" t="s">
        <v>193</v>
      </c>
      <c r="GE11399" s="1" t="s">
        <v>190</v>
      </c>
    </row>
    <row r="11400" spans="1:187" ht="11.25" customHeight="1">
      <c r="A11400" s="1" t="s">
        <v>15997</v>
      </c>
      <c r="B11400" s="1" t="str">
        <f ca="1">IFERROR(__xludf.DUMMYFUNCTION("GOOGLETRANSLATE(A11400, ""en"", ""fr"")"),"WASHINGTON")</f>
        <v>WASHINGTON</v>
      </c>
      <c r="C11400" s="1" t="s">
        <v>185</v>
      </c>
      <c r="AC11400" s="1" t="s">
        <v>25</v>
      </c>
      <c r="AH11400" s="1" t="s">
        <v>30</v>
      </c>
      <c r="DI11400" s="1" t="s">
        <v>109</v>
      </c>
      <c r="DV11400" s="1" t="s">
        <v>122</v>
      </c>
      <c r="ED11400" s="1" t="s">
        <v>130</v>
      </c>
      <c r="GD11400" s="1" t="s">
        <v>193</v>
      </c>
      <c r="GE11400" s="1" t="s">
        <v>190</v>
      </c>
    </row>
    <row r="11401" spans="1:187" ht="11.25" customHeight="1">
      <c r="A11401" s="1" t="s">
        <v>15998</v>
      </c>
      <c r="B11401" s="1" t="str">
        <f ca="1">IFERROR(__xludf.DUMMYFUNCTION("GOOGLETRANSLATE(A11401, ""en"", ""fr"")"),"Déchets n ° 1")</f>
        <v>Déchets n ° 1</v>
      </c>
      <c r="C11401" s="1" t="s">
        <v>185</v>
      </c>
      <c r="E11401" s="1" t="s">
        <v>16613</v>
      </c>
      <c r="H11401" s="1" t="s">
        <v>4</v>
      </c>
      <c r="L11401" s="1" t="s">
        <v>8</v>
      </c>
      <c r="V11401" s="1" t="s">
        <v>18</v>
      </c>
      <c r="AA11401" s="1" t="s">
        <v>23</v>
      </c>
      <c r="AC11401" s="1" t="s">
        <v>25</v>
      </c>
      <c r="GD11401" s="1" t="s">
        <v>193</v>
      </c>
      <c r="GE11401" s="1" t="s">
        <v>15999</v>
      </c>
    </row>
    <row r="11402" spans="1:187" ht="11.25" customHeight="1">
      <c r="A11402" s="1" t="s">
        <v>16000</v>
      </c>
      <c r="B11402" s="1" t="str">
        <f ca="1">IFERROR(__xludf.DUMMYFUNCTION("GOOGLETRANSLATE(A11402, ""en"", ""fr"")"),"Déchets n ° 2")</f>
        <v>Déchets n ° 2</v>
      </c>
      <c r="C11402" s="1" t="s">
        <v>185</v>
      </c>
      <c r="E11402" s="1" t="s">
        <v>16613</v>
      </c>
      <c r="H11402" s="1" t="s">
        <v>4</v>
      </c>
      <c r="L11402" s="1" t="s">
        <v>8</v>
      </c>
      <c r="AA11402" s="1" t="s">
        <v>23</v>
      </c>
      <c r="AL11402" s="1" t="s">
        <v>34</v>
      </c>
      <c r="DN11402" s="1" t="s">
        <v>114</v>
      </c>
      <c r="GD11402" s="1" t="s">
        <v>189</v>
      </c>
      <c r="GE11402" s="1" t="s">
        <v>16001</v>
      </c>
    </row>
    <row r="11403" spans="1:187" ht="11.25" customHeight="1">
      <c r="A11403" s="1" t="s">
        <v>16002</v>
      </c>
      <c r="B11403" s="1" t="str">
        <f ca="1">IFERROR(__xludf.DUMMYFUNCTION("GOOGLETRANSLATE(A11403, ""en"", ""fr"")"),"GASPILLEUR")</f>
        <v>GASPILLEUR</v>
      </c>
      <c r="C11403" s="1" t="s">
        <v>192</v>
      </c>
      <c r="E11403" s="1" t="s">
        <v>16613</v>
      </c>
      <c r="V11403" s="1" t="s">
        <v>18</v>
      </c>
      <c r="CM11403" s="1" t="s">
        <v>87</v>
      </c>
      <c r="DR11403" s="1" t="s">
        <v>118</v>
      </c>
      <c r="GD11403" s="1" t="s">
        <v>202</v>
      </c>
      <c r="GE11403" s="1" t="s">
        <v>190</v>
      </c>
    </row>
    <row r="11404" spans="1:187" ht="11.25" customHeight="1">
      <c r="A11404" s="1" t="s">
        <v>16003</v>
      </c>
      <c r="B11404" s="1" t="str">
        <f ca="1">IFERROR(__xludf.DUMMYFUNCTION("GOOGLETRANSLATE(A11404, ""en"", ""fr"")"),"GASPILLAGE")</f>
        <v>GASPILLAGE</v>
      </c>
      <c r="C11404" s="1" t="s">
        <v>192</v>
      </c>
      <c r="E11404" s="1" t="s">
        <v>16613</v>
      </c>
      <c r="V11404" s="1" t="s">
        <v>18</v>
      </c>
      <c r="CM11404" s="1" t="s">
        <v>87</v>
      </c>
      <c r="GD11404" s="1" t="s">
        <v>193</v>
      </c>
      <c r="GE11404" s="1" t="s">
        <v>190</v>
      </c>
    </row>
    <row r="11405" spans="1:187" ht="11.25" customHeight="1">
      <c r="A11405" s="1" t="s">
        <v>16004</v>
      </c>
      <c r="B11405" s="1" t="str">
        <f ca="1">IFERROR(__xludf.DUMMYFUNCTION("GOOGLETRANSLATE(A11405, ""en"", ""fr"")"),"Regardez # 1")</f>
        <v>Regardez # 1</v>
      </c>
      <c r="C11405" s="1" t="s">
        <v>185</v>
      </c>
      <c r="N11405" s="1" t="s">
        <v>10</v>
      </c>
      <c r="CK11405" s="1" t="s">
        <v>85</v>
      </c>
      <c r="DO11405" s="1" t="s">
        <v>115</v>
      </c>
      <c r="FD11405" s="1" t="s">
        <v>156</v>
      </c>
      <c r="FI11405" s="1" t="s">
        <v>161</v>
      </c>
      <c r="GD11405" s="1" t="s">
        <v>400</v>
      </c>
      <c r="GE11405" s="1" t="s">
        <v>16005</v>
      </c>
    </row>
    <row r="11406" spans="1:187" ht="11.25" customHeight="1">
      <c r="A11406" s="1" t="s">
        <v>16006</v>
      </c>
      <c r="B11406" s="1" t="str">
        <f ca="1">IFERROR(__xludf.DUMMYFUNCTION("GOOGLETRANSLATE(A11406, ""en"", ""fr"")"),"Regarder # 2")</f>
        <v>Regarder # 2</v>
      </c>
      <c r="C11406" s="1" t="s">
        <v>185</v>
      </c>
      <c r="N11406" s="1" t="s">
        <v>10</v>
      </c>
      <c r="CO11406" s="1" t="s">
        <v>89</v>
      </c>
      <c r="DN11406" s="1" t="s">
        <v>114</v>
      </c>
      <c r="FZ11406" s="1" t="s">
        <v>178</v>
      </c>
      <c r="GD11406" s="1" t="s">
        <v>189</v>
      </c>
      <c r="GE11406" s="1" t="s">
        <v>16007</v>
      </c>
    </row>
    <row r="11407" spans="1:187" ht="11.25" customHeight="1">
      <c r="A11407" s="1" t="s">
        <v>16008</v>
      </c>
      <c r="B11407" s="1" t="str">
        <f ca="1">IFERROR(__xludf.DUMMYFUNCTION("GOOGLETRANSLATE(A11407, ""en"", ""fr"")"),"Regarder # 3")</f>
        <v>Regarder # 3</v>
      </c>
      <c r="C11407" s="1" t="s">
        <v>185</v>
      </c>
      <c r="BC11407" s="1" t="s">
        <v>51</v>
      </c>
      <c r="BD11407" s="1" t="s">
        <v>52</v>
      </c>
      <c r="GB11407" s="1" t="s">
        <v>180</v>
      </c>
      <c r="GD11407" s="1" t="s">
        <v>193</v>
      </c>
      <c r="GE11407" s="1" t="s">
        <v>16009</v>
      </c>
    </row>
    <row r="11408" spans="1:187" ht="11.25" customHeight="1">
      <c r="A11408" s="1" t="s">
        <v>16010</v>
      </c>
      <c r="B11408" s="1" t="str">
        <f ca="1">IFERROR(__xludf.DUMMYFUNCTION("GOOGLETRANSLATE(A11408, ""en"", ""fr"")"),"Regarder # 4")</f>
        <v>Regarder # 4</v>
      </c>
      <c r="C11408" s="1" t="s">
        <v>185</v>
      </c>
      <c r="BK11408" s="1" t="s">
        <v>59</v>
      </c>
      <c r="DN11408" s="1" t="s">
        <v>114</v>
      </c>
      <c r="DW11408" s="1" t="s">
        <v>123</v>
      </c>
      <c r="ED11408" s="1" t="s">
        <v>130</v>
      </c>
      <c r="GD11408" s="1" t="s">
        <v>189</v>
      </c>
      <c r="GE11408" s="1" t="s">
        <v>16011</v>
      </c>
    </row>
    <row r="11409" spans="1:187" ht="11.25" customHeight="1">
      <c r="A11409" s="1" t="s">
        <v>16012</v>
      </c>
      <c r="B11409" s="1" t="str">
        <f ca="1">IFERROR(__xludf.DUMMYFUNCTION("GOOGLETRANSLATE(A11409, ""en"", ""fr"")"),"Regarder # 5")</f>
        <v>Regarder # 5</v>
      </c>
      <c r="C11409" s="1" t="s">
        <v>185</v>
      </c>
      <c r="CK11409" s="1" t="s">
        <v>85</v>
      </c>
      <c r="DN11409" s="1" t="s">
        <v>114</v>
      </c>
      <c r="FH11409" s="1" t="s">
        <v>160</v>
      </c>
      <c r="FI11409" s="1" t="s">
        <v>161</v>
      </c>
      <c r="GD11409" s="1" t="s">
        <v>189</v>
      </c>
      <c r="GE11409" s="1" t="s">
        <v>16013</v>
      </c>
    </row>
    <row r="11410" spans="1:187" ht="11.25" customHeight="1">
      <c r="A11410" s="1" t="s">
        <v>16014</v>
      </c>
      <c r="B11410" s="1" t="str">
        <f ca="1">IFERROR(__xludf.DUMMYFUNCTION("GOOGLETRANSLATE(A11410, ""en"", ""fr"")"),"Regarder # 6")</f>
        <v>Regarder # 6</v>
      </c>
      <c r="C11410" s="1" t="s">
        <v>185</v>
      </c>
      <c r="S11410" s="1" t="s">
        <v>15</v>
      </c>
      <c r="DN11410" s="1" t="s">
        <v>114</v>
      </c>
      <c r="GD11410" s="1" t="s">
        <v>189</v>
      </c>
      <c r="GE11410" s="1" t="s">
        <v>16015</v>
      </c>
    </row>
    <row r="11411" spans="1:187" ht="11.25" customHeight="1">
      <c r="A11411" s="1" t="s">
        <v>16016</v>
      </c>
      <c r="B11411" s="1" t="str">
        <f ca="1">IFERROR(__xludf.DUMMYFUNCTION("GOOGLETRANSLATE(A11411, ""en"", ""fr"")"),"VIGILANT")</f>
        <v>VIGILANT</v>
      </c>
      <c r="C11411" s="1" t="s">
        <v>185</v>
      </c>
      <c r="CK11411" s="1" t="s">
        <v>85</v>
      </c>
      <c r="FZ11411" s="1" t="s">
        <v>178</v>
      </c>
      <c r="GD11411" s="1" t="s">
        <v>202</v>
      </c>
      <c r="GE11411" s="1" t="s">
        <v>190</v>
      </c>
    </row>
    <row r="11412" spans="1:187" ht="11.25" customHeight="1">
      <c r="A11412" s="1" t="s">
        <v>16017</v>
      </c>
      <c r="B11412" s="1" t="str">
        <f ca="1">IFERROR(__xludf.DUMMYFUNCTION("GOOGLETRANSLATE(A11412, ""en"", ""fr"")"),"Eau n ° 1")</f>
        <v>Eau n ° 1</v>
      </c>
      <c r="C11412" s="1" t="s">
        <v>185</v>
      </c>
      <c r="AV11412" s="1" t="s">
        <v>44</v>
      </c>
      <c r="AZ11412" s="1" t="s">
        <v>48</v>
      </c>
      <c r="GD11412" s="1" t="s">
        <v>849</v>
      </c>
      <c r="GE11412" s="1" t="s">
        <v>16018</v>
      </c>
    </row>
    <row r="11413" spans="1:187" ht="11.25" customHeight="1">
      <c r="A11413" s="1" t="s">
        <v>16019</v>
      </c>
      <c r="B11413" s="1" t="str">
        <f ca="1">IFERROR(__xludf.DUMMYFUNCTION("GOOGLETRANSLATE(A11413, ""en"", ""fr"")"),"Eau n ° 2")</f>
        <v>Eau n ° 2</v>
      </c>
      <c r="C11413" s="1" t="s">
        <v>185</v>
      </c>
      <c r="AL11413" s="1" t="s">
        <v>34</v>
      </c>
      <c r="DN11413" s="1" t="s">
        <v>114</v>
      </c>
      <c r="GD11413" s="1" t="s">
        <v>189</v>
      </c>
      <c r="GE11413" s="1" t="s">
        <v>16020</v>
      </c>
    </row>
    <row r="11414" spans="1:187" ht="11.25" customHeight="1">
      <c r="A11414" s="1" t="s">
        <v>16021</v>
      </c>
      <c r="B11414" s="1" t="str">
        <f ca="1">IFERROR(__xludf.DUMMYFUNCTION("GOOGLETRANSLATE(A11414, ""en"", ""fr"")"),"Front de mer")</f>
        <v>Front de mer</v>
      </c>
      <c r="C11414" s="1" t="s">
        <v>185</v>
      </c>
      <c r="AC11414" s="1" t="s">
        <v>25</v>
      </c>
      <c r="AV11414" s="1" t="s">
        <v>44</v>
      </c>
      <c r="AW11414" s="1" t="s">
        <v>45</v>
      </c>
      <c r="GD11414" s="1" t="s">
        <v>193</v>
      </c>
      <c r="GE11414" s="1" t="s">
        <v>190</v>
      </c>
    </row>
    <row r="11415" spans="1:187" ht="11.25" customHeight="1">
      <c r="A11415" s="1" t="s">
        <v>16022</v>
      </c>
      <c r="B11415" s="1" t="str">
        <f ca="1">IFERROR(__xludf.DUMMYFUNCTION("GOOGLETRANSLATE(A11415, ""en"", ""fr"")"),"VOIE NAVIGABLE")</f>
        <v>VOIE NAVIGABLE</v>
      </c>
      <c r="C11415" s="1" t="s">
        <v>196</v>
      </c>
      <c r="GD11415" s="1" t="s">
        <v>193</v>
      </c>
    </row>
    <row r="11416" spans="1:187" ht="11.25" customHeight="1">
      <c r="A11416" s="1" t="s">
        <v>16023</v>
      </c>
      <c r="B11416" s="1" t="str">
        <f ca="1">IFERROR(__xludf.DUMMYFUNCTION("GOOGLETRANSLATE(A11416, ""en"", ""fr"")"),"Vague n ° 1")</f>
        <v>Vague n ° 1</v>
      </c>
      <c r="C11416" s="1" t="s">
        <v>185</v>
      </c>
      <c r="AV11416" s="1" t="s">
        <v>44</v>
      </c>
      <c r="AZ11416" s="1" t="s">
        <v>48</v>
      </c>
      <c r="GD11416" s="1" t="s">
        <v>193</v>
      </c>
      <c r="GE11416" s="1" t="s">
        <v>190</v>
      </c>
    </row>
    <row r="11417" spans="1:187" ht="11.25" customHeight="1">
      <c r="A11417" s="1" t="s">
        <v>16024</v>
      </c>
      <c r="B11417" s="1" t="str">
        <f ca="1">IFERROR(__xludf.DUMMYFUNCTION("GOOGLETRANSLATE(A11417, ""en"", ""fr"")"),"Vague n ° 2")</f>
        <v>Vague n ° 2</v>
      </c>
      <c r="C11417" s="1" t="s">
        <v>185</v>
      </c>
      <c r="AD11417" s="1" t="s">
        <v>26</v>
      </c>
      <c r="BK11417" s="1" t="s">
        <v>59</v>
      </c>
      <c r="DO11417" s="1" t="s">
        <v>115</v>
      </c>
      <c r="GD11417" s="1" t="s">
        <v>189</v>
      </c>
      <c r="GE11417" s="1" t="s">
        <v>190</v>
      </c>
    </row>
    <row r="11418" spans="1:187" ht="11.25" customHeight="1">
      <c r="A11418" s="1" t="s">
        <v>16025</v>
      </c>
      <c r="B11418" s="1" t="str">
        <f ca="1">IFERROR(__xludf.DUMMYFUNCTION("GOOGLETRANSLATE(A11418, ""en"", ""fr"")"),"VACILLER")</f>
        <v>VACILLER</v>
      </c>
      <c r="C11418" s="1" t="s">
        <v>185</v>
      </c>
      <c r="L11418" s="1" t="s">
        <v>8</v>
      </c>
      <c r="BW11418" s="1" t="s">
        <v>71</v>
      </c>
      <c r="DN11418" s="1" t="s">
        <v>114</v>
      </c>
      <c r="GD11418" s="1" t="s">
        <v>189</v>
      </c>
      <c r="GE11418" s="1" t="s">
        <v>190</v>
      </c>
    </row>
    <row r="11419" spans="1:187" ht="11.25" customHeight="1">
      <c r="A11419" s="1" t="s">
        <v>16026</v>
      </c>
      <c r="B11419" s="1" t="str">
        <f ca="1">IFERROR(__xludf.DUMMYFUNCTION("GOOGLETRANSLATE(A11419, ""en"", ""fr"")"),"Cire n ° 1")</f>
        <v>Cire n ° 1</v>
      </c>
      <c r="C11419" s="1" t="s">
        <v>185</v>
      </c>
      <c r="BC11419" s="1" t="s">
        <v>51</v>
      </c>
      <c r="BD11419" s="1" t="s">
        <v>52</v>
      </c>
      <c r="GD11419" s="1" t="s">
        <v>193</v>
      </c>
      <c r="GE11419" s="1" t="s">
        <v>190</v>
      </c>
    </row>
    <row r="11420" spans="1:187" ht="11.25" customHeight="1">
      <c r="A11420" s="1" t="s">
        <v>16027</v>
      </c>
      <c r="B11420" s="1" t="str">
        <f ca="1">IFERROR(__xludf.DUMMYFUNCTION("GOOGLETRANSLATE(A11420, ""en"", ""fr"")"),"Cire n ° 2")</f>
        <v>Cire n ° 2</v>
      </c>
      <c r="C11420" s="1" t="s">
        <v>185</v>
      </c>
      <c r="AL11420" s="1" t="s">
        <v>34</v>
      </c>
      <c r="DN11420" s="1" t="s">
        <v>114</v>
      </c>
      <c r="GD11420" s="1" t="s">
        <v>189</v>
      </c>
      <c r="GE11420" s="1" t="s">
        <v>190</v>
      </c>
    </row>
    <row r="11421" spans="1:187" ht="11.25" customHeight="1">
      <c r="A11421" s="1" t="s">
        <v>16028</v>
      </c>
      <c r="B11421" s="1" t="str">
        <f ca="1">IFERROR(__xludf.DUMMYFUNCTION("GOOGLETRANSLATE(A11421, ""en"", ""fr"")"),"Way # 1")</f>
        <v>Way # 1</v>
      </c>
      <c r="C11421" s="1" t="s">
        <v>185</v>
      </c>
      <c r="BQ11421" s="1" t="s">
        <v>65</v>
      </c>
      <c r="GD11421" s="1" t="s">
        <v>193</v>
      </c>
      <c r="GE11421" s="1" t="s">
        <v>16029</v>
      </c>
    </row>
    <row r="11422" spans="1:187" ht="11.25" customHeight="1">
      <c r="A11422" s="1" t="s">
        <v>16030</v>
      </c>
      <c r="B11422" s="1" t="str">
        <f ca="1">IFERROR(__xludf.DUMMYFUNCTION("GOOGLETRANSLATE(A11422, ""en"", ""fr"")"),"Way # 10")</f>
        <v>Way # 10</v>
      </c>
      <c r="C11422" s="1" t="s">
        <v>196</v>
      </c>
      <c r="DS11422" s="1" t="s">
        <v>119</v>
      </c>
      <c r="ED11422" s="1" t="s">
        <v>130</v>
      </c>
      <c r="GD11422" s="1" t="s">
        <v>189</v>
      </c>
    </row>
    <row r="11423" spans="1:187" ht="11.25" customHeight="1">
      <c r="A11423" s="1" t="s">
        <v>16031</v>
      </c>
      <c r="B11423" s="1" t="str">
        <f ca="1">IFERROR(__xludf.DUMMYFUNCTION("GOOGLETRANSLATE(A11423, ""en"", ""fr"")"),"Voie n ° 11")</f>
        <v>Voie n ° 11</v>
      </c>
      <c r="C11423" s="1" t="s">
        <v>196</v>
      </c>
      <c r="GD11423" s="1" t="s">
        <v>215</v>
      </c>
    </row>
    <row r="11424" spans="1:187" ht="11.25" customHeight="1">
      <c r="A11424" s="1" t="s">
        <v>16032</v>
      </c>
      <c r="B11424" s="1" t="str">
        <f ca="1">IFERROR(__xludf.DUMMYFUNCTION("GOOGLETRANSLATE(A11424, ""en"", ""fr"")"),"Voie n ° 12")</f>
        <v>Voie n ° 12</v>
      </c>
      <c r="C11424" s="1" t="s">
        <v>196</v>
      </c>
      <c r="GD11424" s="1" t="s">
        <v>189</v>
      </c>
    </row>
    <row r="11425" spans="1:187" ht="11.25" customHeight="1">
      <c r="A11425" s="1" t="s">
        <v>16033</v>
      </c>
      <c r="B11425" s="1" t="str">
        <f ca="1">IFERROR(__xludf.DUMMYFUNCTION("GOOGLETRANSLATE(A11425, ""en"", ""fr"")"),"Voie n ° 2")</f>
        <v>Voie n ° 2</v>
      </c>
      <c r="C11425" s="1" t="s">
        <v>185</v>
      </c>
      <c r="AV11425" s="1" t="s">
        <v>44</v>
      </c>
      <c r="AY11425" s="1" t="s">
        <v>47</v>
      </c>
      <c r="GD11425" s="1" t="s">
        <v>193</v>
      </c>
      <c r="GE11425" s="1" t="s">
        <v>16034</v>
      </c>
    </row>
    <row r="11426" spans="1:187" ht="11.25" customHeight="1">
      <c r="A11426" s="1" t="s">
        <v>16035</v>
      </c>
      <c r="B11426" s="1" t="str">
        <f ca="1">IFERROR(__xludf.DUMMYFUNCTION("GOOGLETRANSLATE(A11426, ""en"", ""fr"")"),"Voie n ° 3")</f>
        <v>Voie n ° 3</v>
      </c>
      <c r="C11426" s="1" t="s">
        <v>185</v>
      </c>
      <c r="DA11426" s="1" t="s">
        <v>101</v>
      </c>
      <c r="GD11426" s="1" t="s">
        <v>193</v>
      </c>
      <c r="GE11426" s="1" t="s">
        <v>16036</v>
      </c>
    </row>
    <row r="11427" spans="1:187" ht="11.25" customHeight="1">
      <c r="A11427" s="1" t="s">
        <v>16037</v>
      </c>
      <c r="B11427" s="1" t="str">
        <f ca="1">IFERROR(__xludf.DUMMYFUNCTION("GOOGLETRANSLATE(A11427, ""en"", ""fr"")"),"Way # 4")</f>
        <v>Way # 4</v>
      </c>
      <c r="C11427" s="1" t="s">
        <v>185</v>
      </c>
      <c r="DA11427" s="1" t="s">
        <v>101</v>
      </c>
      <c r="GD11427" s="1" t="s">
        <v>236</v>
      </c>
      <c r="GE11427" s="1" t="s">
        <v>16038</v>
      </c>
    </row>
    <row r="11428" spans="1:187" ht="11.25" customHeight="1">
      <c r="A11428" s="1" t="s">
        <v>16039</v>
      </c>
      <c r="B11428" s="1" t="str">
        <f ca="1">IFERROR(__xludf.DUMMYFUNCTION("GOOGLETRANSLATE(A11428, ""en"", ""fr"")"),"Voie n ° 5")</f>
        <v>Voie n ° 5</v>
      </c>
      <c r="C11428" s="1" t="s">
        <v>185</v>
      </c>
      <c r="AN11428" s="1" t="s">
        <v>36</v>
      </c>
      <c r="GD11428" s="1" t="s">
        <v>225</v>
      </c>
      <c r="GE11428" s="1" t="s">
        <v>16040</v>
      </c>
    </row>
    <row r="11429" spans="1:187" ht="11.25" customHeight="1">
      <c r="A11429" s="1" t="s">
        <v>16041</v>
      </c>
      <c r="B11429" s="1" t="str">
        <f ca="1">IFERROR(__xludf.DUMMYFUNCTION("GOOGLETRANSLATE(A11429, ""en"", ""fr"")"),"Voie n ° 6")</f>
        <v>Voie n ° 6</v>
      </c>
      <c r="C11429" s="1" t="s">
        <v>185</v>
      </c>
      <c r="X11429" s="1" t="s">
        <v>20</v>
      </c>
      <c r="BK11429" s="1" t="s">
        <v>59</v>
      </c>
      <c r="DM11429" s="1" t="s">
        <v>113</v>
      </c>
      <c r="GD11429" s="1" t="s">
        <v>236</v>
      </c>
      <c r="GE11429" s="1" t="s">
        <v>16042</v>
      </c>
    </row>
    <row r="11430" spans="1:187" ht="11.25" customHeight="1">
      <c r="A11430" s="1" t="s">
        <v>16043</v>
      </c>
      <c r="B11430" s="1" t="str">
        <f ca="1">IFERROR(__xludf.DUMMYFUNCTION("GOOGLETRANSLATE(A11430, ""en"", ""fr"")"),"Voie n ° 7")</f>
        <v>Voie n ° 7</v>
      </c>
      <c r="C11430" s="1" t="s">
        <v>185</v>
      </c>
      <c r="J11430" s="1" t="s">
        <v>6</v>
      </c>
      <c r="CE11430" s="1" t="s">
        <v>79</v>
      </c>
      <c r="GD11430" s="1" t="s">
        <v>202</v>
      </c>
      <c r="GE11430" s="1" t="s">
        <v>16044</v>
      </c>
    </row>
    <row r="11431" spans="1:187" ht="11.25" customHeight="1">
      <c r="A11431" s="1" t="s">
        <v>16045</v>
      </c>
      <c r="B11431" s="1" t="str">
        <f ca="1">IFERROR(__xludf.DUMMYFUNCTION("GOOGLETRANSLATE(A11431, ""en"", ""fr"")"),"Voie n ° 8")</f>
        <v>Voie n ° 8</v>
      </c>
      <c r="C11431" s="1" t="s">
        <v>185</v>
      </c>
      <c r="BU11431" s="1" t="s">
        <v>69</v>
      </c>
      <c r="EM11431" s="1" t="s">
        <v>139</v>
      </c>
      <c r="EN11431" s="1" t="s">
        <v>140</v>
      </c>
      <c r="GD11431" s="1" t="s">
        <v>202</v>
      </c>
      <c r="GE11431" s="1" t="s">
        <v>16046</v>
      </c>
    </row>
    <row r="11432" spans="1:187" ht="11.25" customHeight="1">
      <c r="A11432" s="1" t="s">
        <v>16047</v>
      </c>
      <c r="B11432" s="1" t="str">
        <f ca="1">IFERROR(__xludf.DUMMYFUNCTION("GOOGLETRANSLATE(A11432, ""en"", ""fr"")"),"Voie n ° 9")</f>
        <v>Voie n ° 9</v>
      </c>
      <c r="C11432" s="1" t="s">
        <v>185</v>
      </c>
      <c r="DD11432" s="1" t="s">
        <v>104</v>
      </c>
      <c r="GD11432" s="1" t="s">
        <v>763</v>
      </c>
      <c r="GE11432" s="1" t="s">
        <v>16048</v>
      </c>
    </row>
    <row r="11433" spans="1:187" ht="11.25" customHeight="1">
      <c r="A11433" s="1" t="s">
        <v>16049</v>
      </c>
      <c r="B11433" s="1" t="str">
        <f ca="1">IFERROR(__xludf.DUMMYFUNCTION("GOOGLETRANSLATE(A11433, ""en"", ""fr"")"),"Façon # _10")</f>
        <v>Façon # _10</v>
      </c>
      <c r="C11433" s="1" t="s">
        <v>192</v>
      </c>
      <c r="K11433" s="1" t="s">
        <v>7</v>
      </c>
      <c r="AN11433" s="1" t="s">
        <v>36</v>
      </c>
      <c r="DN11433" s="1" t="s">
        <v>114</v>
      </c>
      <c r="GD11433" s="1" t="s">
        <v>189</v>
      </c>
      <c r="GE11433" s="1" t="s">
        <v>16050</v>
      </c>
    </row>
    <row r="11434" spans="1:187" ht="11.25" customHeight="1">
      <c r="A11434" s="1" t="s">
        <v>16051</v>
      </c>
      <c r="B11434" s="1" t="str">
        <f ca="1">IFERROR(__xludf.DUMMYFUNCTION("GOOGLETRANSLATE(A11434, ""en"", ""fr"")"),"Façon # _11")</f>
        <v>Façon # _11</v>
      </c>
      <c r="C11434" s="1" t="s">
        <v>192</v>
      </c>
      <c r="BQ11434" s="1" t="s">
        <v>65</v>
      </c>
      <c r="GD11434" s="1" t="s">
        <v>215</v>
      </c>
      <c r="GE11434" s="1" t="s">
        <v>16052</v>
      </c>
    </row>
    <row r="11435" spans="1:187" ht="11.25" customHeight="1">
      <c r="A11435" s="1" t="s">
        <v>16053</v>
      </c>
      <c r="B11435" s="1" t="str">
        <f ca="1">IFERROR(__xludf.DUMMYFUNCTION("GOOGLETRANSLATE(A11435, ""en"", ""fr"")"),"Façon # _12")</f>
        <v>Façon # _12</v>
      </c>
      <c r="C11435" s="1" t="s">
        <v>192</v>
      </c>
      <c r="G11435" s="1" t="s">
        <v>3</v>
      </c>
      <c r="J11435" s="1" t="s">
        <v>6</v>
      </c>
      <c r="N11435" s="1" t="s">
        <v>10</v>
      </c>
      <c r="AN11435" s="1" t="s">
        <v>36</v>
      </c>
      <c r="DN11435" s="1" t="s">
        <v>114</v>
      </c>
      <c r="GD11435" s="1" t="s">
        <v>189</v>
      </c>
      <c r="GE11435" s="1" t="s">
        <v>16054</v>
      </c>
    </row>
    <row r="11436" spans="1:187" ht="11.25" customHeight="1">
      <c r="A11436" s="1" t="s">
        <v>16055</v>
      </c>
      <c r="B11436" s="1" t="str">
        <f ca="1">IFERROR(__xludf.DUMMYFUNCTION("GOOGLETRANSLATE(A11436, ""en"", ""fr"")"),"REBELLE")</f>
        <v>REBELLE</v>
      </c>
      <c r="C11436" s="1" t="s">
        <v>192</v>
      </c>
      <c r="E11436" s="1" t="s">
        <v>16613</v>
      </c>
      <c r="L11436" s="1" t="s">
        <v>8</v>
      </c>
      <c r="DR11436" s="1" t="s">
        <v>118</v>
      </c>
      <c r="GD11436" s="1" t="s">
        <v>202</v>
      </c>
      <c r="GE11436" s="1" t="s">
        <v>190</v>
      </c>
    </row>
    <row r="11437" spans="1:187" ht="11.25" customHeight="1">
      <c r="A11437" s="1" t="s">
        <v>16056</v>
      </c>
      <c r="B11437" s="1" t="str">
        <f ca="1">IFERROR(__xludf.DUMMYFUNCTION("GOOGLETRANSLATE(A11437, ""en"", ""fr"")"),"NOUS")</f>
        <v>NOUS</v>
      </c>
      <c r="C11437" s="1" t="s">
        <v>185</v>
      </c>
      <c r="DG11437" s="1" t="s">
        <v>107</v>
      </c>
      <c r="GD11437" s="1" t="s">
        <v>16057</v>
      </c>
      <c r="GE11437" s="1" t="s">
        <v>16058</v>
      </c>
    </row>
    <row r="11438" spans="1:187" ht="11.25" customHeight="1">
      <c r="A11438" s="1" t="s">
        <v>16059</v>
      </c>
      <c r="B11438" s="1" t="str">
        <f ca="1">IFERROR(__xludf.DUMMYFUNCTION("GOOGLETRANSLATE(A11438, ""en"", ""fr"")"),"Faible n ° 1")</f>
        <v>Faible n ° 1</v>
      </c>
      <c r="C11438" s="1" t="s">
        <v>185</v>
      </c>
      <c r="L11438" s="1" t="s">
        <v>8</v>
      </c>
      <c r="X11438" s="1" t="s">
        <v>20</v>
      </c>
      <c r="CN11438" s="1" t="s">
        <v>88</v>
      </c>
      <c r="CR11438" s="1" t="s">
        <v>92</v>
      </c>
      <c r="DU11438" s="1" t="s">
        <v>121</v>
      </c>
      <c r="ED11438" s="1" t="s">
        <v>130</v>
      </c>
      <c r="GD11438" s="1" t="s">
        <v>421</v>
      </c>
      <c r="GE11438" s="1" t="s">
        <v>16060</v>
      </c>
    </row>
    <row r="11439" spans="1:187" ht="11.25" customHeight="1">
      <c r="A11439" s="1" t="s">
        <v>16061</v>
      </c>
      <c r="B11439" s="1" t="str">
        <f ca="1">IFERROR(__xludf.DUMMYFUNCTION("GOOGLETRANSLATE(A11439, ""en"", ""fr"")"),"Faible # 2")</f>
        <v>Faible # 2</v>
      </c>
      <c r="C11439" s="1" t="s">
        <v>185</v>
      </c>
      <c r="L11439" s="1" t="s">
        <v>8</v>
      </c>
      <c r="X11439" s="1" t="s">
        <v>20</v>
      </c>
      <c r="CN11439" s="1" t="s">
        <v>88</v>
      </c>
      <c r="CR11439" s="1" t="s">
        <v>92</v>
      </c>
      <c r="DU11439" s="1" t="s">
        <v>121</v>
      </c>
      <c r="ED11439" s="1" t="s">
        <v>130</v>
      </c>
      <c r="GD11439" s="1" t="s">
        <v>202</v>
      </c>
      <c r="GE11439" s="1" t="s">
        <v>16062</v>
      </c>
    </row>
    <row r="11440" spans="1:187" ht="11.25" customHeight="1">
      <c r="A11440" s="1" t="s">
        <v>16063</v>
      </c>
      <c r="B11440" s="1" t="str">
        <f ca="1">IFERROR(__xludf.DUMMYFUNCTION("GOOGLETRANSLATE(A11440, ""en"", ""fr"")"),"AFFAIBLIR")</f>
        <v>AFFAIBLIR</v>
      </c>
      <c r="C11440" s="1" t="s">
        <v>185</v>
      </c>
      <c r="E11440" s="1" t="s">
        <v>16613</v>
      </c>
      <c r="L11440" s="1" t="s">
        <v>8</v>
      </c>
      <c r="M11440" s="1" t="s">
        <v>9</v>
      </c>
      <c r="BT11440" s="1" t="s">
        <v>68</v>
      </c>
      <c r="BY11440" s="1" t="s">
        <v>73</v>
      </c>
      <c r="DN11440" s="1" t="s">
        <v>114</v>
      </c>
      <c r="DT11440" s="1" t="s">
        <v>120</v>
      </c>
      <c r="ED11440" s="1" t="s">
        <v>130</v>
      </c>
      <c r="GD11440" s="1" t="s">
        <v>189</v>
      </c>
      <c r="GE11440" s="1" t="s">
        <v>190</v>
      </c>
    </row>
    <row r="11441" spans="1:187" ht="11.25" customHeight="1">
      <c r="A11441" s="1" t="s">
        <v>16064</v>
      </c>
      <c r="B11441" s="1" t="str">
        <f ca="1">IFERROR(__xludf.DUMMYFUNCTION("GOOGLETRANSLATE(A11441, ""en"", ""fr"")"),"FAIBLEMENT")</f>
        <v>FAIBLEMENT</v>
      </c>
      <c r="C11441" s="1" t="s">
        <v>185</v>
      </c>
      <c r="L11441" s="1" t="s">
        <v>8</v>
      </c>
      <c r="M11441" s="1" t="s">
        <v>9</v>
      </c>
      <c r="X11441" s="1" t="s">
        <v>20</v>
      </c>
      <c r="CR11441" s="1" t="s">
        <v>92</v>
      </c>
      <c r="GD11441" s="1" t="s">
        <v>202</v>
      </c>
      <c r="GE11441" s="1" t="s">
        <v>190</v>
      </c>
    </row>
    <row r="11442" spans="1:187" ht="11.25" customHeight="1">
      <c r="A11442" s="1" t="s">
        <v>16065</v>
      </c>
      <c r="B11442" s="1" t="str">
        <f ca="1">IFERROR(__xludf.DUMMYFUNCTION("GOOGLETRANSLATE(A11442, ""en"", ""fr"")"),"FAIBLESSE")</f>
        <v>FAIBLESSE</v>
      </c>
      <c r="C11442" s="1" t="s">
        <v>185</v>
      </c>
      <c r="L11442" s="1" t="s">
        <v>8</v>
      </c>
      <c r="V11442" s="1" t="s">
        <v>18</v>
      </c>
      <c r="X11442" s="1" t="s">
        <v>20</v>
      </c>
      <c r="CP11442" s="1" t="s">
        <v>90</v>
      </c>
      <c r="CQ11442" s="1" t="s">
        <v>91</v>
      </c>
      <c r="DU11442" s="1" t="s">
        <v>121</v>
      </c>
      <c r="ED11442" s="1" t="s">
        <v>130</v>
      </c>
      <c r="GD11442" s="1" t="s">
        <v>193</v>
      </c>
      <c r="GE11442" s="1" t="s">
        <v>190</v>
      </c>
    </row>
    <row r="11443" spans="1:187" ht="11.25" customHeight="1">
      <c r="A11443" s="1" t="s">
        <v>16066</v>
      </c>
      <c r="B11443" s="1" t="str">
        <f ca="1">IFERROR(__xludf.DUMMYFUNCTION("GOOGLETRANSLATE(A11443, ""en"", ""fr"")"),"Richesse n ° 1")</f>
        <v>Richesse n ° 1</v>
      </c>
      <c r="C11443" s="1" t="s">
        <v>196</v>
      </c>
      <c r="EV11443" s="1" t="s">
        <v>148</v>
      </c>
      <c r="EW11443" s="1" t="s">
        <v>149</v>
      </c>
      <c r="GD11443" s="1" t="s">
        <v>16067</v>
      </c>
    </row>
    <row r="11444" spans="1:187" ht="11.25" customHeight="1">
      <c r="A11444" s="1" t="s">
        <v>16068</v>
      </c>
      <c r="B11444" s="1" t="str">
        <f ca="1">IFERROR(__xludf.DUMMYFUNCTION("GOOGLETRANSLATE(A11444, ""en"", ""fr"")"),"Richesse n ° 2")</f>
        <v>Richesse n ° 2</v>
      </c>
      <c r="C11444" s="1" t="s">
        <v>185</v>
      </c>
      <c r="J11444" s="1" t="s">
        <v>6</v>
      </c>
      <c r="W11444" s="1" t="s">
        <v>19</v>
      </c>
      <c r="CS11444" s="1" t="s">
        <v>93</v>
      </c>
      <c r="GD11444" s="1" t="s">
        <v>2464</v>
      </c>
      <c r="GE11444" s="1" t="s">
        <v>16069</v>
      </c>
    </row>
    <row r="11445" spans="1:187" ht="11.25" customHeight="1">
      <c r="A11445" s="1" t="s">
        <v>16070</v>
      </c>
      <c r="B11445" s="1" t="str">
        <f ca="1">IFERROR(__xludf.DUMMYFUNCTION("GOOGLETRANSLATE(A11445, ""en"", ""fr"")"),"RICHE")</f>
        <v>RICHE</v>
      </c>
      <c r="C11445" s="1" t="s">
        <v>185</v>
      </c>
      <c r="J11445" s="1" t="s">
        <v>6</v>
      </c>
      <c r="U11445" s="1" t="s">
        <v>17</v>
      </c>
      <c r="AA11445" s="1" t="s">
        <v>23</v>
      </c>
      <c r="AC11445" s="1" t="s">
        <v>25</v>
      </c>
      <c r="EV11445" s="1" t="s">
        <v>148</v>
      </c>
      <c r="EW11445" s="1" t="s">
        <v>149</v>
      </c>
      <c r="GD11445" s="1" t="s">
        <v>202</v>
      </c>
      <c r="GE11445" s="1" t="s">
        <v>190</v>
      </c>
    </row>
    <row r="11446" spans="1:187" ht="11.25" customHeight="1">
      <c r="A11446" s="1" t="s">
        <v>16071</v>
      </c>
      <c r="B11446" s="1" t="str">
        <f ca="1">IFERROR(__xludf.DUMMYFUNCTION("GOOGLETRANSLATE(A11446, ""en"", ""fr"")"),"ARME")</f>
        <v>ARME</v>
      </c>
      <c r="C11446" s="1" t="s">
        <v>185</v>
      </c>
      <c r="I11446" s="1" t="s">
        <v>5</v>
      </c>
      <c r="AF11446" s="1" t="s">
        <v>28</v>
      </c>
      <c r="AH11446" s="1" t="s">
        <v>30</v>
      </c>
      <c r="BC11446" s="1" t="s">
        <v>51</v>
      </c>
      <c r="BD11446" s="1" t="s">
        <v>52</v>
      </c>
      <c r="DW11446" s="1" t="s">
        <v>123</v>
      </c>
      <c r="ED11446" s="1" t="s">
        <v>130</v>
      </c>
      <c r="GD11446" s="1" t="s">
        <v>193</v>
      </c>
      <c r="GE11446" s="1" t="s">
        <v>16072</v>
      </c>
    </row>
    <row r="11447" spans="1:187" ht="11.25" customHeight="1">
      <c r="A11447" s="1" t="s">
        <v>16073</v>
      </c>
      <c r="B11447" s="1" t="str">
        <f ca="1">IFERROR(__xludf.DUMMYFUNCTION("GOOGLETRANSLATE(A11447, ""en"", ""fr"")"),"Porter # 1")</f>
        <v>Porter # 1</v>
      </c>
      <c r="C11447" s="1" t="s">
        <v>185</v>
      </c>
      <c r="N11447" s="1" t="s">
        <v>10</v>
      </c>
      <c r="AL11447" s="1" t="s">
        <v>34</v>
      </c>
      <c r="DO11447" s="1" t="s">
        <v>115</v>
      </c>
      <c r="FP11447" s="1" t="s">
        <v>168</v>
      </c>
      <c r="GD11447" s="1" t="s">
        <v>400</v>
      </c>
      <c r="GE11447" s="1" t="s">
        <v>16074</v>
      </c>
    </row>
    <row r="11448" spans="1:187" ht="11.25" customHeight="1">
      <c r="A11448" s="1" t="s">
        <v>16075</v>
      </c>
      <c r="B11448" s="1" t="str">
        <f ca="1">IFERROR(__xludf.DUMMYFUNCTION("GOOGLETRANSLATE(A11448, ""en"", ""fr"")"),"Porter # 2")</f>
        <v>Porter # 2</v>
      </c>
      <c r="C11448" s="1" t="s">
        <v>185</v>
      </c>
      <c r="E11448" s="1" t="s">
        <v>16613</v>
      </c>
      <c r="H11448" s="1" t="s">
        <v>4</v>
      </c>
      <c r="BZ11448" s="1" t="s">
        <v>74</v>
      </c>
      <c r="DN11448" s="1" t="s">
        <v>114</v>
      </c>
      <c r="FO11448" s="1" t="s">
        <v>167</v>
      </c>
      <c r="GD11448" s="1" t="s">
        <v>189</v>
      </c>
      <c r="GE11448" s="1" t="s">
        <v>16076</v>
      </c>
    </row>
    <row r="11449" spans="1:187" ht="11.25" customHeight="1">
      <c r="A11449" s="1" t="s">
        <v>16077</v>
      </c>
      <c r="B11449" s="1" t="str">
        <f ca="1">IFERROR(__xludf.DUMMYFUNCTION("GOOGLETRANSLATE(A11449, ""en"", ""fr"")"),"Porter # 3")</f>
        <v>Porter # 3</v>
      </c>
      <c r="C11449" s="1" t="s">
        <v>185</v>
      </c>
      <c r="BC11449" s="1" t="s">
        <v>51</v>
      </c>
      <c r="BD11449" s="1" t="s">
        <v>52</v>
      </c>
      <c r="GD11449" s="1" t="s">
        <v>193</v>
      </c>
      <c r="GE11449" s="1" t="s">
        <v>16078</v>
      </c>
    </row>
    <row r="11450" spans="1:187" ht="11.25" customHeight="1">
      <c r="A11450" s="1" t="s">
        <v>16079</v>
      </c>
      <c r="B11450" s="1" t="str">
        <f ca="1">IFERROR(__xludf.DUMMYFUNCTION("GOOGLETRANSLATE(A11450, ""en"", ""fr"")"),"Porter # 4")</f>
        <v>Porter # 4</v>
      </c>
      <c r="C11450" s="1" t="s">
        <v>185</v>
      </c>
      <c r="V11450" s="1" t="s">
        <v>18</v>
      </c>
      <c r="CP11450" s="1" t="s">
        <v>90</v>
      </c>
      <c r="CQ11450" s="1" t="s">
        <v>91</v>
      </c>
      <c r="GD11450" s="1" t="s">
        <v>193</v>
      </c>
      <c r="GE11450" s="1" t="s">
        <v>16080</v>
      </c>
    </row>
    <row r="11451" spans="1:187" ht="11.25" customHeight="1">
      <c r="A11451" s="1" t="s">
        <v>16081</v>
      </c>
      <c r="B11451" s="1" t="str">
        <f ca="1">IFERROR(__xludf.DUMMYFUNCTION("GOOGLETRANSLATE(A11451, ""en"", ""fr"")"),"Porteur")</f>
        <v>Porteur</v>
      </c>
      <c r="C11451" s="1" t="s">
        <v>185</v>
      </c>
      <c r="AJ11451" s="1" t="s">
        <v>32</v>
      </c>
      <c r="AT11451" s="1" t="s">
        <v>42</v>
      </c>
      <c r="GD11451" s="1" t="s">
        <v>193</v>
      </c>
      <c r="GE11451" s="1" t="s">
        <v>190</v>
      </c>
    </row>
    <row r="11452" spans="1:187" ht="11.25" customHeight="1">
      <c r="A11452" s="1" t="s">
        <v>16082</v>
      </c>
      <c r="B11452" s="1" t="str">
        <f ca="1">IFERROR(__xludf.DUMMYFUNCTION("GOOGLETRANSLATE(A11452, ""en"", ""fr"")"),"LASSITUDE")</f>
        <v>LASSITUDE</v>
      </c>
      <c r="C11452" s="1" t="s">
        <v>192</v>
      </c>
      <c r="E11452" s="1" t="s">
        <v>16613</v>
      </c>
      <c r="L11452" s="1" t="s">
        <v>8</v>
      </c>
      <c r="BP11452" s="1" t="s">
        <v>64</v>
      </c>
      <c r="GD11452" s="1" t="s">
        <v>193</v>
      </c>
      <c r="GE11452" s="1" t="s">
        <v>190</v>
      </c>
    </row>
    <row r="11453" spans="1:187" ht="11.25" customHeight="1">
      <c r="A11453" s="1" t="s">
        <v>16083</v>
      </c>
      <c r="B11453" s="1" t="str">
        <f ca="1">IFERROR(__xludf.DUMMYFUNCTION("GOOGLETRANSLATE(A11453, ""en"", ""fr"")"),"ENNUYEUX")</f>
        <v>ENNUYEUX</v>
      </c>
      <c r="C11453" s="1" t="s">
        <v>192</v>
      </c>
      <c r="E11453" s="1" t="s">
        <v>16613</v>
      </c>
      <c r="L11453" s="1" t="s">
        <v>8</v>
      </c>
      <c r="BP11453" s="1" t="s">
        <v>64</v>
      </c>
      <c r="DR11453" s="1" t="s">
        <v>118</v>
      </c>
      <c r="GD11453" s="1" t="s">
        <v>202</v>
      </c>
      <c r="GE11453" s="1" t="s">
        <v>190</v>
      </c>
    </row>
    <row r="11454" spans="1:187" ht="11.25" customHeight="1">
      <c r="A11454" s="1" t="s">
        <v>16084</v>
      </c>
      <c r="B11454" s="1" t="str">
        <f ca="1">IFERROR(__xludf.DUMMYFUNCTION("GOOGLETRANSLATE(A11454, ""en"", ""fr"")"),"FATIGUÉ")</f>
        <v>FATIGUÉ</v>
      </c>
      <c r="C11454" s="1" t="s">
        <v>185</v>
      </c>
      <c r="L11454" s="1" t="s">
        <v>8</v>
      </c>
      <c r="M11454" s="1" t="s">
        <v>9</v>
      </c>
      <c r="Q11454" s="1" t="s">
        <v>13</v>
      </c>
      <c r="T11454" s="1" t="s">
        <v>16</v>
      </c>
      <c r="EZ11454" s="1" t="s">
        <v>152</v>
      </c>
      <c r="FC11454" s="1" t="s">
        <v>155</v>
      </c>
      <c r="GD11454" s="1" t="s">
        <v>202</v>
      </c>
      <c r="GE11454" s="1" t="s">
        <v>190</v>
      </c>
    </row>
    <row r="11455" spans="1:187" ht="11.25" customHeight="1">
      <c r="A11455" s="1" t="s">
        <v>16085</v>
      </c>
      <c r="B11455" s="1" t="str">
        <f ca="1">IFERROR(__xludf.DUMMYFUNCTION("GOOGLETRANSLATE(A11455, ""en"", ""fr"")"),"MÉTÉO")</f>
        <v>MÉTÉO</v>
      </c>
      <c r="C11455" s="1" t="s">
        <v>185</v>
      </c>
      <c r="AV11455" s="1" t="s">
        <v>44</v>
      </c>
      <c r="BB11455" s="1" t="s">
        <v>50</v>
      </c>
      <c r="GD11455" s="1" t="s">
        <v>193</v>
      </c>
      <c r="GE11455" s="1" t="s">
        <v>16086</v>
      </c>
    </row>
    <row r="11456" spans="1:187" ht="11.25" customHeight="1">
      <c r="A11456" s="1" t="s">
        <v>16087</v>
      </c>
      <c r="B11456" s="1" t="str">
        <f ca="1">IFERROR(__xludf.DUMMYFUNCTION("GOOGLETRANSLATE(A11456, ""en"", ""fr"")"),"ÉPOUSER")</f>
        <v>ÉPOUSER</v>
      </c>
      <c r="C11456" s="1" t="s">
        <v>185</v>
      </c>
      <c r="G11456" s="1" t="s">
        <v>3</v>
      </c>
      <c r="AN11456" s="1" t="s">
        <v>36</v>
      </c>
      <c r="AP11456" s="1" t="s">
        <v>38</v>
      </c>
      <c r="DO11456" s="1" t="s">
        <v>115</v>
      </c>
      <c r="ER11456" s="1" t="s">
        <v>144</v>
      </c>
      <c r="ES11456" s="1" t="s">
        <v>145</v>
      </c>
      <c r="GD11456" s="1" t="s">
        <v>189</v>
      </c>
      <c r="GE11456" s="1" t="s">
        <v>190</v>
      </c>
    </row>
    <row r="11457" spans="1:187" ht="11.25" customHeight="1">
      <c r="A11457" s="1" t="s">
        <v>16088</v>
      </c>
      <c r="B11457" s="1" t="str">
        <f ca="1">IFERROR(__xludf.DUMMYFUNCTION("GOOGLETRANSLATE(A11457, ""en"", ""fr"")"),"MARIAGE")</f>
        <v>MARIAGE</v>
      </c>
      <c r="C11457" s="1" t="s">
        <v>185</v>
      </c>
      <c r="G11457" s="1" t="s">
        <v>3</v>
      </c>
      <c r="AM11457" s="1" t="s">
        <v>35</v>
      </c>
      <c r="AP11457" s="1" t="s">
        <v>38</v>
      </c>
      <c r="ER11457" s="1" t="s">
        <v>144</v>
      </c>
      <c r="ES11457" s="1" t="s">
        <v>145</v>
      </c>
      <c r="GD11457" s="1" t="s">
        <v>193</v>
      </c>
      <c r="GE11457" s="1" t="s">
        <v>190</v>
      </c>
    </row>
    <row r="11458" spans="1:187" ht="11.25" customHeight="1">
      <c r="A11458" s="1" t="s">
        <v>16089</v>
      </c>
      <c r="B11458" s="1" t="str">
        <f ca="1">IFERROR(__xludf.DUMMYFUNCTION("GOOGLETRANSLATE(A11458, ""en"", ""fr"")"),"MERCREDI")</f>
        <v>MERCREDI</v>
      </c>
      <c r="C11458" s="1" t="s">
        <v>185</v>
      </c>
      <c r="CQ11458" s="1" t="s">
        <v>91</v>
      </c>
      <c r="CY11458" s="1" t="s">
        <v>99</v>
      </c>
      <c r="CZ11458" s="1" t="s">
        <v>100</v>
      </c>
      <c r="GB11458" s="1" t="s">
        <v>180</v>
      </c>
      <c r="GD11458" s="1" t="s">
        <v>193</v>
      </c>
      <c r="GE11458" s="1" t="s">
        <v>190</v>
      </c>
    </row>
    <row r="11459" spans="1:187" ht="11.25" customHeight="1">
      <c r="A11459" s="1" t="s">
        <v>16090</v>
      </c>
      <c r="B11459" s="1" t="str">
        <f ca="1">IFERROR(__xludf.DUMMYFUNCTION("GOOGLETRANSLATE(A11459, ""en"", ""fr"")"),"PIPI")</f>
        <v>PIPI</v>
      </c>
      <c r="C11459" s="1" t="s">
        <v>192</v>
      </c>
      <c r="E11459" s="1" t="s">
        <v>16613</v>
      </c>
      <c r="L11459" s="1" t="s">
        <v>8</v>
      </c>
      <c r="W11459" s="1" t="s">
        <v>19</v>
      </c>
      <c r="DR11459" s="1" t="s">
        <v>118</v>
      </c>
      <c r="GD11459" s="1" t="s">
        <v>202</v>
      </c>
      <c r="GE11459" s="1" t="s">
        <v>190</v>
      </c>
    </row>
    <row r="11460" spans="1:187" ht="11.25" customHeight="1">
      <c r="A11460" s="1" t="s">
        <v>16091</v>
      </c>
      <c r="B11460" s="1" t="str">
        <f ca="1">IFERROR(__xludf.DUMMYFUNCTION("GOOGLETRANSLATE(A11460, ""en"", ""fr"")"),"HERBE")</f>
        <v>HERBE</v>
      </c>
      <c r="C11460" s="1" t="s">
        <v>192</v>
      </c>
      <c r="E11460" s="1" t="s">
        <v>16613</v>
      </c>
      <c r="I11460" s="1" t="s">
        <v>5</v>
      </c>
      <c r="BC11460" s="1" t="s">
        <v>51</v>
      </c>
      <c r="BU11460" s="1" t="s">
        <v>69</v>
      </c>
      <c r="GD11460" s="1" t="s">
        <v>193</v>
      </c>
      <c r="GE11460" s="1" t="s">
        <v>190</v>
      </c>
    </row>
    <row r="11461" spans="1:187" ht="11.25" customHeight="1">
      <c r="A11461" s="1" t="s">
        <v>16092</v>
      </c>
      <c r="B11461" s="1" t="str">
        <f ca="1">IFERROR(__xludf.DUMMYFUNCTION("GOOGLETRANSLATE(A11461, ""en"", ""fr"")"),"SEMAINE")</f>
        <v>SEMAINE</v>
      </c>
      <c r="C11461" s="1" t="s">
        <v>185</v>
      </c>
      <c r="CQ11461" s="1" t="s">
        <v>91</v>
      </c>
      <c r="CY11461" s="1" t="s">
        <v>99</v>
      </c>
      <c r="CZ11461" s="1" t="s">
        <v>100</v>
      </c>
      <c r="GB11461" s="1" t="s">
        <v>180</v>
      </c>
      <c r="GD11461" s="1" t="s">
        <v>193</v>
      </c>
      <c r="GE11461" s="1" t="s">
        <v>16093</v>
      </c>
    </row>
    <row r="11462" spans="1:187" ht="11.25" customHeight="1">
      <c r="A11462" s="1" t="s">
        <v>16094</v>
      </c>
      <c r="B11462" s="1" t="str">
        <f ca="1">IFERROR(__xludf.DUMMYFUNCTION("GOOGLETRANSLATE(A11462, ""en"", ""fr"")"),"FIN DE SEMAINE")</f>
        <v>FIN DE SEMAINE</v>
      </c>
      <c r="C11462" s="1" t="s">
        <v>185</v>
      </c>
      <c r="CQ11462" s="1" t="s">
        <v>91</v>
      </c>
      <c r="CY11462" s="1" t="s">
        <v>99</v>
      </c>
      <c r="CZ11462" s="1" t="s">
        <v>100</v>
      </c>
      <c r="GB11462" s="1" t="s">
        <v>180</v>
      </c>
      <c r="GD11462" s="1" t="s">
        <v>193</v>
      </c>
      <c r="GE11462" s="1" t="s">
        <v>190</v>
      </c>
    </row>
    <row r="11463" spans="1:187" ht="11.25" customHeight="1">
      <c r="A11463" s="1" t="s">
        <v>16095</v>
      </c>
      <c r="B11463" s="1" t="str">
        <f ca="1">IFERROR(__xludf.DUMMYFUNCTION("GOOGLETRANSLATE(A11463, ""en"", ""fr"")"),"HEBDOMADAIRE")</f>
        <v>HEBDOMADAIRE</v>
      </c>
      <c r="C11463" s="1" t="s">
        <v>185</v>
      </c>
      <c r="CW11463" s="1" t="s">
        <v>97</v>
      </c>
      <c r="GB11463" s="1" t="s">
        <v>180</v>
      </c>
      <c r="GD11463" s="1" t="s">
        <v>236</v>
      </c>
      <c r="GE11463" s="1" t="s">
        <v>190</v>
      </c>
    </row>
    <row r="11464" spans="1:187" ht="11.25" customHeight="1">
      <c r="A11464" s="1" t="s">
        <v>16096</v>
      </c>
      <c r="B11464" s="1" t="str">
        <f ca="1">IFERROR(__xludf.DUMMYFUNCTION("GOOGLETRANSLATE(A11464, ""en"", ""fr"")"),"PLEURER")</f>
        <v>PLEURER</v>
      </c>
      <c r="C11464" s="1" t="s">
        <v>185</v>
      </c>
      <c r="E11464" s="1" t="s">
        <v>16613</v>
      </c>
      <c r="N11464" s="1" t="s">
        <v>10</v>
      </c>
      <c r="Q11464" s="1" t="s">
        <v>13</v>
      </c>
      <c r="T11464" s="1" t="s">
        <v>16</v>
      </c>
      <c r="BK11464" s="1" t="s">
        <v>59</v>
      </c>
      <c r="DN11464" s="1" t="s">
        <v>114</v>
      </c>
      <c r="EZ11464" s="1" t="s">
        <v>152</v>
      </c>
      <c r="FC11464" s="1" t="s">
        <v>155</v>
      </c>
      <c r="GD11464" s="1" t="s">
        <v>189</v>
      </c>
      <c r="GE11464" s="1" t="s">
        <v>190</v>
      </c>
    </row>
    <row r="11465" spans="1:187" ht="11.25" customHeight="1">
      <c r="A11465" s="1" t="s">
        <v>16097</v>
      </c>
      <c r="B11465" s="1" t="str">
        <f ca="1">IFERROR(__xludf.DUMMYFUNCTION("GOOGLETRANSLATE(A11465, ""en"", ""fr"")"),"PESER")</f>
        <v>PESER</v>
      </c>
      <c r="C11465" s="1" t="s">
        <v>185</v>
      </c>
      <c r="CO11465" s="1" t="s">
        <v>89</v>
      </c>
      <c r="DN11465" s="1" t="s">
        <v>114</v>
      </c>
      <c r="FP11465" s="1" t="s">
        <v>168</v>
      </c>
      <c r="GD11465" s="1" t="s">
        <v>189</v>
      </c>
      <c r="GE11465" s="1" t="s">
        <v>190</v>
      </c>
    </row>
    <row r="11466" spans="1:187" ht="11.25" customHeight="1">
      <c r="A11466" s="1" t="s">
        <v>16098</v>
      </c>
      <c r="B11466" s="1" t="str">
        <f ca="1">IFERROR(__xludf.DUMMYFUNCTION("GOOGLETRANSLATE(A11466, ""en"", ""fr"")"),"Poids n ° 1")</f>
        <v>Poids n ° 1</v>
      </c>
      <c r="C11466" s="1" t="s">
        <v>185</v>
      </c>
      <c r="J11466" s="1" t="s">
        <v>6</v>
      </c>
      <c r="CR11466" s="1" t="s">
        <v>92</v>
      </c>
      <c r="GD11466" s="1" t="s">
        <v>193</v>
      </c>
      <c r="GE11466" s="1" t="s">
        <v>16099</v>
      </c>
    </row>
    <row r="11467" spans="1:187" ht="11.25" customHeight="1">
      <c r="A11467" s="1" t="s">
        <v>16100</v>
      </c>
      <c r="B11467" s="1" t="str">
        <f ca="1">IFERROR(__xludf.DUMMYFUNCTION("GOOGLETRANSLATE(A11467, ""en"", ""fr"")"),"Poids n ° 2")</f>
        <v>Poids n ° 2</v>
      </c>
      <c r="C11467" s="1" t="s">
        <v>185</v>
      </c>
      <c r="J11467" s="1" t="s">
        <v>6</v>
      </c>
      <c r="BX11467" s="1" t="s">
        <v>72</v>
      </c>
      <c r="DN11467" s="1" t="s">
        <v>114</v>
      </c>
      <c r="GD11467" s="1" t="s">
        <v>189</v>
      </c>
      <c r="GE11467" s="1" t="s">
        <v>16101</v>
      </c>
    </row>
    <row r="11468" spans="1:187" ht="11.25" customHeight="1">
      <c r="A11468" s="1" t="s">
        <v>16102</v>
      </c>
      <c r="B11468" s="1" t="str">
        <f ca="1">IFERROR(__xludf.DUMMYFUNCTION("GOOGLETRANSLATE(A11468, ""en"", ""fr"")"),"Poids n ° 3")</f>
        <v>Poids n ° 3</v>
      </c>
      <c r="C11468" s="1" t="s">
        <v>185</v>
      </c>
      <c r="G11468" s="1" t="s">
        <v>3</v>
      </c>
      <c r="J11468" s="1" t="s">
        <v>6</v>
      </c>
      <c r="AL11468" s="1" t="s">
        <v>34</v>
      </c>
      <c r="DX11468" s="1" t="s">
        <v>124</v>
      </c>
      <c r="ED11468" s="1" t="s">
        <v>130</v>
      </c>
      <c r="GD11468" s="1" t="s">
        <v>193</v>
      </c>
      <c r="GE11468" s="1" t="s">
        <v>16103</v>
      </c>
    </row>
    <row r="11469" spans="1:187" ht="11.25" customHeight="1">
      <c r="A11469" s="1" t="s">
        <v>16104</v>
      </c>
      <c r="B11469" s="1" t="str">
        <f ca="1">IFERROR(__xludf.DUMMYFUNCTION("GOOGLETRANSLATE(A11469, ""en"", ""fr"")"),"BIZARRE")</f>
        <v>BIZARRE</v>
      </c>
      <c r="C11469" s="1" t="s">
        <v>192</v>
      </c>
      <c r="E11469" s="1" t="s">
        <v>16613</v>
      </c>
      <c r="V11469" s="1" t="s">
        <v>18</v>
      </c>
      <c r="CM11469" s="1" t="s">
        <v>87</v>
      </c>
      <c r="DR11469" s="1" t="s">
        <v>118</v>
      </c>
      <c r="GD11469" s="1" t="s">
        <v>202</v>
      </c>
      <c r="GE11469" s="1" t="s">
        <v>190</v>
      </c>
    </row>
    <row r="11470" spans="1:187" ht="11.25" customHeight="1">
      <c r="A11470" s="1" t="s">
        <v>16105</v>
      </c>
      <c r="B11470" s="1" t="str">
        <f ca="1">IFERROR(__xludf.DUMMYFUNCTION("GOOGLETRANSLATE(A11470, ""en"", ""fr"")"),"Bienvenue n ° 1")</f>
        <v>Bienvenue n ° 1</v>
      </c>
      <c r="C11470" s="1" t="s">
        <v>185</v>
      </c>
      <c r="D11470" s="1" t="s">
        <v>16612</v>
      </c>
      <c r="F11470" s="1" t="s">
        <v>2</v>
      </c>
      <c r="G11470" s="1" t="s">
        <v>3</v>
      </c>
      <c r="BK11470" s="1" t="s">
        <v>59</v>
      </c>
      <c r="DN11470" s="1" t="s">
        <v>114</v>
      </c>
      <c r="FN11470" s="1" t="s">
        <v>166</v>
      </c>
      <c r="GD11470" s="1" t="s">
        <v>189</v>
      </c>
      <c r="GE11470" s="1" t="s">
        <v>16106</v>
      </c>
    </row>
    <row r="11471" spans="1:187" ht="11.25" customHeight="1">
      <c r="A11471" s="1" t="s">
        <v>16107</v>
      </c>
      <c r="B11471" s="1" t="str">
        <f ca="1">IFERROR(__xludf.DUMMYFUNCTION("GOOGLETRANSLATE(A11471, ""en"", ""fr"")"),"Bienvenue n ° 2")</f>
        <v>Bienvenue n ° 2</v>
      </c>
      <c r="C11471" s="1" t="s">
        <v>185</v>
      </c>
      <c r="D11471" s="1" t="s">
        <v>16612</v>
      </c>
      <c r="F11471" s="1" t="s">
        <v>2</v>
      </c>
      <c r="G11471" s="1" t="s">
        <v>3</v>
      </c>
      <c r="BK11471" s="1" t="s">
        <v>59</v>
      </c>
      <c r="BL11471" s="1" t="s">
        <v>60</v>
      </c>
      <c r="FX11471" s="1" t="s">
        <v>176</v>
      </c>
      <c r="GC11471" s="1" t="s">
        <v>181</v>
      </c>
      <c r="GD11471" s="1" t="s">
        <v>193</v>
      </c>
      <c r="GE11471" s="1" t="s">
        <v>16108</v>
      </c>
    </row>
    <row r="11472" spans="1:187" ht="11.25" customHeight="1">
      <c r="A11472" s="1" t="s">
        <v>16109</v>
      </c>
      <c r="B11472" s="1" t="str">
        <f ca="1">IFERROR(__xludf.DUMMYFUNCTION("GOOGLETRANSLATE(A11472, ""en"", ""fr"")"),"Bienvenue n ° 3")</f>
        <v>Bienvenue n ° 3</v>
      </c>
      <c r="C11472" s="1" t="s">
        <v>185</v>
      </c>
      <c r="D11472" s="1" t="s">
        <v>16612</v>
      </c>
      <c r="F11472" s="1" t="s">
        <v>2</v>
      </c>
      <c r="G11472" s="1" t="s">
        <v>3</v>
      </c>
      <c r="BK11472" s="1" t="s">
        <v>59</v>
      </c>
      <c r="FX11472" s="1" t="s">
        <v>176</v>
      </c>
      <c r="GC11472" s="1" t="s">
        <v>181</v>
      </c>
      <c r="GD11472" s="1" t="s">
        <v>202</v>
      </c>
      <c r="GE11472" s="1" t="s">
        <v>16110</v>
      </c>
    </row>
    <row r="11473" spans="1:187" ht="11.25" customHeight="1">
      <c r="A11473" s="1" t="s">
        <v>16111</v>
      </c>
      <c r="B11473" s="1" t="str">
        <f ca="1">IFERROR(__xludf.DUMMYFUNCTION("GOOGLETRANSLATE(A11473, ""en"", ""fr"")"),"Bienvenue n ° 4")</f>
        <v>Bienvenue n ° 4</v>
      </c>
      <c r="C11473" s="1" t="s">
        <v>185</v>
      </c>
      <c r="DI11473" s="1" t="s">
        <v>109</v>
      </c>
      <c r="GD11473" s="1" t="s">
        <v>193</v>
      </c>
      <c r="GE11473" s="1" t="s">
        <v>16112</v>
      </c>
    </row>
    <row r="11474" spans="1:187" ht="11.25" customHeight="1">
      <c r="A11474" s="1" t="s">
        <v>16113</v>
      </c>
      <c r="B11474" s="1" t="str">
        <f ca="1">IFERROR(__xludf.DUMMYFUNCTION("GOOGLETRANSLATE(A11474, ""en"", ""fr"")"),"Bienvenue n ° 5")</f>
        <v>Bienvenue n ° 5</v>
      </c>
      <c r="C11474" s="1" t="s">
        <v>185</v>
      </c>
      <c r="D11474" s="1" t="s">
        <v>16612</v>
      </c>
      <c r="F11474" s="1" t="s">
        <v>2</v>
      </c>
      <c r="G11474" s="1" t="s">
        <v>3</v>
      </c>
      <c r="BK11474" s="1" t="s">
        <v>59</v>
      </c>
      <c r="FX11474" s="1" t="s">
        <v>176</v>
      </c>
      <c r="GC11474" s="1" t="s">
        <v>181</v>
      </c>
      <c r="GD11474" s="1" t="s">
        <v>202</v>
      </c>
      <c r="GE11474" s="1" t="s">
        <v>16114</v>
      </c>
    </row>
    <row r="11475" spans="1:187" ht="11.25" customHeight="1">
      <c r="A11475" s="1" t="s">
        <v>16115</v>
      </c>
      <c r="B11475" s="1" t="str">
        <f ca="1">IFERROR(__xludf.DUMMYFUNCTION("GOOGLETRANSLATE(A11475, ""en"", ""fr"")"),"Bien-être n ° 1")</f>
        <v>Bien-être n ° 1</v>
      </c>
      <c r="C11475" s="1" t="s">
        <v>185</v>
      </c>
      <c r="D11475" s="1" t="s">
        <v>16612</v>
      </c>
      <c r="F11475" s="1" t="s">
        <v>2</v>
      </c>
      <c r="Z11475" s="1" t="s">
        <v>22</v>
      </c>
      <c r="EZ11475" s="1" t="s">
        <v>152</v>
      </c>
      <c r="FC11475" s="1" t="s">
        <v>155</v>
      </c>
      <c r="GD11475" s="1" t="s">
        <v>193</v>
      </c>
      <c r="GE11475" s="1" t="s">
        <v>16116</v>
      </c>
    </row>
    <row r="11476" spans="1:187" ht="11.25" customHeight="1">
      <c r="A11476" s="1" t="s">
        <v>16117</v>
      </c>
      <c r="B11476" s="1" t="str">
        <f ca="1">IFERROR(__xludf.DUMMYFUNCTION("GOOGLETRANSLATE(A11476, ""en"", ""fr"")"),"Bien-être n ° 2")</f>
        <v>Bien-être n ° 2</v>
      </c>
      <c r="C11476" s="1" t="s">
        <v>185</v>
      </c>
      <c r="AA11476" s="1" t="s">
        <v>23</v>
      </c>
      <c r="AC11476" s="1" t="s">
        <v>25</v>
      </c>
      <c r="AG11476" s="1" t="s">
        <v>29</v>
      </c>
      <c r="AH11476" s="1" t="s">
        <v>30</v>
      </c>
      <c r="AK11476" s="1" t="s">
        <v>33</v>
      </c>
      <c r="AT11476" s="1" t="s">
        <v>42</v>
      </c>
      <c r="DY11476" s="1" t="s">
        <v>125</v>
      </c>
      <c r="ED11476" s="1" t="s">
        <v>130</v>
      </c>
      <c r="GD11476" s="1" t="s">
        <v>193</v>
      </c>
      <c r="GE11476" s="1" t="s">
        <v>16118</v>
      </c>
    </row>
    <row r="11477" spans="1:187" ht="11.25" customHeight="1">
      <c r="A11477" s="1" t="s">
        <v>16119</v>
      </c>
      <c r="B11477" s="1" t="str">
        <f ca="1">IFERROR(__xludf.DUMMYFUNCTION("GOOGLETRANSLATE(A11477, ""en"", ""fr"")"),"Eh bien # 1")</f>
        <v>Eh bien # 1</v>
      </c>
      <c r="C11477" s="1" t="s">
        <v>185</v>
      </c>
      <c r="X11477" s="1" t="s">
        <v>20</v>
      </c>
      <c r="DM11477" s="1" t="s">
        <v>113</v>
      </c>
      <c r="GD11477" s="1" t="s">
        <v>3750</v>
      </c>
      <c r="GE11477" s="1" t="s">
        <v>16120</v>
      </c>
    </row>
    <row r="11478" spans="1:187" ht="11.25" customHeight="1">
      <c r="A11478" s="1" t="s">
        <v>16121</v>
      </c>
      <c r="B11478" s="1" t="str">
        <f ca="1">IFERROR(__xludf.DUMMYFUNCTION("GOOGLETRANSLATE(A11478, ""en"", ""fr"")"),"Bien # 2")</f>
        <v>Bien # 2</v>
      </c>
      <c r="C11478" s="1" t="s">
        <v>185</v>
      </c>
      <c r="D11478" s="1" t="s">
        <v>16612</v>
      </c>
      <c r="F11478" s="1" t="s">
        <v>2</v>
      </c>
      <c r="U11478" s="1" t="s">
        <v>17</v>
      </c>
      <c r="FX11478" s="1" t="s">
        <v>176</v>
      </c>
      <c r="GD11478" s="1" t="s">
        <v>236</v>
      </c>
      <c r="GE11478" s="1" t="s">
        <v>16122</v>
      </c>
    </row>
    <row r="11479" spans="1:187" ht="11.25" customHeight="1">
      <c r="A11479" s="1" t="s">
        <v>16123</v>
      </c>
      <c r="B11479" s="1" t="str">
        <f ca="1">IFERROR(__xludf.DUMMYFUNCTION("GOOGLETRANSLATE(A11479, ""en"", ""fr"")"),"Eh bien # 3")</f>
        <v>Eh bien # 3</v>
      </c>
      <c r="C11479" s="1" t="s">
        <v>185</v>
      </c>
      <c r="CS11479" s="1" t="s">
        <v>93</v>
      </c>
      <c r="FZ11479" s="1" t="s">
        <v>178</v>
      </c>
      <c r="GD11479" s="1" t="s">
        <v>215</v>
      </c>
      <c r="GE11479" s="1" t="s">
        <v>16124</v>
      </c>
    </row>
    <row r="11480" spans="1:187" ht="11.25" customHeight="1">
      <c r="A11480" s="1" t="s">
        <v>16125</v>
      </c>
      <c r="B11480" s="1" t="str">
        <f ca="1">IFERROR(__xludf.DUMMYFUNCTION("GOOGLETRANSLATE(A11480, ""en"", ""fr"")"),"Eh bien # 4")</f>
        <v>Eh bien # 4</v>
      </c>
      <c r="C11480" s="1" t="s">
        <v>185</v>
      </c>
      <c r="D11480" s="1" t="s">
        <v>16612</v>
      </c>
      <c r="F11480" s="1" t="s">
        <v>2</v>
      </c>
      <c r="U11480" s="1" t="s">
        <v>17</v>
      </c>
      <c r="EZ11480" s="1" t="s">
        <v>152</v>
      </c>
      <c r="FC11480" s="1" t="s">
        <v>155</v>
      </c>
      <c r="GD11480" s="1" t="s">
        <v>202</v>
      </c>
      <c r="GE11480" s="1" t="s">
        <v>16126</v>
      </c>
    </row>
    <row r="11481" spans="1:187" ht="11.25" customHeight="1">
      <c r="A11481" s="1" t="s">
        <v>16127</v>
      </c>
      <c r="B11481" s="1" t="str">
        <f ca="1">IFERROR(__xludf.DUMMYFUNCTION("GOOGLETRANSLATE(A11481, ""en"", ""fr"")"),"Eh bien # 5")</f>
        <v>Eh bien # 5</v>
      </c>
      <c r="C11481" s="1" t="s">
        <v>185</v>
      </c>
      <c r="BC11481" s="1" t="s">
        <v>51</v>
      </c>
      <c r="BD11481" s="1" t="s">
        <v>52</v>
      </c>
      <c r="GD11481" s="1" t="s">
        <v>193</v>
      </c>
      <c r="GE11481" s="1" t="s">
        <v>16128</v>
      </c>
    </row>
    <row r="11482" spans="1:187" ht="11.25" customHeight="1">
      <c r="A11482" s="1" t="s">
        <v>16129</v>
      </c>
      <c r="B11482" s="1" t="str">
        <f ca="1">IFERROR(__xludf.DUMMYFUNCTION("GOOGLETRANSLATE(A11482, ""en"", ""fr"")"),"Bien # 6")</f>
        <v>Bien # 6</v>
      </c>
      <c r="C11482" s="1" t="s">
        <v>185</v>
      </c>
      <c r="J11482" s="1" t="s">
        <v>6</v>
      </c>
      <c r="CB11482" s="1" t="s">
        <v>76</v>
      </c>
      <c r="DN11482" s="1" t="s">
        <v>114</v>
      </c>
      <c r="FP11482" s="1" t="s">
        <v>168</v>
      </c>
      <c r="GD11482" s="1" t="s">
        <v>189</v>
      </c>
      <c r="GE11482" s="1" t="s">
        <v>16130</v>
      </c>
    </row>
    <row r="11483" spans="1:187" ht="11.25" customHeight="1">
      <c r="A11483" s="1" t="s">
        <v>16131</v>
      </c>
      <c r="B11483" s="1" t="str">
        <f ca="1">IFERROR(__xludf.DUMMYFUNCTION("GOOGLETRANSLATE(A11483, ""en"", ""fr"")"),"Eh bien # 7")</f>
        <v>Eh bien # 7</v>
      </c>
      <c r="C11483" s="1" t="s">
        <v>185</v>
      </c>
      <c r="GD11483" s="1" t="s">
        <v>225</v>
      </c>
      <c r="GE11483" s="1" t="s">
        <v>16132</v>
      </c>
    </row>
    <row r="11484" spans="1:187" ht="11.25" customHeight="1">
      <c r="A11484" s="1" t="s">
        <v>16133</v>
      </c>
      <c r="B11484" s="1" t="str">
        <f ca="1">IFERROR(__xludf.DUMMYFUNCTION("GOOGLETRANSLATE(A11484, ""en"", ""fr"")"),"BIEN-ÊTRE")</f>
        <v>BIEN-ÊTRE</v>
      </c>
      <c r="C11484" s="1" t="s">
        <v>196</v>
      </c>
      <c r="EZ11484" s="1" t="s">
        <v>152</v>
      </c>
      <c r="FC11484" s="1" t="s">
        <v>155</v>
      </c>
      <c r="GD11484" s="1" t="s">
        <v>193</v>
      </c>
    </row>
    <row r="11485" spans="1:187" ht="11.25" customHeight="1">
      <c r="A11485" s="1" t="s">
        <v>16134</v>
      </c>
      <c r="B11485" s="1" t="str">
        <f ca="1">IFERROR(__xludf.DUMMYFUNCTION("GOOGLETRANSLATE(A11485, ""en"", ""fr"")"),"Bien fondé")</f>
        <v>Bien fondé</v>
      </c>
      <c r="C11485" s="1" t="s">
        <v>196</v>
      </c>
      <c r="FH11485" s="1" t="s">
        <v>160</v>
      </c>
      <c r="FI11485" s="1" t="s">
        <v>161</v>
      </c>
      <c r="GD11485" s="1" t="s">
        <v>202</v>
      </c>
    </row>
    <row r="11486" spans="1:187" ht="11.25" customHeight="1">
      <c r="A11486" s="1" t="s">
        <v>16135</v>
      </c>
      <c r="B11486" s="1" t="str">
        <f ca="1">IFERROR(__xludf.DUMMYFUNCTION("GOOGLETRANSLATE(A11486, ""en"", ""fr"")"),"Bien informé")</f>
        <v>Bien informé</v>
      </c>
      <c r="C11486" s="1" t="s">
        <v>196</v>
      </c>
      <c r="FH11486" s="1" t="s">
        <v>160</v>
      </c>
      <c r="FI11486" s="1" t="s">
        <v>161</v>
      </c>
      <c r="GD11486" s="1" t="s">
        <v>202</v>
      </c>
    </row>
    <row r="11487" spans="1:187" ht="11.25" customHeight="1">
      <c r="A11487" s="1" t="s">
        <v>16136</v>
      </c>
      <c r="B11487" s="1" t="str">
        <f ca="1">IFERROR(__xludf.DUMMYFUNCTION("GOOGLETRANSLATE(A11487, ""en"", ""fr"")"),"BIEN CONNU")</f>
        <v>BIEN CONNU</v>
      </c>
      <c r="C11487" s="1" t="s">
        <v>196</v>
      </c>
      <c r="GD11487" s="1" t="s">
        <v>202</v>
      </c>
    </row>
    <row r="11488" spans="1:187" ht="11.25" customHeight="1">
      <c r="A11488" s="1" t="s">
        <v>16137</v>
      </c>
      <c r="B11488" s="1" t="str">
        <f ca="1">IFERROR(__xludf.DUMMYFUNCTION("GOOGLETRANSLATE(A11488, ""en"", ""fr"")"),"JEUNE FILLE")</f>
        <v>JEUNE FILLE</v>
      </c>
      <c r="C11488" s="1" t="s">
        <v>192</v>
      </c>
      <c r="E11488" s="1" t="s">
        <v>16613</v>
      </c>
      <c r="I11488" s="1" t="s">
        <v>5</v>
      </c>
      <c r="AJ11488" s="1" t="s">
        <v>32</v>
      </c>
      <c r="AR11488" s="1" t="s">
        <v>40</v>
      </c>
      <c r="AT11488" s="1" t="s">
        <v>42</v>
      </c>
      <c r="GD11488" s="1" t="s">
        <v>193</v>
      </c>
      <c r="GE11488" s="1" t="s">
        <v>190</v>
      </c>
    </row>
    <row r="11489" spans="1:187" ht="11.25" customHeight="1">
      <c r="A11489" s="1" t="s">
        <v>16138</v>
      </c>
      <c r="B11489" s="1" t="str">
        <f ca="1">IFERROR(__xludf.DUMMYFUNCTION("GOOGLETRANSLATE(A11489, ""en"", ""fr"")"),"Est allé # 1")</f>
        <v>Est allé # 1</v>
      </c>
      <c r="C11489" s="1" t="s">
        <v>185</v>
      </c>
      <c r="DN11489" s="1" t="s">
        <v>114</v>
      </c>
      <c r="GD11489" s="1" t="s">
        <v>6536</v>
      </c>
      <c r="GE11489" s="1" t="s">
        <v>190</v>
      </c>
    </row>
    <row r="11490" spans="1:187" ht="11.25" customHeight="1">
      <c r="A11490" s="1" t="s">
        <v>16139</v>
      </c>
      <c r="B11490" s="1" t="str">
        <f ca="1">IFERROR(__xludf.DUMMYFUNCTION("GOOGLETRANSLATE(A11490, ""en"", ""fr"")"),"Pleurant")</f>
        <v>Pleurant</v>
      </c>
      <c r="C11490" s="1" t="s">
        <v>185</v>
      </c>
      <c r="DO11490" s="1" t="s">
        <v>115</v>
      </c>
      <c r="EY11490" s="1" t="s">
        <v>151</v>
      </c>
      <c r="FC11490" s="1" t="s">
        <v>155</v>
      </c>
      <c r="GD11490" s="1" t="s">
        <v>1076</v>
      </c>
      <c r="GE11490" s="1" t="s">
        <v>190</v>
      </c>
    </row>
    <row r="11491" spans="1:187" ht="11.25" customHeight="1">
      <c r="A11491" s="1" t="s">
        <v>16140</v>
      </c>
      <c r="B11491" s="1" t="str">
        <f ca="1">IFERROR(__xludf.DUMMYFUNCTION("GOOGLETRANSLATE(A11491, ""en"", ""fr"")"),"Étaient n ° 1")</f>
        <v>Étaient n ° 1</v>
      </c>
      <c r="C11491" s="1" t="s">
        <v>192</v>
      </c>
      <c r="GD11491" s="1" t="s">
        <v>1085</v>
      </c>
      <c r="GE11491" s="1" t="s">
        <v>190</v>
      </c>
    </row>
    <row r="11492" spans="1:187" ht="11.25" customHeight="1">
      <c r="A11492" s="1" t="s">
        <v>16141</v>
      </c>
      <c r="B11492" s="1" t="str">
        <f ca="1">IFERROR(__xludf.DUMMYFUNCTION("GOOGLETRANSLATE(A11492, ""en"", ""fr"")"),"OUEST")</f>
        <v>OUEST</v>
      </c>
      <c r="C11492" s="1" t="s">
        <v>185</v>
      </c>
      <c r="DA11492" s="1" t="s">
        <v>101</v>
      </c>
      <c r="GB11492" s="1" t="s">
        <v>180</v>
      </c>
      <c r="GD11492" s="1" t="s">
        <v>193</v>
      </c>
      <c r="GE11492" s="1" t="s">
        <v>16142</v>
      </c>
    </row>
    <row r="11493" spans="1:187" ht="11.25" customHeight="1">
      <c r="A11493" s="1" t="s">
        <v>16143</v>
      </c>
      <c r="B11493" s="1" t="str">
        <f ca="1">IFERROR(__xludf.DUMMYFUNCTION("GOOGLETRANSLATE(A11493, ""en"", ""fr"")"),"OCCIDENTAL")</f>
        <v>OCCIDENTAL</v>
      </c>
      <c r="C11493" s="1" t="s">
        <v>185</v>
      </c>
      <c r="DA11493" s="1" t="s">
        <v>101</v>
      </c>
      <c r="GB11493" s="1" t="s">
        <v>180</v>
      </c>
      <c r="GD11493" s="1" t="s">
        <v>202</v>
      </c>
      <c r="GE11493" s="1" t="s">
        <v>16144</v>
      </c>
    </row>
    <row r="11494" spans="1:187" ht="11.25" customHeight="1">
      <c r="A11494" s="1" t="s">
        <v>16145</v>
      </c>
      <c r="B11494" s="1" t="str">
        <f ca="1">IFERROR(__xludf.DUMMYFUNCTION("GOOGLETRANSLATE(A11494, ""en"", ""fr"")"),"EUROPE DE L'OUEST")</f>
        <v>EUROPE DE L'OUEST</v>
      </c>
      <c r="C11494" s="1" t="s">
        <v>196</v>
      </c>
      <c r="DV11494" s="1" t="s">
        <v>122</v>
      </c>
      <c r="ED11494" s="1" t="s">
        <v>130</v>
      </c>
      <c r="GD11494" s="1" t="s">
        <v>470</v>
      </c>
    </row>
    <row r="11495" spans="1:187" ht="11.25" customHeight="1">
      <c r="A11495" s="1" t="s">
        <v>16146</v>
      </c>
      <c r="B11495" s="1" t="str">
        <f ca="1">IFERROR(__xludf.DUMMYFUNCTION("GOOGLETRANSLATE(A11495, ""en"", ""fr"")"),"OCCIDENTAL")</f>
        <v>OCCIDENTAL</v>
      </c>
      <c r="C11495" s="1" t="s">
        <v>185</v>
      </c>
      <c r="AJ11495" s="1" t="s">
        <v>32</v>
      </c>
      <c r="AT11495" s="1" t="s">
        <v>42</v>
      </c>
      <c r="FT11495" s="1" t="s">
        <v>172</v>
      </c>
      <c r="GD11495" s="1" t="s">
        <v>193</v>
      </c>
      <c r="GE11495" s="1" t="s">
        <v>190</v>
      </c>
    </row>
    <row r="11496" spans="1:187" ht="11.25" customHeight="1">
      <c r="A11496" s="1" t="s">
        <v>16147</v>
      </c>
      <c r="B11496" s="1" t="str">
        <f ca="1">IFERROR(__xludf.DUMMYFUNCTION("GOOGLETRANSLATE(A11496, ""en"", ""fr"")"),"Vers l'ouest")</f>
        <v>Vers l'ouest</v>
      </c>
      <c r="C11496" s="1" t="s">
        <v>185</v>
      </c>
      <c r="DA11496" s="1" t="s">
        <v>101</v>
      </c>
      <c r="GB11496" s="1" t="s">
        <v>180</v>
      </c>
      <c r="GD11496" s="1" t="s">
        <v>236</v>
      </c>
      <c r="GE11496" s="1" t="s">
        <v>190</v>
      </c>
    </row>
    <row r="11497" spans="1:187" ht="11.25" customHeight="1">
      <c r="A11497" s="1" t="s">
        <v>16148</v>
      </c>
      <c r="B11497" s="1" t="str">
        <f ca="1">IFERROR(__xludf.DUMMYFUNCTION("GOOGLETRANSLATE(A11497, ""en"", ""fr"")"),"MOUILLÉ")</f>
        <v>MOUILLÉ</v>
      </c>
      <c r="C11497" s="1" t="s">
        <v>185</v>
      </c>
      <c r="CR11497" s="1" t="s">
        <v>92</v>
      </c>
      <c r="GD11497" s="1" t="s">
        <v>202</v>
      </c>
      <c r="GE11497" s="1" t="s">
        <v>190</v>
      </c>
    </row>
    <row r="11498" spans="1:187" ht="11.25" customHeight="1">
      <c r="A11498" s="1" t="s">
        <v>16149</v>
      </c>
      <c r="B11498" s="1" t="str">
        <f ca="1">IFERROR(__xludf.DUMMYFUNCTION("GOOGLETRANSLATE(A11498, ""en"", ""fr"")"),"Weu")</f>
        <v>Weu</v>
      </c>
      <c r="C11498" s="1" t="s">
        <v>196</v>
      </c>
      <c r="GD11498" s="1" t="s">
        <v>2981</v>
      </c>
    </row>
    <row r="11499" spans="1:187" ht="11.25" customHeight="1">
      <c r="A11499" s="1" t="s">
        <v>16150</v>
      </c>
      <c r="B11499" s="1" t="str">
        <f ca="1">IFERROR(__xludf.DUMMYFUNCTION("GOOGLETRANSLATE(A11499, ""en"", ""fr"")"),"BATTRE")</f>
        <v>BATTRE</v>
      </c>
      <c r="C11499" s="1" t="s">
        <v>192</v>
      </c>
      <c r="E11499" s="1" t="s">
        <v>16613</v>
      </c>
      <c r="I11499" s="1" t="s">
        <v>5</v>
      </c>
      <c r="J11499" s="1" t="s">
        <v>6</v>
      </c>
      <c r="N11499" s="1" t="s">
        <v>10</v>
      </c>
      <c r="CC11499" s="1" t="s">
        <v>77</v>
      </c>
      <c r="DN11499" s="1" t="s">
        <v>114</v>
      </c>
      <c r="GD11499" s="1" t="s">
        <v>670</v>
      </c>
      <c r="GE11499" s="1" t="s">
        <v>190</v>
      </c>
    </row>
    <row r="11500" spans="1:187" ht="11.25" customHeight="1">
      <c r="A11500" s="1" t="s">
        <v>16151</v>
      </c>
      <c r="B11500" s="1" t="str">
        <f ca="1">IFERROR(__xludf.DUMMYFUNCTION("GOOGLETRANSLATE(A11500, ""en"", ""fr"")"),"Quel n ° 1")</f>
        <v>Quel n ° 1</v>
      </c>
      <c r="C11500" s="1" t="s">
        <v>185</v>
      </c>
      <c r="GD11500" s="1" t="s">
        <v>16152</v>
      </c>
      <c r="GE11500" s="1" t="s">
        <v>16153</v>
      </c>
    </row>
    <row r="11501" spans="1:187" ht="11.25" customHeight="1">
      <c r="A11501" s="1" t="s">
        <v>16154</v>
      </c>
      <c r="B11501" s="1" t="str">
        <f ca="1">IFERROR(__xludf.DUMMYFUNCTION("GOOGLETRANSLATE(A11501, ""en"", ""fr"")"),"What # 2")</f>
        <v>What # 2</v>
      </c>
      <c r="C11501" s="1" t="s">
        <v>185</v>
      </c>
      <c r="GD11501" s="1" t="s">
        <v>16155</v>
      </c>
      <c r="GE11501" s="1" t="s">
        <v>16156</v>
      </c>
    </row>
    <row r="11502" spans="1:187" ht="11.25" customHeight="1">
      <c r="A11502" s="1" t="s">
        <v>16157</v>
      </c>
      <c r="B11502" s="1" t="str">
        <f ca="1">IFERROR(__xludf.DUMMYFUNCTION("GOOGLETRANSLATE(A11502, ""en"", ""fr"")"),"What # 3")</f>
        <v>What # 3</v>
      </c>
      <c r="C11502" s="1" t="s">
        <v>185</v>
      </c>
      <c r="W11502" s="1" t="s">
        <v>19</v>
      </c>
      <c r="DM11502" s="1" t="s">
        <v>113</v>
      </c>
      <c r="GD11502" s="1" t="s">
        <v>3750</v>
      </c>
      <c r="GE11502" s="1" t="s">
        <v>16158</v>
      </c>
    </row>
    <row r="11503" spans="1:187" ht="11.25" customHeight="1">
      <c r="A11503" s="1" t="s">
        <v>16159</v>
      </c>
      <c r="B11503" s="1" t="str">
        <f ca="1">IFERROR(__xludf.DUMMYFUNCTION("GOOGLETRANSLATE(A11503, ""en"", ""fr"")"),"Quel que soit le n ° 1")</f>
        <v>Quel que soit le n ° 1</v>
      </c>
      <c r="C11503" s="1" t="s">
        <v>185</v>
      </c>
      <c r="W11503" s="1" t="s">
        <v>19</v>
      </c>
      <c r="DM11503" s="1" t="s">
        <v>113</v>
      </c>
      <c r="GD11503" s="1" t="s">
        <v>3750</v>
      </c>
      <c r="GE11503" s="1" t="s">
        <v>16160</v>
      </c>
    </row>
    <row r="11504" spans="1:187" ht="11.25" customHeight="1">
      <c r="A11504" s="1" t="s">
        <v>16161</v>
      </c>
      <c r="B11504" s="1" t="str">
        <f ca="1">IFERROR(__xludf.DUMMYFUNCTION("GOOGLETRANSLATE(A11504, ""en"", ""fr"")"),"Quel que soit le n ° 2")</f>
        <v>Quel que soit le n ° 2</v>
      </c>
      <c r="C11504" s="1" t="s">
        <v>185</v>
      </c>
      <c r="W11504" s="1" t="s">
        <v>19</v>
      </c>
      <c r="GD11504" s="1" t="s">
        <v>16162</v>
      </c>
      <c r="GE11504" s="1" t="s">
        <v>16163</v>
      </c>
    </row>
    <row r="11505" spans="1:187" ht="11.25" customHeight="1">
      <c r="A11505" s="1" t="s">
        <v>16164</v>
      </c>
      <c r="B11505" s="1" t="str">
        <f ca="1">IFERROR(__xludf.DUMMYFUNCTION("GOOGLETRANSLATE(A11505, ""en"", ""fr"")"),"QUOI QUE CE SOIT")</f>
        <v>QUOI QUE CE SOIT</v>
      </c>
      <c r="C11505" s="1" t="s">
        <v>185</v>
      </c>
      <c r="W11505" s="1" t="s">
        <v>19</v>
      </c>
      <c r="DM11505" s="1" t="s">
        <v>113</v>
      </c>
      <c r="GD11505" s="1" t="s">
        <v>3750</v>
      </c>
      <c r="GE11505" s="1" t="s">
        <v>190</v>
      </c>
    </row>
    <row r="11506" spans="1:187" ht="11.25" customHeight="1">
      <c r="A11506" s="1" t="s">
        <v>16165</v>
      </c>
      <c r="B11506" s="1" t="str">
        <f ca="1">IFERROR(__xludf.DUMMYFUNCTION("GOOGLETRANSLATE(A11506, ""en"", ""fr"")"),"BLÉ")</f>
        <v>BLÉ</v>
      </c>
      <c r="C11506" s="1" t="s">
        <v>196</v>
      </c>
      <c r="BE11506" s="1" t="s">
        <v>53</v>
      </c>
      <c r="EV11506" s="1" t="s">
        <v>148</v>
      </c>
      <c r="EW11506" s="1" t="s">
        <v>149</v>
      </c>
      <c r="GD11506" s="1" t="s">
        <v>875</v>
      </c>
    </row>
    <row r="11507" spans="1:187" ht="11.25" customHeight="1">
      <c r="A11507" s="1" t="s">
        <v>16166</v>
      </c>
      <c r="B11507" s="1" t="str">
        <f ca="1">IFERROR(__xludf.DUMMYFUNCTION("GOOGLETRANSLATE(A11507, ""en"", ""fr"")"),"Roue n ° 1")</f>
        <v>Roue n ° 1</v>
      </c>
      <c r="C11507" s="1" t="s">
        <v>185</v>
      </c>
      <c r="BC11507" s="1" t="s">
        <v>51</v>
      </c>
      <c r="BD11507" s="1" t="s">
        <v>52</v>
      </c>
      <c r="GD11507" s="1" t="s">
        <v>193</v>
      </c>
      <c r="GE11507" s="1" t="s">
        <v>190</v>
      </c>
    </row>
    <row r="11508" spans="1:187" ht="11.25" customHeight="1">
      <c r="A11508" s="1" t="s">
        <v>16167</v>
      </c>
      <c r="B11508" s="1" t="str">
        <f ca="1">IFERROR(__xludf.DUMMYFUNCTION("GOOGLETRANSLATE(A11508, ""en"", ""fr"")"),"Roue n ° 2")</f>
        <v>Roue n ° 2</v>
      </c>
      <c r="C11508" s="1" t="s">
        <v>185</v>
      </c>
      <c r="I11508" s="1" t="s">
        <v>5</v>
      </c>
      <c r="CC11508" s="1" t="s">
        <v>77</v>
      </c>
      <c r="DN11508" s="1" t="s">
        <v>114</v>
      </c>
      <c r="GD11508" s="1" t="s">
        <v>189</v>
      </c>
      <c r="GE11508" s="1" t="s">
        <v>190</v>
      </c>
    </row>
    <row r="11509" spans="1:187" ht="11.25" customHeight="1">
      <c r="A11509" s="1" t="s">
        <v>16168</v>
      </c>
      <c r="B11509" s="1" t="str">
        <f ca="1">IFERROR(__xludf.DUMMYFUNCTION("GOOGLETRANSLATE(A11509, ""en"", ""fr"")"),"QUAND")</f>
        <v>QUAND</v>
      </c>
      <c r="C11509" s="1" t="s">
        <v>185</v>
      </c>
      <c r="CY11509" s="1" t="s">
        <v>99</v>
      </c>
      <c r="GB11509" s="1" t="s">
        <v>180</v>
      </c>
      <c r="GD11509" s="1" t="s">
        <v>16169</v>
      </c>
      <c r="GE11509" s="1" t="s">
        <v>16170</v>
      </c>
    </row>
    <row r="11510" spans="1:187" ht="11.25" customHeight="1">
      <c r="A11510" s="1" t="s">
        <v>16171</v>
      </c>
      <c r="B11510" s="1" t="str">
        <f ca="1">IFERROR(__xludf.DUMMYFUNCTION("GOOGLETRANSLATE(A11510, ""en"", ""fr"")"),"CHAQUE FOIS QUE")</f>
        <v>CHAQUE FOIS QUE</v>
      </c>
      <c r="C11510" s="1" t="s">
        <v>185</v>
      </c>
      <c r="CY11510" s="1" t="s">
        <v>99</v>
      </c>
      <c r="GB11510" s="1" t="s">
        <v>180</v>
      </c>
      <c r="GD11510" s="1" t="s">
        <v>763</v>
      </c>
      <c r="GE11510" s="1" t="s">
        <v>16172</v>
      </c>
    </row>
    <row r="11511" spans="1:187" ht="11.25" customHeight="1">
      <c r="A11511" s="1" t="s">
        <v>16173</v>
      </c>
      <c r="B11511" s="1" t="str">
        <f ca="1">IFERROR(__xludf.DUMMYFUNCTION("GOOGLETRANSLATE(A11511, ""en"", ""fr"")"),"Où n ° 1")</f>
        <v>Où n ° 1</v>
      </c>
      <c r="C11511" s="1" t="s">
        <v>185</v>
      </c>
      <c r="DA11511" s="1" t="s">
        <v>101</v>
      </c>
      <c r="GB11511" s="1" t="s">
        <v>180</v>
      </c>
      <c r="GD11511" s="1" t="s">
        <v>7301</v>
      </c>
      <c r="GE11511" s="1" t="s">
        <v>16174</v>
      </c>
    </row>
    <row r="11512" spans="1:187" ht="11.25" customHeight="1">
      <c r="A11512" s="1" t="s">
        <v>16175</v>
      </c>
      <c r="B11512" s="1" t="str">
        <f ca="1">IFERROR(__xludf.DUMMYFUNCTION("GOOGLETRANSLATE(A11512, ""en"", ""fr"")"),"Où n ° 2")</f>
        <v>Où n ° 2</v>
      </c>
      <c r="C11512" s="1" t="s">
        <v>185</v>
      </c>
      <c r="DA11512" s="1" t="s">
        <v>101</v>
      </c>
      <c r="GB11512" s="1" t="s">
        <v>180</v>
      </c>
      <c r="GD11512" s="1" t="s">
        <v>1595</v>
      </c>
      <c r="GE11512" s="1" t="s">
        <v>16176</v>
      </c>
    </row>
    <row r="11513" spans="1:187" ht="11.25" customHeight="1">
      <c r="A11513" s="1" t="s">
        <v>16177</v>
      </c>
      <c r="B11513" s="1" t="str">
        <f ca="1">IFERROR(__xludf.DUMMYFUNCTION("GOOGLETRANSLATE(A11513, ""en"", ""fr"")"),"Où n ° 3")</f>
        <v>Où n ° 3</v>
      </c>
      <c r="C11513" s="1" t="s">
        <v>185</v>
      </c>
      <c r="DA11513" s="1" t="s">
        <v>101</v>
      </c>
      <c r="GB11513" s="1" t="s">
        <v>180</v>
      </c>
      <c r="GD11513" s="1" t="s">
        <v>1957</v>
      </c>
      <c r="GE11513" s="1" t="s">
        <v>16178</v>
      </c>
    </row>
    <row r="11514" spans="1:187" ht="11.25" customHeight="1">
      <c r="A11514" s="1" t="s">
        <v>16179</v>
      </c>
      <c r="B11514" s="1" t="str">
        <f ca="1">IFERROR(__xludf.DUMMYFUNCTION("GOOGLETRANSLATE(A11514, ""en"", ""fr"")"),"ALORS QUE")</f>
        <v>ALORS QUE</v>
      </c>
      <c r="C11514" s="1" t="s">
        <v>185</v>
      </c>
      <c r="CH11514" s="1" t="s">
        <v>82</v>
      </c>
      <c r="GD11514" s="1" t="s">
        <v>202</v>
      </c>
      <c r="GE11514" s="1" t="s">
        <v>190</v>
      </c>
    </row>
    <row r="11515" spans="1:187" ht="11.25" customHeight="1">
      <c r="A11515" s="1" t="s">
        <v>16180</v>
      </c>
      <c r="B11515" s="1" t="str">
        <f ca="1">IFERROR(__xludf.DUMMYFUNCTION("GOOGLETRANSLATE(A11515, ""en"", ""fr"")"),"PAR LEQUEL")</f>
        <v>PAR LEQUEL</v>
      </c>
      <c r="C11515" s="1" t="s">
        <v>185</v>
      </c>
      <c r="CI11515" s="1" t="s">
        <v>83</v>
      </c>
      <c r="GD11515" s="1" t="s">
        <v>236</v>
      </c>
      <c r="GE11515" s="1" t="s">
        <v>190</v>
      </c>
    </row>
    <row r="11516" spans="1:187" ht="11.25" customHeight="1">
      <c r="A11516" s="1" t="s">
        <v>16181</v>
      </c>
      <c r="B11516" s="1" t="str">
        <f ca="1">IFERROR(__xludf.DUMMYFUNCTION("GOOGLETRANSLATE(A11516, ""en"", ""fr"")"),"OÙ")</f>
        <v>OÙ</v>
      </c>
      <c r="C11516" s="1" t="s">
        <v>185</v>
      </c>
      <c r="DA11516" s="1" t="s">
        <v>101</v>
      </c>
      <c r="GB11516" s="1" t="s">
        <v>180</v>
      </c>
      <c r="GD11516" s="1" t="s">
        <v>236</v>
      </c>
      <c r="GE11516" s="1" t="s">
        <v>190</v>
      </c>
    </row>
    <row r="11517" spans="1:187" ht="11.25" customHeight="1">
      <c r="A11517" s="1" t="s">
        <v>16182</v>
      </c>
      <c r="B11517" s="1" t="str">
        <f ca="1">IFERROR(__xludf.DUMMYFUNCTION("GOOGLETRANSLATE(A11517, ""en"", ""fr"")"),"PARTOUT OÙ")</f>
        <v>PARTOUT OÙ</v>
      </c>
      <c r="C11517" s="1" t="s">
        <v>185</v>
      </c>
      <c r="W11517" s="1" t="s">
        <v>19</v>
      </c>
      <c r="DA11517" s="1" t="s">
        <v>101</v>
      </c>
      <c r="GB11517" s="1" t="s">
        <v>180</v>
      </c>
      <c r="GD11517" s="1" t="s">
        <v>9161</v>
      </c>
      <c r="GE11517" s="1" t="s">
        <v>16183</v>
      </c>
    </row>
    <row r="11518" spans="1:187" ht="11.25" customHeight="1">
      <c r="A11518" s="1" t="s">
        <v>16184</v>
      </c>
      <c r="B11518" s="1" t="str">
        <f ca="1">IFERROR(__xludf.DUMMYFUNCTION("GOOGLETRANSLATE(A11518, ""en"", ""fr"")"),"SI")</f>
        <v>SI</v>
      </c>
      <c r="C11518" s="1" t="s">
        <v>185</v>
      </c>
      <c r="CH11518" s="1" t="s">
        <v>82</v>
      </c>
      <c r="FZ11518" s="1" t="s">
        <v>178</v>
      </c>
      <c r="GD11518" s="1" t="s">
        <v>763</v>
      </c>
      <c r="GE11518" s="1" t="s">
        <v>16185</v>
      </c>
    </row>
    <row r="11519" spans="1:187" ht="11.25" customHeight="1">
      <c r="A11519" s="1" t="s">
        <v>16186</v>
      </c>
      <c r="B11519" s="1" t="str">
        <f ca="1">IFERROR(__xludf.DUMMYFUNCTION("GOOGLETRANSLATE(A11519, ""en"", ""fr"")"),"LEQUEL")</f>
        <v>LEQUEL</v>
      </c>
      <c r="C11519" s="1" t="s">
        <v>185</v>
      </c>
      <c r="GD11519" s="1" t="s">
        <v>16187</v>
      </c>
      <c r="GE11519" s="1" t="s">
        <v>16188</v>
      </c>
    </row>
    <row r="11520" spans="1:187" ht="11.25" customHeight="1">
      <c r="A11520" s="1" t="s">
        <v>16189</v>
      </c>
      <c r="B11520" s="1" t="str">
        <f ca="1">IFERROR(__xludf.DUMMYFUNCTION("GOOGLETRANSLATE(A11520, ""en"", ""fr"")"),"Whig")</f>
        <v>Whig</v>
      </c>
      <c r="C11520" s="1" t="s">
        <v>196</v>
      </c>
      <c r="GD11520" s="1" t="s">
        <v>12012</v>
      </c>
    </row>
    <row r="11521" spans="1:187" ht="11.25" customHeight="1">
      <c r="A11521" s="1" t="s">
        <v>16190</v>
      </c>
      <c r="B11521" s="1" t="str">
        <f ca="1">IFERROR(__xludf.DUMMYFUNCTION("GOOGLETRANSLATE(A11521, ""en"", ""fr"")"),"Tandis que # 1")</f>
        <v>Tandis que # 1</v>
      </c>
      <c r="C11521" s="1" t="s">
        <v>185</v>
      </c>
      <c r="CQ11521" s="1" t="s">
        <v>91</v>
      </c>
      <c r="CY11521" s="1" t="s">
        <v>99</v>
      </c>
      <c r="CZ11521" s="1" t="s">
        <v>100</v>
      </c>
      <c r="GB11521" s="1" t="s">
        <v>180</v>
      </c>
      <c r="GD11521" s="1" t="s">
        <v>193</v>
      </c>
      <c r="GE11521" s="1" t="s">
        <v>16191</v>
      </c>
    </row>
    <row r="11522" spans="1:187" ht="11.25" customHeight="1">
      <c r="A11522" s="1" t="s">
        <v>16192</v>
      </c>
      <c r="B11522" s="1" t="str">
        <f ca="1">IFERROR(__xludf.DUMMYFUNCTION("GOOGLETRANSLATE(A11522, ""en"", ""fr"")"),"Tandis que # 2")</f>
        <v>Tandis que # 2</v>
      </c>
      <c r="C11522" s="1" t="s">
        <v>185</v>
      </c>
      <c r="CY11522" s="1" t="s">
        <v>99</v>
      </c>
      <c r="GB11522" s="1" t="s">
        <v>180</v>
      </c>
      <c r="GD11522" s="1" t="s">
        <v>763</v>
      </c>
      <c r="GE11522" s="1" t="s">
        <v>16193</v>
      </c>
    </row>
    <row r="11523" spans="1:187" ht="11.25" customHeight="1">
      <c r="A11523" s="1" t="s">
        <v>16194</v>
      </c>
      <c r="B11523" s="1" t="str">
        <f ca="1">IFERROR(__xludf.DUMMYFUNCTION("GOOGLETRANSLATE(A11523, ""en"", ""fr"")"),"Tandis que # 3")</f>
        <v>Tandis que # 3</v>
      </c>
      <c r="C11523" s="1" t="s">
        <v>185</v>
      </c>
      <c r="GD11523" s="1" t="s">
        <v>225</v>
      </c>
      <c r="GE11523" s="1" t="s">
        <v>16195</v>
      </c>
    </row>
    <row r="11524" spans="1:187" ht="11.25" customHeight="1">
      <c r="A11524" s="1" t="s">
        <v>16196</v>
      </c>
      <c r="B11524" s="1" t="str">
        <f ca="1">IFERROR(__xludf.DUMMYFUNCTION("GOOGLETRANSLATE(A11524, ""en"", ""fr"")"),"CAPRICE")</f>
        <v>CAPRICE</v>
      </c>
      <c r="C11524" s="1" t="s">
        <v>185</v>
      </c>
      <c r="BW11524" s="1" t="s">
        <v>71</v>
      </c>
      <c r="GD11524" s="1" t="s">
        <v>193</v>
      </c>
      <c r="GE11524" s="1" t="s">
        <v>190</v>
      </c>
    </row>
    <row r="11525" spans="1:187" ht="11.25" customHeight="1">
      <c r="A11525" s="1" t="s">
        <v>16197</v>
      </c>
      <c r="B11525" s="1" t="str">
        <f ca="1">IFERROR(__xludf.DUMMYFUNCTION("GOOGLETRANSLATE(A11525, ""en"", ""fr"")"),"GÉMISSEMENT")</f>
        <v>GÉMISSEMENT</v>
      </c>
      <c r="C11525" s="1" t="s">
        <v>192</v>
      </c>
      <c r="E11525" s="1" t="s">
        <v>16613</v>
      </c>
      <c r="N11525" s="1" t="s">
        <v>10</v>
      </c>
      <c r="Q11525" s="1" t="s">
        <v>13</v>
      </c>
      <c r="T11525" s="1" t="s">
        <v>16</v>
      </c>
      <c r="BK11525" s="1" t="s">
        <v>59</v>
      </c>
      <c r="DO11525" s="1" t="s">
        <v>115</v>
      </c>
      <c r="GD11525" s="1" t="s">
        <v>189</v>
      </c>
      <c r="GE11525" s="1" t="s">
        <v>190</v>
      </c>
    </row>
    <row r="11526" spans="1:187" ht="11.25" customHeight="1">
      <c r="A11526" s="1" t="s">
        <v>16198</v>
      </c>
      <c r="B11526" s="1" t="str">
        <f ca="1">IFERROR(__xludf.DUMMYFUNCTION("GOOGLETRANSLATE(A11526, ""en"", ""fr"")"),"CAPRICIEUX")</f>
        <v>CAPRICIEUX</v>
      </c>
      <c r="C11526" s="1" t="s">
        <v>192</v>
      </c>
      <c r="D11526" s="1" t="s">
        <v>16612</v>
      </c>
      <c r="P11526" s="1" t="s">
        <v>12</v>
      </c>
      <c r="AI11526" s="1" t="s">
        <v>31</v>
      </c>
      <c r="DR11526" s="1" t="s">
        <v>118</v>
      </c>
      <c r="GD11526" s="1" t="s">
        <v>202</v>
      </c>
      <c r="GE11526" s="1" t="s">
        <v>190</v>
      </c>
    </row>
    <row r="11527" spans="1:187" ht="11.25" customHeight="1">
      <c r="A11527" s="1" t="s">
        <v>16199</v>
      </c>
      <c r="B11527" s="1" t="str">
        <f ca="1">IFERROR(__xludf.DUMMYFUNCTION("GOOGLETRANSLATE(A11527, ""en"", ""fr"")"),"GÉMISSEMENT")</f>
        <v>GÉMISSEMENT</v>
      </c>
      <c r="C11527" s="1" t="s">
        <v>185</v>
      </c>
      <c r="E11527" s="1" t="s">
        <v>16613</v>
      </c>
      <c r="H11527" s="1" t="s">
        <v>4</v>
      </c>
      <c r="I11527" s="1" t="s">
        <v>5</v>
      </c>
      <c r="L11527" s="1" t="s">
        <v>8</v>
      </c>
      <c r="M11527" s="1" t="s">
        <v>9</v>
      </c>
      <c r="BK11527" s="1" t="s">
        <v>59</v>
      </c>
      <c r="DO11527" s="1" t="s">
        <v>115</v>
      </c>
      <c r="GD11527" s="1" t="s">
        <v>189</v>
      </c>
      <c r="GE11527" s="1" t="s">
        <v>190</v>
      </c>
    </row>
    <row r="11528" spans="1:187" ht="11.25" customHeight="1">
      <c r="A11528" s="1" t="s">
        <v>16200</v>
      </c>
      <c r="B11528" s="1" t="str">
        <f ca="1">IFERROR(__xludf.DUMMYFUNCTION("GOOGLETRANSLATE(A11528, ""en"", ""fr"")"),"Whip # 1")</f>
        <v>Whip # 1</v>
      </c>
      <c r="C11528" s="1" t="s">
        <v>185</v>
      </c>
      <c r="E11528" s="1" t="s">
        <v>16613</v>
      </c>
      <c r="H11528" s="1" t="s">
        <v>4</v>
      </c>
      <c r="I11528" s="1" t="s">
        <v>5</v>
      </c>
      <c r="J11528" s="1" t="s">
        <v>6</v>
      </c>
      <c r="BC11528" s="1" t="s">
        <v>51</v>
      </c>
      <c r="BD11528" s="1" t="s">
        <v>52</v>
      </c>
      <c r="EC11528" s="1" t="s">
        <v>129</v>
      </c>
      <c r="ED11528" s="1" t="s">
        <v>130</v>
      </c>
      <c r="GD11528" s="1" t="s">
        <v>193</v>
      </c>
      <c r="GE11528" s="1" t="s">
        <v>16201</v>
      </c>
    </row>
    <row r="11529" spans="1:187" ht="11.25" customHeight="1">
      <c r="A11529" s="1" t="s">
        <v>16202</v>
      </c>
      <c r="B11529" s="1" t="str">
        <f ca="1">IFERROR(__xludf.DUMMYFUNCTION("GOOGLETRANSLATE(A11529, ""en"", ""fr"")"),"Whip # 2")</f>
        <v>Whip # 2</v>
      </c>
      <c r="C11529" s="1" t="s">
        <v>185</v>
      </c>
      <c r="E11529" s="1" t="s">
        <v>16613</v>
      </c>
      <c r="H11529" s="1" t="s">
        <v>4</v>
      </c>
      <c r="I11529" s="1" t="s">
        <v>5</v>
      </c>
      <c r="J11529" s="1" t="s">
        <v>6</v>
      </c>
      <c r="N11529" s="1" t="s">
        <v>10</v>
      </c>
      <c r="V11529" s="1" t="s">
        <v>18</v>
      </c>
      <c r="EC11529" s="1" t="s">
        <v>129</v>
      </c>
      <c r="ED11529" s="1" t="s">
        <v>130</v>
      </c>
      <c r="GD11529" s="1" t="s">
        <v>193</v>
      </c>
      <c r="GE11529" s="1" t="s">
        <v>16203</v>
      </c>
    </row>
    <row r="11530" spans="1:187" ht="11.25" customHeight="1">
      <c r="A11530" s="1" t="s">
        <v>16204</v>
      </c>
      <c r="B11530" s="1" t="str">
        <f ca="1">IFERROR(__xludf.DUMMYFUNCTION("GOOGLETRANSLATE(A11530, ""en"", ""fr"")"),"Whip # 3")</f>
        <v>Whip # 3</v>
      </c>
      <c r="C11530" s="1" t="s">
        <v>185</v>
      </c>
      <c r="E11530" s="1" t="s">
        <v>16613</v>
      </c>
      <c r="H11530" s="1" t="s">
        <v>4</v>
      </c>
      <c r="I11530" s="1" t="s">
        <v>5</v>
      </c>
      <c r="J11530" s="1" t="s">
        <v>6</v>
      </c>
      <c r="N11530" s="1" t="s">
        <v>10</v>
      </c>
      <c r="AN11530" s="1" t="s">
        <v>36</v>
      </c>
      <c r="DO11530" s="1" t="s">
        <v>115</v>
      </c>
      <c r="EC11530" s="1" t="s">
        <v>129</v>
      </c>
      <c r="ED11530" s="1" t="s">
        <v>130</v>
      </c>
      <c r="GD11530" s="1" t="s">
        <v>189</v>
      </c>
      <c r="GE11530" s="1" t="s">
        <v>16205</v>
      </c>
    </row>
    <row r="11531" spans="1:187" ht="11.25" customHeight="1">
      <c r="A11531" s="1" t="s">
        <v>16206</v>
      </c>
      <c r="B11531" s="1" t="str">
        <f ca="1">IFERROR(__xludf.DUMMYFUNCTION("GOOGLETRANSLATE(A11531, ""en"", ""fr"")"),"Whip # 4")</f>
        <v>Whip # 4</v>
      </c>
      <c r="C11531" s="1" t="s">
        <v>185</v>
      </c>
      <c r="L11531" s="1" t="s">
        <v>8</v>
      </c>
      <c r="M11531" s="1" t="s">
        <v>9</v>
      </c>
      <c r="O11531" s="1" t="s">
        <v>11</v>
      </c>
      <c r="AJ11531" s="1" t="s">
        <v>32</v>
      </c>
      <c r="AT11531" s="1" t="s">
        <v>42</v>
      </c>
      <c r="EC11531" s="1" t="s">
        <v>129</v>
      </c>
      <c r="ED11531" s="1" t="s">
        <v>130</v>
      </c>
      <c r="GD11531" s="1" t="s">
        <v>193</v>
      </c>
      <c r="GE11531" s="1" t="s">
        <v>16207</v>
      </c>
    </row>
    <row r="11532" spans="1:187" ht="11.25" customHeight="1">
      <c r="A11532" s="1" t="s">
        <v>16208</v>
      </c>
      <c r="B11532" s="1" t="str">
        <f ca="1">IFERROR(__xludf.DUMMYFUNCTION("GOOGLETRANSLATE(A11532, ""en"", ""fr"")"),"Whip # 5")</f>
        <v>Whip # 5</v>
      </c>
      <c r="C11532" s="1" t="s">
        <v>185</v>
      </c>
      <c r="J11532" s="1" t="s">
        <v>6</v>
      </c>
      <c r="N11532" s="1" t="s">
        <v>10</v>
      </c>
      <c r="CC11532" s="1" t="s">
        <v>77</v>
      </c>
      <c r="DN11532" s="1" t="s">
        <v>114</v>
      </c>
      <c r="EC11532" s="1" t="s">
        <v>129</v>
      </c>
      <c r="ED11532" s="1" t="s">
        <v>130</v>
      </c>
      <c r="GD11532" s="1" t="s">
        <v>189</v>
      </c>
      <c r="GE11532" s="1" t="s">
        <v>16209</v>
      </c>
    </row>
    <row r="11533" spans="1:187" ht="11.25" customHeight="1">
      <c r="A11533" s="1" t="s">
        <v>16210</v>
      </c>
      <c r="B11533" s="1" t="str">
        <f ca="1">IFERROR(__xludf.DUMMYFUNCTION("GOOGLETRANSLATE(A11533, ""en"", ""fr"")"),"TOURBILLON")</f>
        <v>TOURBILLON</v>
      </c>
      <c r="C11533" s="1" t="s">
        <v>185</v>
      </c>
      <c r="J11533" s="1" t="s">
        <v>6</v>
      </c>
      <c r="CC11533" s="1" t="s">
        <v>77</v>
      </c>
      <c r="DN11533" s="1" t="s">
        <v>114</v>
      </c>
      <c r="GD11533" s="1" t="s">
        <v>189</v>
      </c>
      <c r="GE11533" s="1" t="s">
        <v>190</v>
      </c>
    </row>
    <row r="11534" spans="1:187" ht="11.25" customHeight="1">
      <c r="A11534" s="1" t="s">
        <v>16211</v>
      </c>
      <c r="B11534" s="1" t="str">
        <f ca="1">IFERROR(__xludf.DUMMYFUNCTION("GOOGLETRANSLATE(A11534, ""en"", ""fr"")"),"WHISKY")</f>
        <v>WHISKY</v>
      </c>
      <c r="C11534" s="1" t="s">
        <v>185</v>
      </c>
      <c r="BC11534" s="1" t="s">
        <v>51</v>
      </c>
      <c r="BE11534" s="1" t="s">
        <v>53</v>
      </c>
      <c r="GD11534" s="1" t="s">
        <v>193</v>
      </c>
      <c r="GE11534" s="1" t="s">
        <v>190</v>
      </c>
    </row>
    <row r="11535" spans="1:187" ht="11.25" customHeight="1">
      <c r="A11535" s="1" t="s">
        <v>16212</v>
      </c>
      <c r="B11535" s="1" t="str">
        <f ca="1">IFERROR(__xludf.DUMMYFUNCTION("GOOGLETRANSLATE(A11535, ""en"", ""fr"")"),"Murmure # 1")</f>
        <v>Murmure # 1</v>
      </c>
      <c r="C11535" s="1" t="s">
        <v>185</v>
      </c>
      <c r="X11535" s="1" t="s">
        <v>20</v>
      </c>
      <c r="BK11535" s="1" t="s">
        <v>59</v>
      </c>
      <c r="BL11535" s="1" t="s">
        <v>60</v>
      </c>
      <c r="GC11535" s="1" t="s">
        <v>181</v>
      </c>
      <c r="GD11535" s="1" t="s">
        <v>193</v>
      </c>
      <c r="GE11535" s="1" t="s">
        <v>190</v>
      </c>
    </row>
    <row r="11536" spans="1:187" ht="11.25" customHeight="1">
      <c r="A11536" s="1" t="s">
        <v>16213</v>
      </c>
      <c r="B11536" s="1" t="str">
        <f ca="1">IFERROR(__xludf.DUMMYFUNCTION("GOOGLETRANSLATE(A11536, ""en"", ""fr"")"),"Chuchotement # 2")</f>
        <v>Chuchotement # 2</v>
      </c>
      <c r="C11536" s="1" t="s">
        <v>185</v>
      </c>
      <c r="X11536" s="1" t="s">
        <v>20</v>
      </c>
      <c r="BK11536" s="1" t="s">
        <v>59</v>
      </c>
      <c r="DO11536" s="1" t="s">
        <v>115</v>
      </c>
      <c r="FP11536" s="1" t="s">
        <v>168</v>
      </c>
      <c r="GD11536" s="1" t="s">
        <v>189</v>
      </c>
      <c r="GE11536" s="1" t="s">
        <v>190</v>
      </c>
    </row>
    <row r="11537" spans="1:187" ht="11.25" customHeight="1">
      <c r="A11537" s="1" t="s">
        <v>16214</v>
      </c>
      <c r="B11537" s="1" t="str">
        <f ca="1">IFERROR(__xludf.DUMMYFUNCTION("GOOGLETRANSLATE(A11537, ""en"", ""fr"")"),"Sifflet # 1")</f>
        <v>Sifflet # 1</v>
      </c>
      <c r="C11537" s="1" t="s">
        <v>185</v>
      </c>
      <c r="AD11537" s="1" t="s">
        <v>26</v>
      </c>
      <c r="BK11537" s="1" t="s">
        <v>59</v>
      </c>
      <c r="BL11537" s="1" t="s">
        <v>60</v>
      </c>
      <c r="GC11537" s="1" t="s">
        <v>181</v>
      </c>
      <c r="GD11537" s="1" t="s">
        <v>193</v>
      </c>
      <c r="GE11537" s="1" t="s">
        <v>190</v>
      </c>
    </row>
    <row r="11538" spans="1:187" ht="11.25" customHeight="1">
      <c r="A11538" s="1" t="s">
        <v>16215</v>
      </c>
      <c r="B11538" s="1" t="str">
        <f ca="1">IFERROR(__xludf.DUMMYFUNCTION("GOOGLETRANSLATE(A11538, ""en"", ""fr"")"),"Sifflet # 2")</f>
        <v>Sifflet # 2</v>
      </c>
      <c r="C11538" s="1" t="s">
        <v>185</v>
      </c>
      <c r="N11538" s="1" t="s">
        <v>10</v>
      </c>
      <c r="AD11538" s="1" t="s">
        <v>26</v>
      </c>
      <c r="BK11538" s="1" t="s">
        <v>59</v>
      </c>
      <c r="DO11538" s="1" t="s">
        <v>115</v>
      </c>
      <c r="GD11538" s="1" t="s">
        <v>189</v>
      </c>
      <c r="GE11538" s="1" t="s">
        <v>190</v>
      </c>
    </row>
    <row r="11539" spans="1:187" ht="11.25" customHeight="1">
      <c r="A11539" s="1" t="s">
        <v>16216</v>
      </c>
      <c r="B11539" s="1" t="str">
        <f ca="1">IFERROR(__xludf.DUMMYFUNCTION("GOOGLETRANSLATE(A11539, ""en"", ""fr"")"),"Blanc # 1")</f>
        <v>Blanc # 1</v>
      </c>
      <c r="C11539" s="1" t="s">
        <v>185</v>
      </c>
      <c r="DE11539" s="1" t="s">
        <v>105</v>
      </c>
      <c r="GD11539" s="1" t="s">
        <v>202</v>
      </c>
      <c r="GE11539" s="1" t="s">
        <v>16217</v>
      </c>
    </row>
    <row r="11540" spans="1:187" ht="11.25" customHeight="1">
      <c r="A11540" s="1" t="s">
        <v>16218</v>
      </c>
      <c r="B11540" s="1" t="str">
        <f ca="1">IFERROR(__xludf.DUMMYFUNCTION("GOOGLETRANSLATE(A11540, ""en"", ""fr"")"),"Blanc # 2")</f>
        <v>Blanc # 2</v>
      </c>
      <c r="C11540" s="1" t="s">
        <v>185</v>
      </c>
      <c r="AH11540" s="1" t="s">
        <v>30</v>
      </c>
      <c r="AJ11540" s="1" t="s">
        <v>32</v>
      </c>
      <c r="AO11540" s="1" t="s">
        <v>37</v>
      </c>
      <c r="AT11540" s="1" t="s">
        <v>42</v>
      </c>
      <c r="DZ11540" s="1" t="s">
        <v>126</v>
      </c>
      <c r="ED11540" s="1" t="s">
        <v>130</v>
      </c>
      <c r="GD11540" s="1" t="s">
        <v>193</v>
      </c>
      <c r="GE11540" s="1" t="s">
        <v>16219</v>
      </c>
    </row>
    <row r="11541" spans="1:187" ht="11.25" customHeight="1">
      <c r="A11541" s="1" t="s">
        <v>16220</v>
      </c>
      <c r="B11541" s="1" t="str">
        <f ca="1">IFERROR(__xludf.DUMMYFUNCTION("GOOGLETRANSLATE(A11541, ""en"", ""fr"")"),"Blanc # 3")</f>
        <v>Blanc # 3</v>
      </c>
      <c r="C11541" s="1" t="s">
        <v>185</v>
      </c>
      <c r="AA11541" s="1" t="s">
        <v>23</v>
      </c>
      <c r="AC11541" s="1" t="s">
        <v>25</v>
      </c>
      <c r="AH11541" s="1" t="s">
        <v>30</v>
      </c>
      <c r="AJ11541" s="1" t="s">
        <v>32</v>
      </c>
      <c r="AT11541" s="1" t="s">
        <v>42</v>
      </c>
      <c r="EM11541" s="1" t="s">
        <v>139</v>
      </c>
      <c r="EN11541" s="1" t="s">
        <v>140</v>
      </c>
      <c r="GD11541" s="1" t="s">
        <v>202</v>
      </c>
      <c r="GE11541" s="1" t="s">
        <v>16221</v>
      </c>
    </row>
    <row r="11542" spans="1:187" ht="11.25" customHeight="1">
      <c r="A11542" s="1" t="s">
        <v>16222</v>
      </c>
      <c r="B11542" s="1" t="str">
        <f ca="1">IFERROR(__xludf.DUMMYFUNCTION("GOOGLETRANSLATE(A11542, ""en"", ""fr"")"),"Blanc # 4")</f>
        <v>Blanc # 4</v>
      </c>
      <c r="C11542" s="1" t="s">
        <v>185</v>
      </c>
      <c r="CH11542" s="1" t="s">
        <v>82</v>
      </c>
      <c r="FY11542" s="1" t="s">
        <v>177</v>
      </c>
      <c r="GD11542" s="1" t="s">
        <v>202</v>
      </c>
      <c r="GE11542" s="1" t="s">
        <v>16223</v>
      </c>
    </row>
    <row r="11543" spans="1:187" ht="11.25" customHeight="1">
      <c r="A11543" s="1" t="s">
        <v>16224</v>
      </c>
      <c r="B11543" s="1" t="str">
        <f ca="1">IFERROR(__xludf.DUMMYFUNCTION("GOOGLETRANSLATE(A11543, ""en"", ""fr"")"),"Blanc # 5")</f>
        <v>Blanc # 5</v>
      </c>
      <c r="C11543" s="1" t="s">
        <v>185</v>
      </c>
      <c r="AG11543" s="1" t="s">
        <v>29</v>
      </c>
      <c r="AH11543" s="1" t="s">
        <v>30</v>
      </c>
      <c r="AV11543" s="1" t="s">
        <v>44</v>
      </c>
      <c r="AW11543" s="1" t="s">
        <v>45</v>
      </c>
      <c r="DY11543" s="1" t="s">
        <v>125</v>
      </c>
      <c r="ED11543" s="1" t="s">
        <v>130</v>
      </c>
      <c r="GD11543" s="1" t="s">
        <v>193</v>
      </c>
      <c r="GE11543" s="1" t="s">
        <v>16225</v>
      </c>
    </row>
    <row r="11544" spans="1:187" ht="11.25" customHeight="1">
      <c r="A11544" s="1" t="s">
        <v>16226</v>
      </c>
      <c r="B11544" s="1" t="str">
        <f ca="1">IFERROR(__xludf.DUMMYFUNCTION("GOOGLETRANSLATE(A11544, ""en"", ""fr"")"),"Blanc # 6")</f>
        <v>Blanc # 6</v>
      </c>
      <c r="C11544" s="1" t="s">
        <v>185</v>
      </c>
      <c r="DE11544" s="1" t="s">
        <v>105</v>
      </c>
      <c r="GD11544" s="1" t="s">
        <v>202</v>
      </c>
      <c r="GE11544" s="1" t="s">
        <v>16227</v>
      </c>
    </row>
    <row r="11545" spans="1:187" ht="11.25" customHeight="1">
      <c r="A11545" s="1" t="s">
        <v>16228</v>
      </c>
      <c r="B11545" s="1" t="str">
        <f ca="1">IFERROR(__xludf.DUMMYFUNCTION("GOOGLETRANSLATE(A11545, ""en"", ""fr"")"),"Blanc # 7")</f>
        <v>Blanc # 7</v>
      </c>
      <c r="C11545" s="1" t="s">
        <v>185</v>
      </c>
      <c r="DE11545" s="1" t="s">
        <v>105</v>
      </c>
      <c r="GD11545" s="1" t="s">
        <v>202</v>
      </c>
      <c r="GE11545" s="1" t="s">
        <v>16229</v>
      </c>
    </row>
    <row r="11546" spans="1:187" ht="11.25" customHeight="1">
      <c r="A11546" s="1" t="s">
        <v>16230</v>
      </c>
      <c r="B11546" s="1" t="str">
        <f ca="1">IFERROR(__xludf.DUMMYFUNCTION("GOOGLETRANSLATE(A11546, ""en"", ""fr"")"),"Blanc # 8")</f>
        <v>Blanc # 8</v>
      </c>
      <c r="C11546" s="1" t="s">
        <v>185</v>
      </c>
      <c r="DI11546" s="1" t="s">
        <v>109</v>
      </c>
      <c r="GD11546" s="1" t="s">
        <v>193</v>
      </c>
      <c r="GE11546" s="1" t="s">
        <v>16231</v>
      </c>
    </row>
    <row r="11547" spans="1:187" ht="11.25" customHeight="1">
      <c r="A11547" s="1" t="s">
        <v>16232</v>
      </c>
      <c r="B11547" s="1" t="str">
        <f ca="1">IFERROR(__xludf.DUMMYFUNCTION("GOOGLETRANSLATE(A11547, ""en"", ""fr"")"),"OMS")</f>
        <v>OMS</v>
      </c>
      <c r="C11547" s="1" t="s">
        <v>185</v>
      </c>
      <c r="FT11547" s="1" t="s">
        <v>172</v>
      </c>
      <c r="GD11547" s="1" t="s">
        <v>16233</v>
      </c>
      <c r="GE11547" s="1" t="s">
        <v>16234</v>
      </c>
    </row>
    <row r="11548" spans="1:187" ht="11.25" customHeight="1">
      <c r="A11548" s="1" t="s">
        <v>16235</v>
      </c>
      <c r="B11548" s="1" t="str">
        <f ca="1">IFERROR(__xludf.DUMMYFUNCTION("GOOGLETRANSLATE(A11548, ""en"", ""fr"")"),"Qui est")</f>
        <v>Qui est</v>
      </c>
      <c r="C11548" s="1" t="s">
        <v>185</v>
      </c>
      <c r="GD11548" s="1" t="s">
        <v>16236</v>
      </c>
      <c r="GE11548" s="1" t="s">
        <v>190</v>
      </c>
    </row>
    <row r="11549" spans="1:187" ht="11.25" customHeight="1">
      <c r="A11549" s="1" t="s">
        <v>16237</v>
      </c>
      <c r="B11549" s="1" t="str">
        <f ca="1">IFERROR(__xludf.DUMMYFUNCTION("GOOGLETRANSLATE(A11549, ""en"", ""fr"")"),"QUICONQUE")</f>
        <v>QUICONQUE</v>
      </c>
      <c r="C11549" s="1" t="s">
        <v>185</v>
      </c>
      <c r="W11549" s="1" t="s">
        <v>19</v>
      </c>
      <c r="FT11549" s="1" t="s">
        <v>172</v>
      </c>
      <c r="GD11549" s="1" t="s">
        <v>16233</v>
      </c>
      <c r="GE11549" s="1" t="s">
        <v>16238</v>
      </c>
    </row>
    <row r="11550" spans="1:187" ht="11.25" customHeight="1">
      <c r="A11550" s="1" t="s">
        <v>16239</v>
      </c>
      <c r="B11550" s="1" t="str">
        <f ca="1">IFERROR(__xludf.DUMMYFUNCTION("GOOGLETRANSLATE(A11550, ""en"", ""fr"")"),"Entier # 1")</f>
        <v>Entier # 1</v>
      </c>
      <c r="C11550" s="1" t="s">
        <v>185</v>
      </c>
      <c r="J11550" s="1" t="s">
        <v>6</v>
      </c>
      <c r="W11550" s="1" t="s">
        <v>19</v>
      </c>
      <c r="CS11550" s="1" t="s">
        <v>93</v>
      </c>
      <c r="GD11550" s="1" t="s">
        <v>202</v>
      </c>
      <c r="GE11550" s="1" t="s">
        <v>16240</v>
      </c>
    </row>
    <row r="11551" spans="1:187" ht="11.25" customHeight="1">
      <c r="A11551" s="1" t="s">
        <v>16241</v>
      </c>
      <c r="B11551" s="1" t="str">
        <f ca="1">IFERROR(__xludf.DUMMYFUNCTION("GOOGLETRANSLATE(A11551, ""en"", ""fr"")"),"Entier # 2")</f>
        <v>Entier # 2</v>
      </c>
      <c r="C11551" s="1" t="s">
        <v>185</v>
      </c>
      <c r="J11551" s="1" t="s">
        <v>6</v>
      </c>
      <c r="W11551" s="1" t="s">
        <v>19</v>
      </c>
      <c r="CS11551" s="1" t="s">
        <v>93</v>
      </c>
      <c r="GD11551" s="1" t="s">
        <v>236</v>
      </c>
      <c r="GE11551" s="1" t="s">
        <v>16242</v>
      </c>
    </row>
    <row r="11552" spans="1:187" ht="11.25" customHeight="1">
      <c r="A11552" s="1" t="s">
        <v>16243</v>
      </c>
      <c r="B11552" s="1" t="str">
        <f ca="1">IFERROR(__xludf.DUMMYFUNCTION("GOOGLETRANSLATE(A11552, ""en"", ""fr"")"),"Entier # 3")</f>
        <v>Entier # 3</v>
      </c>
      <c r="C11552" s="1" t="s">
        <v>185</v>
      </c>
      <c r="J11552" s="1" t="s">
        <v>6</v>
      </c>
      <c r="W11552" s="1" t="s">
        <v>19</v>
      </c>
      <c r="CH11552" s="1" t="s">
        <v>82</v>
      </c>
      <c r="FZ11552" s="1" t="s">
        <v>178</v>
      </c>
      <c r="GD11552" s="1" t="s">
        <v>236</v>
      </c>
      <c r="GE11552" s="1" t="s">
        <v>16244</v>
      </c>
    </row>
    <row r="11553" spans="1:187" ht="11.25" customHeight="1">
      <c r="A11553" s="1" t="s">
        <v>16245</v>
      </c>
      <c r="B11553" s="1" t="str">
        <f ca="1">IFERROR(__xludf.DUMMYFUNCTION("GOOGLETRANSLATE(A11553, ""en"", ""fr"")"),"Entier # 4")</f>
        <v>Entier # 4</v>
      </c>
      <c r="C11553" s="1" t="s">
        <v>185</v>
      </c>
      <c r="J11553" s="1" t="s">
        <v>6</v>
      </c>
      <c r="W11553" s="1" t="s">
        <v>19</v>
      </c>
      <c r="CS11553" s="1" t="s">
        <v>93</v>
      </c>
      <c r="GD11553" s="1" t="s">
        <v>193</v>
      </c>
      <c r="GE11553" s="1" t="s">
        <v>16246</v>
      </c>
    </row>
    <row r="11554" spans="1:187" ht="11.25" customHeight="1">
      <c r="A11554" s="1" t="s">
        <v>16247</v>
      </c>
      <c r="B11554" s="1" t="str">
        <f ca="1">IFERROR(__xludf.DUMMYFUNCTION("GOOGLETRANSLATE(A11554, ""en"", ""fr"")"),"Entier # 5")</f>
        <v>Entier # 5</v>
      </c>
      <c r="C11554" s="1" t="s">
        <v>185</v>
      </c>
      <c r="J11554" s="1" t="s">
        <v>6</v>
      </c>
      <c r="W11554" s="1" t="s">
        <v>19</v>
      </c>
      <c r="CS11554" s="1" t="s">
        <v>93</v>
      </c>
      <c r="GD11554" s="1" t="s">
        <v>236</v>
      </c>
      <c r="GE11554" s="1" t="s">
        <v>16248</v>
      </c>
    </row>
    <row r="11555" spans="1:187" ht="11.25" customHeight="1">
      <c r="A11555" s="1" t="s">
        <v>16249</v>
      </c>
      <c r="B11555" s="1" t="str">
        <f ca="1">IFERROR(__xludf.DUMMYFUNCTION("GOOGLETRANSLATE(A11555, ""en"", ""fr"")"),"Entier # 6")</f>
        <v>Entier # 6</v>
      </c>
      <c r="C11555" s="1" t="s">
        <v>185</v>
      </c>
      <c r="J11555" s="1" t="s">
        <v>6</v>
      </c>
      <c r="W11555" s="1" t="s">
        <v>19</v>
      </c>
      <c r="CS11555" s="1" t="s">
        <v>93</v>
      </c>
      <c r="GD11555" s="1" t="s">
        <v>193</v>
      </c>
      <c r="GE11555" s="1" t="s">
        <v>16250</v>
      </c>
    </row>
    <row r="11556" spans="1:187" ht="11.25" customHeight="1">
      <c r="A11556" s="1" t="s">
        <v>16251</v>
      </c>
      <c r="B11556" s="1" t="str">
        <f ca="1">IFERROR(__xludf.DUMMYFUNCTION("GOOGLETRANSLATE(A11556, ""en"", ""fr"")"),"SANS RÉSERVE")</f>
        <v>SANS RÉSERVE</v>
      </c>
      <c r="C11556" s="1" t="s">
        <v>196</v>
      </c>
      <c r="FX11556" s="1" t="s">
        <v>176</v>
      </c>
      <c r="GD11556" s="1" t="s">
        <v>202</v>
      </c>
    </row>
    <row r="11557" spans="1:187" ht="11.25" customHeight="1">
      <c r="A11557" s="1" t="s">
        <v>16252</v>
      </c>
      <c r="B11557" s="1" t="str">
        <f ca="1">IFERROR(__xludf.DUMMYFUNCTION("GOOGLETRANSLATE(A11557, ""en"", ""fr"")"),"SANS RÉSERVE")</f>
        <v>SANS RÉSERVE</v>
      </c>
      <c r="C11557" s="1" t="s">
        <v>196</v>
      </c>
      <c r="FX11557" s="1" t="s">
        <v>176</v>
      </c>
      <c r="GD11557" s="1" t="s">
        <v>202</v>
      </c>
    </row>
    <row r="11558" spans="1:187" ht="11.25" customHeight="1">
      <c r="A11558" s="1" t="s">
        <v>16253</v>
      </c>
      <c r="B11558" s="1" t="str">
        <f ca="1">IFERROR(__xludf.DUMMYFUNCTION("GOOGLETRANSLATE(A11558, ""en"", ""fr"")"),"DE GROS")</f>
        <v>DE GROS</v>
      </c>
      <c r="C11558" s="1" t="s">
        <v>185</v>
      </c>
      <c r="AA11558" s="1" t="s">
        <v>23</v>
      </c>
      <c r="AC11558" s="1" t="s">
        <v>25</v>
      </c>
      <c r="BK11558" s="1" t="s">
        <v>59</v>
      </c>
      <c r="EV11558" s="1" t="s">
        <v>148</v>
      </c>
      <c r="EW11558" s="1" t="s">
        <v>149</v>
      </c>
      <c r="GC11558" s="1" t="s">
        <v>181</v>
      </c>
      <c r="GD11558" s="1" t="s">
        <v>193</v>
      </c>
      <c r="GE11558" s="1" t="s">
        <v>190</v>
      </c>
    </row>
    <row r="11559" spans="1:187" ht="11.25" customHeight="1">
      <c r="A11559" s="1" t="s">
        <v>16254</v>
      </c>
      <c r="B11559" s="1" t="str">
        <f ca="1">IFERROR(__xludf.DUMMYFUNCTION("GOOGLETRANSLATE(A11559, ""en"", ""fr"")"),"SAIN")</f>
        <v>SAIN</v>
      </c>
      <c r="C11559" s="1" t="s">
        <v>192</v>
      </c>
      <c r="D11559" s="1" t="s">
        <v>16612</v>
      </c>
      <c r="U11559" s="1" t="s">
        <v>17</v>
      </c>
      <c r="DR11559" s="1" t="s">
        <v>118</v>
      </c>
      <c r="GD11559" s="1" t="s">
        <v>202</v>
      </c>
      <c r="GE11559" s="1" t="s">
        <v>190</v>
      </c>
    </row>
    <row r="11560" spans="1:187" ht="11.25" customHeight="1">
      <c r="A11560" s="1" t="s">
        <v>16255</v>
      </c>
      <c r="B11560" s="1" t="str">
        <f ca="1">IFERROR(__xludf.DUMMYFUNCTION("GOOGLETRANSLATE(A11560, ""en"", ""fr"")"),"QUI")</f>
        <v>QUI</v>
      </c>
      <c r="C11560" s="1" t="s">
        <v>185</v>
      </c>
      <c r="FT11560" s="1" t="s">
        <v>172</v>
      </c>
      <c r="GD11560" s="1" t="s">
        <v>16256</v>
      </c>
      <c r="GE11560" s="1" t="s">
        <v>16257</v>
      </c>
    </row>
    <row r="11561" spans="1:187" ht="11.25" customHeight="1">
      <c r="A11561" s="1" t="s">
        <v>16258</v>
      </c>
      <c r="B11561" s="1" t="str">
        <f ca="1">IFERROR(__xludf.DUMMYFUNCTION("GOOGLETRANSLATE(A11561, ""en"", ""fr"")"),"DONT")</f>
        <v>DONT</v>
      </c>
      <c r="C11561" s="1" t="s">
        <v>185</v>
      </c>
      <c r="GD11561" s="1" t="s">
        <v>16259</v>
      </c>
      <c r="GE11561" s="1" t="s">
        <v>16260</v>
      </c>
    </row>
    <row r="11562" spans="1:187" ht="11.25" customHeight="1">
      <c r="A11562" s="1" t="s">
        <v>16261</v>
      </c>
      <c r="B11562" s="1" t="str">
        <f ca="1">IFERROR(__xludf.DUMMYFUNCTION("GOOGLETRANSLATE(A11562, ""en"", ""fr"")"),"Pourquoi # 1")</f>
        <v>Pourquoi # 1</v>
      </c>
      <c r="C11562" s="1" t="s">
        <v>185</v>
      </c>
      <c r="CI11562" s="1" t="s">
        <v>83</v>
      </c>
      <c r="FF11562" s="1" t="s">
        <v>158</v>
      </c>
      <c r="FI11562" s="1" t="s">
        <v>161</v>
      </c>
      <c r="GD11562" s="1" t="s">
        <v>7301</v>
      </c>
      <c r="GE11562" s="1" t="s">
        <v>16262</v>
      </c>
    </row>
    <row r="11563" spans="1:187" ht="11.25" customHeight="1">
      <c r="A11563" s="1" t="s">
        <v>16263</v>
      </c>
      <c r="B11563" s="1" t="str">
        <f ca="1">IFERROR(__xludf.DUMMYFUNCTION("GOOGLETRANSLATE(A11563, ""en"", ""fr"")"),"Pourquoi # 2")</f>
        <v>Pourquoi # 2</v>
      </c>
      <c r="C11563" s="1" t="s">
        <v>185</v>
      </c>
      <c r="CI11563" s="1" t="s">
        <v>83</v>
      </c>
      <c r="FF11563" s="1" t="s">
        <v>158</v>
      </c>
      <c r="FI11563" s="1" t="s">
        <v>161</v>
      </c>
      <c r="GD11563" s="1" t="s">
        <v>763</v>
      </c>
      <c r="GE11563" s="1" t="s">
        <v>16264</v>
      </c>
    </row>
    <row r="11564" spans="1:187" ht="11.25" customHeight="1">
      <c r="A11564" s="1" t="s">
        <v>16265</v>
      </c>
      <c r="B11564" s="1" t="str">
        <f ca="1">IFERROR(__xludf.DUMMYFUNCTION("GOOGLETRANSLATE(A11564, ""en"", ""fr"")"),"Pourquoi # 3")</f>
        <v>Pourquoi # 3</v>
      </c>
      <c r="C11564" s="1" t="s">
        <v>185</v>
      </c>
      <c r="DM11564" s="1" t="s">
        <v>113</v>
      </c>
      <c r="GD11564" s="1" t="s">
        <v>3750</v>
      </c>
      <c r="GE11564" s="1" t="s">
        <v>16266</v>
      </c>
    </row>
    <row r="11565" spans="1:187" ht="11.25" customHeight="1">
      <c r="A11565" s="1" t="s">
        <v>16267</v>
      </c>
      <c r="B11565" s="1" t="str">
        <f ca="1">IFERROR(__xludf.DUMMYFUNCTION("GOOGLETRANSLATE(A11565, ""en"", ""fr"")"),"Pourquoi # 4")</f>
        <v>Pourquoi # 4</v>
      </c>
      <c r="C11565" s="1" t="s">
        <v>185</v>
      </c>
      <c r="CI11565" s="1" t="s">
        <v>83</v>
      </c>
      <c r="GD11565" s="1" t="s">
        <v>193</v>
      </c>
      <c r="GE11565" s="1" t="s">
        <v>16268</v>
      </c>
    </row>
    <row r="11566" spans="1:187" ht="11.25" customHeight="1">
      <c r="A11566" s="1" t="s">
        <v>16269</v>
      </c>
      <c r="B11566" s="1" t="str">
        <f ca="1">IFERROR(__xludf.DUMMYFUNCTION("GOOGLETRANSLATE(A11566, ""en"", ""fr"")"),"MÉCHANT")</f>
        <v>MÉCHANT</v>
      </c>
      <c r="C11566" s="1" t="s">
        <v>185</v>
      </c>
      <c r="E11566" s="1" t="s">
        <v>16613</v>
      </c>
      <c r="I11566" s="1" t="s">
        <v>5</v>
      </c>
      <c r="DR11566" s="1" t="s">
        <v>118</v>
      </c>
      <c r="EE11566" s="1" t="s">
        <v>131</v>
      </c>
      <c r="EJ11566" s="1" t="s">
        <v>136</v>
      </c>
      <c r="GD11566" s="1" t="s">
        <v>202</v>
      </c>
      <c r="GE11566" s="1" t="s">
        <v>190</v>
      </c>
    </row>
    <row r="11567" spans="1:187" ht="11.25" customHeight="1">
      <c r="A11567" s="1" t="s">
        <v>16270</v>
      </c>
      <c r="B11567" s="1" t="str">
        <f ca="1">IFERROR(__xludf.DUMMYFUNCTION("GOOGLETRANSLATE(A11567, ""en"", ""fr"")"),"LA MÉCHANCETÉ")</f>
        <v>LA MÉCHANCETÉ</v>
      </c>
      <c r="C11567" s="1" t="s">
        <v>192</v>
      </c>
      <c r="E11567" s="1" t="s">
        <v>16613</v>
      </c>
      <c r="I11567" s="1" t="s">
        <v>5</v>
      </c>
      <c r="GD11567" s="1" t="s">
        <v>193</v>
      </c>
      <c r="GE11567" s="1" t="s">
        <v>190</v>
      </c>
    </row>
    <row r="11568" spans="1:187" ht="11.25" customHeight="1">
      <c r="A11568" s="1" t="s">
        <v>16271</v>
      </c>
      <c r="B11568" s="1" t="str">
        <f ca="1">IFERROR(__xludf.DUMMYFUNCTION("GOOGLETRANSLATE(A11568, ""en"", ""fr"")"),"Large # 1")</f>
        <v>Large # 1</v>
      </c>
      <c r="C11568" s="1" t="s">
        <v>185</v>
      </c>
      <c r="J11568" s="1" t="s">
        <v>6</v>
      </c>
      <c r="DA11568" s="1" t="s">
        <v>101</v>
      </c>
      <c r="DC11568" s="1" t="s">
        <v>103</v>
      </c>
      <c r="GB11568" s="1" t="s">
        <v>180</v>
      </c>
      <c r="GD11568" s="1" t="s">
        <v>202</v>
      </c>
      <c r="GE11568" s="1" t="s">
        <v>16272</v>
      </c>
    </row>
    <row r="11569" spans="1:187" ht="11.25" customHeight="1">
      <c r="A11569" s="1" t="s">
        <v>16273</v>
      </c>
      <c r="B11569" s="1" t="str">
        <f ca="1">IFERROR(__xludf.DUMMYFUNCTION("GOOGLETRANSLATE(A11569, ""en"", ""fr"")"),"Large # 2")</f>
        <v>Large # 2</v>
      </c>
      <c r="C11569" s="1" t="s">
        <v>185</v>
      </c>
      <c r="J11569" s="1" t="s">
        <v>6</v>
      </c>
      <c r="DA11569" s="1" t="s">
        <v>101</v>
      </c>
      <c r="GB11569" s="1" t="s">
        <v>180</v>
      </c>
      <c r="GD11569" s="1" t="s">
        <v>236</v>
      </c>
      <c r="GE11569" s="1" t="s">
        <v>16274</v>
      </c>
    </row>
    <row r="11570" spans="1:187" ht="11.25" customHeight="1">
      <c r="A11570" s="1" t="s">
        <v>16275</v>
      </c>
      <c r="B11570" s="1" t="str">
        <f ca="1">IFERROR(__xludf.DUMMYFUNCTION("GOOGLETRANSLATE(A11570, ""en"", ""fr"")"),"Large # 3")</f>
        <v>Large # 3</v>
      </c>
      <c r="C11570" s="1" t="s">
        <v>185</v>
      </c>
      <c r="S11570" s="1" t="s">
        <v>15</v>
      </c>
      <c r="GD11570" s="1" t="s">
        <v>193</v>
      </c>
      <c r="GE11570" s="1" t="s">
        <v>16276</v>
      </c>
    </row>
    <row r="11571" spans="1:187" ht="11.25" customHeight="1">
      <c r="A11571" s="1" t="s">
        <v>16277</v>
      </c>
      <c r="B11571" s="1" t="str">
        <f ca="1">IFERROR(__xludf.DUMMYFUNCTION("GOOGLETRANSLATE(A11571, ""en"", ""fr"")"),"Large # 4")</f>
        <v>Large # 4</v>
      </c>
      <c r="C11571" s="1" t="s">
        <v>185</v>
      </c>
      <c r="J11571" s="1" t="s">
        <v>6</v>
      </c>
      <c r="DA11571" s="1" t="s">
        <v>101</v>
      </c>
      <c r="DC11571" s="1" t="s">
        <v>103</v>
      </c>
      <c r="GB11571" s="1" t="s">
        <v>180</v>
      </c>
      <c r="GD11571" s="1" t="s">
        <v>202</v>
      </c>
      <c r="GE11571" s="1" t="s">
        <v>16278</v>
      </c>
    </row>
    <row r="11572" spans="1:187" ht="11.25" customHeight="1">
      <c r="A11572" s="1" t="s">
        <v>16279</v>
      </c>
      <c r="B11572" s="1" t="str">
        <f ca="1">IFERROR(__xludf.DUMMYFUNCTION("GOOGLETRANSLATE(A11572, ""en"", ""fr"")"),"Large # 5")</f>
        <v>Large # 5</v>
      </c>
      <c r="C11572" s="1" t="s">
        <v>185</v>
      </c>
      <c r="J11572" s="1" t="s">
        <v>6</v>
      </c>
      <c r="DA11572" s="1" t="s">
        <v>101</v>
      </c>
      <c r="DC11572" s="1" t="s">
        <v>103</v>
      </c>
      <c r="GB11572" s="1" t="s">
        <v>180</v>
      </c>
      <c r="GD11572" s="1" t="s">
        <v>202</v>
      </c>
      <c r="GE11572" s="1" t="s">
        <v>16280</v>
      </c>
    </row>
    <row r="11573" spans="1:187" ht="11.25" customHeight="1">
      <c r="A11573" s="1" t="s">
        <v>16281</v>
      </c>
      <c r="B11573" s="1" t="str">
        <f ca="1">IFERROR(__xludf.DUMMYFUNCTION("GOOGLETRANSLATE(A11573, ""en"", ""fr"")"),"ÉLARGIR")</f>
        <v>ÉLARGIR</v>
      </c>
      <c r="C11573" s="1" t="s">
        <v>185</v>
      </c>
      <c r="J11573" s="1" t="s">
        <v>6</v>
      </c>
      <c r="N11573" s="1" t="s">
        <v>10</v>
      </c>
      <c r="BX11573" s="1" t="s">
        <v>72</v>
      </c>
      <c r="DO11573" s="1" t="s">
        <v>115</v>
      </c>
      <c r="GB11573" s="1" t="s">
        <v>180</v>
      </c>
      <c r="GD11573" s="1" t="s">
        <v>189</v>
      </c>
      <c r="GE11573" s="1" t="s">
        <v>190</v>
      </c>
    </row>
    <row r="11574" spans="1:187" ht="11.25" customHeight="1">
      <c r="A11574" s="1" t="s">
        <v>16282</v>
      </c>
      <c r="B11574" s="1" t="str">
        <f ca="1">IFERROR(__xludf.DUMMYFUNCTION("GOOGLETRANSLATE(A11574, ""en"", ""fr"")"),"RÉPANDU")</f>
        <v>RÉPANDU</v>
      </c>
      <c r="C11574" s="1" t="s">
        <v>185</v>
      </c>
      <c r="J11574" s="1" t="s">
        <v>6</v>
      </c>
      <c r="W11574" s="1" t="s">
        <v>19</v>
      </c>
      <c r="DA11574" s="1" t="s">
        <v>101</v>
      </c>
      <c r="GB11574" s="1" t="s">
        <v>180</v>
      </c>
      <c r="GD11574" s="1" t="s">
        <v>202</v>
      </c>
      <c r="GE11574" s="1" t="s">
        <v>190</v>
      </c>
    </row>
    <row r="11575" spans="1:187" ht="11.25" customHeight="1">
      <c r="A11575" s="1" t="s">
        <v>16283</v>
      </c>
      <c r="B11575" s="1" t="str">
        <f ca="1">IFERROR(__xludf.DUMMYFUNCTION("GOOGLETRANSLATE(A11575, ""en"", ""fr"")"),"Veuve n ° 1")</f>
        <v>Veuve n ° 1</v>
      </c>
      <c r="C11575" s="1" t="s">
        <v>185</v>
      </c>
      <c r="AJ11575" s="1" t="s">
        <v>32</v>
      </c>
      <c r="AP11575" s="1" t="s">
        <v>38</v>
      </c>
      <c r="AR11575" s="1" t="s">
        <v>40</v>
      </c>
      <c r="AT11575" s="1" t="s">
        <v>42</v>
      </c>
      <c r="EQ11575" s="1" t="s">
        <v>143</v>
      </c>
      <c r="ES11575" s="1" t="s">
        <v>145</v>
      </c>
      <c r="GD11575" s="1" t="s">
        <v>1383</v>
      </c>
      <c r="GE11575" s="1" t="s">
        <v>16284</v>
      </c>
    </row>
    <row r="11576" spans="1:187" ht="11.25" customHeight="1">
      <c r="A11576" s="1" t="s">
        <v>16285</v>
      </c>
      <c r="B11576" s="1" t="str">
        <f ca="1">IFERROR(__xludf.DUMMYFUNCTION("GOOGLETRANSLATE(A11576, ""en"", ""fr"")"),"Veuve n ° 2")</f>
        <v>Veuve n ° 2</v>
      </c>
      <c r="C11576" s="1" t="s">
        <v>185</v>
      </c>
      <c r="O11576" s="1" t="s">
        <v>11</v>
      </c>
      <c r="AJ11576" s="1" t="s">
        <v>32</v>
      </c>
      <c r="AP11576" s="1" t="s">
        <v>38</v>
      </c>
      <c r="AR11576" s="1" t="s">
        <v>40</v>
      </c>
      <c r="AT11576" s="1" t="s">
        <v>42</v>
      </c>
      <c r="EQ11576" s="1" t="s">
        <v>143</v>
      </c>
      <c r="ES11576" s="1" t="s">
        <v>145</v>
      </c>
      <c r="GD11576" s="1" t="s">
        <v>202</v>
      </c>
      <c r="GE11576" s="1" t="s">
        <v>16286</v>
      </c>
    </row>
    <row r="11577" spans="1:187" ht="11.25" customHeight="1">
      <c r="A11577" s="1" t="s">
        <v>16287</v>
      </c>
      <c r="B11577" s="1" t="str">
        <f ca="1">IFERROR(__xludf.DUMMYFUNCTION("GOOGLETRANSLATE(A11577, ""en"", ""fr"")"),"VEUF")</f>
        <v>VEUF</v>
      </c>
      <c r="C11577" s="1" t="s">
        <v>196</v>
      </c>
      <c r="EQ11577" s="1" t="s">
        <v>143</v>
      </c>
      <c r="ES11577" s="1" t="s">
        <v>145</v>
      </c>
      <c r="GD11577" s="1" t="s">
        <v>193</v>
      </c>
    </row>
    <row r="11578" spans="1:187" ht="11.25" customHeight="1">
      <c r="A11578" s="1" t="s">
        <v>16288</v>
      </c>
      <c r="B11578" s="1" t="str">
        <f ca="1">IFERROR(__xludf.DUMMYFUNCTION("GOOGLETRANSLATE(A11578, ""en"", ""fr"")"),"LARGEUR")</f>
        <v>LARGEUR</v>
      </c>
      <c r="C11578" s="1" t="s">
        <v>185</v>
      </c>
      <c r="CQ11578" s="1" t="s">
        <v>91</v>
      </c>
      <c r="CX11578" s="1" t="s">
        <v>98</v>
      </c>
      <c r="DA11578" s="1" t="s">
        <v>101</v>
      </c>
      <c r="GB11578" s="1" t="s">
        <v>180</v>
      </c>
      <c r="GD11578" s="1" t="s">
        <v>193</v>
      </c>
      <c r="GE11578" s="1" t="s">
        <v>190</v>
      </c>
    </row>
    <row r="11579" spans="1:187" ht="11.25" customHeight="1">
      <c r="A11579" s="1" t="s">
        <v>16289</v>
      </c>
      <c r="B11579" s="1" t="str">
        <f ca="1">IFERROR(__xludf.DUMMYFUNCTION("GOOGLETRANSLATE(A11579, ""en"", ""fr"")"),"MANIER")</f>
        <v>MANIER</v>
      </c>
      <c r="C11579" s="1" t="s">
        <v>196</v>
      </c>
      <c r="FP11579" s="1" t="s">
        <v>168</v>
      </c>
      <c r="GD11579" s="1" t="s">
        <v>189</v>
      </c>
    </row>
    <row r="11580" spans="1:187" ht="11.25" customHeight="1">
      <c r="A11580" s="1" t="s">
        <v>16290</v>
      </c>
      <c r="B11580" s="1" t="str">
        <f ca="1">IFERROR(__xludf.DUMMYFUNCTION("GOOGLETRANSLATE(A11580, ""en"", ""fr"")"),"ÉPOUSE")</f>
        <v>ÉPOUSE</v>
      </c>
      <c r="C11580" s="1" t="s">
        <v>185</v>
      </c>
      <c r="AJ11580" s="1" t="s">
        <v>32</v>
      </c>
      <c r="AP11580" s="1" t="s">
        <v>38</v>
      </c>
      <c r="AR11580" s="1" t="s">
        <v>40</v>
      </c>
      <c r="AT11580" s="1" t="s">
        <v>42</v>
      </c>
      <c r="EQ11580" s="1" t="s">
        <v>143</v>
      </c>
      <c r="ES11580" s="1" t="s">
        <v>145</v>
      </c>
      <c r="GD11580" s="1" t="s">
        <v>837</v>
      </c>
      <c r="GE11580" s="1" t="s">
        <v>16291</v>
      </c>
    </row>
    <row r="11581" spans="1:187" ht="11.25" customHeight="1">
      <c r="A11581" s="1" t="s">
        <v>16292</v>
      </c>
      <c r="B11581" s="1" t="str">
        <f ca="1">IFERROR(__xludf.DUMMYFUNCTION("GOOGLETRANSLATE(A11581, ""en"", ""fr"")"),"Wild # 1")</f>
        <v>Wild # 1</v>
      </c>
      <c r="C11581" s="1" t="s">
        <v>185</v>
      </c>
      <c r="E11581" s="1" t="s">
        <v>16613</v>
      </c>
      <c r="H11581" s="1" t="s">
        <v>4</v>
      </c>
      <c r="J11581" s="1" t="s">
        <v>6</v>
      </c>
      <c r="CR11581" s="1" t="s">
        <v>92</v>
      </c>
      <c r="GD11581" s="1" t="s">
        <v>202</v>
      </c>
      <c r="GE11581" s="1" t="s">
        <v>16293</v>
      </c>
    </row>
    <row r="11582" spans="1:187" ht="11.25" customHeight="1">
      <c r="A11582" s="1" t="s">
        <v>16294</v>
      </c>
      <c r="B11582" s="1" t="str">
        <f ca="1">IFERROR(__xludf.DUMMYFUNCTION("GOOGLETRANSLATE(A11582, ""en"", ""fr"")"),"Wild # 2")</f>
        <v>Wild # 2</v>
      </c>
      <c r="C11582" s="1" t="s">
        <v>185</v>
      </c>
      <c r="E11582" s="1" t="s">
        <v>16613</v>
      </c>
      <c r="H11582" s="1" t="s">
        <v>4</v>
      </c>
      <c r="J11582" s="1" t="s">
        <v>6</v>
      </c>
      <c r="CR11582" s="1" t="s">
        <v>92</v>
      </c>
      <c r="GD11582" s="1" t="s">
        <v>202</v>
      </c>
      <c r="GE11582" s="1" t="s">
        <v>16295</v>
      </c>
    </row>
    <row r="11583" spans="1:187" ht="11.25" customHeight="1">
      <c r="A11583" s="1" t="s">
        <v>16296</v>
      </c>
      <c r="B11583" s="1" t="str">
        <f ca="1">IFERROR(__xludf.DUMMYFUNCTION("GOOGLETRANSLATE(A11583, ""en"", ""fr"")"),"Wild # 3")</f>
        <v>Wild # 3</v>
      </c>
      <c r="C11583" s="1" t="s">
        <v>185</v>
      </c>
      <c r="E11583" s="1" t="s">
        <v>16613</v>
      </c>
      <c r="H11583" s="1" t="s">
        <v>4</v>
      </c>
      <c r="J11583" s="1" t="s">
        <v>6</v>
      </c>
      <c r="CR11583" s="1" t="s">
        <v>92</v>
      </c>
      <c r="GD11583" s="1" t="s">
        <v>202</v>
      </c>
      <c r="GE11583" s="1" t="s">
        <v>16297</v>
      </c>
    </row>
    <row r="11584" spans="1:187" ht="11.25" customHeight="1">
      <c r="A11584" s="1" t="s">
        <v>16298</v>
      </c>
      <c r="B11584" s="1" t="str">
        <f ca="1">IFERROR(__xludf.DUMMYFUNCTION("GOOGLETRANSLATE(A11584, ""en"", ""fr"")"),"Wild # 4")</f>
        <v>Wild # 4</v>
      </c>
      <c r="C11584" s="1" t="s">
        <v>185</v>
      </c>
      <c r="E11584" s="1" t="s">
        <v>16613</v>
      </c>
      <c r="H11584" s="1" t="s">
        <v>4</v>
      </c>
      <c r="J11584" s="1" t="s">
        <v>6</v>
      </c>
      <c r="W11584" s="1" t="s">
        <v>19</v>
      </c>
      <c r="CR11584" s="1" t="s">
        <v>92</v>
      </c>
      <c r="GD11584" s="1" t="s">
        <v>236</v>
      </c>
      <c r="GE11584" s="1" t="s">
        <v>16299</v>
      </c>
    </row>
    <row r="11585" spans="1:187" ht="11.25" customHeight="1">
      <c r="A11585" s="1" t="s">
        <v>16300</v>
      </c>
      <c r="B11585" s="1" t="str">
        <f ca="1">IFERROR(__xludf.DUMMYFUNCTION("GOOGLETRANSLATE(A11585, ""en"", ""fr"")"),"Wild # 5")</f>
        <v>Wild # 5</v>
      </c>
      <c r="C11585" s="1" t="s">
        <v>185</v>
      </c>
      <c r="AV11585" s="1" t="s">
        <v>44</v>
      </c>
      <c r="BA11585" s="1" t="s">
        <v>49</v>
      </c>
      <c r="GD11585" s="1" t="s">
        <v>193</v>
      </c>
      <c r="GE11585" s="1" t="s">
        <v>16301</v>
      </c>
    </row>
    <row r="11586" spans="1:187" ht="11.25" customHeight="1">
      <c r="A11586" s="1" t="s">
        <v>16302</v>
      </c>
      <c r="B11586" s="1" t="str">
        <f ca="1">IFERROR(__xludf.DUMMYFUNCTION("GOOGLETRANSLATE(A11586, ""en"", ""fr"")"),"RÉGION SAUVAGE")</f>
        <v>RÉGION SAUVAGE</v>
      </c>
      <c r="C11586" s="1" t="s">
        <v>185</v>
      </c>
      <c r="AV11586" s="1" t="s">
        <v>44</v>
      </c>
      <c r="BA11586" s="1" t="s">
        <v>49</v>
      </c>
      <c r="GD11586" s="1" t="s">
        <v>193</v>
      </c>
      <c r="GE11586" s="1" t="s">
        <v>190</v>
      </c>
    </row>
    <row r="11587" spans="1:187" ht="11.25" customHeight="1">
      <c r="A11587" s="1" t="s">
        <v>16303</v>
      </c>
      <c r="B11587" s="1" t="str">
        <f ca="1">IFERROR(__xludf.DUMMYFUNCTION("GOOGLETRANSLATE(A11587, ""en"", ""fr"")"),"Will # 1")</f>
        <v>Will # 1</v>
      </c>
      <c r="C11587" s="1" t="s">
        <v>185</v>
      </c>
      <c r="DN11587" s="1" t="s">
        <v>114</v>
      </c>
      <c r="GD11587" s="1" t="s">
        <v>9124</v>
      </c>
      <c r="GE11587" s="1" t="s">
        <v>16304</v>
      </c>
    </row>
    <row r="11588" spans="1:187" ht="11.25" customHeight="1">
      <c r="A11588" s="1" t="s">
        <v>16305</v>
      </c>
      <c r="B11588" s="1" t="str">
        <f ca="1">IFERROR(__xludf.DUMMYFUNCTION("GOOGLETRANSLATE(A11588, ""en"", ""fr"")"),"Will # 2")</f>
        <v>Will # 2</v>
      </c>
      <c r="C11588" s="1" t="s">
        <v>185</v>
      </c>
      <c r="S11588" s="1" t="s">
        <v>15</v>
      </c>
      <c r="EC11588" s="1" t="s">
        <v>129</v>
      </c>
      <c r="ED11588" s="1" t="s">
        <v>130</v>
      </c>
      <c r="GD11588" s="1" t="s">
        <v>193</v>
      </c>
      <c r="GE11588" s="1" t="s">
        <v>16306</v>
      </c>
    </row>
    <row r="11589" spans="1:187" ht="11.25" customHeight="1">
      <c r="A11589" s="1" t="s">
        <v>16307</v>
      </c>
      <c r="B11589" s="1" t="str">
        <f ca="1">IFERROR(__xludf.DUMMYFUNCTION("GOOGLETRANSLATE(A11589, ""en"", ""fr"")"),"Will # 3")</f>
        <v>Will # 3</v>
      </c>
      <c r="C11589" s="1" t="s">
        <v>185</v>
      </c>
      <c r="AE11589" s="1" t="s">
        <v>27</v>
      </c>
      <c r="BC11589" s="1" t="s">
        <v>51</v>
      </c>
      <c r="BH11589" s="1" t="s">
        <v>56</v>
      </c>
      <c r="EC11589" s="1" t="s">
        <v>129</v>
      </c>
      <c r="ED11589" s="1" t="s">
        <v>130</v>
      </c>
      <c r="GD11589" s="1" t="s">
        <v>193</v>
      </c>
      <c r="GE11589" s="1" t="s">
        <v>16308</v>
      </c>
    </row>
    <row r="11590" spans="1:187" ht="11.25" customHeight="1">
      <c r="A11590" s="1" t="s">
        <v>16309</v>
      </c>
      <c r="B11590" s="1" t="str">
        <f ca="1">IFERROR(__xludf.DUMMYFUNCTION("GOOGLETRANSLATE(A11590, ""en"", ""fr"")"),"DÉLIBÉRÉ")</f>
        <v>DÉLIBÉRÉ</v>
      </c>
      <c r="C11590" s="1" t="s">
        <v>192</v>
      </c>
      <c r="D11590" s="1" t="s">
        <v>16612</v>
      </c>
      <c r="R11590" s="1" t="s">
        <v>14</v>
      </c>
      <c r="DR11590" s="1" t="s">
        <v>118</v>
      </c>
      <c r="GD11590" s="1" t="s">
        <v>202</v>
      </c>
      <c r="GE11590" s="1" t="s">
        <v>190</v>
      </c>
    </row>
    <row r="11591" spans="1:187" ht="11.25" customHeight="1">
      <c r="A11591" s="1" t="s">
        <v>16310</v>
      </c>
      <c r="B11591" s="1" t="str">
        <f ca="1">IFERROR(__xludf.DUMMYFUNCTION("GOOGLETRANSLATE(A11591, ""en"", ""fr"")"),"DISPOSÉ")</f>
        <v>DISPOSÉ</v>
      </c>
      <c r="C11591" s="1" t="s">
        <v>185</v>
      </c>
      <c r="D11591" s="1" t="s">
        <v>16612</v>
      </c>
      <c r="F11591" s="1" t="s">
        <v>2</v>
      </c>
      <c r="G11591" s="1" t="s">
        <v>3</v>
      </c>
      <c r="M11591" s="1" t="s">
        <v>9</v>
      </c>
      <c r="P11591" s="1" t="s">
        <v>12</v>
      </c>
      <c r="T11591" s="1" t="s">
        <v>16</v>
      </c>
      <c r="EC11591" s="1" t="s">
        <v>129</v>
      </c>
      <c r="ED11591" s="1" t="s">
        <v>130</v>
      </c>
      <c r="GD11591" s="1" t="s">
        <v>202</v>
      </c>
      <c r="GE11591" s="1" t="s">
        <v>16311</v>
      </c>
    </row>
    <row r="11592" spans="1:187" ht="11.25" customHeight="1">
      <c r="A11592" s="1" t="s">
        <v>16312</v>
      </c>
      <c r="B11592" s="1" t="str">
        <f ca="1">IFERROR(__xludf.DUMMYFUNCTION("GOOGLETRANSLATE(A11592, ""en"", ""fr"")"),"VOLONTÉ")</f>
        <v>VOLONTÉ</v>
      </c>
      <c r="C11592" s="1" t="s">
        <v>185</v>
      </c>
      <c r="D11592" s="1" t="s">
        <v>16612</v>
      </c>
      <c r="F11592" s="1" t="s">
        <v>2</v>
      </c>
      <c r="G11592" s="1" t="s">
        <v>3</v>
      </c>
      <c r="M11592" s="1" t="s">
        <v>9</v>
      </c>
      <c r="P11592" s="1" t="s">
        <v>12</v>
      </c>
      <c r="T11592" s="1" t="s">
        <v>16</v>
      </c>
      <c r="EC11592" s="1" t="s">
        <v>129</v>
      </c>
      <c r="ED11592" s="1" t="s">
        <v>130</v>
      </c>
      <c r="GD11592" s="1" t="s">
        <v>193</v>
      </c>
      <c r="GE11592" s="1" t="s">
        <v>190</v>
      </c>
    </row>
    <row r="11593" spans="1:187" ht="11.25" customHeight="1">
      <c r="A11593" s="1" t="s">
        <v>16313</v>
      </c>
      <c r="B11593" s="1" t="str">
        <f ca="1">IFERROR(__xludf.DUMMYFUNCTION("GOOGLETRANSLATE(A11593, ""en"", ""fr"")"),"SE FLÉTRIR")</f>
        <v>SE FLÉTRIR</v>
      </c>
      <c r="C11593" s="1" t="s">
        <v>192</v>
      </c>
      <c r="E11593" s="1" t="s">
        <v>16613</v>
      </c>
      <c r="O11593" s="1" t="s">
        <v>11</v>
      </c>
      <c r="BS11593" s="1" t="s">
        <v>67</v>
      </c>
      <c r="BU11593" s="1" t="s">
        <v>69</v>
      </c>
      <c r="BY11593" s="1" t="s">
        <v>73</v>
      </c>
      <c r="DN11593" s="1" t="s">
        <v>114</v>
      </c>
      <c r="GD11593" s="1" t="s">
        <v>189</v>
      </c>
      <c r="GE11593" s="1" t="s">
        <v>190</v>
      </c>
    </row>
    <row r="11594" spans="1:187" ht="11.25" customHeight="1">
      <c r="A11594" s="1" t="s">
        <v>16314</v>
      </c>
      <c r="B11594" s="1" t="str">
        <f ca="1">IFERROR(__xludf.DUMMYFUNCTION("GOOGLETRANSLATE(A11594, ""en"", ""fr"")"),"RUSÉ")</f>
        <v>RUSÉ</v>
      </c>
      <c r="C11594" s="1" t="s">
        <v>192</v>
      </c>
      <c r="E11594" s="1" t="s">
        <v>16613</v>
      </c>
      <c r="I11594" s="1" t="s">
        <v>5</v>
      </c>
      <c r="CG11594" s="1" t="s">
        <v>81</v>
      </c>
      <c r="CO11594" s="1" t="s">
        <v>89</v>
      </c>
      <c r="DR11594" s="1" t="s">
        <v>118</v>
      </c>
      <c r="GD11594" s="1" t="s">
        <v>202</v>
      </c>
      <c r="GE11594" s="1" t="s">
        <v>190</v>
      </c>
    </row>
    <row r="11595" spans="1:187" ht="11.25" customHeight="1">
      <c r="A11595" s="1" t="s">
        <v>16315</v>
      </c>
      <c r="B11595" s="1" t="str">
        <f ca="1">IFERROR(__xludf.DUMMYFUNCTION("GOOGLETRANSLATE(A11595, ""en"", ""fr"")"),"Gagner n ° 1")</f>
        <v>Gagner n ° 1</v>
      </c>
      <c r="C11595" s="1" t="s">
        <v>185</v>
      </c>
      <c r="J11595" s="1" t="s">
        <v>6</v>
      </c>
      <c r="N11595" s="1" t="s">
        <v>10</v>
      </c>
      <c r="BS11595" s="1" t="s">
        <v>67</v>
      </c>
      <c r="DN11595" s="1" t="s">
        <v>114</v>
      </c>
      <c r="DW11595" s="1" t="s">
        <v>123</v>
      </c>
      <c r="ED11595" s="1" t="s">
        <v>130</v>
      </c>
      <c r="GD11595" s="1" t="s">
        <v>400</v>
      </c>
      <c r="GE11595" s="1" t="s">
        <v>16316</v>
      </c>
    </row>
    <row r="11596" spans="1:187" ht="11.25" customHeight="1">
      <c r="A11596" s="1" t="s">
        <v>16317</v>
      </c>
      <c r="B11596" s="1" t="str">
        <f ca="1">IFERROR(__xludf.DUMMYFUNCTION("GOOGLETRANSLATE(A11596, ""en"", ""fr"")"),"Gagner # 2")</f>
        <v>Gagner # 2</v>
      </c>
      <c r="C11596" s="1" t="s">
        <v>185</v>
      </c>
      <c r="J11596" s="1" t="s">
        <v>6</v>
      </c>
      <c r="K11596" s="1" t="s">
        <v>7</v>
      </c>
      <c r="BO11596" s="1" t="s">
        <v>63</v>
      </c>
      <c r="DW11596" s="1" t="s">
        <v>123</v>
      </c>
      <c r="ED11596" s="1" t="s">
        <v>130</v>
      </c>
      <c r="GD11596" s="1" t="s">
        <v>193</v>
      </c>
      <c r="GE11596" s="1" t="s">
        <v>16318</v>
      </c>
    </row>
    <row r="11597" spans="1:187" ht="11.25" customHeight="1">
      <c r="A11597" s="1" t="s">
        <v>16319</v>
      </c>
      <c r="B11597" s="1" t="str">
        <f ca="1">IFERROR(__xludf.DUMMYFUNCTION("GOOGLETRANSLATE(A11597, ""en"", ""fr"")"),"Gagner # 3")</f>
        <v>Gagner # 3</v>
      </c>
      <c r="C11597" s="1" t="s">
        <v>185</v>
      </c>
      <c r="J11597" s="1" t="s">
        <v>6</v>
      </c>
      <c r="AA11597" s="1" t="s">
        <v>23</v>
      </c>
      <c r="AC11597" s="1" t="s">
        <v>25</v>
      </c>
      <c r="BO11597" s="1" t="s">
        <v>63</v>
      </c>
      <c r="EV11597" s="1" t="s">
        <v>148</v>
      </c>
      <c r="EW11597" s="1" t="s">
        <v>149</v>
      </c>
      <c r="GD11597" s="1" t="s">
        <v>193</v>
      </c>
      <c r="GE11597" s="1" t="s">
        <v>16320</v>
      </c>
    </row>
    <row r="11598" spans="1:187" ht="11.25" customHeight="1">
      <c r="A11598" s="1" t="s">
        <v>16321</v>
      </c>
      <c r="B11598" s="1" t="str">
        <f ca="1">IFERROR(__xludf.DUMMYFUNCTION("GOOGLETRANSLATE(A11598, ""en"", ""fr"")"),"Gagner # 4")</f>
        <v>Gagner # 4</v>
      </c>
      <c r="C11598" s="1" t="s">
        <v>185</v>
      </c>
      <c r="J11598" s="1" t="s">
        <v>6</v>
      </c>
      <c r="K11598" s="1" t="s">
        <v>7</v>
      </c>
      <c r="BO11598" s="1" t="s">
        <v>63</v>
      </c>
      <c r="DW11598" s="1" t="s">
        <v>123</v>
      </c>
      <c r="ED11598" s="1" t="s">
        <v>130</v>
      </c>
      <c r="GD11598" s="1" t="s">
        <v>193</v>
      </c>
      <c r="GE11598" s="1" t="s">
        <v>16322</v>
      </c>
    </row>
    <row r="11599" spans="1:187" ht="11.25" customHeight="1">
      <c r="A11599" s="1" t="s">
        <v>16323</v>
      </c>
      <c r="B11599" s="1" t="str">
        <f ca="1">IFERROR(__xludf.DUMMYFUNCTION("GOOGLETRANSLATE(A11599, ""en"", ""fr"")"),"GRIMACER")</f>
        <v>GRIMACER</v>
      </c>
      <c r="C11599" s="1" t="s">
        <v>192</v>
      </c>
      <c r="E11599" s="1" t="s">
        <v>16613</v>
      </c>
      <c r="O11599" s="1" t="s">
        <v>11</v>
      </c>
      <c r="Q11599" s="1" t="s">
        <v>13</v>
      </c>
      <c r="DN11599" s="1" t="s">
        <v>114</v>
      </c>
      <c r="GD11599" s="1" t="s">
        <v>189</v>
      </c>
      <c r="GE11599" s="1" t="s">
        <v>190</v>
      </c>
    </row>
    <row r="11600" spans="1:187" ht="11.25" customHeight="1">
      <c r="A11600" s="1" t="s">
        <v>16324</v>
      </c>
      <c r="B11600" s="1" t="str">
        <f ca="1">IFERROR(__xludf.DUMMYFUNCTION("GOOGLETRANSLATE(A11600, ""en"", ""fr"")"),"Vent n ° 1")</f>
        <v>Vent n ° 1</v>
      </c>
      <c r="C11600" s="1" t="s">
        <v>185</v>
      </c>
      <c r="AV11600" s="1" t="s">
        <v>44</v>
      </c>
      <c r="BB11600" s="1" t="s">
        <v>50</v>
      </c>
      <c r="GD11600" s="1" t="s">
        <v>849</v>
      </c>
      <c r="GE11600" s="1" t="s">
        <v>16325</v>
      </c>
    </row>
    <row r="11601" spans="1:187" ht="11.25" customHeight="1">
      <c r="A11601" s="1" t="s">
        <v>16326</v>
      </c>
      <c r="B11601" s="1" t="str">
        <f ca="1">IFERROR(__xludf.DUMMYFUNCTION("GOOGLETRANSLATE(A11601, ""en"", ""fr"")"),"Vent n ° 2")</f>
        <v>Vent n ° 2</v>
      </c>
      <c r="C11601" s="1" t="s">
        <v>185</v>
      </c>
      <c r="N11601" s="1" t="s">
        <v>10</v>
      </c>
      <c r="AL11601" s="1" t="s">
        <v>34</v>
      </c>
      <c r="DO11601" s="1" t="s">
        <v>115</v>
      </c>
      <c r="GD11601" s="1" t="s">
        <v>189</v>
      </c>
      <c r="GE11601" s="1" t="s">
        <v>16327</v>
      </c>
    </row>
    <row r="11602" spans="1:187" ht="11.25" customHeight="1">
      <c r="A11602" s="1" t="s">
        <v>16328</v>
      </c>
      <c r="B11602" s="1" t="str">
        <f ca="1">IFERROR(__xludf.DUMMYFUNCTION("GOOGLETRANSLATE(A11602, ""en"", ""fr"")"),"Vent # 3")</f>
        <v>Vent # 3</v>
      </c>
      <c r="C11602" s="1" t="s">
        <v>185</v>
      </c>
      <c r="N11602" s="1" t="s">
        <v>10</v>
      </c>
      <c r="O11602" s="1" t="s">
        <v>11</v>
      </c>
      <c r="BZ11602" s="1" t="s">
        <v>74</v>
      </c>
      <c r="DN11602" s="1" t="s">
        <v>114</v>
      </c>
      <c r="GD11602" s="1" t="s">
        <v>189</v>
      </c>
      <c r="GE11602" s="1" t="s">
        <v>16329</v>
      </c>
    </row>
    <row r="11603" spans="1:187" ht="11.25" customHeight="1">
      <c r="A11603" s="1" t="s">
        <v>16330</v>
      </c>
      <c r="B11603" s="1" t="str">
        <f ca="1">IFERROR(__xludf.DUMMYFUNCTION("GOOGLETRANSLATE(A11603, ""en"", ""fr"")"),"Vent n ° 4")</f>
        <v>Vent n ° 4</v>
      </c>
      <c r="C11603" s="1" t="s">
        <v>185</v>
      </c>
      <c r="L11603" s="1" t="s">
        <v>8</v>
      </c>
      <c r="O11603" s="1" t="s">
        <v>11</v>
      </c>
      <c r="Q11603" s="1" t="s">
        <v>13</v>
      </c>
      <c r="GD11603" s="1" t="s">
        <v>202</v>
      </c>
      <c r="GE11603" s="1" t="s">
        <v>16331</v>
      </c>
    </row>
    <row r="11604" spans="1:187" ht="11.25" customHeight="1">
      <c r="A11604" s="1" t="s">
        <v>16332</v>
      </c>
      <c r="B11604" s="1" t="str">
        <f ca="1">IFERROR(__xludf.DUMMYFUNCTION("GOOGLETRANSLATE(A11604, ""en"", ""fr"")"),"Vent n ° 5")</f>
        <v>Vent n ° 5</v>
      </c>
      <c r="C11604" s="1" t="s">
        <v>185</v>
      </c>
      <c r="N11604" s="1" t="s">
        <v>10</v>
      </c>
      <c r="DA11604" s="1" t="s">
        <v>101</v>
      </c>
      <c r="GD11604" s="1" t="s">
        <v>193</v>
      </c>
      <c r="GE11604" s="1" t="s">
        <v>16333</v>
      </c>
    </row>
    <row r="11605" spans="1:187" ht="11.25" customHeight="1">
      <c r="A11605" s="1" t="s">
        <v>16334</v>
      </c>
      <c r="B11605" s="1" t="str">
        <f ca="1">IFERROR(__xludf.DUMMYFUNCTION("GOOGLETRANSLATE(A11605, ""en"", ""fr"")"),"FENÊTRE")</f>
        <v>FENÊTRE</v>
      </c>
      <c r="C11605" s="1" t="s">
        <v>196</v>
      </c>
      <c r="GD11605" s="1" t="s">
        <v>193</v>
      </c>
    </row>
    <row r="11606" spans="1:187" ht="11.25" customHeight="1">
      <c r="A11606" s="1" t="s">
        <v>16335</v>
      </c>
      <c r="B11606" s="1" t="str">
        <f ca="1">IFERROR(__xludf.DUMMYFUNCTION("GOOGLETRANSLATE(A11606, ""en"", ""fr"")"),"Pare-brise")</f>
        <v>Pare-brise</v>
      </c>
      <c r="C11606" s="1" t="s">
        <v>185</v>
      </c>
      <c r="BC11606" s="1" t="s">
        <v>51</v>
      </c>
      <c r="BD11606" s="1" t="s">
        <v>52</v>
      </c>
      <c r="GD11606" s="1" t="s">
        <v>193</v>
      </c>
      <c r="GE11606" s="1" t="s">
        <v>190</v>
      </c>
    </row>
    <row r="11607" spans="1:187" ht="11.25" customHeight="1">
      <c r="A11607" s="1" t="s">
        <v>16336</v>
      </c>
      <c r="B11607" s="1" t="str">
        <f ca="1">IFERROR(__xludf.DUMMYFUNCTION("GOOGLETRANSLATE(A11607, ""en"", ""fr"")"),"VIN")</f>
        <v>VIN</v>
      </c>
      <c r="C11607" s="1" t="s">
        <v>185</v>
      </c>
      <c r="BC11607" s="1" t="s">
        <v>51</v>
      </c>
      <c r="BE11607" s="1" t="s">
        <v>53</v>
      </c>
      <c r="GD11607" s="1" t="s">
        <v>193</v>
      </c>
      <c r="GE11607" s="1" t="s">
        <v>16337</v>
      </c>
    </row>
    <row r="11608" spans="1:187" ht="11.25" customHeight="1">
      <c r="A11608" s="1" t="s">
        <v>16338</v>
      </c>
      <c r="B11608" s="1" t="str">
        <f ca="1">IFERROR(__xludf.DUMMYFUNCTION("GOOGLETRANSLATE(A11608, ""en"", ""fr"")"),"AILE")</f>
        <v>AILE</v>
      </c>
      <c r="C11608" s="1" t="s">
        <v>185</v>
      </c>
      <c r="BJ11608" s="1" t="s">
        <v>58</v>
      </c>
      <c r="GD11608" s="1" t="s">
        <v>193</v>
      </c>
      <c r="GE11608" s="1" t="s">
        <v>190</v>
      </c>
    </row>
    <row r="11609" spans="1:187" ht="11.25" customHeight="1">
      <c r="A11609" s="1" t="s">
        <v>16339</v>
      </c>
      <c r="B11609" s="1" t="str">
        <f ca="1">IFERROR(__xludf.DUMMYFUNCTION("GOOGLETRANSLATE(A11609, ""en"", ""fr"")"),"GAGNANT")</f>
        <v>GAGNANT</v>
      </c>
      <c r="C11609" s="1" t="s">
        <v>185</v>
      </c>
      <c r="J11609" s="1" t="s">
        <v>6</v>
      </c>
      <c r="K11609" s="1" t="s">
        <v>7</v>
      </c>
      <c r="AJ11609" s="1" t="s">
        <v>32</v>
      </c>
      <c r="AT11609" s="1" t="s">
        <v>42</v>
      </c>
      <c r="DZ11609" s="1" t="s">
        <v>126</v>
      </c>
      <c r="ED11609" s="1" t="s">
        <v>130</v>
      </c>
      <c r="GD11609" s="1" t="s">
        <v>193</v>
      </c>
      <c r="GE11609" s="1" t="s">
        <v>190</v>
      </c>
    </row>
    <row r="11610" spans="1:187" ht="11.25" customHeight="1">
      <c r="A11610" s="1" t="s">
        <v>16340</v>
      </c>
      <c r="B11610" s="1" t="str">
        <f ca="1">IFERROR(__xludf.DUMMYFUNCTION("GOOGLETRANSLATE(A11610, ""en"", ""fr"")"),"HIVER")</f>
        <v>HIVER</v>
      </c>
      <c r="C11610" s="1" t="s">
        <v>185</v>
      </c>
      <c r="CQ11610" s="1" t="s">
        <v>91</v>
      </c>
      <c r="CY11610" s="1" t="s">
        <v>99</v>
      </c>
      <c r="CZ11610" s="1" t="s">
        <v>100</v>
      </c>
      <c r="GD11610" s="1" t="s">
        <v>193</v>
      </c>
      <c r="GE11610" s="1" t="s">
        <v>190</v>
      </c>
    </row>
    <row r="11611" spans="1:187" ht="11.25" customHeight="1">
      <c r="A11611" s="1" t="s">
        <v>16341</v>
      </c>
      <c r="B11611" s="1" t="str">
        <f ca="1">IFERROR(__xludf.DUMMYFUNCTION("GOOGLETRANSLATE(A11611, ""en"", ""fr"")"),"ESSUYER")</f>
        <v>ESSUYER</v>
      </c>
      <c r="C11611" s="1" t="s">
        <v>185</v>
      </c>
      <c r="N11611" s="1" t="s">
        <v>10</v>
      </c>
      <c r="AL11611" s="1" t="s">
        <v>34</v>
      </c>
      <c r="DO11611" s="1" t="s">
        <v>115</v>
      </c>
      <c r="FP11611" s="1" t="s">
        <v>168</v>
      </c>
      <c r="GD11611" s="1" t="s">
        <v>189</v>
      </c>
      <c r="GE11611" s="1" t="s">
        <v>190</v>
      </c>
    </row>
    <row r="11612" spans="1:187" ht="11.25" customHeight="1">
      <c r="A11612" s="1" t="s">
        <v>16342</v>
      </c>
      <c r="B11612" s="1" t="str">
        <f ca="1">IFERROR(__xludf.DUMMYFUNCTION("GOOGLETRANSLATE(A11612, ""en"", ""fr"")"),"Fil # 1")</f>
        <v>Fil # 1</v>
      </c>
      <c r="C11612" s="1" t="s">
        <v>185</v>
      </c>
      <c r="BC11612" s="1" t="s">
        <v>51</v>
      </c>
      <c r="BD11612" s="1" t="s">
        <v>52</v>
      </c>
      <c r="GD11612" s="1" t="s">
        <v>193</v>
      </c>
      <c r="GE11612" s="1" t="s">
        <v>190</v>
      </c>
    </row>
    <row r="11613" spans="1:187" ht="11.25" customHeight="1">
      <c r="A11613" s="1" t="s">
        <v>16343</v>
      </c>
      <c r="B11613" s="1" t="str">
        <f ca="1">IFERROR(__xludf.DUMMYFUNCTION("GOOGLETRANSLATE(A11613, ""en"", ""fr"")"),"Fil # 2")</f>
        <v>Fil # 2</v>
      </c>
      <c r="C11613" s="1" t="s">
        <v>185</v>
      </c>
      <c r="N11613" s="1" t="s">
        <v>10</v>
      </c>
      <c r="AL11613" s="1" t="s">
        <v>34</v>
      </c>
      <c r="DN11613" s="1" t="s">
        <v>114</v>
      </c>
      <c r="FP11613" s="1" t="s">
        <v>168</v>
      </c>
      <c r="GD11613" s="1" t="s">
        <v>189</v>
      </c>
      <c r="GE11613" s="1" t="s">
        <v>190</v>
      </c>
    </row>
    <row r="11614" spans="1:187" ht="11.25" customHeight="1">
      <c r="A11614" s="1" t="s">
        <v>16344</v>
      </c>
      <c r="B11614" s="1" t="str">
        <f ca="1">IFERROR(__xludf.DUMMYFUNCTION("GOOGLETRANSLATE(A11614, ""en"", ""fr"")"),"Wisconson")</f>
        <v>Wisconson</v>
      </c>
      <c r="C11614" s="1" t="s">
        <v>196</v>
      </c>
      <c r="GD11614" s="1" t="s">
        <v>653</v>
      </c>
    </row>
    <row r="11615" spans="1:187" ht="11.25" customHeight="1">
      <c r="A11615" s="1" t="s">
        <v>16345</v>
      </c>
      <c r="B11615" s="1" t="str">
        <f ca="1">IFERROR(__xludf.DUMMYFUNCTION("GOOGLETRANSLATE(A11615, ""en"", ""fr"")"),"SAGESSE")</f>
        <v>SAGESSE</v>
      </c>
      <c r="C11615" s="1" t="s">
        <v>185</v>
      </c>
      <c r="D11615" s="1" t="s">
        <v>16612</v>
      </c>
      <c r="F11615" s="1" t="s">
        <v>2</v>
      </c>
      <c r="U11615" s="1" t="s">
        <v>17</v>
      </c>
      <c r="Y11615" s="1" t="s">
        <v>21</v>
      </c>
      <c r="CP11615" s="1" t="s">
        <v>90</v>
      </c>
      <c r="CQ11615" s="1" t="s">
        <v>91</v>
      </c>
      <c r="FH11615" s="1" t="s">
        <v>160</v>
      </c>
      <c r="FI11615" s="1" t="s">
        <v>161</v>
      </c>
      <c r="GD11615" s="1" t="s">
        <v>193</v>
      </c>
      <c r="GE11615" s="1" t="s">
        <v>190</v>
      </c>
    </row>
    <row r="11616" spans="1:187" ht="11.25" customHeight="1">
      <c r="A11616" s="1" t="s">
        <v>16346</v>
      </c>
      <c r="B11616" s="1" t="str">
        <f ca="1">IFERROR(__xludf.DUMMYFUNCTION("GOOGLETRANSLATE(A11616, ""en"", ""fr"")"),"Wise # 1")</f>
        <v>Wise # 1</v>
      </c>
      <c r="C11616" s="1" t="s">
        <v>185</v>
      </c>
      <c r="D11616" s="1" t="s">
        <v>16612</v>
      </c>
      <c r="F11616" s="1" t="s">
        <v>2</v>
      </c>
      <c r="U11616" s="1" t="s">
        <v>17</v>
      </c>
      <c r="Y11616" s="1" t="s">
        <v>21</v>
      </c>
      <c r="CN11616" s="1" t="s">
        <v>88</v>
      </c>
      <c r="FH11616" s="1" t="s">
        <v>160</v>
      </c>
      <c r="FI11616" s="1" t="s">
        <v>161</v>
      </c>
      <c r="GD11616" s="1" t="s">
        <v>202</v>
      </c>
      <c r="GE11616" s="1" t="s">
        <v>16347</v>
      </c>
    </row>
    <row r="11617" spans="1:187" ht="11.25" customHeight="1">
      <c r="A11617" s="1" t="s">
        <v>16348</v>
      </c>
      <c r="B11617" s="1" t="str">
        <f ca="1">IFERROR(__xludf.DUMMYFUNCTION("GOOGLETRANSLATE(A11617, ""en"", ""fr"")"),"Wise # 2")</f>
        <v>Wise # 2</v>
      </c>
      <c r="C11617" s="1" t="s">
        <v>185</v>
      </c>
      <c r="D11617" s="1" t="s">
        <v>16612</v>
      </c>
      <c r="F11617" s="1" t="s">
        <v>2</v>
      </c>
      <c r="U11617" s="1" t="s">
        <v>17</v>
      </c>
      <c r="Y11617" s="1" t="s">
        <v>21</v>
      </c>
      <c r="CN11617" s="1" t="s">
        <v>88</v>
      </c>
      <c r="FH11617" s="1" t="s">
        <v>160</v>
      </c>
      <c r="FI11617" s="1" t="s">
        <v>161</v>
      </c>
      <c r="GD11617" s="1" t="s">
        <v>202</v>
      </c>
      <c r="GE11617" s="1" t="s">
        <v>16349</v>
      </c>
    </row>
    <row r="11618" spans="1:187" ht="11.25" customHeight="1">
      <c r="A11618" s="1" t="s">
        <v>16350</v>
      </c>
      <c r="B11618" s="1" t="str">
        <f ca="1">IFERROR(__xludf.DUMMYFUNCTION("GOOGLETRANSLATE(A11618, ""en"", ""fr"")"),"Sage # 3")</f>
        <v>Sage # 3</v>
      </c>
      <c r="C11618" s="1" t="s">
        <v>185</v>
      </c>
      <c r="D11618" s="1" t="s">
        <v>16612</v>
      </c>
      <c r="F11618" s="1" t="s">
        <v>2</v>
      </c>
      <c r="U11618" s="1" t="s">
        <v>17</v>
      </c>
      <c r="Y11618" s="1" t="s">
        <v>21</v>
      </c>
      <c r="CN11618" s="1" t="s">
        <v>88</v>
      </c>
      <c r="FH11618" s="1" t="s">
        <v>160</v>
      </c>
      <c r="FI11618" s="1" t="s">
        <v>161</v>
      </c>
      <c r="GD11618" s="1" t="s">
        <v>202</v>
      </c>
      <c r="GE11618" s="1" t="s">
        <v>16351</v>
      </c>
    </row>
    <row r="11619" spans="1:187" ht="11.25" customHeight="1">
      <c r="A11619" s="1" t="s">
        <v>16352</v>
      </c>
      <c r="B11619" s="1" t="str">
        <f ca="1">IFERROR(__xludf.DUMMYFUNCTION("GOOGLETRANSLATE(A11619, ""en"", ""fr"")"),"Wise # 4")</f>
        <v>Wise # 4</v>
      </c>
      <c r="C11619" s="1" t="s">
        <v>185</v>
      </c>
      <c r="D11619" s="1" t="s">
        <v>16612</v>
      </c>
      <c r="F11619" s="1" t="s">
        <v>2</v>
      </c>
      <c r="U11619" s="1" t="s">
        <v>17</v>
      </c>
      <c r="Y11619" s="1" t="s">
        <v>21</v>
      </c>
      <c r="FH11619" s="1" t="s">
        <v>160</v>
      </c>
      <c r="FI11619" s="1" t="s">
        <v>161</v>
      </c>
      <c r="GD11619" s="1" t="s">
        <v>236</v>
      </c>
      <c r="GE11619" s="1" t="s">
        <v>16353</v>
      </c>
    </row>
    <row r="11620" spans="1:187" ht="11.25" customHeight="1">
      <c r="A11620" s="1" t="s">
        <v>16354</v>
      </c>
      <c r="B11620" s="1" t="str">
        <f ca="1">IFERROR(__xludf.DUMMYFUNCTION("GOOGLETRANSLATE(A11620, ""en"", ""fr"")"),"Sage # 5")</f>
        <v>Sage # 5</v>
      </c>
      <c r="C11620" s="1" t="s">
        <v>185</v>
      </c>
      <c r="D11620" s="1" t="s">
        <v>16612</v>
      </c>
      <c r="F11620" s="1" t="s">
        <v>2</v>
      </c>
      <c r="CO11620" s="1" t="s">
        <v>89</v>
      </c>
      <c r="DN11620" s="1" t="s">
        <v>114</v>
      </c>
      <c r="FH11620" s="1" t="s">
        <v>160</v>
      </c>
      <c r="FI11620" s="1" t="s">
        <v>161</v>
      </c>
      <c r="GD11620" s="1" t="s">
        <v>189</v>
      </c>
      <c r="GE11620" s="1" t="s">
        <v>16355</v>
      </c>
    </row>
    <row r="11621" spans="1:187" ht="11.25" customHeight="1">
      <c r="A11621" s="1" t="s">
        <v>16356</v>
      </c>
      <c r="B11621" s="1" t="str">
        <f ca="1">IFERROR(__xludf.DUMMYFUNCTION("GOOGLETRANSLATE(A11621, ""en"", ""fr"")"),"Souhait n ° 1")</f>
        <v>Souhait n ° 1</v>
      </c>
      <c r="C11621" s="1" t="s">
        <v>185</v>
      </c>
      <c r="L11621" s="1" t="s">
        <v>8</v>
      </c>
      <c r="T11621" s="1" t="s">
        <v>16</v>
      </c>
      <c r="BN11621" s="1" t="s">
        <v>62</v>
      </c>
      <c r="FR11621" s="1" t="s">
        <v>170</v>
      </c>
      <c r="GD11621" s="1" t="s">
        <v>193</v>
      </c>
      <c r="GE11621" s="1" t="s">
        <v>16357</v>
      </c>
    </row>
    <row r="11622" spans="1:187" ht="11.25" customHeight="1">
      <c r="A11622" s="1" t="s">
        <v>16358</v>
      </c>
      <c r="B11622" s="1" t="str">
        <f ca="1">IFERROR(__xludf.DUMMYFUNCTION("GOOGLETRANSLATE(A11622, ""en"", ""fr"")"),"Souhait n ° 2")</f>
        <v>Souhait n ° 2</v>
      </c>
      <c r="C11622" s="1" t="s">
        <v>185</v>
      </c>
      <c r="L11622" s="1" t="s">
        <v>8</v>
      </c>
      <c r="BN11622" s="1" t="s">
        <v>62</v>
      </c>
      <c r="DN11622" s="1" t="s">
        <v>114</v>
      </c>
      <c r="FR11622" s="1" t="s">
        <v>170</v>
      </c>
      <c r="GD11622" s="1" t="s">
        <v>400</v>
      </c>
      <c r="GE11622" s="1" t="s">
        <v>16359</v>
      </c>
    </row>
    <row r="11623" spans="1:187" ht="11.25" customHeight="1">
      <c r="A11623" s="1" t="s">
        <v>16360</v>
      </c>
      <c r="B11623" s="1" t="str">
        <f ca="1">IFERROR(__xludf.DUMMYFUNCTION("GOOGLETRANSLATE(A11623, ""en"", ""fr"")"),"Volet")</f>
        <v>Volet</v>
      </c>
      <c r="C11623" s="1" t="s">
        <v>185</v>
      </c>
      <c r="L11623" s="1" t="s">
        <v>8</v>
      </c>
      <c r="M11623" s="1" t="s">
        <v>9</v>
      </c>
      <c r="BN11623" s="1" t="s">
        <v>62</v>
      </c>
      <c r="FR11623" s="1" t="s">
        <v>170</v>
      </c>
      <c r="GD11623" s="1" t="s">
        <v>202</v>
      </c>
      <c r="GE11623" s="1" t="s">
        <v>190</v>
      </c>
    </row>
    <row r="11624" spans="1:187" ht="11.25" customHeight="1">
      <c r="A11624" s="1" t="s">
        <v>16361</v>
      </c>
      <c r="B11624" s="1" t="str">
        <f ca="1">IFERROR(__xludf.DUMMYFUNCTION("GOOGLETRANSLATE(A11624, ""en"", ""fr"")"),"ESPRIT")</f>
        <v>ESPRIT</v>
      </c>
      <c r="C11624" s="1" t="s">
        <v>185</v>
      </c>
      <c r="U11624" s="1" t="s">
        <v>17</v>
      </c>
      <c r="FX11624" s="1" t="s">
        <v>176</v>
      </c>
      <c r="GD11624" s="1" t="s">
        <v>193</v>
      </c>
      <c r="GE11624" s="1" t="s">
        <v>190</v>
      </c>
    </row>
    <row r="11625" spans="1:187" ht="11.25" customHeight="1">
      <c r="A11625" s="1" t="s">
        <v>16362</v>
      </c>
      <c r="B11625" s="1" t="str">
        <f ca="1">IFERROR(__xludf.DUMMYFUNCTION("GOOGLETRANSLATE(A11625, ""en"", ""fr"")"),"Sorcière # 1")</f>
        <v>Sorcière # 1</v>
      </c>
      <c r="C11625" s="1" t="s">
        <v>185</v>
      </c>
      <c r="I11625" s="1" t="s">
        <v>5</v>
      </c>
      <c r="AI11625" s="1" t="s">
        <v>31</v>
      </c>
      <c r="AJ11625" s="1" t="s">
        <v>32</v>
      </c>
      <c r="AR11625" s="1" t="s">
        <v>40</v>
      </c>
      <c r="AT11625" s="1" t="s">
        <v>42</v>
      </c>
      <c r="FT11625" s="1" t="s">
        <v>172</v>
      </c>
      <c r="GD11625" s="1" t="s">
        <v>193</v>
      </c>
      <c r="GE11625" s="1" t="s">
        <v>16363</v>
      </c>
    </row>
    <row r="11626" spans="1:187" ht="11.25" customHeight="1">
      <c r="A11626" s="1" t="s">
        <v>16364</v>
      </c>
      <c r="B11626" s="1" t="str">
        <f ca="1">IFERROR(__xludf.DUMMYFUNCTION("GOOGLETRANSLATE(A11626, ""en"", ""fr"")"),"Sorcière # 2")</f>
        <v>Sorcière # 2</v>
      </c>
      <c r="C11626" s="1" t="s">
        <v>185</v>
      </c>
      <c r="AI11626" s="1" t="s">
        <v>31</v>
      </c>
      <c r="AJ11626" s="1" t="s">
        <v>32</v>
      </c>
      <c r="AT11626" s="1" t="s">
        <v>42</v>
      </c>
      <c r="FT11626" s="1" t="s">
        <v>172</v>
      </c>
      <c r="GD11626" s="1" t="s">
        <v>193</v>
      </c>
      <c r="GE11626" s="1" t="s">
        <v>16365</v>
      </c>
    </row>
    <row r="11627" spans="1:187" ht="11.25" customHeight="1">
      <c r="A11627" s="1" t="s">
        <v>16366</v>
      </c>
      <c r="B11627" s="1" t="str">
        <f ca="1">IFERROR(__xludf.DUMMYFUNCTION("GOOGLETRANSLATE(A11627, ""en"", ""fr"")"),"Sorcière # 3")</f>
        <v>Sorcière # 3</v>
      </c>
      <c r="C11627" s="1" t="s">
        <v>185</v>
      </c>
      <c r="I11627" s="1" t="s">
        <v>5</v>
      </c>
      <c r="AI11627" s="1" t="s">
        <v>31</v>
      </c>
      <c r="AN11627" s="1" t="s">
        <v>36</v>
      </c>
      <c r="DN11627" s="1" t="s">
        <v>114</v>
      </c>
      <c r="GD11627" s="1" t="s">
        <v>189</v>
      </c>
      <c r="GE11627" s="1" t="s">
        <v>16367</v>
      </c>
    </row>
    <row r="11628" spans="1:187" ht="11.25" customHeight="1">
      <c r="A11628" s="1" t="s">
        <v>16368</v>
      </c>
      <c r="B11628" s="1" t="str">
        <f ca="1">IFERROR(__xludf.DUMMYFUNCTION("GOOGLETRANSLATE(A11628, ""en"", ""fr"")"),"LA SORCELLERIE")</f>
        <v>LA SORCELLERIE</v>
      </c>
      <c r="C11628" s="1" t="s">
        <v>192</v>
      </c>
      <c r="E11628" s="1" t="s">
        <v>16613</v>
      </c>
      <c r="I11628" s="1" t="s">
        <v>5</v>
      </c>
      <c r="BQ11628" s="1" t="s">
        <v>65</v>
      </c>
      <c r="GD11628" s="1" t="s">
        <v>193</v>
      </c>
      <c r="GE11628" s="1" t="s">
        <v>190</v>
      </c>
    </row>
    <row r="11629" spans="1:187" ht="11.25" customHeight="1">
      <c r="A11629" s="1" t="s">
        <v>16369</v>
      </c>
      <c r="B11629" s="1" t="str">
        <f ca="1">IFERROR(__xludf.DUMMYFUNCTION("GOOGLETRANSLATE(A11629, ""en"", ""fr"")"),"AVEC")</f>
        <v>AVEC</v>
      </c>
      <c r="C11629" s="1" t="s">
        <v>185</v>
      </c>
      <c r="GD11629" s="1" t="s">
        <v>215</v>
      </c>
      <c r="GE11629" s="1" t="s">
        <v>16370</v>
      </c>
    </row>
    <row r="11630" spans="1:187" ht="11.25" customHeight="1">
      <c r="A11630" s="1" t="s">
        <v>16371</v>
      </c>
      <c r="B11630" s="1" t="str">
        <f ca="1">IFERROR(__xludf.DUMMYFUNCTION("GOOGLETRANSLATE(A11630, ""en"", ""fr"")"),"RETIRER")</f>
        <v>RETIRER</v>
      </c>
      <c r="C11630" s="1" t="s">
        <v>185</v>
      </c>
      <c r="L11630" s="1" t="s">
        <v>8</v>
      </c>
      <c r="M11630" s="1" t="s">
        <v>9</v>
      </c>
      <c r="CE11630" s="1" t="s">
        <v>79</v>
      </c>
      <c r="DN11630" s="1" t="s">
        <v>114</v>
      </c>
      <c r="DT11630" s="1" t="s">
        <v>120</v>
      </c>
      <c r="ED11630" s="1" t="s">
        <v>130</v>
      </c>
      <c r="GD11630" s="1" t="s">
        <v>189</v>
      </c>
      <c r="GE11630" s="1" t="s">
        <v>190</v>
      </c>
    </row>
    <row r="11631" spans="1:187" ht="11.25" customHeight="1">
      <c r="A11631" s="1" t="s">
        <v>16372</v>
      </c>
      <c r="B11631" s="1" t="str">
        <f ca="1">IFERROR(__xludf.DUMMYFUNCTION("GOOGLETRANSLATE(A11631, ""en"", ""fr"")"),"RETIRÉ")</f>
        <v>RETIRÉ</v>
      </c>
      <c r="C11631" s="1" t="s">
        <v>185</v>
      </c>
      <c r="L11631" s="1" t="s">
        <v>8</v>
      </c>
      <c r="M11631" s="1" t="s">
        <v>9</v>
      </c>
      <c r="V11631" s="1" t="s">
        <v>18</v>
      </c>
      <c r="FA11631" s="1" t="s">
        <v>153</v>
      </c>
      <c r="FC11631" s="1" t="s">
        <v>155</v>
      </c>
      <c r="GD11631" s="1" t="s">
        <v>202</v>
      </c>
      <c r="GE11631" s="1" t="s">
        <v>190</v>
      </c>
    </row>
    <row r="11632" spans="1:187" ht="11.25" customHeight="1">
      <c r="A11632" s="1" t="s">
        <v>16373</v>
      </c>
      <c r="B11632" s="1" t="str">
        <f ca="1">IFERROR(__xludf.DUMMYFUNCTION("GOOGLETRANSLATE(A11632, ""en"", ""fr"")"),"Se retirer")</f>
        <v>Se retirer</v>
      </c>
      <c r="C11632" s="1" t="s">
        <v>185</v>
      </c>
      <c r="L11632" s="1" t="s">
        <v>8</v>
      </c>
      <c r="M11632" s="1" t="s">
        <v>9</v>
      </c>
      <c r="CE11632" s="1" t="s">
        <v>79</v>
      </c>
      <c r="DN11632" s="1" t="s">
        <v>114</v>
      </c>
      <c r="DT11632" s="1" t="s">
        <v>120</v>
      </c>
      <c r="ED11632" s="1" t="s">
        <v>130</v>
      </c>
      <c r="GD11632" s="1" t="s">
        <v>1076</v>
      </c>
      <c r="GE11632" s="1" t="s">
        <v>190</v>
      </c>
    </row>
    <row r="11633" spans="1:187" ht="11.25" customHeight="1">
      <c r="A11633" s="1" t="s">
        <v>16374</v>
      </c>
      <c r="B11633" s="1" t="str">
        <f ca="1">IFERROR(__xludf.DUMMYFUNCTION("GOOGLETRANSLATE(A11633, ""en"", ""fr"")"),"FLÉTRIR")</f>
        <v>FLÉTRIR</v>
      </c>
      <c r="C11633" s="1" t="s">
        <v>185</v>
      </c>
      <c r="L11633" s="1" t="s">
        <v>8</v>
      </c>
      <c r="O11633" s="1" t="s">
        <v>11</v>
      </c>
      <c r="BY11633" s="1" t="s">
        <v>73</v>
      </c>
      <c r="DN11633" s="1" t="s">
        <v>114</v>
      </c>
      <c r="GD11633" s="1" t="s">
        <v>189</v>
      </c>
      <c r="GE11633" s="1" t="s">
        <v>190</v>
      </c>
    </row>
    <row r="11634" spans="1:187" ht="11.25" customHeight="1">
      <c r="A11634" s="1" t="s">
        <v>16375</v>
      </c>
      <c r="B11634" s="1" t="str">
        <f ca="1">IFERROR(__xludf.DUMMYFUNCTION("GOOGLETRANSLATE(A11634, ""en"", ""fr"")"),"Caché")</f>
        <v>Caché</v>
      </c>
      <c r="C11634" s="1" t="s">
        <v>185</v>
      </c>
      <c r="E11634" s="1" t="s">
        <v>16613</v>
      </c>
      <c r="H11634" s="1" t="s">
        <v>4</v>
      </c>
      <c r="I11634" s="1" t="s">
        <v>5</v>
      </c>
      <c r="J11634" s="1" t="s">
        <v>6</v>
      </c>
      <c r="N11634" s="1" t="s">
        <v>10</v>
      </c>
      <c r="AN11634" s="1" t="s">
        <v>36</v>
      </c>
      <c r="DN11634" s="1" t="s">
        <v>114</v>
      </c>
      <c r="FW11634" s="1" t="s">
        <v>175</v>
      </c>
      <c r="GD11634" s="1" t="s">
        <v>1076</v>
      </c>
      <c r="GE11634" s="1" t="s">
        <v>190</v>
      </c>
    </row>
    <row r="11635" spans="1:187" ht="11.25" customHeight="1">
      <c r="A11635" s="1" t="s">
        <v>16376</v>
      </c>
      <c r="B11635" s="1" t="str">
        <f ca="1">IFERROR(__xludf.DUMMYFUNCTION("GOOGLETRANSLATE(A11635, ""en"", ""fr"")"),"RETENIR")</f>
        <v>RETENIR</v>
      </c>
      <c r="C11635" s="1" t="s">
        <v>185</v>
      </c>
      <c r="E11635" s="1" t="s">
        <v>16613</v>
      </c>
      <c r="H11635" s="1" t="s">
        <v>4</v>
      </c>
      <c r="I11635" s="1" t="s">
        <v>5</v>
      </c>
      <c r="J11635" s="1" t="s">
        <v>6</v>
      </c>
      <c r="N11635" s="1" t="s">
        <v>10</v>
      </c>
      <c r="AN11635" s="1" t="s">
        <v>36</v>
      </c>
      <c r="DN11635" s="1" t="s">
        <v>114</v>
      </c>
      <c r="FW11635" s="1" t="s">
        <v>175</v>
      </c>
      <c r="GD11635" s="1" t="s">
        <v>189</v>
      </c>
      <c r="GE11635" s="1" t="s">
        <v>190</v>
      </c>
    </row>
    <row r="11636" spans="1:187" ht="11.25" customHeight="1">
      <c r="A11636" s="1" t="s">
        <v>16377</v>
      </c>
      <c r="B11636" s="1" t="str">
        <f ca="1">IFERROR(__xludf.DUMMYFUNCTION("GOOGLETRANSLATE(A11636, ""en"", ""fr"")"),"DANS")</f>
        <v>DANS</v>
      </c>
      <c r="C11636" s="1" t="s">
        <v>185</v>
      </c>
      <c r="GB11636" s="1" t="s">
        <v>180</v>
      </c>
      <c r="GD11636" s="1" t="s">
        <v>215</v>
      </c>
      <c r="GE11636" s="1" t="s">
        <v>16378</v>
      </c>
    </row>
    <row r="11637" spans="1:187" ht="11.25" customHeight="1">
      <c r="A11637" s="1" t="s">
        <v>16379</v>
      </c>
      <c r="B11637" s="1" t="str">
        <f ca="1">IFERROR(__xludf.DUMMYFUNCTION("GOOGLETRANSLATE(A11637, ""en"", ""fr"")"),"SANS")</f>
        <v>SANS</v>
      </c>
      <c r="C11637" s="1" t="s">
        <v>185</v>
      </c>
      <c r="GD11637" s="1" t="s">
        <v>215</v>
      </c>
      <c r="GE11637" s="1" t="s">
        <v>16380</v>
      </c>
    </row>
    <row r="11638" spans="1:187" ht="11.25" customHeight="1">
      <c r="A11638" s="1" t="s">
        <v>16381</v>
      </c>
      <c r="B11638" s="1" t="str">
        <f ca="1">IFERROR(__xludf.DUMMYFUNCTION("GOOGLETRANSLATE(A11638, ""en"", ""fr"")"),"RÉSISTER")</f>
        <v>RÉSISTER</v>
      </c>
      <c r="C11638" s="1" t="s">
        <v>185</v>
      </c>
      <c r="I11638" s="1" t="s">
        <v>5</v>
      </c>
      <c r="J11638" s="1" t="s">
        <v>6</v>
      </c>
      <c r="K11638" s="1" t="s">
        <v>7</v>
      </c>
      <c r="N11638" s="1" t="s">
        <v>10</v>
      </c>
      <c r="AN11638" s="1" t="s">
        <v>36</v>
      </c>
      <c r="DN11638" s="1" t="s">
        <v>114</v>
      </c>
      <c r="GD11638" s="1" t="s">
        <v>189</v>
      </c>
      <c r="GE11638" s="1" t="s">
        <v>190</v>
      </c>
    </row>
    <row r="11639" spans="1:187" ht="11.25" customHeight="1">
      <c r="A11639" s="1" t="s">
        <v>16382</v>
      </c>
      <c r="B11639" s="1" t="str">
        <f ca="1">IFERROR(__xludf.DUMMYFUNCTION("GOOGLETRANSLATE(A11639, ""en"", ""fr"")"),"Témoin n ° 1")</f>
        <v>Témoin n ° 1</v>
      </c>
      <c r="C11639" s="1" t="s">
        <v>185</v>
      </c>
      <c r="AE11639" s="1" t="s">
        <v>27</v>
      </c>
      <c r="AJ11639" s="1" t="s">
        <v>32</v>
      </c>
      <c r="AT11639" s="1" t="s">
        <v>42</v>
      </c>
      <c r="FT11639" s="1" t="s">
        <v>172</v>
      </c>
      <c r="GD11639" s="1" t="s">
        <v>193</v>
      </c>
      <c r="GE11639" s="1" t="s">
        <v>190</v>
      </c>
    </row>
    <row r="11640" spans="1:187" ht="11.25" customHeight="1">
      <c r="A11640" s="1" t="s">
        <v>16383</v>
      </c>
      <c r="B11640" s="1" t="str">
        <f ca="1">IFERROR(__xludf.DUMMYFUNCTION("GOOGLETRANSLATE(A11640, ""en"", ""fr"")"),"Témoin n ° 2")</f>
        <v>Témoin n ° 2</v>
      </c>
      <c r="C11640" s="1" t="s">
        <v>185</v>
      </c>
      <c r="CK11640" s="1" t="s">
        <v>85</v>
      </c>
      <c r="DN11640" s="1" t="s">
        <v>114</v>
      </c>
      <c r="FD11640" s="1" t="s">
        <v>156</v>
      </c>
      <c r="FI11640" s="1" t="s">
        <v>161</v>
      </c>
      <c r="GD11640" s="1" t="s">
        <v>189</v>
      </c>
      <c r="GE11640" s="1" t="s">
        <v>190</v>
      </c>
    </row>
    <row r="11641" spans="1:187" ht="11.25" customHeight="1">
      <c r="A11641" s="1" t="s">
        <v>16384</v>
      </c>
      <c r="B11641" s="1" t="str">
        <f ca="1">IFERROR(__xludf.DUMMYFUNCTION("GOOGLETRANSLATE(A11641, ""en"", ""fr"")"),"SPIRITUEL")</f>
        <v>SPIRITUEL</v>
      </c>
      <c r="C11641" s="1" t="s">
        <v>192</v>
      </c>
      <c r="D11641" s="1" t="s">
        <v>16612</v>
      </c>
      <c r="CG11641" s="1" t="s">
        <v>81</v>
      </c>
      <c r="DR11641" s="1" t="s">
        <v>118</v>
      </c>
      <c r="GD11641" s="1" t="s">
        <v>202</v>
      </c>
      <c r="GE11641" s="1" t="s">
        <v>190</v>
      </c>
    </row>
    <row r="11642" spans="1:187" ht="11.25" customHeight="1">
      <c r="A11642" s="1" t="s">
        <v>16385</v>
      </c>
      <c r="B11642" s="1" t="str">
        <f ca="1">IFERROR(__xludf.DUMMYFUNCTION("GOOGLETRANSLATE(A11642, ""en"", ""fr"")"),"ÉPOUSES")</f>
        <v>ÉPOUSES</v>
      </c>
      <c r="C11642" s="1" t="s">
        <v>185</v>
      </c>
      <c r="AJ11642" s="1" t="s">
        <v>32</v>
      </c>
      <c r="AP11642" s="1" t="s">
        <v>38</v>
      </c>
      <c r="AR11642" s="1" t="s">
        <v>40</v>
      </c>
      <c r="AT11642" s="1" t="s">
        <v>42</v>
      </c>
      <c r="EQ11642" s="1" t="s">
        <v>143</v>
      </c>
      <c r="ES11642" s="1" t="s">
        <v>145</v>
      </c>
      <c r="GD11642" s="1" t="s">
        <v>6608</v>
      </c>
      <c r="GE11642" s="1" t="s">
        <v>16386</v>
      </c>
    </row>
    <row r="11643" spans="1:187" ht="11.25" customHeight="1">
      <c r="A11643" s="1" t="s">
        <v>16387</v>
      </c>
      <c r="B11643" s="1" t="str">
        <f ca="1">IFERROR(__xludf.DUMMYFUNCTION("GOOGLETRANSLATE(A11643, ""en"", ""fr"")"),"MALHEUR")</f>
        <v>MALHEUR</v>
      </c>
      <c r="C11643" s="1" t="s">
        <v>192</v>
      </c>
      <c r="E11643" s="1" t="s">
        <v>16613</v>
      </c>
      <c r="Q11643" s="1" t="s">
        <v>13</v>
      </c>
      <c r="GD11643" s="1" t="s">
        <v>193</v>
      </c>
      <c r="GE11643" s="1" t="s">
        <v>190</v>
      </c>
    </row>
    <row r="11644" spans="1:187" ht="11.25" customHeight="1">
      <c r="A11644" s="1" t="s">
        <v>16388</v>
      </c>
      <c r="B11644" s="1" t="str">
        <f ca="1">IFERROR(__xludf.DUMMYFUNCTION("GOOGLETRANSLATE(A11644, ""en"", ""fr"")"),"TRISTE")</f>
        <v>TRISTE</v>
      </c>
      <c r="C11644" s="1" t="s">
        <v>192</v>
      </c>
      <c r="E11644" s="1" t="s">
        <v>16613</v>
      </c>
      <c r="Q11644" s="1" t="s">
        <v>13</v>
      </c>
      <c r="T11644" s="1" t="s">
        <v>16</v>
      </c>
      <c r="DR11644" s="1" t="s">
        <v>118</v>
      </c>
      <c r="GD11644" s="1" t="s">
        <v>202</v>
      </c>
      <c r="GE11644" s="1" t="s">
        <v>190</v>
      </c>
    </row>
    <row r="11645" spans="1:187" ht="11.25" customHeight="1">
      <c r="A11645" s="1" t="s">
        <v>16389</v>
      </c>
      <c r="B11645" s="1" t="str">
        <f ca="1">IFERROR(__xludf.DUMMYFUNCTION("GOOGLETRANSLATE(A11645, ""en"", ""fr"")"),"Réveillé # 1")</f>
        <v>Réveillé # 1</v>
      </c>
      <c r="C11645" s="1" t="s">
        <v>192</v>
      </c>
      <c r="GD11645" s="1" t="s">
        <v>1085</v>
      </c>
      <c r="GE11645" s="1" t="s">
        <v>190</v>
      </c>
    </row>
    <row r="11646" spans="1:187" ht="11.25" customHeight="1">
      <c r="A11646" s="1" t="s">
        <v>16390</v>
      </c>
      <c r="B11646" s="1" t="str">
        <f ca="1">IFERROR(__xludf.DUMMYFUNCTION("GOOGLETRANSLATE(A11646, ""en"", ""fr"")"),"Réveillé n ° 1")</f>
        <v>Réveillé n ° 1</v>
      </c>
      <c r="C11646" s="1" t="s">
        <v>192</v>
      </c>
      <c r="GD11646" s="1" t="s">
        <v>1085</v>
      </c>
      <c r="GE11646" s="1" t="s">
        <v>190</v>
      </c>
    </row>
    <row r="11647" spans="1:187" ht="11.25" customHeight="1">
      <c r="A11647" s="1" t="s">
        <v>16391</v>
      </c>
      <c r="B11647" s="1" t="str">
        <f ca="1">IFERROR(__xludf.DUMMYFUNCTION("GOOGLETRANSLATE(A11647, ""en"", ""fr"")"),"LOUP")</f>
        <v>LOUP</v>
      </c>
      <c r="C11647" s="1" t="s">
        <v>185</v>
      </c>
      <c r="AU11647" s="1" t="s">
        <v>43</v>
      </c>
      <c r="GD11647" s="1" t="s">
        <v>193</v>
      </c>
      <c r="GE11647" s="1" t="s">
        <v>190</v>
      </c>
    </row>
    <row r="11648" spans="1:187" ht="11.25" customHeight="1">
      <c r="A11648" s="1" t="s">
        <v>16392</v>
      </c>
      <c r="B11648" s="1" t="str">
        <f ca="1">IFERROR(__xludf.DUMMYFUNCTION("GOOGLETRANSLATE(A11648, ""en"", ""fr"")"),"FEMME")</f>
        <v>FEMME</v>
      </c>
      <c r="C11648" s="1" t="s">
        <v>185</v>
      </c>
      <c r="AJ11648" s="1" t="s">
        <v>32</v>
      </c>
      <c r="AR11648" s="1" t="s">
        <v>40</v>
      </c>
      <c r="AT11648" s="1" t="s">
        <v>42</v>
      </c>
      <c r="FT11648" s="1" t="s">
        <v>172</v>
      </c>
      <c r="GD11648" s="1" t="s">
        <v>193</v>
      </c>
      <c r="GE11648" s="1" t="s">
        <v>16393</v>
      </c>
    </row>
    <row r="11649" spans="1:187" ht="11.25" customHeight="1">
      <c r="A11649" s="1" t="s">
        <v>16394</v>
      </c>
      <c r="B11649" s="1" t="str">
        <f ca="1">IFERROR(__xludf.DUMMYFUNCTION("GOOGLETRANSLATE(A11649, ""en"", ""fr"")"),"UTÉRUS")</f>
        <v>UTÉRUS</v>
      </c>
      <c r="C11649" s="1" t="s">
        <v>185</v>
      </c>
      <c r="BJ11649" s="1" t="s">
        <v>58</v>
      </c>
      <c r="GD11649" s="1" t="s">
        <v>193</v>
      </c>
      <c r="GE11649" s="1" t="s">
        <v>190</v>
      </c>
    </row>
    <row r="11650" spans="1:187" ht="11.25" customHeight="1">
      <c r="A11650" s="1" t="s">
        <v>16395</v>
      </c>
      <c r="B11650" s="1" t="str">
        <f ca="1">IFERROR(__xludf.DUMMYFUNCTION("GOOGLETRANSLATE(A11650, ""en"", ""fr"")"),"FEMMES")</f>
        <v>FEMMES</v>
      </c>
      <c r="C11650" s="1" t="s">
        <v>185</v>
      </c>
      <c r="AJ11650" s="1" t="s">
        <v>32</v>
      </c>
      <c r="AR11650" s="1" t="s">
        <v>40</v>
      </c>
      <c r="AT11650" s="1" t="s">
        <v>42</v>
      </c>
      <c r="FT11650" s="1" t="s">
        <v>172</v>
      </c>
      <c r="GD11650" s="1" t="s">
        <v>576</v>
      </c>
      <c r="GE11650" s="1" t="s">
        <v>16396</v>
      </c>
    </row>
    <row r="11651" spans="1:187" ht="11.25" customHeight="1">
      <c r="A11651" s="1" t="s">
        <v>16397</v>
      </c>
      <c r="B11651" s="1" t="str">
        <f ca="1">IFERROR(__xludf.DUMMYFUNCTION("GOOGLETRANSLATE(A11651, ""en"", ""fr"")"),"GAGNÉ")</f>
        <v>GAGNÉ</v>
      </c>
      <c r="C11651" s="1" t="s">
        <v>185</v>
      </c>
      <c r="J11651" s="1" t="s">
        <v>6</v>
      </c>
      <c r="N11651" s="1" t="s">
        <v>10</v>
      </c>
      <c r="BS11651" s="1" t="s">
        <v>67</v>
      </c>
      <c r="DN11651" s="1" t="s">
        <v>114</v>
      </c>
      <c r="DS11651" s="1" t="s">
        <v>119</v>
      </c>
      <c r="ED11651" s="1" t="s">
        <v>130</v>
      </c>
      <c r="GD11651" s="1" t="s">
        <v>1076</v>
      </c>
      <c r="GE11651" s="1" t="s">
        <v>16398</v>
      </c>
    </row>
    <row r="11652" spans="1:187" ht="11.25" customHeight="1">
      <c r="A11652" s="1" t="s">
        <v>16399</v>
      </c>
      <c r="B11652" s="1" t="str">
        <f ca="1">IFERROR(__xludf.DUMMYFUNCTION("GOOGLETRANSLATE(A11652, ""en"", ""fr"")"),"NE LE FERA PAS")</f>
        <v>NE LE FERA PAS</v>
      </c>
      <c r="C11652" s="1" t="s">
        <v>185</v>
      </c>
      <c r="DL11652" s="1" t="s">
        <v>112</v>
      </c>
      <c r="DP11652" s="1" t="s">
        <v>116</v>
      </c>
      <c r="GD11652" s="1" t="s">
        <v>2285</v>
      </c>
      <c r="GE11652" s="1" t="s">
        <v>16400</v>
      </c>
    </row>
    <row r="11653" spans="1:187" ht="11.25" customHeight="1">
      <c r="A11653" s="1" t="s">
        <v>16401</v>
      </c>
      <c r="B11653" s="1" t="str">
        <f ca="1">IFERROR(__xludf.DUMMYFUNCTION("GOOGLETRANSLATE(A11653, ""en"", ""fr"")"),"Wonder # 1")</f>
        <v>Wonder # 1</v>
      </c>
      <c r="C11653" s="1" t="s">
        <v>185</v>
      </c>
      <c r="D11653" s="1" t="s">
        <v>16612</v>
      </c>
      <c r="F11653" s="1" t="s">
        <v>2</v>
      </c>
      <c r="S11653" s="1" t="s">
        <v>15</v>
      </c>
      <c r="T11653" s="1" t="s">
        <v>16</v>
      </c>
      <c r="W11653" s="1" t="s">
        <v>19</v>
      </c>
      <c r="FX11653" s="1" t="s">
        <v>176</v>
      </c>
      <c r="GD11653" s="1" t="s">
        <v>193</v>
      </c>
      <c r="GE11653" s="1" t="s">
        <v>16402</v>
      </c>
    </row>
    <row r="11654" spans="1:187" ht="11.25" customHeight="1">
      <c r="A11654" s="1" t="s">
        <v>16403</v>
      </c>
      <c r="B11654" s="1" t="str">
        <f ca="1">IFERROR(__xludf.DUMMYFUNCTION("GOOGLETRANSLATE(A11654, ""en"", ""fr"")"),"Wonder # 2")</f>
        <v>Wonder # 2</v>
      </c>
      <c r="C11654" s="1" t="s">
        <v>185</v>
      </c>
      <c r="CO11654" s="1" t="s">
        <v>89</v>
      </c>
      <c r="DN11654" s="1" t="s">
        <v>114</v>
      </c>
      <c r="FZ11654" s="1" t="s">
        <v>178</v>
      </c>
      <c r="GD11654" s="1" t="s">
        <v>400</v>
      </c>
      <c r="GE11654" s="1" t="s">
        <v>16404</v>
      </c>
    </row>
    <row r="11655" spans="1:187" ht="11.25" customHeight="1">
      <c r="A11655" s="1" t="s">
        <v>16405</v>
      </c>
      <c r="B11655" s="1" t="str">
        <f ca="1">IFERROR(__xludf.DUMMYFUNCTION("GOOGLETRANSLATE(A11655, ""en"", ""fr"")"),"MERVEILLEUX")</f>
        <v>MERVEILLEUX</v>
      </c>
      <c r="C11655" s="1" t="s">
        <v>185</v>
      </c>
      <c r="D11655" s="1" t="s">
        <v>16612</v>
      </c>
      <c r="F11655" s="1" t="s">
        <v>2</v>
      </c>
      <c r="U11655" s="1" t="s">
        <v>17</v>
      </c>
      <c r="W11655" s="1" t="s">
        <v>19</v>
      </c>
      <c r="CN11655" s="1" t="s">
        <v>88</v>
      </c>
      <c r="DR11655" s="1" t="s">
        <v>118</v>
      </c>
      <c r="FX11655" s="1" t="s">
        <v>176</v>
      </c>
      <c r="GD11655" s="1" t="s">
        <v>421</v>
      </c>
      <c r="GE11655" s="1" t="s">
        <v>16406</v>
      </c>
    </row>
    <row r="11656" spans="1:187" ht="11.25" customHeight="1">
      <c r="A11656" s="1" t="s">
        <v>16407</v>
      </c>
      <c r="B11656" s="1" t="str">
        <f ca="1">IFERROR(__xludf.DUMMYFUNCTION("GOOGLETRANSLATE(A11656, ""en"", ""fr"")"),"MERVEILLEUX")</f>
        <v>MERVEILLEUX</v>
      </c>
      <c r="C11656" s="1" t="s">
        <v>192</v>
      </c>
      <c r="D11656" s="1" t="s">
        <v>16612</v>
      </c>
      <c r="X11656" s="1" t="s">
        <v>20</v>
      </c>
      <c r="DR11656" s="1" t="s">
        <v>118</v>
      </c>
      <c r="GD11656" s="1" t="s">
        <v>202</v>
      </c>
      <c r="GE11656" s="1" t="s">
        <v>190</v>
      </c>
    </row>
    <row r="11657" spans="1:187" ht="11.25" customHeight="1">
      <c r="A11657" s="1" t="s">
        <v>16408</v>
      </c>
      <c r="B11657" s="1" t="str">
        <f ca="1">IFERROR(__xludf.DUMMYFUNCTION("GOOGLETRANSLATE(A11657, ""en"", ""fr"")"),"COURTISER")</f>
        <v>COURTISER</v>
      </c>
      <c r="C11657" s="1" t="s">
        <v>192</v>
      </c>
      <c r="D11657" s="1" t="s">
        <v>16612</v>
      </c>
      <c r="G11657" s="1" t="s">
        <v>3</v>
      </c>
      <c r="N11657" s="1" t="s">
        <v>10</v>
      </c>
      <c r="AN11657" s="1" t="s">
        <v>36</v>
      </c>
      <c r="BK11657" s="1" t="s">
        <v>59</v>
      </c>
      <c r="DN11657" s="1" t="s">
        <v>114</v>
      </c>
      <c r="GD11657" s="1" t="s">
        <v>670</v>
      </c>
      <c r="GE11657" s="1" t="s">
        <v>190</v>
      </c>
    </row>
    <row r="11658" spans="1:187" ht="11.25" customHeight="1">
      <c r="A11658" s="1" t="s">
        <v>16409</v>
      </c>
      <c r="B11658" s="1" t="str">
        <f ca="1">IFERROR(__xludf.DUMMYFUNCTION("GOOGLETRANSLATE(A11658, ""en"", ""fr"")"),"Bois # 1")</f>
        <v>Bois # 1</v>
      </c>
      <c r="C11658" s="1" t="s">
        <v>185</v>
      </c>
      <c r="BC11658" s="1" t="s">
        <v>51</v>
      </c>
      <c r="BU11658" s="1" t="s">
        <v>69</v>
      </c>
      <c r="EV11658" s="1" t="s">
        <v>148</v>
      </c>
      <c r="EW11658" s="1" t="s">
        <v>149</v>
      </c>
      <c r="GD11658" s="1" t="s">
        <v>193</v>
      </c>
      <c r="GE11658" s="1" t="s">
        <v>16410</v>
      </c>
    </row>
    <row r="11659" spans="1:187" ht="11.25" customHeight="1">
      <c r="A11659" s="1" t="s">
        <v>16411</v>
      </c>
      <c r="B11659" s="1" t="str">
        <f ca="1">IFERROR(__xludf.DUMMYFUNCTION("GOOGLETRANSLATE(A11659, ""en"", ""fr"")"),"Bois # 2")</f>
        <v>Bois # 2</v>
      </c>
      <c r="C11659" s="1" t="s">
        <v>185</v>
      </c>
      <c r="AV11659" s="1" t="s">
        <v>44</v>
      </c>
      <c r="BA11659" s="1" t="s">
        <v>49</v>
      </c>
      <c r="EV11659" s="1" t="s">
        <v>148</v>
      </c>
      <c r="EW11659" s="1" t="s">
        <v>149</v>
      </c>
      <c r="GD11659" s="1" t="s">
        <v>193</v>
      </c>
      <c r="GE11659" s="1" t="s">
        <v>16412</v>
      </c>
    </row>
    <row r="11660" spans="1:187" ht="11.25" customHeight="1">
      <c r="A11660" s="1" t="s">
        <v>16413</v>
      </c>
      <c r="B11660" s="1" t="str">
        <f ca="1">IFERROR(__xludf.DUMMYFUNCTION("GOOGLETRANSLATE(A11660, ""en"", ""fr"")"),"Bois # 3")</f>
        <v>Bois # 3</v>
      </c>
      <c r="C11660" s="1" t="s">
        <v>185</v>
      </c>
      <c r="AV11660" s="1" t="s">
        <v>44</v>
      </c>
      <c r="BA11660" s="1" t="s">
        <v>49</v>
      </c>
      <c r="EV11660" s="1" t="s">
        <v>148</v>
      </c>
      <c r="EW11660" s="1" t="s">
        <v>149</v>
      </c>
      <c r="GD11660" s="1" t="s">
        <v>202</v>
      </c>
      <c r="GE11660" s="1" t="s">
        <v>16414</v>
      </c>
    </row>
    <row r="11661" spans="1:187" ht="11.25" customHeight="1">
      <c r="A11661" s="1" t="s">
        <v>16415</v>
      </c>
      <c r="B11661" s="1" t="str">
        <f ca="1">IFERROR(__xludf.DUMMYFUNCTION("GOOGLETRANSLATE(A11661, ""en"", ""fr"")"),"EN BOIS")</f>
        <v>EN BOIS</v>
      </c>
      <c r="C11661" s="1" t="s">
        <v>185</v>
      </c>
      <c r="CR11661" s="1" t="s">
        <v>92</v>
      </c>
      <c r="GD11661" s="1" t="s">
        <v>202</v>
      </c>
      <c r="GE11661" s="1" t="s">
        <v>190</v>
      </c>
    </row>
    <row r="11662" spans="1:187" ht="11.25" customHeight="1">
      <c r="A11662" s="1" t="s">
        <v>16416</v>
      </c>
      <c r="B11662" s="1" t="str">
        <f ca="1">IFERROR(__xludf.DUMMYFUNCTION("GOOGLETRANSLATE(A11662, ""en"", ""fr"")"),"LAINE")</f>
        <v>LAINE</v>
      </c>
      <c r="C11662" s="1" t="s">
        <v>196</v>
      </c>
      <c r="EV11662" s="1" t="s">
        <v>148</v>
      </c>
      <c r="EW11662" s="1" t="s">
        <v>149</v>
      </c>
      <c r="GD11662" s="1" t="s">
        <v>193</v>
      </c>
    </row>
    <row r="11663" spans="1:187" ht="11.25" customHeight="1">
      <c r="A11663" s="1" t="s">
        <v>16417</v>
      </c>
      <c r="B11663" s="1" t="str">
        <f ca="1">IFERROR(__xludf.DUMMYFUNCTION("GOOGLETRANSLATE(A11663, ""en"", ""fr"")"),"Mot # 1")</f>
        <v>Mot # 1</v>
      </c>
      <c r="C11663" s="1" t="s">
        <v>185</v>
      </c>
      <c r="BK11663" s="1" t="s">
        <v>59</v>
      </c>
      <c r="BL11663" s="1" t="s">
        <v>60</v>
      </c>
      <c r="FH11663" s="1" t="s">
        <v>160</v>
      </c>
      <c r="FI11663" s="1" t="s">
        <v>161</v>
      </c>
      <c r="GC11663" s="1" t="s">
        <v>181</v>
      </c>
      <c r="GD11663" s="1" t="s">
        <v>193</v>
      </c>
      <c r="GE11663" s="1" t="s">
        <v>16418</v>
      </c>
    </row>
    <row r="11664" spans="1:187" ht="11.25" customHeight="1">
      <c r="A11664" s="1" t="s">
        <v>16419</v>
      </c>
      <c r="B11664" s="1" t="str">
        <f ca="1">IFERROR(__xludf.DUMMYFUNCTION("GOOGLETRANSLATE(A11664, ""en"", ""fr"")"),"Mot # 2")</f>
        <v>Mot # 2</v>
      </c>
      <c r="C11664" s="1" t="s">
        <v>185</v>
      </c>
      <c r="G11664" s="1" t="s">
        <v>3</v>
      </c>
      <c r="M11664" s="1" t="s">
        <v>9</v>
      </c>
      <c r="BK11664" s="1" t="s">
        <v>59</v>
      </c>
      <c r="BL11664" s="1" t="s">
        <v>60</v>
      </c>
      <c r="FH11664" s="1" t="s">
        <v>160</v>
      </c>
      <c r="FI11664" s="1" t="s">
        <v>161</v>
      </c>
      <c r="GC11664" s="1" t="s">
        <v>181</v>
      </c>
      <c r="GD11664" s="1" t="s">
        <v>193</v>
      </c>
      <c r="GE11664" s="1" t="s">
        <v>16420</v>
      </c>
    </row>
    <row r="11665" spans="1:187" ht="11.25" customHeight="1">
      <c r="A11665" s="1" t="s">
        <v>16421</v>
      </c>
      <c r="B11665" s="1" t="str">
        <f ca="1">IFERROR(__xludf.DUMMYFUNCTION("GOOGLETRANSLATE(A11665, ""en"", ""fr"")"),"Mot # 3")</f>
        <v>Mot # 3</v>
      </c>
      <c r="C11665" s="1" t="s">
        <v>185</v>
      </c>
      <c r="BK11665" s="1" t="s">
        <v>59</v>
      </c>
      <c r="BL11665" s="1" t="s">
        <v>60</v>
      </c>
      <c r="FH11665" s="1" t="s">
        <v>160</v>
      </c>
      <c r="FI11665" s="1" t="s">
        <v>161</v>
      </c>
      <c r="GC11665" s="1" t="s">
        <v>181</v>
      </c>
      <c r="GD11665" s="1" t="s">
        <v>193</v>
      </c>
      <c r="GE11665" s="1" t="s">
        <v>16422</v>
      </c>
    </row>
    <row r="11666" spans="1:187" ht="11.25" customHeight="1">
      <c r="A11666" s="1" t="s">
        <v>16423</v>
      </c>
      <c r="B11666" s="1" t="str">
        <f ca="1">IFERROR(__xludf.DUMMYFUNCTION("GOOGLETRANSLATE(A11666, ""en"", ""fr"")"),"Mot # 4")</f>
        <v>Mot # 4</v>
      </c>
      <c r="C11666" s="1" t="s">
        <v>185</v>
      </c>
      <c r="K11666" s="1" t="s">
        <v>7</v>
      </c>
      <c r="BK11666" s="1" t="s">
        <v>59</v>
      </c>
      <c r="FH11666" s="1" t="s">
        <v>160</v>
      </c>
      <c r="FI11666" s="1" t="s">
        <v>161</v>
      </c>
      <c r="GD11666" s="1" t="s">
        <v>193</v>
      </c>
      <c r="GE11666" s="1" t="s">
        <v>16424</v>
      </c>
    </row>
    <row r="11667" spans="1:187" ht="11.25" customHeight="1">
      <c r="A11667" s="1" t="s">
        <v>16425</v>
      </c>
      <c r="B11667" s="1" t="str">
        <f ca="1">IFERROR(__xludf.DUMMYFUNCTION("GOOGLETRANSLATE(A11667, ""en"", ""fr"")"),"Mot # 5")</f>
        <v>Mot # 5</v>
      </c>
      <c r="C11667" s="1" t="s">
        <v>185</v>
      </c>
      <c r="Y11667" s="1" t="s">
        <v>21</v>
      </c>
      <c r="BK11667" s="1" t="s">
        <v>59</v>
      </c>
      <c r="DO11667" s="1" t="s">
        <v>115</v>
      </c>
      <c r="FH11667" s="1" t="s">
        <v>160</v>
      </c>
      <c r="FI11667" s="1" t="s">
        <v>161</v>
      </c>
      <c r="GD11667" s="1" t="s">
        <v>189</v>
      </c>
      <c r="GE11667" s="1" t="s">
        <v>16426</v>
      </c>
    </row>
    <row r="11668" spans="1:187" ht="11.25" customHeight="1">
      <c r="A11668" s="1" t="s">
        <v>16427</v>
      </c>
      <c r="B11668" s="1" t="str">
        <f ca="1">IFERROR(__xludf.DUMMYFUNCTION("GOOGLETRANSLATE(A11668, ""en"", ""fr"")"),"Mot # 6")</f>
        <v>Mot # 6</v>
      </c>
      <c r="C11668" s="1" t="s">
        <v>185</v>
      </c>
      <c r="BK11668" s="1" t="s">
        <v>59</v>
      </c>
      <c r="BL11668" s="1" t="s">
        <v>60</v>
      </c>
      <c r="FH11668" s="1" t="s">
        <v>160</v>
      </c>
      <c r="FI11668" s="1" t="s">
        <v>161</v>
      </c>
      <c r="GC11668" s="1" t="s">
        <v>181</v>
      </c>
      <c r="GD11668" s="1" t="s">
        <v>193</v>
      </c>
      <c r="GE11668" s="1" t="s">
        <v>16428</v>
      </c>
    </row>
    <row r="11669" spans="1:187" ht="11.25" customHeight="1">
      <c r="A11669" s="1" t="s">
        <v>16429</v>
      </c>
      <c r="B11669" s="1" t="str">
        <f ca="1">IFERROR(__xludf.DUMMYFUNCTION("GOOGLETRANSLATE(A11669, ""en"", ""fr"")"),"Mot # 7")</f>
        <v>Mot # 7</v>
      </c>
      <c r="C11669" s="1" t="s">
        <v>185</v>
      </c>
      <c r="X11669" s="1" t="s">
        <v>20</v>
      </c>
      <c r="BK11669" s="1" t="s">
        <v>59</v>
      </c>
      <c r="GD11669" s="1" t="s">
        <v>236</v>
      </c>
      <c r="GE11669" s="1" t="s">
        <v>16430</v>
      </c>
    </row>
    <row r="11670" spans="1:187" ht="11.25" customHeight="1">
      <c r="A11670" s="1" t="s">
        <v>16431</v>
      </c>
      <c r="B11670" s="1" t="str">
        <f ca="1">IFERROR(__xludf.DUMMYFUNCTION("GOOGLETRANSLATE(A11670, ""en"", ""fr"")"),"Portait # 1")</f>
        <v>Portait # 1</v>
      </c>
      <c r="C11670" s="1" t="s">
        <v>192</v>
      </c>
      <c r="GD11670" s="1" t="s">
        <v>1085</v>
      </c>
      <c r="GE11670" s="1" t="s">
        <v>190</v>
      </c>
    </row>
    <row r="11671" spans="1:187" ht="11.25" customHeight="1">
      <c r="A11671" s="1" t="s">
        <v>16432</v>
      </c>
      <c r="B11671" s="1" t="str">
        <f ca="1">IFERROR(__xludf.DUMMYFUNCTION("GOOGLETRANSLATE(A11671, ""en"", ""fr"")"),"Travail n ° 1")</f>
        <v>Travail n ° 1</v>
      </c>
      <c r="C11671" s="1" t="s">
        <v>185</v>
      </c>
      <c r="N11671" s="1" t="s">
        <v>10</v>
      </c>
      <c r="AC11671" s="1" t="s">
        <v>25</v>
      </c>
      <c r="BQ11671" s="1" t="s">
        <v>65</v>
      </c>
      <c r="FL11671" s="1" t="s">
        <v>164</v>
      </c>
      <c r="FM11671" s="1" t="s">
        <v>418</v>
      </c>
      <c r="GD11671" s="1" t="s">
        <v>193</v>
      </c>
      <c r="GE11671" s="1" t="s">
        <v>16433</v>
      </c>
    </row>
    <row r="11672" spans="1:187" ht="11.25" customHeight="1">
      <c r="A11672" s="1" t="s">
        <v>16434</v>
      </c>
      <c r="B11672" s="1" t="str">
        <f ca="1">IFERROR(__xludf.DUMMYFUNCTION("GOOGLETRANSLATE(A11672, ""en"", ""fr"")"),"Travail n ° 2")</f>
        <v>Travail n ° 2</v>
      </c>
      <c r="C11672" s="1" t="s">
        <v>185</v>
      </c>
      <c r="N11672" s="1" t="s">
        <v>10</v>
      </c>
      <c r="AL11672" s="1" t="s">
        <v>34</v>
      </c>
      <c r="DO11672" s="1" t="s">
        <v>115</v>
      </c>
      <c r="FL11672" s="1" t="s">
        <v>164</v>
      </c>
      <c r="FM11672" s="1" t="s">
        <v>418</v>
      </c>
      <c r="GD11672" s="1" t="s">
        <v>189</v>
      </c>
      <c r="GE11672" s="1" t="s">
        <v>16435</v>
      </c>
    </row>
    <row r="11673" spans="1:187" ht="11.25" customHeight="1">
      <c r="A11673" s="1" t="s">
        <v>16436</v>
      </c>
      <c r="B11673" s="1" t="str">
        <f ca="1">IFERROR(__xludf.DUMMYFUNCTION("GOOGLETRANSLATE(A11673, ""en"", ""fr"")"),"Travail n ° 3")</f>
        <v>Travail n ° 3</v>
      </c>
      <c r="C11673" s="1" t="s">
        <v>185</v>
      </c>
      <c r="N11673" s="1" t="s">
        <v>10</v>
      </c>
      <c r="CO11673" s="1" t="s">
        <v>89</v>
      </c>
      <c r="DN11673" s="1" t="s">
        <v>114</v>
      </c>
      <c r="FD11673" s="1" t="s">
        <v>156</v>
      </c>
      <c r="FI11673" s="1" t="s">
        <v>161</v>
      </c>
      <c r="GD11673" s="1" t="s">
        <v>189</v>
      </c>
      <c r="GE11673" s="1" t="s">
        <v>16437</v>
      </c>
    </row>
    <row r="11674" spans="1:187" ht="11.25" customHeight="1">
      <c r="A11674" s="1" t="s">
        <v>16438</v>
      </c>
      <c r="B11674" s="1" t="str">
        <f ca="1">IFERROR(__xludf.DUMMYFUNCTION("GOOGLETRANSLATE(A11674, ""en"", ""fr"")"),"RÉALISABLE")</f>
        <v>RÉALISABLE</v>
      </c>
      <c r="C11674" s="1" t="s">
        <v>185</v>
      </c>
      <c r="D11674" s="1" t="s">
        <v>16612</v>
      </c>
      <c r="F11674" s="1" t="s">
        <v>2</v>
      </c>
      <c r="U11674" s="1" t="s">
        <v>17</v>
      </c>
      <c r="GD11674" s="1" t="s">
        <v>202</v>
      </c>
      <c r="GE11674" s="1" t="s">
        <v>190</v>
      </c>
    </row>
    <row r="11675" spans="1:187" ht="11.25" customHeight="1">
      <c r="A11675" s="1" t="s">
        <v>16439</v>
      </c>
      <c r="B11675" s="1" t="str">
        <f ca="1">IFERROR(__xludf.DUMMYFUNCTION("GOOGLETRANSLATE(A11675, ""en"", ""fr"")"),"OUVRIER")</f>
        <v>OUVRIER</v>
      </c>
      <c r="C11675" s="1" t="s">
        <v>185</v>
      </c>
      <c r="AA11675" s="1" t="s">
        <v>23</v>
      </c>
      <c r="AC11675" s="1" t="s">
        <v>25</v>
      </c>
      <c r="AJ11675" s="1" t="s">
        <v>32</v>
      </c>
      <c r="AT11675" s="1" t="s">
        <v>42</v>
      </c>
      <c r="ET11675" s="1" t="s">
        <v>146</v>
      </c>
      <c r="EW11675" s="1" t="s">
        <v>149</v>
      </c>
      <c r="GD11675" s="1" t="s">
        <v>193</v>
      </c>
      <c r="GE11675" s="1" t="s">
        <v>16440</v>
      </c>
    </row>
    <row r="11676" spans="1:187" ht="11.25" customHeight="1">
      <c r="A11676" s="1" t="s">
        <v>16441</v>
      </c>
      <c r="B11676" s="1" t="str">
        <f ca="1">IFERROR(__xludf.DUMMYFUNCTION("GOOGLETRANSLATE(A11676, ""en"", ""fr"")"),"TRAVAILLEUR")</f>
        <v>TRAVAILLEUR</v>
      </c>
      <c r="C11676" s="1" t="s">
        <v>196</v>
      </c>
      <c r="ET11676" s="1" t="s">
        <v>146</v>
      </c>
      <c r="EW11676" s="1" t="s">
        <v>149</v>
      </c>
      <c r="GD11676" s="1" t="s">
        <v>193</v>
      </c>
    </row>
    <row r="11677" spans="1:187" ht="11.25" customHeight="1">
      <c r="A11677" s="1" t="s">
        <v>16442</v>
      </c>
      <c r="B11677" s="1" t="str">
        <f ca="1">IFERROR(__xludf.DUMMYFUNCTION("GOOGLETRANSLATE(A11677, ""en"", ""fr"")"),"Ouvriers")</f>
        <v>Ouvriers</v>
      </c>
      <c r="C11677" s="1" t="s">
        <v>196</v>
      </c>
      <c r="ET11677" s="1" t="s">
        <v>146</v>
      </c>
      <c r="EW11677" s="1" t="s">
        <v>149</v>
      </c>
      <c r="GD11677" s="1" t="s">
        <v>193</v>
      </c>
    </row>
    <row r="11678" spans="1:187" ht="11.25" customHeight="1">
      <c r="A11678" s="1" t="s">
        <v>16443</v>
      </c>
      <c r="B11678" s="1" t="str">
        <f ca="1">IFERROR(__xludf.DUMMYFUNCTION("GOOGLETRANSLATE(A11678, ""en"", ""fr"")"),"Fabrication")</f>
        <v>Fabrication</v>
      </c>
      <c r="C11678" s="1" t="s">
        <v>192</v>
      </c>
      <c r="D11678" s="1" t="s">
        <v>16612</v>
      </c>
      <c r="AL11678" s="1" t="s">
        <v>34</v>
      </c>
      <c r="BP11678" s="1" t="s">
        <v>64</v>
      </c>
      <c r="CM11678" s="1" t="s">
        <v>87</v>
      </c>
      <c r="CR11678" s="1" t="s">
        <v>92</v>
      </c>
      <c r="GD11678" s="1" t="s">
        <v>193</v>
      </c>
      <c r="GE11678" s="1" t="s">
        <v>190</v>
      </c>
    </row>
    <row r="11679" spans="1:187" ht="11.25" customHeight="1">
      <c r="A11679" s="1" t="s">
        <v>16444</v>
      </c>
      <c r="B11679" s="1" t="str">
        <f ca="1">IFERROR(__xludf.DUMMYFUNCTION("GOOGLETRANSLATE(A11679, ""en"", ""fr"")"),"Ouvriers # 1")</f>
        <v>Ouvriers # 1</v>
      </c>
      <c r="C11679" s="1" t="s">
        <v>196</v>
      </c>
      <c r="FK11679" s="1" t="s">
        <v>163</v>
      </c>
      <c r="FM11679" s="1" t="s">
        <v>418</v>
      </c>
      <c r="GD11679" s="1" t="s">
        <v>448</v>
      </c>
    </row>
    <row r="11680" spans="1:187" ht="11.25" customHeight="1">
      <c r="A11680" s="1" t="s">
        <v>16445</v>
      </c>
      <c r="B11680" s="1" t="str">
        <f ca="1">IFERROR(__xludf.DUMMYFUNCTION("GOOGLETRANSLATE(A11680, ""en"", ""fr"")"),"Ouvriers # 2")</f>
        <v>Ouvriers # 2</v>
      </c>
      <c r="C11680" s="1" t="s">
        <v>196</v>
      </c>
      <c r="EZ11680" s="1" t="s">
        <v>152</v>
      </c>
      <c r="FC11680" s="1" t="s">
        <v>155</v>
      </c>
      <c r="GD11680" s="1" t="s">
        <v>193</v>
      </c>
    </row>
    <row r="11681" spans="1:187" ht="11.25" customHeight="1">
      <c r="A11681" s="1" t="s">
        <v>16446</v>
      </c>
      <c r="B11681" s="1" t="str">
        <f ca="1">IFERROR(__xludf.DUMMYFUNCTION("GOOGLETRANSLATE(A11681, ""en"", ""fr"")"),"ATELIER")</f>
        <v>ATELIER</v>
      </c>
      <c r="C11681" s="1" t="s">
        <v>185</v>
      </c>
      <c r="AA11681" s="1" t="s">
        <v>23</v>
      </c>
      <c r="AC11681" s="1" t="s">
        <v>25</v>
      </c>
      <c r="AV11681" s="1" t="s">
        <v>44</v>
      </c>
      <c r="AW11681" s="1" t="s">
        <v>45</v>
      </c>
      <c r="GD11681" s="1" t="s">
        <v>193</v>
      </c>
      <c r="GE11681" s="1" t="s">
        <v>190</v>
      </c>
    </row>
    <row r="11682" spans="1:187" ht="11.25" customHeight="1">
      <c r="A11682" s="1" t="s">
        <v>16447</v>
      </c>
      <c r="B11682" s="1" t="str">
        <f ca="1">IFERROR(__xludf.DUMMYFUNCTION("GOOGLETRANSLATE(A11682, ""en"", ""fr"")"),"MONDE")</f>
        <v>MONDE</v>
      </c>
      <c r="C11682" s="1" t="s">
        <v>196</v>
      </c>
      <c r="FS11682" s="1" t="s">
        <v>171</v>
      </c>
      <c r="GD11682" s="1" t="s">
        <v>3319</v>
      </c>
    </row>
    <row r="11683" spans="1:187" ht="11.25" customHeight="1">
      <c r="A11683" s="1" t="s">
        <v>16448</v>
      </c>
      <c r="B11683" s="1" t="str">
        <f ca="1">IFERROR(__xludf.DUMMYFUNCTION("GOOGLETRANSLATE(A11683, ""en"", ""fr"")"),"MONDIALEMENT CÉLÈBRE")</f>
        <v>MONDIALEMENT CÉLÈBRE</v>
      </c>
      <c r="C11683" s="1" t="s">
        <v>185</v>
      </c>
      <c r="D11683" s="1" t="s">
        <v>16612</v>
      </c>
      <c r="F11683" s="1" t="s">
        <v>2</v>
      </c>
      <c r="J11683" s="1" t="s">
        <v>6</v>
      </c>
      <c r="K11683" s="1" t="s">
        <v>7</v>
      </c>
      <c r="U11683" s="1" t="s">
        <v>17</v>
      </c>
      <c r="GD11683" s="1" t="s">
        <v>202</v>
      </c>
      <c r="GE11683" s="1" t="s">
        <v>190</v>
      </c>
    </row>
    <row r="11684" spans="1:187" ht="11.25" customHeight="1">
      <c r="A11684" s="1" t="s">
        <v>16449</v>
      </c>
      <c r="B11684" s="1" t="str">
        <f ca="1">IFERROR(__xludf.DUMMYFUNCTION("GOOGLETRANSLATE(A11684, ""en"", ""fr"")"),"MONDIAL")</f>
        <v>MONDIAL</v>
      </c>
      <c r="C11684" s="1" t="s">
        <v>185</v>
      </c>
      <c r="J11684" s="1" t="s">
        <v>6</v>
      </c>
      <c r="AV11684" s="1" t="s">
        <v>44</v>
      </c>
      <c r="AX11684" s="1" t="s">
        <v>46</v>
      </c>
      <c r="GD11684" s="1" t="s">
        <v>202</v>
      </c>
      <c r="GE11684" s="1" t="s">
        <v>190</v>
      </c>
    </row>
    <row r="11685" spans="1:187" ht="11.25" customHeight="1">
      <c r="A11685" s="1" t="s">
        <v>16450</v>
      </c>
      <c r="B11685" s="1" t="str">
        <f ca="1">IFERROR(__xludf.DUMMYFUNCTION("GOOGLETRANSLATE(A11685, ""en"", ""fr"")"),"MONDAIN")</f>
        <v>MONDAIN</v>
      </c>
      <c r="C11685" s="1" t="s">
        <v>185</v>
      </c>
      <c r="CR11685" s="1" t="s">
        <v>92</v>
      </c>
      <c r="GD11685" s="1" t="s">
        <v>236</v>
      </c>
      <c r="GE11685" s="1" t="s">
        <v>190</v>
      </c>
    </row>
    <row r="11686" spans="1:187" ht="11.25" customHeight="1">
      <c r="A11686" s="1" t="s">
        <v>16451</v>
      </c>
      <c r="B11686" s="1" t="str">
        <f ca="1">IFERROR(__xludf.DUMMYFUNCTION("GOOGLETRANSLATE(A11686, ""en"", ""fr"")"),"Usé # 1")</f>
        <v>Usé # 1</v>
      </c>
      <c r="C11686" s="1" t="s">
        <v>185</v>
      </c>
      <c r="AL11686" s="1" t="s">
        <v>34</v>
      </c>
      <c r="DO11686" s="1" t="s">
        <v>115</v>
      </c>
      <c r="GD11686" s="1" t="s">
        <v>1076</v>
      </c>
      <c r="GE11686" s="1" t="s">
        <v>16452</v>
      </c>
    </row>
    <row r="11687" spans="1:187" ht="11.25" customHeight="1">
      <c r="A11687" s="1" t="s">
        <v>16453</v>
      </c>
      <c r="B11687" s="1" t="str">
        <f ca="1">IFERROR(__xludf.DUMMYFUNCTION("GOOGLETRANSLATE(A11687, ""en"", ""fr"")"),"Usé # 2")</f>
        <v>Usé # 2</v>
      </c>
      <c r="C11687" s="1" t="s">
        <v>185</v>
      </c>
      <c r="E11687" s="1" t="s">
        <v>16613</v>
      </c>
      <c r="H11687" s="1" t="s">
        <v>4</v>
      </c>
      <c r="BZ11687" s="1" t="s">
        <v>74</v>
      </c>
      <c r="DN11687" s="1" t="s">
        <v>114</v>
      </c>
      <c r="GD11687" s="1" t="s">
        <v>1076</v>
      </c>
      <c r="GE11687" s="1" t="s">
        <v>16454</v>
      </c>
    </row>
    <row r="11688" spans="1:187" ht="11.25" customHeight="1">
      <c r="A11688" s="1" t="s">
        <v>16455</v>
      </c>
      <c r="B11688" s="1" t="str">
        <f ca="1">IFERROR(__xludf.DUMMYFUNCTION("GOOGLETRANSLATE(A11688, ""en"", ""fr"")"),"Usé # 3")</f>
        <v>Usé # 3</v>
      </c>
      <c r="C11688" s="1" t="s">
        <v>185</v>
      </c>
      <c r="E11688" s="1" t="s">
        <v>16613</v>
      </c>
      <c r="H11688" s="1" t="s">
        <v>4</v>
      </c>
      <c r="L11688" s="1" t="s">
        <v>8</v>
      </c>
      <c r="O11688" s="1" t="s">
        <v>11</v>
      </c>
      <c r="V11688" s="1" t="s">
        <v>18</v>
      </c>
      <c r="GD11688" s="1" t="s">
        <v>202</v>
      </c>
      <c r="GE11688" s="1" t="s">
        <v>16456</v>
      </c>
    </row>
    <row r="11689" spans="1:187" ht="11.25" customHeight="1">
      <c r="A11689" s="1" t="s">
        <v>16457</v>
      </c>
      <c r="B11689" s="1" t="str">
        <f ca="1">IFERROR(__xludf.DUMMYFUNCTION("GOOGLETRANSLATE(A11689, ""en"", ""fr"")"),"Inquiétude")</f>
        <v>Inquiétude</v>
      </c>
      <c r="C11689" s="1" t="s">
        <v>185</v>
      </c>
      <c r="E11689" s="1" t="s">
        <v>16613</v>
      </c>
      <c r="H11689" s="1" t="s">
        <v>4</v>
      </c>
      <c r="L11689" s="1" t="s">
        <v>8</v>
      </c>
      <c r="O11689" s="1" t="s">
        <v>11</v>
      </c>
      <c r="AJ11689" s="1" t="s">
        <v>32</v>
      </c>
      <c r="AT11689" s="1" t="s">
        <v>42</v>
      </c>
      <c r="GD11689" s="1" t="s">
        <v>193</v>
      </c>
      <c r="GE11689" s="1" t="s">
        <v>190</v>
      </c>
    </row>
    <row r="11690" spans="1:187" ht="11.25" customHeight="1">
      <c r="A11690" s="1" t="s">
        <v>16458</v>
      </c>
      <c r="B11690" s="1" t="str">
        <f ca="1">IFERROR(__xludf.DUMMYFUNCTION("GOOGLETRANSLATE(A11690, ""en"", ""fr"")"),"Inquiétude n ° 1")</f>
        <v>Inquiétude n ° 1</v>
      </c>
      <c r="C11690" s="1" t="s">
        <v>185</v>
      </c>
      <c r="E11690" s="1" t="s">
        <v>16613</v>
      </c>
      <c r="H11690" s="1" t="s">
        <v>4</v>
      </c>
      <c r="L11690" s="1" t="s">
        <v>8</v>
      </c>
      <c r="O11690" s="1" t="s">
        <v>11</v>
      </c>
      <c r="Q11690" s="1" t="s">
        <v>13</v>
      </c>
      <c r="DP11690" s="1" t="s">
        <v>116</v>
      </c>
      <c r="EY11690" s="1" t="s">
        <v>151</v>
      </c>
      <c r="FC11690" s="1" t="s">
        <v>155</v>
      </c>
      <c r="GD11690" s="1" t="s">
        <v>189</v>
      </c>
      <c r="GE11690" s="1" t="s">
        <v>16459</v>
      </c>
    </row>
    <row r="11691" spans="1:187" ht="11.25" customHeight="1">
      <c r="A11691" s="1" t="s">
        <v>16460</v>
      </c>
      <c r="B11691" s="1" t="str">
        <f ca="1">IFERROR(__xludf.DUMMYFUNCTION("GOOGLETRANSLATE(A11691, ""en"", ""fr"")"),"Inquiétude n ° 2")</f>
        <v>Inquiétude n ° 2</v>
      </c>
      <c r="C11691" s="1" t="s">
        <v>185</v>
      </c>
      <c r="E11691" s="1" t="s">
        <v>16613</v>
      </c>
      <c r="H11691" s="1" t="s">
        <v>4</v>
      </c>
      <c r="Q11691" s="1" t="s">
        <v>13</v>
      </c>
      <c r="T11691" s="1" t="s">
        <v>16</v>
      </c>
      <c r="FA11691" s="1" t="s">
        <v>153</v>
      </c>
      <c r="FC11691" s="1" t="s">
        <v>155</v>
      </c>
      <c r="GD11691" s="1" t="s">
        <v>193</v>
      </c>
      <c r="GE11691" s="1" t="s">
        <v>16461</v>
      </c>
    </row>
    <row r="11692" spans="1:187" ht="11.25" customHeight="1">
      <c r="A11692" s="1" t="s">
        <v>16462</v>
      </c>
      <c r="B11692" s="1" t="str">
        <f ca="1">IFERROR(__xludf.DUMMYFUNCTION("GOOGLETRANSLATE(A11692, ""en"", ""fr"")"),"Inquiétude n ° 3")</f>
        <v>Inquiétude n ° 3</v>
      </c>
      <c r="C11692" s="1" t="s">
        <v>185</v>
      </c>
      <c r="E11692" s="1" t="s">
        <v>16613</v>
      </c>
      <c r="H11692" s="1" t="s">
        <v>4</v>
      </c>
      <c r="I11692" s="1" t="s">
        <v>5</v>
      </c>
      <c r="N11692" s="1" t="s">
        <v>10</v>
      </c>
      <c r="AN11692" s="1" t="s">
        <v>36</v>
      </c>
      <c r="DN11692" s="1" t="s">
        <v>114</v>
      </c>
      <c r="EY11692" s="1" t="s">
        <v>151</v>
      </c>
      <c r="FC11692" s="1" t="s">
        <v>155</v>
      </c>
      <c r="GD11692" s="1" t="s">
        <v>189</v>
      </c>
      <c r="GE11692" s="1" t="s">
        <v>16463</v>
      </c>
    </row>
    <row r="11693" spans="1:187" ht="11.25" customHeight="1">
      <c r="A11693" s="1" t="s">
        <v>16464</v>
      </c>
      <c r="B11693" s="1" t="str">
        <f ca="1">IFERROR(__xludf.DUMMYFUNCTION("GOOGLETRANSLATE(A11693, ""en"", ""fr"")"),"Inquiétude n ° 4")</f>
        <v>Inquiétude n ° 4</v>
      </c>
      <c r="C11693" s="1" t="s">
        <v>185</v>
      </c>
      <c r="E11693" s="1" t="s">
        <v>16613</v>
      </c>
      <c r="H11693" s="1" t="s">
        <v>4</v>
      </c>
      <c r="L11693" s="1" t="s">
        <v>8</v>
      </c>
      <c r="O11693" s="1" t="s">
        <v>11</v>
      </c>
      <c r="Q11693" s="1" t="s">
        <v>13</v>
      </c>
      <c r="T11693" s="1" t="s">
        <v>16</v>
      </c>
      <c r="FA11693" s="1" t="s">
        <v>153</v>
      </c>
      <c r="FC11693" s="1" t="s">
        <v>155</v>
      </c>
      <c r="GD11693" s="1" t="s">
        <v>202</v>
      </c>
      <c r="GE11693" s="1" t="s">
        <v>16465</v>
      </c>
    </row>
    <row r="11694" spans="1:187" ht="11.25" customHeight="1">
      <c r="A11694" s="1" t="s">
        <v>16466</v>
      </c>
      <c r="B11694" s="1" t="str">
        <f ca="1">IFERROR(__xludf.DUMMYFUNCTION("GOOGLETRANSLATE(A11694, ""en"", ""fr"")"),"Inquiétude n ° 5")</f>
        <v>Inquiétude n ° 5</v>
      </c>
      <c r="C11694" s="1" t="s">
        <v>185</v>
      </c>
      <c r="E11694" s="1" t="s">
        <v>16613</v>
      </c>
      <c r="H11694" s="1" t="s">
        <v>4</v>
      </c>
      <c r="L11694" s="1" t="s">
        <v>8</v>
      </c>
      <c r="O11694" s="1" t="s">
        <v>11</v>
      </c>
      <c r="Q11694" s="1" t="s">
        <v>13</v>
      </c>
      <c r="FA11694" s="1" t="s">
        <v>153</v>
      </c>
      <c r="FC11694" s="1" t="s">
        <v>155</v>
      </c>
      <c r="GD11694" s="1" t="s">
        <v>236</v>
      </c>
      <c r="GE11694" s="1" t="s">
        <v>16467</v>
      </c>
    </row>
    <row r="11695" spans="1:187" ht="11.25" customHeight="1">
      <c r="A11695" s="1" t="s">
        <v>16468</v>
      </c>
      <c r="B11695" s="1" t="str">
        <f ca="1">IFERROR(__xludf.DUMMYFUNCTION("GOOGLETRANSLATE(A11695, ""en"", ""fr"")"),"PIRE")</f>
        <v>PIRE</v>
      </c>
      <c r="C11695" s="1" t="s">
        <v>185</v>
      </c>
      <c r="E11695" s="1" t="s">
        <v>16613</v>
      </c>
      <c r="H11695" s="1" t="s">
        <v>4</v>
      </c>
      <c r="V11695" s="1" t="s">
        <v>18</v>
      </c>
      <c r="CL11695" s="1" t="s">
        <v>86</v>
      </c>
      <c r="CN11695" s="1" t="s">
        <v>88</v>
      </c>
      <c r="FW11695" s="1" t="s">
        <v>175</v>
      </c>
      <c r="GD11695" s="1" t="s">
        <v>8827</v>
      </c>
      <c r="GE11695" s="1" t="s">
        <v>16469</v>
      </c>
    </row>
    <row r="11696" spans="1:187" ht="11.25" customHeight="1">
      <c r="A11696" s="1" t="s">
        <v>16470</v>
      </c>
      <c r="B11696" s="1" t="str">
        <f ca="1">IFERROR(__xludf.DUMMYFUNCTION("GOOGLETRANSLATE(A11696, ""en"", ""fr"")"),"EMPIRER")</f>
        <v>EMPIRER</v>
      </c>
      <c r="C11696" s="1" t="s">
        <v>192</v>
      </c>
      <c r="E11696" s="1" t="s">
        <v>16613</v>
      </c>
      <c r="L11696" s="1" t="s">
        <v>8</v>
      </c>
      <c r="M11696" s="1" t="s">
        <v>9</v>
      </c>
      <c r="O11696" s="1" t="s">
        <v>11</v>
      </c>
      <c r="BY11696" s="1" t="s">
        <v>73</v>
      </c>
      <c r="DN11696" s="1" t="s">
        <v>114</v>
      </c>
      <c r="GD11696" s="1" t="s">
        <v>189</v>
      </c>
      <c r="GE11696" s="1" t="s">
        <v>190</v>
      </c>
    </row>
    <row r="11697" spans="1:187" ht="11.25" customHeight="1">
      <c r="A11697" s="1" t="s">
        <v>16471</v>
      </c>
      <c r="B11697" s="1" t="str">
        <f ca="1">IFERROR(__xludf.DUMMYFUNCTION("GOOGLETRANSLATE(A11697, ""en"", ""fr"")"),"Culte # 1")</f>
        <v>Culte # 1</v>
      </c>
      <c r="C11697" s="1" t="s">
        <v>185</v>
      </c>
      <c r="M11697" s="1" t="s">
        <v>9</v>
      </c>
      <c r="AI11697" s="1" t="s">
        <v>31</v>
      </c>
      <c r="AM11697" s="1" t="s">
        <v>35</v>
      </c>
      <c r="EF11697" s="1" t="s">
        <v>132</v>
      </c>
      <c r="EJ11697" s="1" t="s">
        <v>136</v>
      </c>
      <c r="GD11697" s="1" t="s">
        <v>193</v>
      </c>
      <c r="GE11697" s="1" t="s">
        <v>190</v>
      </c>
    </row>
    <row r="11698" spans="1:187" ht="11.25" customHeight="1">
      <c r="A11698" s="1" t="s">
        <v>16472</v>
      </c>
      <c r="B11698" s="1" t="str">
        <f ca="1">IFERROR(__xludf.DUMMYFUNCTION("GOOGLETRANSLATE(A11698, ""en"", ""fr"")"),"Culte # 2")</f>
        <v>Culte # 2</v>
      </c>
      <c r="C11698" s="1" t="s">
        <v>185</v>
      </c>
      <c r="M11698" s="1" t="s">
        <v>9</v>
      </c>
      <c r="AI11698" s="1" t="s">
        <v>31</v>
      </c>
      <c r="BK11698" s="1" t="s">
        <v>59</v>
      </c>
      <c r="DN11698" s="1" t="s">
        <v>114</v>
      </c>
      <c r="EG11698" s="1" t="s">
        <v>133</v>
      </c>
      <c r="EJ11698" s="1" t="s">
        <v>136</v>
      </c>
      <c r="GD11698" s="1" t="s">
        <v>189</v>
      </c>
      <c r="GE11698" s="1" t="s">
        <v>190</v>
      </c>
    </row>
    <row r="11699" spans="1:187" ht="11.25" customHeight="1">
      <c r="A11699" s="1" t="s">
        <v>16473</v>
      </c>
      <c r="B11699" s="1" t="str">
        <f ca="1">IFERROR(__xludf.DUMMYFUNCTION("GOOGLETRANSLATE(A11699, ""en"", ""fr"")"),"PIRE")</f>
        <v>PIRE</v>
      </c>
      <c r="C11699" s="1" t="s">
        <v>185</v>
      </c>
      <c r="E11699" s="1" t="s">
        <v>16613</v>
      </c>
      <c r="H11699" s="1" t="s">
        <v>4</v>
      </c>
      <c r="V11699" s="1" t="s">
        <v>18</v>
      </c>
      <c r="W11699" s="1" t="s">
        <v>19</v>
      </c>
      <c r="CL11699" s="1" t="s">
        <v>86</v>
      </c>
      <c r="CN11699" s="1" t="s">
        <v>88</v>
      </c>
      <c r="FW11699" s="1" t="s">
        <v>175</v>
      </c>
      <c r="GD11699" s="1" t="s">
        <v>8443</v>
      </c>
      <c r="GE11699" s="1" t="s">
        <v>190</v>
      </c>
    </row>
    <row r="11700" spans="1:187" ht="11.25" customHeight="1">
      <c r="A11700" s="1" t="s">
        <v>16474</v>
      </c>
      <c r="B11700" s="1" t="str">
        <f ca="1">IFERROR(__xludf.DUMMYFUNCTION("GOOGLETRANSLATE(A11700, ""en"", ""fr"")"),"Vaut n ° 1")</f>
        <v>Vaut n ° 1</v>
      </c>
      <c r="C11700" s="1" t="s">
        <v>185</v>
      </c>
      <c r="D11700" s="1" t="s">
        <v>16612</v>
      </c>
      <c r="F11700" s="1" t="s">
        <v>2</v>
      </c>
      <c r="U11700" s="1" t="s">
        <v>17</v>
      </c>
      <c r="EV11700" s="1" t="s">
        <v>148</v>
      </c>
      <c r="EW11700" s="1" t="s">
        <v>149</v>
      </c>
      <c r="GD11700" s="1" t="s">
        <v>215</v>
      </c>
      <c r="GE11700" s="1" t="s">
        <v>16475</v>
      </c>
    </row>
    <row r="11701" spans="1:187" ht="11.25" customHeight="1">
      <c r="A11701" s="1" t="s">
        <v>16476</v>
      </c>
      <c r="B11701" s="1" t="str">
        <f ca="1">IFERROR(__xludf.DUMMYFUNCTION("GOOGLETRANSLATE(A11701, ""en"", ""fr"")"),"Vaut n ° 2")</f>
        <v>Vaut n ° 2</v>
      </c>
      <c r="C11701" s="1" t="s">
        <v>185</v>
      </c>
      <c r="D11701" s="1" t="s">
        <v>16612</v>
      </c>
      <c r="F11701" s="1" t="s">
        <v>2</v>
      </c>
      <c r="U11701" s="1" t="s">
        <v>17</v>
      </c>
      <c r="EM11701" s="1" t="s">
        <v>139</v>
      </c>
      <c r="EN11701" s="1" t="s">
        <v>140</v>
      </c>
      <c r="GD11701" s="1" t="s">
        <v>193</v>
      </c>
      <c r="GE11701" s="1" t="s">
        <v>16477</v>
      </c>
    </row>
    <row r="11702" spans="1:187" ht="11.25" customHeight="1">
      <c r="A11702" s="1" t="s">
        <v>16478</v>
      </c>
      <c r="B11702" s="1" t="str">
        <f ca="1">IFERROR(__xludf.DUMMYFUNCTION("GOOGLETRANSLATE(A11702, ""en"", ""fr"")"),"Worth # 3")</f>
        <v>Worth # 3</v>
      </c>
      <c r="C11702" s="1" t="s">
        <v>185</v>
      </c>
      <c r="D11702" s="1" t="s">
        <v>16612</v>
      </c>
      <c r="F11702" s="1" t="s">
        <v>2</v>
      </c>
      <c r="U11702" s="1" t="s">
        <v>17</v>
      </c>
      <c r="AA11702" s="1" t="s">
        <v>23</v>
      </c>
      <c r="AC11702" s="1" t="s">
        <v>25</v>
      </c>
      <c r="EV11702" s="1" t="s">
        <v>148</v>
      </c>
      <c r="EW11702" s="1" t="s">
        <v>149</v>
      </c>
      <c r="GD11702" s="1" t="s">
        <v>193</v>
      </c>
      <c r="GE11702" s="1" t="s">
        <v>16479</v>
      </c>
    </row>
    <row r="11703" spans="1:187" ht="11.25" customHeight="1">
      <c r="A11703" s="1" t="s">
        <v>16480</v>
      </c>
      <c r="B11703" s="1" t="str">
        <f ca="1">IFERROR(__xludf.DUMMYFUNCTION("GOOGLETRANSLATE(A11703, ""en"", ""fr"")"),"Worth # 4")</f>
        <v>Worth # 4</v>
      </c>
      <c r="C11703" s="1" t="s">
        <v>185</v>
      </c>
      <c r="D11703" s="1" t="s">
        <v>16612</v>
      </c>
      <c r="F11703" s="1" t="s">
        <v>2</v>
      </c>
      <c r="U11703" s="1" t="s">
        <v>17</v>
      </c>
      <c r="W11703" s="1" t="s">
        <v>19</v>
      </c>
      <c r="GD11703" s="1" t="s">
        <v>202</v>
      </c>
      <c r="GE11703" s="1" t="s">
        <v>16481</v>
      </c>
    </row>
    <row r="11704" spans="1:187" ht="11.25" customHeight="1">
      <c r="A11704" s="1" t="s">
        <v>16482</v>
      </c>
      <c r="B11704" s="1" t="str">
        <f ca="1">IFERROR(__xludf.DUMMYFUNCTION("GOOGLETRANSLATE(A11704, ""en"", ""fr"")"),"DIGNE D'INTÉRÊT")</f>
        <v>DIGNE D'INTÉRÊT</v>
      </c>
      <c r="C11704" s="1" t="s">
        <v>192</v>
      </c>
      <c r="D11704" s="1" t="s">
        <v>16612</v>
      </c>
      <c r="P11704" s="1" t="s">
        <v>12</v>
      </c>
      <c r="DR11704" s="1" t="s">
        <v>118</v>
      </c>
      <c r="GD11704" s="1" t="s">
        <v>202</v>
      </c>
      <c r="GE11704" s="1" t="s">
        <v>190</v>
      </c>
    </row>
    <row r="11705" spans="1:187" ht="11.25" customHeight="1">
      <c r="A11705" s="1" t="s">
        <v>16483</v>
      </c>
      <c r="B11705" s="1" t="str">
        <f ca="1">IFERROR(__xludf.DUMMYFUNCTION("GOOGLETRANSLATE(A11705, ""en"", ""fr"")"),"Insistance")</f>
        <v>Insistance</v>
      </c>
      <c r="C11705" s="1" t="s">
        <v>185</v>
      </c>
      <c r="D11705" s="1" t="s">
        <v>16612</v>
      </c>
      <c r="CM11705" s="1" t="s">
        <v>87</v>
      </c>
      <c r="CR11705" s="1" t="s">
        <v>92</v>
      </c>
      <c r="DR11705" s="1" t="s">
        <v>118</v>
      </c>
      <c r="EE11705" s="1" t="s">
        <v>131</v>
      </c>
      <c r="EJ11705" s="1" t="s">
        <v>136</v>
      </c>
      <c r="GD11705" s="1" t="s">
        <v>202</v>
      </c>
      <c r="GE11705" s="1" t="s">
        <v>190</v>
      </c>
    </row>
    <row r="11706" spans="1:187" ht="11.25" customHeight="1">
      <c r="A11706" s="1" t="s">
        <v>16484</v>
      </c>
      <c r="B11706" s="1" t="str">
        <f ca="1">IFERROR(__xludf.DUMMYFUNCTION("GOOGLETRANSLATE(A11706, ""en"", ""fr"")"),"SANS VALEUR")</f>
        <v>SANS VALEUR</v>
      </c>
      <c r="C11706" s="1" t="s">
        <v>185</v>
      </c>
      <c r="E11706" s="1" t="s">
        <v>16613</v>
      </c>
      <c r="H11706" s="1" t="s">
        <v>4</v>
      </c>
      <c r="V11706" s="1" t="s">
        <v>18</v>
      </c>
      <c r="X11706" s="1" t="s">
        <v>20</v>
      </c>
      <c r="FW11706" s="1" t="s">
        <v>175</v>
      </c>
      <c r="GD11706" s="1" t="s">
        <v>202</v>
      </c>
      <c r="GE11706" s="1" t="s">
        <v>190</v>
      </c>
    </row>
    <row r="11707" spans="1:187" ht="11.25" customHeight="1">
      <c r="A11707" s="1" t="s">
        <v>16485</v>
      </c>
      <c r="B11707" s="1" t="str">
        <f ca="1">IFERROR(__xludf.DUMMYFUNCTION("GOOGLETRANSLATE(A11707, ""en"", ""fr"")"),"DIGNE")</f>
        <v>DIGNE</v>
      </c>
      <c r="C11707" s="1" t="s">
        <v>185</v>
      </c>
      <c r="D11707" s="1" t="s">
        <v>16612</v>
      </c>
      <c r="F11707" s="1" t="s">
        <v>2</v>
      </c>
      <c r="U11707" s="1" t="s">
        <v>17</v>
      </c>
      <c r="CN11707" s="1" t="s">
        <v>88</v>
      </c>
      <c r="EE11707" s="1" t="s">
        <v>131</v>
      </c>
      <c r="EJ11707" s="1" t="s">
        <v>136</v>
      </c>
      <c r="GD11707" s="1" t="s">
        <v>202</v>
      </c>
      <c r="GE11707" s="1" t="s">
        <v>190</v>
      </c>
    </row>
    <row r="11708" spans="1:187" ht="11.25" customHeight="1">
      <c r="A11708" s="1" t="s">
        <v>16486</v>
      </c>
      <c r="B11708" s="1" t="str">
        <f ca="1">IFERROR(__xludf.DUMMYFUNCTION("GOOGLETRANSLATE(A11708, ""en"", ""fr"")"),"SERAIT")</f>
        <v>SERAIT</v>
      </c>
      <c r="C11708" s="1" t="s">
        <v>185</v>
      </c>
      <c r="DP11708" s="1" t="s">
        <v>116</v>
      </c>
      <c r="GD11708" s="1" t="s">
        <v>3475</v>
      </c>
      <c r="GE11708" s="1" t="s">
        <v>16487</v>
      </c>
    </row>
    <row r="11709" spans="1:187" ht="11.25" customHeight="1">
      <c r="A11709" s="1" t="s">
        <v>16488</v>
      </c>
      <c r="B11709" s="1" t="str">
        <f ca="1">IFERROR(__xludf.DUMMYFUNCTION("GOOGLETRANSLATE(A11709, ""en"", ""fr"")"),"Blessure n ° 1")</f>
        <v>Blessure n ° 1</v>
      </c>
      <c r="C11709" s="1" t="s">
        <v>185</v>
      </c>
      <c r="E11709" s="1" t="s">
        <v>16613</v>
      </c>
      <c r="H11709" s="1" t="s">
        <v>4</v>
      </c>
      <c r="I11709" s="1" t="s">
        <v>5</v>
      </c>
      <c r="J11709" s="1" t="s">
        <v>6</v>
      </c>
      <c r="N11709" s="1" t="s">
        <v>10</v>
      </c>
      <c r="AN11709" s="1" t="s">
        <v>36</v>
      </c>
      <c r="DO11709" s="1" t="s">
        <v>115</v>
      </c>
      <c r="EY11709" s="1" t="s">
        <v>151</v>
      </c>
      <c r="FC11709" s="1" t="s">
        <v>155</v>
      </c>
      <c r="GD11709" s="1" t="s">
        <v>189</v>
      </c>
      <c r="GE11709" s="1" t="s">
        <v>16489</v>
      </c>
    </row>
    <row r="11710" spans="1:187" ht="11.25" customHeight="1">
      <c r="A11710" s="1" t="s">
        <v>16490</v>
      </c>
      <c r="B11710" s="1" t="str">
        <f ca="1">IFERROR(__xludf.DUMMYFUNCTION("GOOGLETRANSLATE(A11710, ""en"", ""fr"")"),"Blessure n ° 2")</f>
        <v>Blessure n ° 2</v>
      </c>
      <c r="C11710" s="1" t="s">
        <v>185</v>
      </c>
      <c r="N11710" s="1" t="s">
        <v>10</v>
      </c>
      <c r="AL11710" s="1" t="s">
        <v>34</v>
      </c>
      <c r="DO11710" s="1" t="s">
        <v>115</v>
      </c>
      <c r="GD11710" s="1" t="s">
        <v>189</v>
      </c>
      <c r="GE11710" s="1" t="s">
        <v>16491</v>
      </c>
    </row>
    <row r="11711" spans="1:187" ht="11.25" customHeight="1">
      <c r="A11711" s="1" t="s">
        <v>16492</v>
      </c>
      <c r="B11711" s="1" t="str">
        <f ca="1">IFERROR(__xludf.DUMMYFUNCTION("GOOGLETRANSLATE(A11711, ""en"", ""fr"")"),"Blessure n ° 3")</f>
        <v>Blessure n ° 3</v>
      </c>
      <c r="C11711" s="1" t="s">
        <v>185</v>
      </c>
      <c r="E11711" s="1" t="s">
        <v>16613</v>
      </c>
      <c r="H11711" s="1" t="s">
        <v>4</v>
      </c>
      <c r="L11711" s="1" t="s">
        <v>8</v>
      </c>
      <c r="N11711" s="1" t="s">
        <v>10</v>
      </c>
      <c r="V11711" s="1" t="s">
        <v>18</v>
      </c>
      <c r="EY11711" s="1" t="s">
        <v>151</v>
      </c>
      <c r="FC11711" s="1" t="s">
        <v>155</v>
      </c>
      <c r="GD11711" s="1" t="s">
        <v>193</v>
      </c>
      <c r="GE11711" s="1" t="s">
        <v>16493</v>
      </c>
    </row>
    <row r="11712" spans="1:187" ht="11.25" customHeight="1">
      <c r="A11712" s="1" t="s">
        <v>16494</v>
      </c>
      <c r="B11712" s="1" t="str">
        <f ca="1">IFERROR(__xludf.DUMMYFUNCTION("GOOGLETRANSLATE(A11712, ""en"", ""fr"")"),"Blessure n ° 4")</f>
        <v>Blessure n ° 4</v>
      </c>
      <c r="C11712" s="1" t="s">
        <v>185</v>
      </c>
      <c r="O11712" s="1" t="s">
        <v>11</v>
      </c>
      <c r="BZ11712" s="1" t="s">
        <v>74</v>
      </c>
      <c r="DN11712" s="1" t="s">
        <v>114</v>
      </c>
      <c r="GD11712" s="1" t="s">
        <v>1076</v>
      </c>
      <c r="GE11712" s="1" t="s">
        <v>16495</v>
      </c>
    </row>
    <row r="11713" spans="1:187" ht="11.25" customHeight="1">
      <c r="A11713" s="1" t="s">
        <v>16496</v>
      </c>
      <c r="B11713" s="1" t="str">
        <f ca="1">IFERROR(__xludf.DUMMYFUNCTION("GOOGLETRANSLATE(A11713, ""en"", ""fr"")"),"Blessure n ° 5")</f>
        <v>Blessure n ° 5</v>
      </c>
      <c r="C11713" s="1" t="s">
        <v>185</v>
      </c>
      <c r="E11713" s="1" t="s">
        <v>16613</v>
      </c>
      <c r="H11713" s="1" t="s">
        <v>4</v>
      </c>
      <c r="L11713" s="1" t="s">
        <v>8</v>
      </c>
      <c r="O11713" s="1" t="s">
        <v>11</v>
      </c>
      <c r="V11713" s="1" t="s">
        <v>18</v>
      </c>
      <c r="EZ11713" s="1" t="s">
        <v>152</v>
      </c>
      <c r="FC11713" s="1" t="s">
        <v>155</v>
      </c>
      <c r="GD11713" s="1" t="s">
        <v>202</v>
      </c>
      <c r="GE11713" s="1" t="s">
        <v>16497</v>
      </c>
    </row>
    <row r="11714" spans="1:187" ht="11.25" customHeight="1">
      <c r="A11714" s="1" t="s">
        <v>16498</v>
      </c>
      <c r="B11714" s="1" t="str">
        <f ca="1">IFERROR(__xludf.DUMMYFUNCTION("GOOGLETRANSLATE(A11714, ""en"", ""fr"")"),"ENVELOPPER")</f>
        <v>ENVELOPPER</v>
      </c>
      <c r="C11714" s="1" t="s">
        <v>185</v>
      </c>
      <c r="N11714" s="1" t="s">
        <v>10</v>
      </c>
      <c r="AL11714" s="1" t="s">
        <v>34</v>
      </c>
      <c r="DO11714" s="1" t="s">
        <v>115</v>
      </c>
      <c r="GD11714" s="1" t="s">
        <v>189</v>
      </c>
      <c r="GE11714" s="1" t="s">
        <v>190</v>
      </c>
    </row>
    <row r="11715" spans="1:187" ht="11.25" customHeight="1">
      <c r="A11715" s="1" t="s">
        <v>16499</v>
      </c>
      <c r="B11715" s="1" t="str">
        <f ca="1">IFERROR(__xludf.DUMMYFUNCTION("GOOGLETRANSLATE(A11715, ""en"", ""fr"")"),"COLÈRE")</f>
        <v>COLÈRE</v>
      </c>
      <c r="C11715" s="1" t="s">
        <v>192</v>
      </c>
      <c r="E11715" s="1" t="s">
        <v>16613</v>
      </c>
      <c r="I11715" s="1" t="s">
        <v>5</v>
      </c>
      <c r="GD11715" s="1" t="s">
        <v>193</v>
      </c>
      <c r="GE11715" s="1" t="s">
        <v>190</v>
      </c>
    </row>
    <row r="11716" spans="1:187" ht="11.25" customHeight="1">
      <c r="A11716" s="1" t="s">
        <v>16500</v>
      </c>
      <c r="B11716" s="1" t="str">
        <f ca="1">IFERROR(__xludf.DUMMYFUNCTION("GOOGLETRANSLATE(A11716, ""en"", ""fr"")"),"Rédaction")</f>
        <v>Rédaction</v>
      </c>
      <c r="C11716" s="1" t="s">
        <v>196</v>
      </c>
      <c r="GD11716" s="1" t="s">
        <v>193</v>
      </c>
    </row>
    <row r="11717" spans="1:187" ht="11.25" customHeight="1">
      <c r="A11717" s="1" t="s">
        <v>16501</v>
      </c>
      <c r="B11717" s="1" t="str">
        <f ca="1">IFERROR(__xludf.DUMMYFUNCTION("GOOGLETRANSLATE(A11717, ""en"", ""fr"")"),"DÉTRUIRE")</f>
        <v>DÉTRUIRE</v>
      </c>
      <c r="C11717" s="1" t="s">
        <v>192</v>
      </c>
      <c r="E11717" s="1" t="s">
        <v>16613</v>
      </c>
      <c r="I11717" s="1" t="s">
        <v>5</v>
      </c>
      <c r="N11717" s="1" t="s">
        <v>10</v>
      </c>
      <c r="BZ11717" s="1" t="s">
        <v>74</v>
      </c>
      <c r="CC11717" s="1" t="s">
        <v>77</v>
      </c>
      <c r="DN11717" s="1" t="s">
        <v>114</v>
      </c>
      <c r="GD11717" s="1" t="s">
        <v>670</v>
      </c>
      <c r="GE11717" s="1" t="s">
        <v>190</v>
      </c>
    </row>
    <row r="11718" spans="1:187" ht="11.25" customHeight="1">
      <c r="A11718" s="1" t="s">
        <v>16502</v>
      </c>
      <c r="B11718" s="1" t="str">
        <f ca="1">IFERROR(__xludf.DUMMYFUNCTION("GOOGLETRANSLATE(A11718, ""en"", ""fr"")"),"LUTTER")</f>
        <v>LUTTER</v>
      </c>
      <c r="C11718" s="1" t="s">
        <v>192</v>
      </c>
      <c r="E11718" s="1" t="s">
        <v>16613</v>
      </c>
      <c r="I11718" s="1" t="s">
        <v>5</v>
      </c>
      <c r="N11718" s="1" t="s">
        <v>10</v>
      </c>
      <c r="CC11718" s="1" t="s">
        <v>77</v>
      </c>
      <c r="CG11718" s="1" t="s">
        <v>81</v>
      </c>
      <c r="DN11718" s="1" t="s">
        <v>114</v>
      </c>
      <c r="GD11718" s="1" t="s">
        <v>189</v>
      </c>
      <c r="GE11718" s="1" t="s">
        <v>190</v>
      </c>
    </row>
    <row r="11719" spans="1:187" ht="11.25" customHeight="1">
      <c r="A11719" s="1" t="s">
        <v>16503</v>
      </c>
      <c r="B11719" s="1" t="str">
        <f ca="1">IFERROR(__xludf.DUMMYFUNCTION("GOOGLETRANSLATE(A11719, ""en"", ""fr"")"),"MISÉRABLE")</f>
        <v>MISÉRABLE</v>
      </c>
      <c r="C11719" s="1" t="s">
        <v>192</v>
      </c>
      <c r="E11719" s="1" t="s">
        <v>16613</v>
      </c>
      <c r="N11719" s="1" t="s">
        <v>10</v>
      </c>
      <c r="Q11719" s="1" t="s">
        <v>13</v>
      </c>
      <c r="BU11719" s="1" t="s">
        <v>69</v>
      </c>
      <c r="DN11719" s="1" t="s">
        <v>114</v>
      </c>
      <c r="GD11719" s="1" t="s">
        <v>189</v>
      </c>
      <c r="GE11719" s="1" t="s">
        <v>190</v>
      </c>
    </row>
    <row r="11720" spans="1:187" ht="11.25" customHeight="1">
      <c r="A11720" s="1" t="s">
        <v>16504</v>
      </c>
      <c r="B11720" s="1" t="str">
        <f ca="1">IFERROR(__xludf.DUMMYFUNCTION("GOOGLETRANSLATE(A11720, ""en"", ""fr"")"),"MISÈRE")</f>
        <v>MISÈRE</v>
      </c>
      <c r="C11720" s="1" t="s">
        <v>192</v>
      </c>
      <c r="E11720" s="1" t="s">
        <v>16613</v>
      </c>
      <c r="Q11720" s="1" t="s">
        <v>13</v>
      </c>
      <c r="V11720" s="1" t="s">
        <v>18</v>
      </c>
      <c r="CM11720" s="1" t="s">
        <v>87</v>
      </c>
      <c r="GD11720" s="1" t="s">
        <v>193</v>
      </c>
      <c r="GE11720" s="1" t="s">
        <v>190</v>
      </c>
    </row>
    <row r="11721" spans="1:187" ht="11.25" customHeight="1">
      <c r="A11721" s="1" t="s">
        <v>16505</v>
      </c>
      <c r="B11721" s="1" t="str">
        <f ca="1">IFERROR(__xludf.DUMMYFUNCTION("GOOGLETRANSLATE(A11721, ""en"", ""fr"")"),"RIDE")</f>
        <v>RIDE</v>
      </c>
      <c r="C11721" s="1" t="s">
        <v>192</v>
      </c>
      <c r="E11721" s="1" t="s">
        <v>16613</v>
      </c>
      <c r="V11721" s="1" t="s">
        <v>18</v>
      </c>
      <c r="CM11721" s="1" t="s">
        <v>87</v>
      </c>
      <c r="GD11721" s="1" t="s">
        <v>193</v>
      </c>
      <c r="GE11721" s="1" t="s">
        <v>190</v>
      </c>
    </row>
    <row r="11722" spans="1:187" ht="11.25" customHeight="1">
      <c r="A11722" s="1" t="s">
        <v>16506</v>
      </c>
      <c r="B11722" s="1" t="str">
        <f ca="1">IFERROR(__xludf.DUMMYFUNCTION("GOOGLETRANSLATE(A11722, ""en"", ""fr"")"),"POIGNET")</f>
        <v>POIGNET</v>
      </c>
      <c r="C11722" s="1" t="s">
        <v>196</v>
      </c>
      <c r="GD11722" s="1" t="s">
        <v>193</v>
      </c>
    </row>
    <row r="11723" spans="1:187" ht="11.25" customHeight="1">
      <c r="A11723" s="1" t="s">
        <v>16507</v>
      </c>
      <c r="B11723" s="1" t="str">
        <f ca="1">IFERROR(__xludf.DUMMYFUNCTION("GOOGLETRANSLATE(A11723, ""en"", ""fr"")"),"Écrivez # 1")</f>
        <v>Écrivez # 1</v>
      </c>
      <c r="C11723" s="1" t="s">
        <v>185</v>
      </c>
      <c r="N11723" s="1" t="s">
        <v>10</v>
      </c>
      <c r="BK11723" s="1" t="s">
        <v>59</v>
      </c>
      <c r="BL11723" s="1" t="s">
        <v>60</v>
      </c>
      <c r="FH11723" s="1" t="s">
        <v>160</v>
      </c>
      <c r="FI11723" s="1" t="s">
        <v>161</v>
      </c>
      <c r="GC11723" s="1" t="s">
        <v>181</v>
      </c>
      <c r="GD11723" s="1" t="s">
        <v>193</v>
      </c>
      <c r="GE11723" s="1" t="s">
        <v>16508</v>
      </c>
    </row>
    <row r="11724" spans="1:187" ht="11.25" customHeight="1">
      <c r="A11724" s="1" t="s">
        <v>16509</v>
      </c>
      <c r="B11724" s="1" t="str">
        <f ca="1">IFERROR(__xludf.DUMMYFUNCTION("GOOGLETRANSLATE(A11724, ""en"", ""fr"")"),"Écrivez # 2")</f>
        <v>Écrivez # 2</v>
      </c>
      <c r="C11724" s="1" t="s">
        <v>185</v>
      </c>
      <c r="N11724" s="1" t="s">
        <v>10</v>
      </c>
      <c r="AD11724" s="1" t="s">
        <v>26</v>
      </c>
      <c r="BK11724" s="1" t="s">
        <v>59</v>
      </c>
      <c r="DO11724" s="1" t="s">
        <v>115</v>
      </c>
      <c r="FD11724" s="1" t="s">
        <v>156</v>
      </c>
      <c r="FI11724" s="1" t="s">
        <v>161</v>
      </c>
      <c r="GD11724" s="1" t="s">
        <v>189</v>
      </c>
      <c r="GE11724" s="1" t="s">
        <v>16510</v>
      </c>
    </row>
    <row r="11725" spans="1:187" ht="11.25" customHeight="1">
      <c r="A11725" s="1" t="s">
        <v>16511</v>
      </c>
      <c r="B11725" s="1" t="str">
        <f ca="1">IFERROR(__xludf.DUMMYFUNCTION("GOOGLETRANSLATE(A11725, ""en"", ""fr"")"),"ÉCRIVAIN")</f>
        <v>ÉCRIVAIN</v>
      </c>
      <c r="C11725" s="1" t="s">
        <v>185</v>
      </c>
      <c r="N11725" s="1" t="s">
        <v>10</v>
      </c>
      <c r="AD11725" s="1" t="s">
        <v>26</v>
      </c>
      <c r="AJ11725" s="1" t="s">
        <v>32</v>
      </c>
      <c r="AT11725" s="1" t="s">
        <v>42</v>
      </c>
      <c r="FG11725" s="1" t="s">
        <v>159</v>
      </c>
      <c r="FI11725" s="1" t="s">
        <v>161</v>
      </c>
      <c r="GD11725" s="1" t="s">
        <v>193</v>
      </c>
      <c r="GE11725" s="1" t="s">
        <v>190</v>
      </c>
    </row>
    <row r="11726" spans="1:187" ht="11.25" customHeight="1">
      <c r="A11726" s="1" t="s">
        <v>16512</v>
      </c>
      <c r="B11726" s="1" t="str">
        <f ca="1">IFERROR(__xludf.DUMMYFUNCTION("GOOGLETRANSLATE(A11726, ""en"", ""fr"")"),"SE TORDRE")</f>
        <v>SE TORDRE</v>
      </c>
      <c r="C11726" s="1" t="s">
        <v>192</v>
      </c>
      <c r="E11726" s="1" t="s">
        <v>16613</v>
      </c>
      <c r="N11726" s="1" t="s">
        <v>10</v>
      </c>
      <c r="Q11726" s="1" t="s">
        <v>13</v>
      </c>
      <c r="DN11726" s="1" t="s">
        <v>114</v>
      </c>
      <c r="GD11726" s="1" t="s">
        <v>189</v>
      </c>
      <c r="GE11726" s="1" t="s">
        <v>190</v>
      </c>
    </row>
    <row r="11727" spans="1:187" ht="11.25" customHeight="1">
      <c r="A11727" s="1" t="s">
        <v>16513</v>
      </c>
      <c r="B11727" s="1" t="str">
        <f ca="1">IFERROR(__xludf.DUMMYFUNCTION("GOOGLETRANSLATE(A11727, ""en"", ""fr"")"),"Écrit n ° 1")</f>
        <v>Écrit n ° 1</v>
      </c>
      <c r="C11727" s="1" t="s">
        <v>185</v>
      </c>
      <c r="BK11727" s="1" t="s">
        <v>59</v>
      </c>
      <c r="DO11727" s="1" t="s">
        <v>115</v>
      </c>
      <c r="FD11727" s="1" t="s">
        <v>156</v>
      </c>
      <c r="FI11727" s="1" t="s">
        <v>161</v>
      </c>
      <c r="GD11727" s="1" t="s">
        <v>1076</v>
      </c>
      <c r="GE11727" s="1" t="s">
        <v>16514</v>
      </c>
    </row>
    <row r="11728" spans="1:187" ht="11.25" customHeight="1">
      <c r="A11728" s="1" t="s">
        <v>16515</v>
      </c>
      <c r="B11728" s="1" t="str">
        <f ca="1">IFERROR(__xludf.DUMMYFUNCTION("GOOGLETRANSLATE(A11728, ""en"", ""fr"")"),"Écrit # 2")</f>
        <v>Écrit # 2</v>
      </c>
      <c r="C11728" s="1" t="s">
        <v>185</v>
      </c>
      <c r="AD11728" s="1" t="s">
        <v>26</v>
      </c>
      <c r="BK11728" s="1" t="s">
        <v>59</v>
      </c>
      <c r="FH11728" s="1" t="s">
        <v>160</v>
      </c>
      <c r="FI11728" s="1" t="s">
        <v>161</v>
      </c>
      <c r="GC11728" s="1" t="s">
        <v>181</v>
      </c>
      <c r="GD11728" s="1" t="s">
        <v>202</v>
      </c>
      <c r="GE11728" s="1" t="s">
        <v>16516</v>
      </c>
    </row>
    <row r="11729" spans="1:187" ht="11.25" customHeight="1">
      <c r="A11729" s="1" t="s">
        <v>16517</v>
      </c>
      <c r="B11729" s="1" t="str">
        <f ca="1">IFERROR(__xludf.DUMMYFUNCTION("GOOGLETRANSLATE(A11729, ""en"", ""fr"")"),"Mauvais # 1")</f>
        <v>Mauvais # 1</v>
      </c>
      <c r="C11729" s="1" t="s">
        <v>185</v>
      </c>
      <c r="H11729" s="1" t="s">
        <v>4</v>
      </c>
      <c r="V11729" s="1" t="s">
        <v>18</v>
      </c>
      <c r="DK11729" s="1" t="s">
        <v>111</v>
      </c>
      <c r="FW11729" s="1" t="s">
        <v>175</v>
      </c>
      <c r="GD11729" s="1" t="s">
        <v>849</v>
      </c>
      <c r="GE11729" s="1" t="s">
        <v>16518</v>
      </c>
    </row>
    <row r="11730" spans="1:187" ht="11.25" customHeight="1">
      <c r="A11730" s="1" t="s">
        <v>16519</v>
      </c>
      <c r="B11730" s="1" t="str">
        <f ca="1">IFERROR(__xludf.DUMMYFUNCTION("GOOGLETRANSLATE(A11730, ""en"", ""fr"")"),"Mauvais # 2")</f>
        <v>Mauvais # 2</v>
      </c>
      <c r="C11730" s="1" t="s">
        <v>185</v>
      </c>
      <c r="E11730" s="1" t="s">
        <v>16613</v>
      </c>
      <c r="H11730" s="1" t="s">
        <v>4</v>
      </c>
      <c r="I11730" s="1" t="s">
        <v>5</v>
      </c>
      <c r="AN11730" s="1" t="s">
        <v>36</v>
      </c>
      <c r="DN11730" s="1" t="s">
        <v>114</v>
      </c>
      <c r="EE11730" s="1" t="s">
        <v>131</v>
      </c>
      <c r="EJ11730" s="1" t="s">
        <v>136</v>
      </c>
      <c r="GD11730" s="1" t="s">
        <v>189</v>
      </c>
      <c r="GE11730" s="1" t="s">
        <v>16520</v>
      </c>
    </row>
    <row r="11731" spans="1:187" ht="11.25" customHeight="1">
      <c r="A11731" s="1" t="s">
        <v>16521</v>
      </c>
      <c r="B11731" s="1" t="str">
        <f ca="1">IFERROR(__xludf.DUMMYFUNCTION("GOOGLETRANSLATE(A11731, ""en"", ""fr"")"),"Mauvais # 3")</f>
        <v>Mauvais # 3</v>
      </c>
      <c r="C11731" s="1" t="s">
        <v>185</v>
      </c>
      <c r="E11731" s="1" t="s">
        <v>16613</v>
      </c>
      <c r="H11731" s="1" t="s">
        <v>4</v>
      </c>
      <c r="V11731" s="1" t="s">
        <v>18</v>
      </c>
      <c r="FW11731" s="1" t="s">
        <v>175</v>
      </c>
      <c r="GD11731" s="1" t="s">
        <v>236</v>
      </c>
      <c r="GE11731" s="1" t="s">
        <v>16522</v>
      </c>
    </row>
    <row r="11732" spans="1:187" ht="11.25" customHeight="1">
      <c r="A11732" s="1" t="s">
        <v>16523</v>
      </c>
      <c r="B11732" s="1" t="str">
        <f ca="1">IFERROR(__xludf.DUMMYFUNCTION("GOOGLETRANSLATE(A11732, ""en"", ""fr"")"),"INJUSTIFIÉ")</f>
        <v>INJUSTIFIÉ</v>
      </c>
      <c r="C11732" s="1" t="s">
        <v>192</v>
      </c>
      <c r="E11732" s="1" t="s">
        <v>16613</v>
      </c>
      <c r="V11732" s="1" t="s">
        <v>18</v>
      </c>
      <c r="CM11732" s="1" t="s">
        <v>87</v>
      </c>
      <c r="DR11732" s="1" t="s">
        <v>118</v>
      </c>
      <c r="GD11732" s="1" t="s">
        <v>202</v>
      </c>
      <c r="GE11732" s="1" t="s">
        <v>190</v>
      </c>
    </row>
    <row r="11733" spans="1:187" ht="11.25" customHeight="1">
      <c r="A11733" s="1" t="s">
        <v>16524</v>
      </c>
      <c r="B11733" s="1" t="str">
        <f ca="1">IFERROR(__xludf.DUMMYFUNCTION("GOOGLETRANSLATE(A11733, ""en"", ""fr"")"),"A ÉCRIT")</f>
        <v>A ÉCRIT</v>
      </c>
      <c r="C11733" s="1" t="s">
        <v>185</v>
      </c>
      <c r="BK11733" s="1" t="s">
        <v>59</v>
      </c>
      <c r="DO11733" s="1" t="s">
        <v>115</v>
      </c>
      <c r="FH11733" s="1" t="s">
        <v>160</v>
      </c>
      <c r="FI11733" s="1" t="s">
        <v>161</v>
      </c>
      <c r="GD11733" s="1" t="s">
        <v>1076</v>
      </c>
      <c r="GE11733" s="1" t="s">
        <v>16525</v>
      </c>
    </row>
    <row r="11734" spans="1:187" ht="11.25" customHeight="1">
      <c r="A11734" s="1" t="s">
        <v>16526</v>
      </c>
      <c r="B11734" s="1" t="str">
        <f ca="1">IFERROR(__xludf.DUMMYFUNCTION("GOOGLETRANSLATE(A11734, ""en"", ""fr"")"),"FORGÉ")</f>
        <v>FORGÉ</v>
      </c>
      <c r="C11734" s="1" t="s">
        <v>192</v>
      </c>
      <c r="E11734" s="1" t="s">
        <v>16613</v>
      </c>
      <c r="V11734" s="1" t="s">
        <v>18</v>
      </c>
      <c r="CM11734" s="1" t="s">
        <v>87</v>
      </c>
      <c r="DR11734" s="1" t="s">
        <v>118</v>
      </c>
      <c r="GD11734" s="1" t="s">
        <v>202</v>
      </c>
      <c r="GE11734" s="1" t="s">
        <v>190</v>
      </c>
    </row>
    <row r="11735" spans="1:187" ht="11.25" customHeight="1">
      <c r="A11735" s="1" t="s">
        <v>16527</v>
      </c>
      <c r="B11735" s="1" t="str">
        <f ca="1">IFERROR(__xludf.DUMMYFUNCTION("GOOGLETRANSLATE(A11735, ""en"", ""fr"")"),"TORDU")</f>
        <v>TORDU</v>
      </c>
      <c r="C11735" s="1" t="s">
        <v>196</v>
      </c>
      <c r="GD11735" s="1" t="s">
        <v>202</v>
      </c>
    </row>
    <row r="11736" spans="1:187" ht="11.25" customHeight="1">
      <c r="A11736" s="1" t="s">
        <v>16528</v>
      </c>
      <c r="B11736" s="1" t="str">
        <f ca="1">IFERROR(__xludf.DUMMYFUNCTION("GOOGLETRANSLATE(A11736, ""en"", ""fr"")"),"WYOMING")</f>
        <v>WYOMING</v>
      </c>
      <c r="C11736" s="1" t="s">
        <v>196</v>
      </c>
      <c r="GD11736" s="1" t="s">
        <v>653</v>
      </c>
    </row>
    <row r="11737" spans="1:187" ht="11.25" customHeight="1">
      <c r="A11737" s="1" t="s">
        <v>16529</v>
      </c>
      <c r="B11737" s="1" t="str">
        <f ca="1">IFERROR(__xludf.DUMMYFUNCTION("GOOGLETRANSLATE(A11737, ""en"", ""fr"")"),"Toi")</f>
        <v>Toi</v>
      </c>
      <c r="C11737" s="1" t="s">
        <v>192</v>
      </c>
      <c r="DJ11737" s="1" t="s">
        <v>110</v>
      </c>
      <c r="DM11737" s="1" t="s">
        <v>113</v>
      </c>
      <c r="GE11737" s="1" t="s">
        <v>190</v>
      </c>
    </row>
    <row r="11738" spans="1:187" ht="11.25" customHeight="1">
      <c r="A11738" s="1" t="s">
        <v>16530</v>
      </c>
      <c r="B11738" s="1" t="str">
        <f ca="1">IFERROR(__xludf.DUMMYFUNCTION("GOOGLETRANSLATE(A11738, ""en"", ""fr"")"),"YANKEE")</f>
        <v>YANKEE</v>
      </c>
      <c r="C11738" s="1" t="s">
        <v>185</v>
      </c>
      <c r="AH11738" s="1" t="s">
        <v>30</v>
      </c>
      <c r="DI11738" s="1" t="s">
        <v>109</v>
      </c>
      <c r="FT11738" s="1" t="s">
        <v>172</v>
      </c>
      <c r="GD11738" s="1" t="s">
        <v>193</v>
      </c>
      <c r="GE11738" s="1" t="s">
        <v>190</v>
      </c>
    </row>
    <row r="11739" spans="1:187" ht="11.25" customHeight="1">
      <c r="A11739" s="1" t="s">
        <v>16531</v>
      </c>
      <c r="B11739" s="1" t="str">
        <f ca="1">IFERROR(__xludf.DUMMYFUNCTION("GOOGLETRANSLATE(A11739, ""en"", ""fr"")"),"Cour n ° 1")</f>
        <v>Cour n ° 1</v>
      </c>
      <c r="C11739" s="1" t="s">
        <v>185</v>
      </c>
      <c r="AV11739" s="1" t="s">
        <v>44</v>
      </c>
      <c r="AW11739" s="1" t="s">
        <v>45</v>
      </c>
      <c r="GD11739" s="1" t="s">
        <v>193</v>
      </c>
      <c r="GE11739" s="1" t="s">
        <v>16532</v>
      </c>
    </row>
    <row r="11740" spans="1:187" ht="11.25" customHeight="1">
      <c r="A11740" s="1" t="s">
        <v>16533</v>
      </c>
      <c r="B11740" s="1" t="str">
        <f ca="1">IFERROR(__xludf.DUMMYFUNCTION("GOOGLETRANSLATE(A11740, ""en"", ""fr"")"),"Cour n ° 2")</f>
        <v>Cour n ° 2</v>
      </c>
      <c r="C11740" s="1" t="s">
        <v>185</v>
      </c>
      <c r="CQ11740" s="1" t="s">
        <v>91</v>
      </c>
      <c r="CX11740" s="1" t="s">
        <v>98</v>
      </c>
      <c r="DA11740" s="1" t="s">
        <v>101</v>
      </c>
      <c r="GB11740" s="1" t="s">
        <v>180</v>
      </c>
      <c r="GD11740" s="1" t="s">
        <v>193</v>
      </c>
      <c r="GE11740" s="1" t="s">
        <v>16534</v>
      </c>
    </row>
    <row r="11741" spans="1:187" ht="11.25" customHeight="1">
      <c r="A11741" s="1" t="s">
        <v>16535</v>
      </c>
      <c r="B11741" s="1" t="str">
        <f ca="1">IFERROR(__xludf.DUMMYFUNCTION("GOOGLETRANSLATE(A11741, ""en"", ""fr"")"),"BÂILLEMENT")</f>
        <v>BÂILLEMENT</v>
      </c>
      <c r="C11741" s="1" t="s">
        <v>192</v>
      </c>
      <c r="E11741" s="1" t="s">
        <v>16613</v>
      </c>
      <c r="O11741" s="1" t="s">
        <v>11</v>
      </c>
      <c r="BK11741" s="1" t="s">
        <v>59</v>
      </c>
      <c r="BU11741" s="1" t="s">
        <v>69</v>
      </c>
      <c r="DN11741" s="1" t="s">
        <v>114</v>
      </c>
      <c r="GD11741" s="1" t="s">
        <v>189</v>
      </c>
      <c r="GE11741" s="1" t="s">
        <v>190</v>
      </c>
    </row>
    <row r="11742" spans="1:187" ht="11.25" customHeight="1">
      <c r="A11742" s="1" t="s">
        <v>16536</v>
      </c>
      <c r="B11742" s="1" t="str">
        <f ca="1">IFERROR(__xludf.DUMMYFUNCTION("GOOGLETRANSLATE(A11742, ""en"", ""fr"")"),"OUAIS")</f>
        <v>OUAIS</v>
      </c>
      <c r="C11742" s="1" t="s">
        <v>192</v>
      </c>
      <c r="DJ11742" s="1" t="s">
        <v>110</v>
      </c>
      <c r="DM11742" s="1" t="s">
        <v>113</v>
      </c>
      <c r="GE11742" s="1" t="s">
        <v>190</v>
      </c>
    </row>
    <row r="11743" spans="1:187" ht="11.25" customHeight="1">
      <c r="A11743" s="1" t="s">
        <v>16537</v>
      </c>
      <c r="B11743" s="1" t="str">
        <f ca="1">IFERROR(__xludf.DUMMYFUNCTION("GOOGLETRANSLATE(A11743, ""en"", ""fr"")"),"OUAIS")</f>
        <v>OUAIS</v>
      </c>
      <c r="C11743" s="1" t="s">
        <v>185</v>
      </c>
      <c r="DJ11743" s="1" t="s">
        <v>110</v>
      </c>
      <c r="DM11743" s="1" t="s">
        <v>113</v>
      </c>
      <c r="GD11743" s="1" t="s">
        <v>3750</v>
      </c>
      <c r="GE11743" s="1" t="s">
        <v>190</v>
      </c>
    </row>
    <row r="11744" spans="1:187" ht="11.25" customHeight="1">
      <c r="A11744" s="1" t="s">
        <v>16538</v>
      </c>
      <c r="B11744" s="1" t="str">
        <f ca="1">IFERROR(__xludf.DUMMYFUNCTION("GOOGLETRANSLATE(A11744, ""en"", ""fr"")"),"Année n ° 1")</f>
        <v>Année n ° 1</v>
      </c>
      <c r="C11744" s="1" t="s">
        <v>185</v>
      </c>
      <c r="CQ11744" s="1" t="s">
        <v>91</v>
      </c>
      <c r="CY11744" s="1" t="s">
        <v>99</v>
      </c>
      <c r="CZ11744" s="1" t="s">
        <v>100</v>
      </c>
      <c r="GB11744" s="1" t="s">
        <v>180</v>
      </c>
      <c r="GD11744" s="1" t="s">
        <v>849</v>
      </c>
      <c r="GE11744" s="1" t="s">
        <v>16539</v>
      </c>
    </row>
    <row r="11745" spans="1:187" ht="11.25" customHeight="1">
      <c r="A11745" s="1" t="s">
        <v>16540</v>
      </c>
      <c r="B11745" s="1" t="str">
        <f ca="1">IFERROR(__xludf.DUMMYFUNCTION("GOOGLETRANSLATE(A11745, ""en"", ""fr"")"),"Année n ° 2")</f>
        <v>Année n ° 2</v>
      </c>
      <c r="C11745" s="1" t="s">
        <v>185</v>
      </c>
      <c r="CW11745" s="1" t="s">
        <v>97</v>
      </c>
      <c r="GB11745" s="1" t="s">
        <v>180</v>
      </c>
      <c r="GD11745" s="1" t="s">
        <v>236</v>
      </c>
      <c r="GE11745" s="1" t="s">
        <v>16541</v>
      </c>
    </row>
    <row r="11746" spans="1:187" ht="11.25" customHeight="1">
      <c r="A11746" s="1" t="s">
        <v>16542</v>
      </c>
      <c r="B11746" s="1" t="str">
        <f ca="1">IFERROR(__xludf.DUMMYFUNCTION("GOOGLETRANSLATE(A11746, ""en"", ""fr"")"),"Année n ° 3")</f>
        <v>Année n ° 3</v>
      </c>
      <c r="C11746" s="1" t="s">
        <v>185</v>
      </c>
      <c r="GD11746" s="1" t="s">
        <v>225</v>
      </c>
      <c r="GE11746" s="1" t="s">
        <v>16543</v>
      </c>
    </row>
    <row r="11747" spans="1:187" ht="11.25" customHeight="1">
      <c r="A11747" s="1" t="s">
        <v>16544</v>
      </c>
      <c r="B11747" s="1" t="str">
        <f ca="1">IFERROR(__xludf.DUMMYFUNCTION("GOOGLETRANSLATE(A11747, ""en"", ""fr"")"),"ASPIRER")</f>
        <v>ASPIRER</v>
      </c>
      <c r="C11747" s="1" t="s">
        <v>192</v>
      </c>
      <c r="E11747" s="1" t="s">
        <v>16613</v>
      </c>
      <c r="N11747" s="1" t="s">
        <v>10</v>
      </c>
      <c r="R11747" s="1" t="s">
        <v>14</v>
      </c>
      <c r="BN11747" s="1" t="s">
        <v>62</v>
      </c>
      <c r="DN11747" s="1" t="s">
        <v>114</v>
      </c>
      <c r="GD11747" s="1" t="s">
        <v>189</v>
      </c>
      <c r="GE11747" s="1" t="s">
        <v>190</v>
      </c>
    </row>
    <row r="11748" spans="1:187" ht="11.25" customHeight="1">
      <c r="A11748" s="1" t="s">
        <v>16545</v>
      </c>
      <c r="B11748" s="1" t="str">
        <f ca="1">IFERROR(__xludf.DUMMYFUNCTION("GOOGLETRANSLATE(A11748, ""en"", ""fr"")"),"Criez n ° 1")</f>
        <v>Criez n ° 1</v>
      </c>
      <c r="C11748" s="1" t="s">
        <v>185</v>
      </c>
      <c r="BK11748" s="1" t="s">
        <v>59</v>
      </c>
      <c r="BL11748" s="1" t="s">
        <v>60</v>
      </c>
      <c r="GC11748" s="1" t="s">
        <v>181</v>
      </c>
      <c r="GD11748" s="1" t="s">
        <v>193</v>
      </c>
      <c r="GE11748" s="1" t="s">
        <v>190</v>
      </c>
    </row>
    <row r="11749" spans="1:187" ht="11.25" customHeight="1">
      <c r="A11749" s="1" t="s">
        <v>16546</v>
      </c>
      <c r="B11749" s="1" t="str">
        <f ca="1">IFERROR(__xludf.DUMMYFUNCTION("GOOGLETRANSLATE(A11749, ""en"", ""fr"")"),"Criez n ° 2")</f>
        <v>Criez n ° 2</v>
      </c>
      <c r="C11749" s="1" t="s">
        <v>185</v>
      </c>
      <c r="N11749" s="1" t="s">
        <v>10</v>
      </c>
      <c r="BK11749" s="1" t="s">
        <v>59</v>
      </c>
      <c r="DO11749" s="1" t="s">
        <v>115</v>
      </c>
      <c r="GD11749" s="1" t="s">
        <v>189</v>
      </c>
      <c r="GE11749" s="1" t="s">
        <v>190</v>
      </c>
    </row>
    <row r="11750" spans="1:187" ht="11.25" customHeight="1">
      <c r="A11750" s="1" t="s">
        <v>16547</v>
      </c>
      <c r="B11750" s="1" t="str">
        <f ca="1">IFERROR(__xludf.DUMMYFUNCTION("GOOGLETRANSLATE(A11750, ""en"", ""fr"")"),"JAUNE")</f>
        <v>JAUNE</v>
      </c>
      <c r="C11750" s="1" t="s">
        <v>185</v>
      </c>
      <c r="DE11750" s="1" t="s">
        <v>105</v>
      </c>
      <c r="GD11750" s="1" t="s">
        <v>202</v>
      </c>
      <c r="GE11750" s="1" t="s">
        <v>16548</v>
      </c>
    </row>
    <row r="11751" spans="1:187" ht="11.25" customHeight="1">
      <c r="A11751" s="1" t="s">
        <v>16549</v>
      </c>
      <c r="B11751" s="1" t="str">
        <f ca="1">IFERROR(__xludf.DUMMYFUNCTION("GOOGLETRANSLATE(A11751, ""en"", ""fr"")"),"JAPPER")</f>
        <v>JAPPER</v>
      </c>
      <c r="C11751" s="1" t="s">
        <v>192</v>
      </c>
      <c r="E11751" s="1" t="s">
        <v>16613</v>
      </c>
      <c r="N11751" s="1" t="s">
        <v>10</v>
      </c>
      <c r="Q11751" s="1" t="s">
        <v>13</v>
      </c>
      <c r="BK11751" s="1" t="s">
        <v>59</v>
      </c>
      <c r="DN11751" s="1" t="s">
        <v>114</v>
      </c>
      <c r="GD11751" s="1" t="s">
        <v>189</v>
      </c>
      <c r="GE11751" s="1" t="s">
        <v>190</v>
      </c>
    </row>
    <row r="11752" spans="1:187" ht="11.25" customHeight="1">
      <c r="A11752" s="1" t="s">
        <v>16550</v>
      </c>
      <c r="B11752" s="1" t="str">
        <f ca="1">IFERROR(__xludf.DUMMYFUNCTION("GOOGLETRANSLATE(A11752, ""en"", ""fr"")"),"YÉMEN")</f>
        <v>YÉMEN</v>
      </c>
      <c r="C11752" s="1" t="s">
        <v>196</v>
      </c>
      <c r="FU11752" s="1" t="s">
        <v>173</v>
      </c>
      <c r="GD11752" s="1" t="s">
        <v>545</v>
      </c>
    </row>
    <row r="11753" spans="1:187" ht="11.25" customHeight="1">
      <c r="A11753" s="1" t="s">
        <v>16551</v>
      </c>
      <c r="B11753" s="1" t="str">
        <f ca="1">IFERROR(__xludf.DUMMYFUNCTION("GOOGLETRANSLATE(A11753, ""en"", ""fr"")"),"OUI")</f>
        <v>OUI</v>
      </c>
      <c r="C11753" s="1" t="s">
        <v>185</v>
      </c>
      <c r="DJ11753" s="1" t="s">
        <v>110</v>
      </c>
      <c r="DM11753" s="1" t="s">
        <v>113</v>
      </c>
      <c r="FY11753" s="1" t="s">
        <v>177</v>
      </c>
      <c r="GD11753" s="1" t="s">
        <v>14384</v>
      </c>
      <c r="GE11753" s="1" t="s">
        <v>16552</v>
      </c>
    </row>
    <row r="11754" spans="1:187" ht="11.25" customHeight="1">
      <c r="A11754" s="1" t="s">
        <v>16553</v>
      </c>
      <c r="B11754" s="1" t="str">
        <f ca="1">IFERROR(__xludf.DUMMYFUNCTION("GOOGLETRANSLATE(A11754, ""en"", ""fr"")"),"HIER")</f>
        <v>HIER</v>
      </c>
      <c r="C11754" s="1" t="s">
        <v>185</v>
      </c>
      <c r="CQ11754" s="1" t="s">
        <v>91</v>
      </c>
      <c r="CY11754" s="1" t="s">
        <v>99</v>
      </c>
      <c r="CZ11754" s="1" t="s">
        <v>100</v>
      </c>
      <c r="GB11754" s="1" t="s">
        <v>180</v>
      </c>
      <c r="GD11754" s="1" t="s">
        <v>193</v>
      </c>
      <c r="GE11754" s="1" t="s">
        <v>16554</v>
      </c>
    </row>
    <row r="11755" spans="1:187" ht="11.25" customHeight="1">
      <c r="A11755" s="1" t="s">
        <v>16555</v>
      </c>
      <c r="B11755" s="1" t="str">
        <f ca="1">IFERROR(__xludf.DUMMYFUNCTION("GOOGLETRANSLATE(A11755, ""en"", ""fr"")"),"Pourtant # 1")</f>
        <v>Pourtant # 1</v>
      </c>
      <c r="C11755" s="1" t="s">
        <v>185</v>
      </c>
      <c r="W11755" s="1" t="s">
        <v>19</v>
      </c>
      <c r="CY11755" s="1" t="s">
        <v>99</v>
      </c>
      <c r="FZ11755" s="1" t="s">
        <v>178</v>
      </c>
      <c r="GD11755" s="1" t="s">
        <v>236</v>
      </c>
      <c r="GE11755" s="1" t="s">
        <v>16556</v>
      </c>
    </row>
    <row r="11756" spans="1:187" ht="11.25" customHeight="1">
      <c r="A11756" s="1" t="s">
        <v>16557</v>
      </c>
      <c r="B11756" s="1" t="str">
        <f ca="1">IFERROR(__xludf.DUMMYFUNCTION("GOOGLETRANSLATE(A11756, ""en"", ""fr"")"),"Pourtant # 2")</f>
        <v>Pourtant # 2</v>
      </c>
      <c r="C11756" s="1" t="s">
        <v>185</v>
      </c>
      <c r="W11756" s="1" t="s">
        <v>19</v>
      </c>
      <c r="CH11756" s="1" t="s">
        <v>82</v>
      </c>
      <c r="FZ11756" s="1" t="s">
        <v>178</v>
      </c>
      <c r="GD11756" s="1" t="s">
        <v>236</v>
      </c>
      <c r="GE11756" s="1" t="s">
        <v>16558</v>
      </c>
    </row>
    <row r="11757" spans="1:187" ht="11.25" customHeight="1">
      <c r="A11757" s="1" t="s">
        <v>16559</v>
      </c>
      <c r="B11757" s="1" t="str">
        <f ca="1">IFERROR(__xludf.DUMMYFUNCTION("GOOGLETRANSLATE(A11757, ""en"", ""fr"")"),"Pourtant # 3")</f>
        <v>Pourtant # 3</v>
      </c>
      <c r="C11757" s="1" t="s">
        <v>185</v>
      </c>
      <c r="CH11757" s="1" t="s">
        <v>82</v>
      </c>
      <c r="FZ11757" s="1" t="s">
        <v>178</v>
      </c>
      <c r="GD11757" s="1" t="s">
        <v>763</v>
      </c>
      <c r="GE11757" s="1" t="s">
        <v>16560</v>
      </c>
    </row>
    <row r="11758" spans="1:187" ht="11.25" customHeight="1">
      <c r="A11758" s="1" t="s">
        <v>16561</v>
      </c>
      <c r="B11758" s="1" t="str">
        <f ca="1">IFERROR(__xludf.DUMMYFUNCTION("GOOGLETRANSLATE(A11758, ""en"", ""fr"")"),"Pourtant # 4")</f>
        <v>Pourtant # 4</v>
      </c>
      <c r="C11758" s="1" t="s">
        <v>185</v>
      </c>
      <c r="CY11758" s="1" t="s">
        <v>99</v>
      </c>
      <c r="GB11758" s="1" t="s">
        <v>180</v>
      </c>
      <c r="GD11758" s="1" t="s">
        <v>236</v>
      </c>
      <c r="GE11758" s="1" t="s">
        <v>16562</v>
      </c>
    </row>
    <row r="11759" spans="1:187" ht="11.25" customHeight="1">
      <c r="A11759" s="1" t="s">
        <v>16563</v>
      </c>
      <c r="B11759" s="1" t="str">
        <f ca="1">IFERROR(__xludf.DUMMYFUNCTION("GOOGLETRANSLATE(A11759, ""en"", ""fr"")"),"Rendement n ° 1")</f>
        <v>Rendement n ° 1</v>
      </c>
      <c r="C11759" s="1" t="s">
        <v>185</v>
      </c>
      <c r="AA11759" s="1" t="s">
        <v>23</v>
      </c>
      <c r="AC11759" s="1" t="s">
        <v>25</v>
      </c>
      <c r="BO11759" s="1" t="s">
        <v>63</v>
      </c>
      <c r="EC11759" s="1" t="s">
        <v>129</v>
      </c>
      <c r="ED11759" s="1" t="s">
        <v>130</v>
      </c>
      <c r="GD11759" s="1" t="s">
        <v>193</v>
      </c>
      <c r="GE11759" s="1" t="s">
        <v>190</v>
      </c>
    </row>
    <row r="11760" spans="1:187" ht="11.25" customHeight="1">
      <c r="A11760" s="1" t="s">
        <v>16564</v>
      </c>
      <c r="B11760" s="1" t="str">
        <f ca="1">IFERROR(__xludf.DUMMYFUNCTION("GOOGLETRANSLATE(A11760, ""en"", ""fr"")"),"Rendement n ° 2")</f>
        <v>Rendement n ° 2</v>
      </c>
      <c r="C11760" s="1" t="s">
        <v>185</v>
      </c>
      <c r="L11760" s="1" t="s">
        <v>8</v>
      </c>
      <c r="M11760" s="1" t="s">
        <v>9</v>
      </c>
      <c r="AN11760" s="1" t="s">
        <v>36</v>
      </c>
      <c r="EC11760" s="1" t="s">
        <v>129</v>
      </c>
      <c r="ED11760" s="1" t="s">
        <v>130</v>
      </c>
      <c r="GD11760" s="1" t="s">
        <v>189</v>
      </c>
      <c r="GE11760" s="1" t="s">
        <v>190</v>
      </c>
    </row>
    <row r="11761" spans="1:187" ht="11.25" customHeight="1">
      <c r="A11761" s="1" t="s">
        <v>16565</v>
      </c>
      <c r="B11761" s="1" t="str">
        <f ca="1">IFERROR(__xludf.DUMMYFUNCTION("GOOGLETRANSLATE(A11761, ""en"", ""fr"")"),"JOUG")</f>
        <v>JOUG</v>
      </c>
      <c r="C11761" s="1" t="s">
        <v>196</v>
      </c>
      <c r="DT11761" s="1" t="s">
        <v>120</v>
      </c>
      <c r="ED11761" s="1" t="s">
        <v>130</v>
      </c>
      <c r="GD11761" s="1" t="s">
        <v>470</v>
      </c>
    </row>
    <row r="11762" spans="1:187" ht="11.25" customHeight="1">
      <c r="A11762" s="1" t="s">
        <v>16566</v>
      </c>
      <c r="B11762" s="1" t="str">
        <f ca="1">IFERROR(__xludf.DUMMYFUNCTION("GOOGLETRANSLATE(A11762, ""en"", ""fr"")"),"Là-bas")</f>
        <v>Là-bas</v>
      </c>
      <c r="C11762" s="1" t="s">
        <v>185</v>
      </c>
      <c r="DA11762" s="1" t="s">
        <v>101</v>
      </c>
      <c r="GB11762" s="1" t="s">
        <v>180</v>
      </c>
      <c r="GD11762" s="1" t="s">
        <v>202</v>
      </c>
      <c r="GE11762" s="1" t="s">
        <v>190</v>
      </c>
    </row>
    <row r="11763" spans="1:187" ht="11.25" customHeight="1">
      <c r="A11763" s="1" t="s">
        <v>16567</v>
      </c>
      <c r="B11763" s="1" t="str">
        <f ca="1">IFERROR(__xludf.DUMMYFUNCTION("GOOGLETRANSLATE(A11763, ""en"", ""fr"")"),"York")</f>
        <v>York</v>
      </c>
      <c r="C11763" s="1" t="s">
        <v>196</v>
      </c>
      <c r="GD11763" s="1" t="s">
        <v>653</v>
      </c>
    </row>
    <row r="11764" spans="1:187" ht="11.25" customHeight="1">
      <c r="A11764" s="1" t="s">
        <v>16568</v>
      </c>
      <c r="B11764" s="1" t="str">
        <f ca="1">IFERROR(__xludf.DUMMYFUNCTION("GOOGLETRANSLATE(A11764, ""en"", ""fr"")"),"Vous # 1")</f>
        <v>Vous # 1</v>
      </c>
      <c r="C11764" s="1" t="s">
        <v>185</v>
      </c>
      <c r="DH11764" s="1" t="s">
        <v>108</v>
      </c>
      <c r="GD11764" s="1" t="s">
        <v>16569</v>
      </c>
      <c r="GE11764" s="1" t="s">
        <v>16570</v>
      </c>
    </row>
    <row r="11765" spans="1:187" ht="11.25" customHeight="1">
      <c r="A11765" s="1" t="s">
        <v>16571</v>
      </c>
      <c r="B11765" s="1" t="str">
        <f ca="1">IFERROR(__xludf.DUMMYFUNCTION("GOOGLETRANSLATE(A11765, ""en"", ""fr"")"),"VOUS 2")</f>
        <v>VOUS 2</v>
      </c>
      <c r="C11765" s="1" t="s">
        <v>185</v>
      </c>
      <c r="DH11765" s="1" t="s">
        <v>108</v>
      </c>
      <c r="GD11765" s="1" t="s">
        <v>16572</v>
      </c>
      <c r="GE11765" s="1" t="s">
        <v>16573</v>
      </c>
    </row>
    <row r="11766" spans="1:187" ht="11.25" customHeight="1">
      <c r="A11766" s="1" t="s">
        <v>16574</v>
      </c>
      <c r="B11766" s="1" t="str">
        <f ca="1">IFERROR(__xludf.DUMMYFUNCTION("GOOGLETRANSLATE(A11766, ""en"", ""fr"")"),"Vous # 3")</f>
        <v>Vous # 3</v>
      </c>
      <c r="C11766" s="1" t="s">
        <v>185</v>
      </c>
      <c r="GD11766" s="1" t="s">
        <v>225</v>
      </c>
      <c r="GE11766" s="1" t="s">
        <v>16575</v>
      </c>
    </row>
    <row r="11767" spans="1:187" ht="11.25" customHeight="1">
      <c r="A11767" s="1" t="s">
        <v>16576</v>
      </c>
      <c r="B11767" s="1" t="str">
        <f ca="1">IFERROR(__xludf.DUMMYFUNCTION("GOOGLETRANSLATE(A11767, ""en"", ""fr"")"),"Vous # 4")</f>
        <v>Vous # 4</v>
      </c>
      <c r="C11767" s="1" t="s">
        <v>185</v>
      </c>
      <c r="GD11767" s="1" t="s">
        <v>225</v>
      </c>
      <c r="GE11767" s="1" t="s">
        <v>16577</v>
      </c>
    </row>
    <row r="11768" spans="1:187" ht="11.25" customHeight="1">
      <c r="A11768" s="1" t="s">
        <v>16578</v>
      </c>
      <c r="B11768" s="1" t="str">
        <f ca="1">IFERROR(__xludf.DUMMYFUNCTION("GOOGLETRANSLATE(A11768, ""en"", ""fr"")"),"Jeune # 1")</f>
        <v>Jeune # 1</v>
      </c>
      <c r="C11768" s="1" t="s">
        <v>185</v>
      </c>
      <c r="AS11768" s="1" t="s">
        <v>41</v>
      </c>
      <c r="CY11768" s="1" t="s">
        <v>99</v>
      </c>
      <c r="GD11768" s="1" t="s">
        <v>202</v>
      </c>
      <c r="GE11768" s="1" t="s">
        <v>16579</v>
      </c>
    </row>
    <row r="11769" spans="1:187" ht="11.25" customHeight="1">
      <c r="A11769" s="1" t="s">
        <v>16580</v>
      </c>
      <c r="B11769" s="1" t="str">
        <f ca="1">IFERROR(__xludf.DUMMYFUNCTION("GOOGLETRANSLATE(A11769, ""en"", ""fr"")"),"Young # 2")</f>
        <v>Young # 2</v>
      </c>
      <c r="C11769" s="1" t="s">
        <v>185</v>
      </c>
      <c r="AS11769" s="1" t="s">
        <v>41</v>
      </c>
      <c r="CY11769" s="1" t="s">
        <v>99</v>
      </c>
      <c r="GD11769" s="1" t="s">
        <v>202</v>
      </c>
      <c r="GE11769" s="1" t="s">
        <v>16581</v>
      </c>
    </row>
    <row r="11770" spans="1:187" ht="11.25" customHeight="1">
      <c r="A11770" s="1" t="s">
        <v>16582</v>
      </c>
      <c r="B11770" s="1" t="str">
        <f ca="1">IFERROR(__xludf.DUMMYFUNCTION("GOOGLETRANSLATE(A11770, ""en"", ""fr"")"),"Young # 3")</f>
        <v>Young # 3</v>
      </c>
      <c r="C11770" s="1" t="s">
        <v>185</v>
      </c>
      <c r="AS11770" s="1" t="s">
        <v>41</v>
      </c>
      <c r="CY11770" s="1" t="s">
        <v>99</v>
      </c>
      <c r="GD11770" s="1" t="s">
        <v>202</v>
      </c>
      <c r="GE11770" s="1" t="s">
        <v>16583</v>
      </c>
    </row>
    <row r="11771" spans="1:187" ht="11.25" customHeight="1">
      <c r="A11771" s="1" t="s">
        <v>16584</v>
      </c>
      <c r="B11771" s="1" t="str">
        <f ca="1">IFERROR(__xludf.DUMMYFUNCTION("GOOGLETRANSLATE(A11771, ""en"", ""fr"")"),"ENFANT")</f>
        <v>ENFANT</v>
      </c>
      <c r="C11771" s="1" t="s">
        <v>185</v>
      </c>
      <c r="AJ11771" s="1" t="s">
        <v>32</v>
      </c>
      <c r="AS11771" s="1" t="s">
        <v>41</v>
      </c>
      <c r="AT11771" s="1" t="s">
        <v>42</v>
      </c>
      <c r="FT11771" s="1" t="s">
        <v>172</v>
      </c>
      <c r="GD11771" s="1" t="s">
        <v>193</v>
      </c>
      <c r="GE11771" s="1" t="s">
        <v>16585</v>
      </c>
    </row>
    <row r="11772" spans="1:187" ht="11.25" customHeight="1">
      <c r="A11772" s="1" t="s">
        <v>16586</v>
      </c>
      <c r="B11772" s="1" t="str">
        <f ca="1">IFERROR(__xludf.DUMMYFUNCTION("GOOGLETRANSLATE(A11772, ""en"", ""fr"")"),"TON")</f>
        <v>TON</v>
      </c>
      <c r="C11772" s="1" t="s">
        <v>185</v>
      </c>
      <c r="DH11772" s="1" t="s">
        <v>108</v>
      </c>
      <c r="GD11772" s="1" t="s">
        <v>16587</v>
      </c>
      <c r="GE11772" s="1" t="s">
        <v>16588</v>
      </c>
    </row>
    <row r="11773" spans="1:187" ht="11.25" customHeight="1">
      <c r="A11773" s="1" t="s">
        <v>16589</v>
      </c>
      <c r="B11773" s="1" t="str">
        <f ca="1">IFERROR(__xludf.DUMMYFUNCTION("GOOGLETRANSLATE(A11773, ""en"", ""fr"")"),"LE VÔTRE")</f>
        <v>LE VÔTRE</v>
      </c>
      <c r="C11773" s="1" t="s">
        <v>185</v>
      </c>
      <c r="DH11773" s="1" t="s">
        <v>108</v>
      </c>
      <c r="GD11773" s="1" t="s">
        <v>16590</v>
      </c>
      <c r="GE11773" s="1" t="s">
        <v>190</v>
      </c>
    </row>
    <row r="11774" spans="1:187" ht="11.25" customHeight="1">
      <c r="A11774" s="1" t="s">
        <v>16591</v>
      </c>
      <c r="B11774" s="1" t="str">
        <f ca="1">IFERROR(__xludf.DUMMYFUNCTION("GOOGLETRANSLATE(A11774, ""en"", ""fr"")"),"Vous-même # 1")</f>
        <v>Vous-même # 1</v>
      </c>
      <c r="C11774" s="1" t="s">
        <v>185</v>
      </c>
      <c r="DH11774" s="1" t="s">
        <v>108</v>
      </c>
      <c r="GD11774" s="1" t="s">
        <v>16592</v>
      </c>
      <c r="GE11774" s="1" t="s">
        <v>190</v>
      </c>
    </row>
    <row r="11775" spans="1:187" ht="11.25" customHeight="1">
      <c r="A11775" s="1" t="s">
        <v>16593</v>
      </c>
      <c r="B11775" s="1" t="str">
        <f ca="1">IFERROR(__xludf.DUMMYFUNCTION("GOOGLETRANSLATE(A11775, ""en"", ""fr"")"),"Vous-mêmes # 1")</f>
        <v>Vous-mêmes # 1</v>
      </c>
      <c r="C11775" s="1" t="s">
        <v>185</v>
      </c>
      <c r="DH11775" s="1" t="s">
        <v>108</v>
      </c>
      <c r="GD11775" s="1" t="s">
        <v>16594</v>
      </c>
      <c r="GE11775" s="1" t="s">
        <v>190</v>
      </c>
    </row>
    <row r="11776" spans="1:187" ht="11.25" customHeight="1">
      <c r="A11776" s="1" t="s">
        <v>16595</v>
      </c>
      <c r="B11776" s="1" t="str">
        <f ca="1">IFERROR(__xludf.DUMMYFUNCTION("GOOGLETRANSLATE(A11776, ""en"", ""fr"")"),"Jeunes # 1")</f>
        <v>Jeunes # 1</v>
      </c>
      <c r="C11776" s="1" t="s">
        <v>185</v>
      </c>
      <c r="AJ11776" s="1" t="s">
        <v>32</v>
      </c>
      <c r="AS11776" s="1" t="s">
        <v>41</v>
      </c>
      <c r="AT11776" s="1" t="s">
        <v>42</v>
      </c>
      <c r="FT11776" s="1" t="s">
        <v>172</v>
      </c>
      <c r="GD11776" s="1" t="s">
        <v>193</v>
      </c>
      <c r="GE11776" s="1" t="s">
        <v>16596</v>
      </c>
    </row>
    <row r="11777" spans="1:187" ht="11.25" customHeight="1">
      <c r="A11777" s="1" t="s">
        <v>16597</v>
      </c>
      <c r="B11777" s="1" t="str">
        <f ca="1">IFERROR(__xludf.DUMMYFUNCTION("GOOGLETRANSLATE(A11777, ""en"", ""fr"")"),"Jeunes # 2")</f>
        <v>Jeunes # 2</v>
      </c>
      <c r="C11777" s="1" t="s">
        <v>185</v>
      </c>
      <c r="AS11777" s="1" t="s">
        <v>41</v>
      </c>
      <c r="CQ11777" s="1" t="s">
        <v>91</v>
      </c>
      <c r="CY11777" s="1" t="s">
        <v>99</v>
      </c>
      <c r="CZ11777" s="1" t="s">
        <v>100</v>
      </c>
      <c r="EZ11777" s="1" t="s">
        <v>152</v>
      </c>
      <c r="FC11777" s="1" t="s">
        <v>155</v>
      </c>
      <c r="GD11777" s="1" t="s">
        <v>193</v>
      </c>
      <c r="GE11777" s="1" t="s">
        <v>16598</v>
      </c>
    </row>
    <row r="11778" spans="1:187" ht="11.25" customHeight="1">
      <c r="A11778" s="1" t="s">
        <v>16599</v>
      </c>
      <c r="B11778" s="1" t="str">
        <f ca="1">IFERROR(__xludf.DUMMYFUNCTION("GOOGLETRANSLATE(A11778, ""en"", ""fr"")"),"JEUNE")</f>
        <v>JEUNE</v>
      </c>
      <c r="C11778" s="1" t="s">
        <v>185</v>
      </c>
      <c r="AS11778" s="1" t="s">
        <v>41</v>
      </c>
      <c r="CY11778" s="1" t="s">
        <v>99</v>
      </c>
      <c r="EZ11778" s="1" t="s">
        <v>152</v>
      </c>
      <c r="FC11778" s="1" t="s">
        <v>155</v>
      </c>
      <c r="GD11778" s="1" t="s">
        <v>202</v>
      </c>
      <c r="GE11778" s="1" t="s">
        <v>190</v>
      </c>
    </row>
    <row r="11779" spans="1:187" ht="11.25" customHeight="1">
      <c r="A11779" s="1" t="s">
        <v>16600</v>
      </c>
      <c r="B11779" s="1" t="str">
        <f ca="1">IFERROR(__xludf.DUMMYFUNCTION("GOOGLETRANSLATE(A11779, ""en"", ""fr"")"),"Yougoslavie")</f>
        <v>Yougoslavie</v>
      </c>
      <c r="C11779" s="1" t="s">
        <v>196</v>
      </c>
      <c r="FU11779" s="1" t="s">
        <v>173</v>
      </c>
      <c r="GD11779" s="1" t="s">
        <v>545</v>
      </c>
    </row>
    <row r="11780" spans="1:187" ht="11.25" customHeight="1">
      <c r="A11780" s="1" t="s">
        <v>16601</v>
      </c>
      <c r="B11780" s="1" t="str">
        <f ca="1">IFERROR(__xludf.DUMMYFUNCTION("GOOGLETRANSLATE(A11780, ""en"", ""fr"")"),"ZÈLE")</f>
        <v>ZÈLE</v>
      </c>
      <c r="C11780" s="1" t="s">
        <v>185</v>
      </c>
      <c r="J11780" s="1" t="s">
        <v>6</v>
      </c>
      <c r="N11780" s="1" t="s">
        <v>10</v>
      </c>
      <c r="P11780" s="1" t="s">
        <v>12</v>
      </c>
      <c r="ER11780" s="1" t="s">
        <v>144</v>
      </c>
      <c r="ES11780" s="1" t="s">
        <v>145</v>
      </c>
      <c r="GD11780" s="1" t="s">
        <v>193</v>
      </c>
      <c r="GE11780" s="1" t="s">
        <v>190</v>
      </c>
    </row>
    <row r="11781" spans="1:187" ht="11.25" customHeight="1">
      <c r="A11781" s="1" t="s">
        <v>16602</v>
      </c>
      <c r="B11781" s="1" t="str">
        <f ca="1">IFERROR(__xludf.DUMMYFUNCTION("GOOGLETRANSLATE(A11781, ""en"", ""fr"")"),"Zélande # 1")</f>
        <v>Zélande # 1</v>
      </c>
      <c r="C11781" s="1" t="s">
        <v>196</v>
      </c>
      <c r="FU11781" s="1" t="s">
        <v>173</v>
      </c>
      <c r="GD11781" s="1" t="s">
        <v>545</v>
      </c>
    </row>
    <row r="11782" spans="1:187" ht="11.25" customHeight="1">
      <c r="A11782" s="1" t="s">
        <v>16603</v>
      </c>
      <c r="B11782" s="1" t="str">
        <f ca="1">IFERROR(__xludf.DUMMYFUNCTION("GOOGLETRANSLATE(A11782, ""en"", ""fr"")"),"Zélande # 2")</f>
        <v>Zélande # 2</v>
      </c>
      <c r="C11782" s="1" t="s">
        <v>196</v>
      </c>
      <c r="GD11782" s="1" t="s">
        <v>193</v>
      </c>
    </row>
    <row r="11783" spans="1:187" ht="11.25" customHeight="1">
      <c r="A11783" s="1" t="s">
        <v>16604</v>
      </c>
      <c r="B11783" s="1" t="str">
        <f ca="1">IFERROR(__xludf.DUMMYFUNCTION("GOOGLETRANSLATE(A11783, ""en"", ""fr"")"),"ZÉLÉ")</f>
        <v>ZÉLÉ</v>
      </c>
      <c r="C11783" s="1" t="s">
        <v>185</v>
      </c>
      <c r="J11783" s="1" t="s">
        <v>6</v>
      </c>
      <c r="BK11783" s="1" t="s">
        <v>59</v>
      </c>
      <c r="CM11783" s="1" t="s">
        <v>87</v>
      </c>
      <c r="ER11783" s="1" t="s">
        <v>144</v>
      </c>
      <c r="ES11783" s="1" t="s">
        <v>145</v>
      </c>
      <c r="GD11783" s="1" t="s">
        <v>202</v>
      </c>
      <c r="GE11783" s="1" t="s">
        <v>190</v>
      </c>
    </row>
    <row r="11784" spans="1:187" ht="11.25" customHeight="1">
      <c r="A11784" s="1" t="s">
        <v>16605</v>
      </c>
      <c r="B11784" s="1" t="str">
        <f ca="1">IFERROR(__xludf.DUMMYFUNCTION("GOOGLETRANSLATE(A11784, ""en"", ""fr"")"),"ZEN")</f>
        <v>ZEN</v>
      </c>
      <c r="C11784" s="1" t="s">
        <v>192</v>
      </c>
      <c r="Z11784" s="1" t="s">
        <v>22</v>
      </c>
      <c r="AI11784" s="1" t="s">
        <v>31</v>
      </c>
      <c r="CP11784" s="1" t="s">
        <v>90</v>
      </c>
      <c r="CQ11784" s="1" t="s">
        <v>91</v>
      </c>
      <c r="GD11784" s="1" t="s">
        <v>193</v>
      </c>
      <c r="GE11784" s="1" t="s">
        <v>190</v>
      </c>
    </row>
    <row r="11785" spans="1:187" ht="11.25" customHeight="1">
      <c r="A11785" s="1" t="s">
        <v>16606</v>
      </c>
      <c r="B11785" s="1" t="str">
        <f ca="1">IFERROR(__xludf.DUMMYFUNCTION("GOOGLETRANSLATE(A11785, ""en"", ""fr"")"),"ZÉNITH")</f>
        <v>ZÉNITH</v>
      </c>
      <c r="C11785" s="1" t="s">
        <v>192</v>
      </c>
      <c r="D11785" s="1" t="s">
        <v>16612</v>
      </c>
      <c r="AV11785" s="1" t="s">
        <v>44</v>
      </c>
      <c r="GD11785" s="1" t="s">
        <v>193</v>
      </c>
      <c r="GE11785" s="1" t="s">
        <v>190</v>
      </c>
    </row>
    <row r="11786" spans="1:187" ht="11.25" customHeight="1">
      <c r="A11786" s="1" t="s">
        <v>16607</v>
      </c>
      <c r="B11786" s="1" t="str">
        <f ca="1">IFERROR(__xludf.DUMMYFUNCTION("GOOGLETRANSLATE(A11786, ""en"", ""fr"")"),"ZÉRO")</f>
        <v>ZÉRO</v>
      </c>
      <c r="C11786" s="1" t="s">
        <v>185</v>
      </c>
      <c r="CS11786" s="1" t="s">
        <v>93</v>
      </c>
      <c r="CT11786" s="1" t="s">
        <v>94</v>
      </c>
      <c r="CV11786" s="1" t="s">
        <v>96</v>
      </c>
      <c r="GD11786" s="1" t="s">
        <v>1756</v>
      </c>
      <c r="GE11786" s="1" t="s">
        <v>190</v>
      </c>
    </row>
    <row r="11787" spans="1:187" ht="11.25" customHeight="1">
      <c r="A11787" s="1" t="s">
        <v>16608</v>
      </c>
      <c r="B11787" s="1" t="str">
        <f ca="1">IFERROR(__xludf.DUMMYFUNCTION("GOOGLETRANSLATE(A11787, ""en"", ""fr"")"),"ZESTE")</f>
        <v>ZESTE</v>
      </c>
      <c r="C11787" s="1" t="s">
        <v>192</v>
      </c>
      <c r="D11787" s="1" t="s">
        <v>16612</v>
      </c>
      <c r="J11787" s="1" t="s">
        <v>6</v>
      </c>
      <c r="S11787" s="1" t="s">
        <v>15</v>
      </c>
      <c r="GD11787" s="1" t="s">
        <v>193</v>
      </c>
      <c r="GE11787" s="1" t="s">
        <v>190</v>
      </c>
    </row>
    <row r="11788" spans="1:187" ht="11.25" customHeight="1">
      <c r="A11788" s="1" t="s">
        <v>16609</v>
      </c>
      <c r="B11788" s="1" t="str">
        <f ca="1">IFERROR(__xludf.DUMMYFUNCTION("GOOGLETRANSLATE(A11788, ""en"", ""fr"")"),"ZINC")</f>
        <v>ZINC</v>
      </c>
      <c r="C11788" s="1" t="s">
        <v>185</v>
      </c>
      <c r="AA11788" s="1" t="s">
        <v>23</v>
      </c>
      <c r="AC11788" s="1" t="s">
        <v>25</v>
      </c>
      <c r="BC11788" s="1" t="s">
        <v>51</v>
      </c>
      <c r="BD11788" s="1" t="s">
        <v>52</v>
      </c>
      <c r="GD11788" s="1" t="s">
        <v>193</v>
      </c>
      <c r="GE11788" s="1" t="s">
        <v>190</v>
      </c>
    </row>
    <row r="11789" spans="1:187" ht="11.25" customHeight="1">
      <c r="A11789" s="1" t="s">
        <v>16610</v>
      </c>
      <c r="B11789" s="1" t="str">
        <f ca="1">IFERROR(__xludf.DUMMYFUNCTION("GOOGLETRANSLATE(A11789, ""en"", ""fr"")"),"ZONE")</f>
        <v>ZONE</v>
      </c>
      <c r="C11789" s="1" t="s">
        <v>185</v>
      </c>
      <c r="AV11789" s="1" t="s">
        <v>44</v>
      </c>
      <c r="AX11789" s="1" t="s">
        <v>46</v>
      </c>
      <c r="GD11789" s="1" t="s">
        <v>193</v>
      </c>
      <c r="GE11789" s="1" t="s">
        <v>190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BigDict1a.tabs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Stone</dc:creator>
  <cp:lastModifiedBy>joseph mcinerney</cp:lastModifiedBy>
  <dcterms:created xsi:type="dcterms:W3CDTF">2000-07-18T08:39:58Z</dcterms:created>
  <dcterms:modified xsi:type="dcterms:W3CDTF">2024-03-08T14:13:44Z</dcterms:modified>
</cp:coreProperties>
</file>